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codeName="ThisWorkbook" defaultThemeVersion="166925"/>
  <xr:revisionPtr revIDLastSave="0" documentId="13_ncr:1_{A57F331F-044C-4E42-B987-CC926B962561}" xr6:coauthVersionLast="47" xr6:coauthVersionMax="47" xr10:uidLastSave="{00000000-0000-0000-0000-000000000000}"/>
  <workbookProtection lockStructure="1"/>
  <bookViews>
    <workbookView xWindow="-108" yWindow="-108" windowWidth="23256" windowHeight="12576" tabRatio="779" xr2:uid="{00000000-000D-0000-FFFF-FFFF00000000}"/>
  </bookViews>
  <sheets>
    <sheet name="2022 Funding" sheetId="28" r:id="rId1"/>
    <sheet name="Revised 2021 MFAM(2019 PYAs)" sheetId="4" state="hidden" r:id="rId2"/>
    <sheet name="Revised 2021 MFAM Cost Bands" sheetId="1" state="hidden" r:id="rId3"/>
    <sheet name="Revised 2019 Lockdown" sheetId="24" state="hidden" r:id="rId4"/>
    <sheet name="Revised 2020 MFAM(2018 PYAs)" sheetId="18" state="hidden" r:id="rId5"/>
    <sheet name="Revised 2020 MFAM Cost Bands" sheetId="19" state="hidden" r:id="rId6"/>
    <sheet name="Revised 2018 Lockdown" sheetId="25" state="hidden" r:id="rId7"/>
  </sheets>
  <definedNames>
    <definedName name="_xlnm._FilterDatabase" localSheetId="0" hidden="1">'2022 Funding'!$B$18:$AB$18</definedName>
    <definedName name="_xlnm._FilterDatabase" localSheetId="6" hidden="1">'Revised 2018 Lockdown'!$B$4:$I$253</definedName>
    <definedName name="_xlnm._FilterDatabase" localSheetId="3" hidden="1">'Revised 2019 Lockdown'!$B$4:$I$257</definedName>
    <definedName name="_xlnm._FilterDatabase" localSheetId="1" hidden="1">'Revised 2021 MFAM(2019 PYAs)'!$B$25:$AB$25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6" i="28" l="1"/>
  <c r="M89" i="28"/>
  <c r="M90" i="28"/>
  <c r="M167" i="28"/>
  <c r="M168" i="28"/>
  <c r="M184" i="28"/>
  <c r="M186" i="28"/>
  <c r="M203" i="28"/>
  <c r="M228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38" i="28"/>
  <c r="L39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2" i="28"/>
  <c r="L53" i="28"/>
  <c r="L54" i="28"/>
  <c r="L55" i="28"/>
  <c r="L56" i="28"/>
  <c r="L57" i="28"/>
  <c r="L58" i="28"/>
  <c r="L59" i="28"/>
  <c r="L60" i="28"/>
  <c r="L61" i="28"/>
  <c r="L62" i="28"/>
  <c r="L63" i="28"/>
  <c r="L64" i="28"/>
  <c r="L65" i="28"/>
  <c r="L66" i="28"/>
  <c r="L67" i="28"/>
  <c r="L68" i="28"/>
  <c r="L69" i="28"/>
  <c r="L70" i="28"/>
  <c r="L71" i="28"/>
  <c r="L72" i="28"/>
  <c r="L73" i="28"/>
  <c r="L74" i="28"/>
  <c r="L75" i="28"/>
  <c r="L76" i="28"/>
  <c r="L77" i="28"/>
  <c r="L78" i="28"/>
  <c r="L79" i="28"/>
  <c r="L80" i="28"/>
  <c r="L81" i="28"/>
  <c r="L82" i="28"/>
  <c r="L83" i="28"/>
  <c r="L84" i="28"/>
  <c r="L85" i="28"/>
  <c r="L86" i="28"/>
  <c r="L87" i="28"/>
  <c r="L88" i="28"/>
  <c r="L89" i="28"/>
  <c r="L90" i="28"/>
  <c r="L91" i="28"/>
  <c r="L92" i="28"/>
  <c r="L93" i="28"/>
  <c r="L94" i="28"/>
  <c r="L95" i="28"/>
  <c r="L96" i="28"/>
  <c r="L97" i="28"/>
  <c r="L98" i="28"/>
  <c r="L99" i="28"/>
  <c r="L100" i="28"/>
  <c r="L101" i="28"/>
  <c r="L102" i="28"/>
  <c r="L103" i="28"/>
  <c r="L104" i="28"/>
  <c r="L105" i="28"/>
  <c r="L106" i="28"/>
  <c r="L107" i="28"/>
  <c r="L108" i="28"/>
  <c r="L109" i="28"/>
  <c r="L110" i="28"/>
  <c r="L111" i="28"/>
  <c r="L112" i="28"/>
  <c r="L113" i="28"/>
  <c r="L114" i="28"/>
  <c r="L115" i="28"/>
  <c r="L116" i="28"/>
  <c r="L117" i="28"/>
  <c r="L118" i="28"/>
  <c r="L119" i="28"/>
  <c r="L120" i="28"/>
  <c r="L121" i="28"/>
  <c r="L122" i="28"/>
  <c r="L123" i="28"/>
  <c r="L124" i="28"/>
  <c r="L125" i="28"/>
  <c r="L126" i="28"/>
  <c r="L127" i="28"/>
  <c r="L128" i="28"/>
  <c r="L129" i="28"/>
  <c r="L130" i="28"/>
  <c r="L131" i="28"/>
  <c r="L132" i="28"/>
  <c r="L133" i="28"/>
  <c r="L134" i="28"/>
  <c r="L135" i="28"/>
  <c r="L136" i="28"/>
  <c r="L137" i="28"/>
  <c r="L138" i="28"/>
  <c r="L139" i="28"/>
  <c r="L140" i="28"/>
  <c r="L141" i="28"/>
  <c r="L142" i="28"/>
  <c r="L143" i="28"/>
  <c r="L144" i="28"/>
  <c r="L145" i="28"/>
  <c r="L146" i="28"/>
  <c r="L147" i="28"/>
  <c r="L148" i="28"/>
  <c r="L149" i="28"/>
  <c r="L150" i="28"/>
  <c r="L151" i="28"/>
  <c r="L152" i="28"/>
  <c r="L153" i="28"/>
  <c r="L154" i="28"/>
  <c r="L155" i="28"/>
  <c r="L156" i="28"/>
  <c r="L157" i="28"/>
  <c r="L158" i="28"/>
  <c r="L159" i="28"/>
  <c r="L160" i="28"/>
  <c r="L161" i="28"/>
  <c r="L162" i="28"/>
  <c r="L163" i="28"/>
  <c r="L164" i="28"/>
  <c r="L165" i="28"/>
  <c r="L166" i="28"/>
  <c r="L167" i="28"/>
  <c r="L168" i="28"/>
  <c r="L169" i="28"/>
  <c r="L170" i="28"/>
  <c r="L171" i="28"/>
  <c r="L172" i="28"/>
  <c r="L173" i="28"/>
  <c r="L174" i="28"/>
  <c r="L175" i="28"/>
  <c r="L176" i="28"/>
  <c r="L177" i="28"/>
  <c r="L178" i="28"/>
  <c r="L179" i="28"/>
  <c r="L180" i="28"/>
  <c r="L181" i="28"/>
  <c r="L182" i="28"/>
  <c r="L183" i="28"/>
  <c r="L184" i="28"/>
  <c r="L185" i="28"/>
  <c r="L186" i="28"/>
  <c r="L187" i="28"/>
  <c r="L188" i="28"/>
  <c r="L189" i="28"/>
  <c r="L190" i="28"/>
  <c r="L191" i="28"/>
  <c r="L192" i="28"/>
  <c r="L193" i="28"/>
  <c r="L194" i="28"/>
  <c r="L195" i="28"/>
  <c r="L196" i="28"/>
  <c r="L197" i="28"/>
  <c r="L198" i="28"/>
  <c r="L199" i="28"/>
  <c r="L200" i="28"/>
  <c r="L201" i="28"/>
  <c r="L202" i="28"/>
  <c r="L203" i="28"/>
  <c r="L204" i="28"/>
  <c r="L205" i="28"/>
  <c r="L206" i="28"/>
  <c r="L207" i="28"/>
  <c r="L208" i="28"/>
  <c r="L209" i="28"/>
  <c r="L210" i="28"/>
  <c r="L211" i="28"/>
  <c r="L212" i="28"/>
  <c r="L213" i="28"/>
  <c r="L214" i="28"/>
  <c r="L215" i="28"/>
  <c r="L216" i="28"/>
  <c r="L217" i="28"/>
  <c r="L218" i="28"/>
  <c r="L219" i="28"/>
  <c r="L220" i="28"/>
  <c r="L221" i="28"/>
  <c r="L222" i="28"/>
  <c r="L223" i="28"/>
  <c r="L224" i="28"/>
  <c r="L225" i="28"/>
  <c r="L226" i="28"/>
  <c r="L227" i="28"/>
  <c r="L228" i="28"/>
  <c r="L229" i="28"/>
  <c r="L230" i="28"/>
  <c r="L231" i="28"/>
  <c r="L232" i="28"/>
  <c r="L233" i="28"/>
  <c r="L234" i="28"/>
  <c r="L235" i="28"/>
  <c r="L236" i="28"/>
  <c r="L237" i="28"/>
  <c r="L238" i="28"/>
  <c r="L239" i="28"/>
  <c r="L240" i="28"/>
  <c r="L241" i="28"/>
  <c r="L242" i="28"/>
  <c r="L243" i="28"/>
  <c r="L244" i="28"/>
  <c r="L245" i="28"/>
  <c r="L246" i="28"/>
  <c r="L247" i="28"/>
  <c r="L248" i="28"/>
  <c r="L249" i="28"/>
  <c r="L250" i="28"/>
  <c r="L251" i="28"/>
  <c r="L252" i="28"/>
  <c r="L253" i="28"/>
  <c r="L254" i="28"/>
  <c r="L255" i="28"/>
  <c r="L256" i="28"/>
  <c r="L257" i="28"/>
  <c r="L258" i="28"/>
  <c r="L259" i="28"/>
  <c r="L260" i="28"/>
  <c r="L261" i="28"/>
  <c r="L262" i="28"/>
  <c r="L263" i="28"/>
  <c r="L264" i="28"/>
  <c r="L265" i="28"/>
  <c r="L266" i="28"/>
  <c r="L267" i="28"/>
  <c r="L268" i="28"/>
  <c r="L19" i="28"/>
  <c r="E8" i="28"/>
  <c r="L16" i="28" l="1"/>
  <c r="E12" i="28"/>
  <c r="E14" i="28" s="1"/>
  <c r="V17" i="28"/>
  <c r="H116" i="28" l="1"/>
  <c r="H265" i="28"/>
  <c r="H188" i="28" l="1"/>
  <c r="H80" i="28"/>
  <c r="H263" i="28"/>
  <c r="H111" i="28"/>
  <c r="H150" i="28"/>
  <c r="H132" i="28"/>
  <c r="H104" i="28"/>
  <c r="H223" i="28"/>
  <c r="H45" i="28"/>
  <c r="H58" i="28"/>
  <c r="H84" i="28"/>
  <c r="H51" i="28"/>
  <c r="H48" i="28"/>
  <c r="H247" i="28"/>
  <c r="H152" i="28"/>
  <c r="H194" i="28"/>
  <c r="H161" i="28"/>
  <c r="H70" i="28"/>
  <c r="H98" i="28"/>
  <c r="H213" i="28"/>
  <c r="H178" i="28"/>
  <c r="H146" i="28"/>
  <c r="H158" i="28"/>
  <c r="H260" i="28"/>
  <c r="H99" i="28"/>
  <c r="H101" i="28"/>
  <c r="H135" i="28"/>
  <c r="H139" i="28"/>
  <c r="H264" i="28"/>
  <c r="H175" i="28"/>
  <c r="H261" i="28"/>
  <c r="H91" i="28"/>
  <c r="H19" i="28"/>
  <c r="H114" i="28"/>
  <c r="H143" i="28"/>
  <c r="H93" i="28"/>
  <c r="H162" i="28"/>
  <c r="H163" i="28"/>
  <c r="H103" i="28"/>
  <c r="H88" i="28"/>
  <c r="H41" i="28"/>
  <c r="H44" i="28"/>
  <c r="H129" i="28"/>
  <c r="H25" i="28"/>
  <c r="H128" i="28"/>
  <c r="H243" i="28"/>
  <c r="H38" i="28"/>
  <c r="H39" i="28"/>
  <c r="H54" i="28"/>
  <c r="H29" i="28"/>
  <c r="H155" i="28"/>
  <c r="H252" i="28"/>
  <c r="H64" i="28"/>
  <c r="H86" i="28"/>
  <c r="H204" i="28"/>
  <c r="H205" i="28"/>
  <c r="H172" i="28"/>
  <c r="H108" i="28"/>
  <c r="H226" i="28"/>
  <c r="H184" i="28"/>
  <c r="H237" i="28"/>
  <c r="H120" i="28"/>
  <c r="H121" i="28"/>
  <c r="H33" i="28"/>
  <c r="H238" i="28"/>
  <c r="H125" i="28"/>
  <c r="H36" i="28"/>
  <c r="I213" i="28"/>
  <c r="H148" i="28"/>
  <c r="H149" i="28"/>
  <c r="H76" i="28"/>
  <c r="H220" i="28"/>
  <c r="H106" i="28"/>
  <c r="H222" i="28"/>
  <c r="H71" i="28"/>
  <c r="H225" i="28"/>
  <c r="H209" i="28"/>
  <c r="H227" i="28"/>
  <c r="H32" i="28"/>
  <c r="H22" i="28"/>
  <c r="H239" i="28"/>
  <c r="H109" i="28"/>
  <c r="H43" i="28"/>
  <c r="H57" i="28"/>
  <c r="H46" i="28"/>
  <c r="H130" i="28"/>
  <c r="H74" i="28"/>
  <c r="H248" i="28"/>
  <c r="H49" i="28"/>
  <c r="H30" i="28"/>
  <c r="H253" i="28"/>
  <c r="H197" i="28"/>
  <c r="H66" i="28"/>
  <c r="H94" i="28"/>
  <c r="H112" i="28"/>
  <c r="H267" i="28"/>
  <c r="H187" i="28"/>
  <c r="H212" i="28"/>
  <c r="H215" i="28"/>
  <c r="H246" i="28"/>
  <c r="H191" i="28"/>
  <c r="H154" i="28"/>
  <c r="H251" i="28"/>
  <c r="H257" i="28"/>
  <c r="H159" i="28"/>
  <c r="H167" i="28"/>
  <c r="H52" i="28"/>
  <c r="H230" i="28"/>
  <c r="H165" i="28"/>
  <c r="H82" i="28"/>
  <c r="H97" i="28"/>
  <c r="H211" i="28"/>
  <c r="H229" i="28"/>
  <c r="H232" i="28"/>
  <c r="H113" i="28"/>
  <c r="H42" i="28"/>
  <c r="H124" i="28"/>
  <c r="H142" i="28"/>
  <c r="H145" i="28"/>
  <c r="H254" i="28"/>
  <c r="H173" i="28"/>
  <c r="H210" i="28"/>
  <c r="H100" i="28"/>
  <c r="H224" i="28"/>
  <c r="H185" i="28"/>
  <c r="H87" i="28"/>
  <c r="H202" i="28"/>
  <c r="H92" i="28"/>
  <c r="H170" i="28"/>
  <c r="H69" i="28"/>
  <c r="H216" i="28"/>
  <c r="H179" i="28"/>
  <c r="H183" i="28"/>
  <c r="H268" i="28"/>
  <c r="E17" i="28"/>
  <c r="H27" i="28"/>
  <c r="H47" i="28"/>
  <c r="H59" i="28"/>
  <c r="H61" i="28"/>
  <c r="H189" i="28"/>
  <c r="H62" i="28"/>
  <c r="H138" i="28"/>
  <c r="H141" i="28"/>
  <c r="H134" i="28"/>
  <c r="H136" i="28"/>
  <c r="H37" i="28"/>
  <c r="H193" i="28"/>
  <c r="H250" i="28"/>
  <c r="H195" i="28"/>
  <c r="H259" i="28"/>
  <c r="H79" i="28"/>
  <c r="H198" i="28"/>
  <c r="H262" i="28"/>
  <c r="H201" i="28"/>
  <c r="H168" i="28"/>
  <c r="H67" i="28"/>
  <c r="H169" i="28"/>
  <c r="H206" i="28"/>
  <c r="H207" i="28"/>
  <c r="H110" i="28"/>
  <c r="H228" i="28"/>
  <c r="H266" i="28"/>
  <c r="H180" i="28"/>
  <c r="H182" i="28"/>
  <c r="H56" i="28"/>
  <c r="H34" i="28"/>
  <c r="H240" i="28"/>
  <c r="H127" i="28"/>
  <c r="H200" i="28"/>
  <c r="H171" i="28"/>
  <c r="H234" i="28"/>
  <c r="H236" i="28"/>
  <c r="H53" i="28"/>
  <c r="H20" i="28"/>
  <c r="H122" i="28"/>
  <c r="H23" i="28"/>
  <c r="H131" i="28"/>
  <c r="H133" i="28"/>
  <c r="H24" i="28"/>
  <c r="H244" i="28"/>
  <c r="H140" i="28"/>
  <c r="H28" i="28"/>
  <c r="H190" i="28"/>
  <c r="H75" i="28"/>
  <c r="H77" i="28"/>
  <c r="H102" i="28"/>
  <c r="I265" i="28"/>
  <c r="H196" i="28"/>
  <c r="H83" i="28"/>
  <c r="F17" i="28"/>
  <c r="H192" i="28"/>
  <c r="H78" i="28"/>
  <c r="H256" i="28"/>
  <c r="H157" i="28"/>
  <c r="H258" i="28"/>
  <c r="H160" i="28"/>
  <c r="H65" i="28"/>
  <c r="H164" i="28"/>
  <c r="H95" i="28"/>
  <c r="H219" i="28"/>
  <c r="H72" i="28"/>
  <c r="I116" i="28"/>
  <c r="H55" i="28"/>
  <c r="H123" i="28"/>
  <c r="H126" i="28"/>
  <c r="H60" i="28"/>
  <c r="H137" i="28"/>
  <c r="H221" i="28"/>
  <c r="H118" i="28"/>
  <c r="H31" i="28"/>
  <c r="H35" i="28"/>
  <c r="H241" i="28"/>
  <c r="H242" i="28"/>
  <c r="H147" i="28"/>
  <c r="H151" i="28"/>
  <c r="H156" i="28"/>
  <c r="H50" i="28"/>
  <c r="H199" i="28"/>
  <c r="H81" i="28"/>
  <c r="H166" i="28"/>
  <c r="H89" i="28"/>
  <c r="H68" i="28"/>
  <c r="H96" i="28"/>
  <c r="H174" i="28"/>
  <c r="H105" i="28"/>
  <c r="H107" i="28"/>
  <c r="H73" i="28"/>
  <c r="H115" i="28"/>
  <c r="H153" i="28"/>
  <c r="H85" i="28"/>
  <c r="H203" i="28"/>
  <c r="H208" i="28"/>
  <c r="H233" i="28"/>
  <c r="H235" i="28"/>
  <c r="H117" i="28"/>
  <c r="G17" i="28"/>
  <c r="H21" i="28"/>
  <c r="H26" i="28"/>
  <c r="H40" i="28"/>
  <c r="H245" i="28"/>
  <c r="H63" i="28"/>
  <c r="H144" i="28"/>
  <c r="H249" i="28"/>
  <c r="H255" i="28"/>
  <c r="H90" i="28"/>
  <c r="H176" i="28"/>
  <c r="H177" i="28"/>
  <c r="H214" i="28"/>
  <c r="H217" i="28"/>
  <c r="H218" i="28"/>
  <c r="H231" i="28"/>
  <c r="H186" i="28"/>
  <c r="H181" i="28"/>
  <c r="H119" i="28"/>
  <c r="I218" i="28" l="1"/>
  <c r="I144" i="28"/>
  <c r="I115" i="28"/>
  <c r="I166" i="28"/>
  <c r="I241" i="28"/>
  <c r="I126" i="28"/>
  <c r="I65" i="28"/>
  <c r="I83" i="28"/>
  <c r="I140" i="28"/>
  <c r="I53" i="28"/>
  <c r="I56" i="28"/>
  <c r="I169" i="28"/>
  <c r="I195" i="28"/>
  <c r="I62" i="28"/>
  <c r="I183" i="28"/>
  <c r="I185" i="28"/>
  <c r="I124" i="28"/>
  <c r="I165" i="28"/>
  <c r="I191" i="28"/>
  <c r="I94" i="28"/>
  <c r="I130" i="28"/>
  <c r="I227" i="28"/>
  <c r="I149" i="28"/>
  <c r="I120" i="28"/>
  <c r="I86" i="28"/>
  <c r="I243" i="28"/>
  <c r="I163" i="28"/>
  <c r="I175" i="28"/>
  <c r="I146" i="28"/>
  <c r="I247" i="28"/>
  <c r="I217" i="28"/>
  <c r="I63" i="28"/>
  <c r="I117" i="28"/>
  <c r="I73" i="28"/>
  <c r="I81" i="28"/>
  <c r="I35" i="28"/>
  <c r="I123" i="28"/>
  <c r="I160" i="28"/>
  <c r="I196" i="28"/>
  <c r="I244" i="28"/>
  <c r="I236" i="28"/>
  <c r="I182" i="28"/>
  <c r="I67" i="28"/>
  <c r="I250" i="28"/>
  <c r="I189" i="28"/>
  <c r="I179" i="28"/>
  <c r="I224" i="28"/>
  <c r="I42" i="28"/>
  <c r="I230" i="28"/>
  <c r="I246" i="28"/>
  <c r="I66" i="28"/>
  <c r="I46" i="28"/>
  <c r="I209" i="28"/>
  <c r="I148" i="28"/>
  <c r="I237" i="28"/>
  <c r="I64" i="28"/>
  <c r="I128" i="28"/>
  <c r="I162" i="28"/>
  <c r="I264" i="28"/>
  <c r="I178" i="28"/>
  <c r="I48" i="28"/>
  <c r="I150" i="28"/>
  <c r="I214" i="28"/>
  <c r="I245" i="28"/>
  <c r="I235" i="28"/>
  <c r="I107" i="28"/>
  <c r="I199" i="28"/>
  <c r="I31" i="28"/>
  <c r="I55" i="28"/>
  <c r="I258" i="28"/>
  <c r="I24" i="28"/>
  <c r="I234" i="28"/>
  <c r="I180" i="28"/>
  <c r="I168" i="28"/>
  <c r="I193" i="28"/>
  <c r="I61" i="28"/>
  <c r="I216" i="28"/>
  <c r="I100" i="28"/>
  <c r="I113" i="28"/>
  <c r="I52" i="28"/>
  <c r="I215" i="28"/>
  <c r="I197" i="28"/>
  <c r="I57" i="28"/>
  <c r="I225" i="28"/>
  <c r="I184" i="28"/>
  <c r="I252" i="28"/>
  <c r="I25" i="28"/>
  <c r="I93" i="28"/>
  <c r="I139" i="28"/>
  <c r="I51" i="28"/>
  <c r="I111" i="28"/>
  <c r="I119" i="28"/>
  <c r="I177" i="28"/>
  <c r="I40" i="28"/>
  <c r="I233" i="28"/>
  <c r="I105" i="28"/>
  <c r="I50" i="28"/>
  <c r="I157" i="28"/>
  <c r="I102" i="28"/>
  <c r="I133" i="28"/>
  <c r="I171" i="28"/>
  <c r="I266" i="28"/>
  <c r="I201" i="28"/>
  <c r="I37" i="28"/>
  <c r="I59" i="28"/>
  <c r="I69" i="28"/>
  <c r="I210" i="28"/>
  <c r="I232" i="28"/>
  <c r="I167" i="28"/>
  <c r="I212" i="28"/>
  <c r="I253" i="28"/>
  <c r="I43" i="28"/>
  <c r="I71" i="28"/>
  <c r="I36" i="28"/>
  <c r="I226" i="28"/>
  <c r="I155" i="28"/>
  <c r="I129" i="28"/>
  <c r="I143" i="28"/>
  <c r="I98" i="28"/>
  <c r="I84" i="28"/>
  <c r="I263" i="28"/>
  <c r="I181" i="28"/>
  <c r="I176" i="28"/>
  <c r="I26" i="28"/>
  <c r="I208" i="28"/>
  <c r="I174" i="28"/>
  <c r="I156" i="28"/>
  <c r="I118" i="28"/>
  <c r="I72" i="28"/>
  <c r="I256" i="28"/>
  <c r="I77" i="28"/>
  <c r="I131" i="28"/>
  <c r="I200" i="28"/>
  <c r="I228" i="28"/>
  <c r="I262" i="28"/>
  <c r="I136" i="28"/>
  <c r="I47" i="28"/>
  <c r="I170" i="28"/>
  <c r="I173" i="28"/>
  <c r="I229" i="28"/>
  <c r="I159" i="28"/>
  <c r="I187" i="28"/>
  <c r="I30" i="28"/>
  <c r="I109" i="28"/>
  <c r="I222" i="28"/>
  <c r="I125" i="28"/>
  <c r="I108" i="28"/>
  <c r="I29" i="28"/>
  <c r="I44" i="28"/>
  <c r="I114" i="28"/>
  <c r="I101" i="28"/>
  <c r="I70" i="28"/>
  <c r="I58" i="28"/>
  <c r="I80" i="28"/>
  <c r="I186" i="28"/>
  <c r="I90" i="28"/>
  <c r="I21" i="28"/>
  <c r="I203" i="28"/>
  <c r="I96" i="28"/>
  <c r="I151" i="28"/>
  <c r="I221" i="28"/>
  <c r="I219" i="28"/>
  <c r="I78" i="28"/>
  <c r="I75" i="28"/>
  <c r="I23" i="28"/>
  <c r="I127" i="28"/>
  <c r="I110" i="28"/>
  <c r="I198" i="28"/>
  <c r="I134" i="28"/>
  <c r="I27" i="28"/>
  <c r="I92" i="28"/>
  <c r="I254" i="28"/>
  <c r="I211" i="28"/>
  <c r="I257" i="28"/>
  <c r="I49" i="28"/>
  <c r="I239" i="28"/>
  <c r="I106" i="28"/>
  <c r="I238" i="28"/>
  <c r="I172" i="28"/>
  <c r="I54" i="28"/>
  <c r="I41" i="28"/>
  <c r="I19" i="28"/>
  <c r="I99" i="28"/>
  <c r="I161" i="28"/>
  <c r="I45" i="28"/>
  <c r="I188" i="28"/>
  <c r="I255" i="28"/>
  <c r="I85" i="28"/>
  <c r="I68" i="28"/>
  <c r="I147" i="28"/>
  <c r="I137" i="28"/>
  <c r="I95" i="28"/>
  <c r="I192" i="28"/>
  <c r="I190" i="28"/>
  <c r="I122" i="28"/>
  <c r="I240" i="28"/>
  <c r="I207" i="28"/>
  <c r="I79" i="28"/>
  <c r="I141" i="28"/>
  <c r="I202" i="28"/>
  <c r="I145" i="28"/>
  <c r="I97" i="28"/>
  <c r="I251" i="28"/>
  <c r="I267" i="28"/>
  <c r="I248" i="28"/>
  <c r="I22" i="28"/>
  <c r="I220" i="28"/>
  <c r="I33" i="28"/>
  <c r="I205" i="28"/>
  <c r="I39" i="28"/>
  <c r="I88" i="28"/>
  <c r="I91" i="28"/>
  <c r="I260" i="28"/>
  <c r="I194" i="28"/>
  <c r="I223" i="28"/>
  <c r="I231" i="28"/>
  <c r="I249" i="28"/>
  <c r="I153" i="28"/>
  <c r="I89" i="28"/>
  <c r="I242" i="28"/>
  <c r="I60" i="28"/>
  <c r="I164" i="28"/>
  <c r="I28" i="28"/>
  <c r="I20" i="28"/>
  <c r="I34" i="28"/>
  <c r="I206" i="28"/>
  <c r="I259" i="28"/>
  <c r="I138" i="28"/>
  <c r="I268" i="28"/>
  <c r="I87" i="28"/>
  <c r="I142" i="28"/>
  <c r="I82" i="28"/>
  <c r="I154" i="28"/>
  <c r="I112" i="28"/>
  <c r="I74" i="28"/>
  <c r="I32" i="28"/>
  <c r="I76" i="28"/>
  <c r="I121" i="28"/>
  <c r="I204" i="28"/>
  <c r="I38" i="28"/>
  <c r="I103" i="28"/>
  <c r="I261" i="28"/>
  <c r="I158" i="28"/>
  <c r="I152" i="28"/>
  <c r="I104" i="28"/>
  <c r="I135" i="28"/>
  <c r="I132" i="28"/>
  <c r="H17" i="28"/>
  <c r="J265" i="28" l="1"/>
  <c r="J116" i="28"/>
  <c r="J104" i="28"/>
  <c r="J76" i="28"/>
  <c r="J268" i="28"/>
  <c r="J60" i="28"/>
  <c r="J194" i="28"/>
  <c r="J22" i="28"/>
  <c r="J79" i="28"/>
  <c r="J151" i="28"/>
  <c r="J161" i="28"/>
  <c r="J239" i="28"/>
  <c r="J198" i="28"/>
  <c r="J156" i="28"/>
  <c r="J101" i="28"/>
  <c r="J30" i="28"/>
  <c r="J262" i="28"/>
  <c r="J50" i="28"/>
  <c r="J135" i="28"/>
  <c r="J253" i="28"/>
  <c r="J201" i="28"/>
  <c r="J107" i="28"/>
  <c r="J93" i="28"/>
  <c r="J52" i="28"/>
  <c r="J234" i="28"/>
  <c r="J144" i="28"/>
  <c r="J64" i="28"/>
  <c r="J42" i="28"/>
  <c r="J244" i="28"/>
  <c r="J231" i="28"/>
  <c r="J120" i="28"/>
  <c r="J185" i="28"/>
  <c r="J83" i="28"/>
  <c r="J152" i="28"/>
  <c r="J32" i="28"/>
  <c r="J138" i="28"/>
  <c r="J147" i="28"/>
  <c r="J260" i="28"/>
  <c r="J248" i="28"/>
  <c r="J207" i="28"/>
  <c r="J96" i="28"/>
  <c r="J99" i="28"/>
  <c r="J49" i="28"/>
  <c r="J110" i="28"/>
  <c r="J174" i="28"/>
  <c r="J114" i="28"/>
  <c r="J187" i="28"/>
  <c r="J228" i="28"/>
  <c r="J105" i="28"/>
  <c r="J143" i="28"/>
  <c r="J212" i="28"/>
  <c r="J266" i="28"/>
  <c r="J235" i="28"/>
  <c r="J25" i="28"/>
  <c r="J113" i="28"/>
  <c r="J24" i="28"/>
  <c r="J218" i="28"/>
  <c r="J237" i="28"/>
  <c r="J224" i="28"/>
  <c r="J196" i="28"/>
  <c r="J132" i="28"/>
  <c r="J149" i="28"/>
  <c r="J183" i="28"/>
  <c r="J65" i="28"/>
  <c r="J158" i="28"/>
  <c r="J74" i="28"/>
  <c r="J259" i="28"/>
  <c r="J68" i="28"/>
  <c r="J91" i="28"/>
  <c r="J267" i="28"/>
  <c r="J240" i="28"/>
  <c r="J203" i="28"/>
  <c r="J19" i="28"/>
  <c r="J257" i="28"/>
  <c r="J127" i="28"/>
  <c r="J208" i="28"/>
  <c r="J44" i="28"/>
  <c r="J159" i="28"/>
  <c r="J200" i="28"/>
  <c r="J233" i="28"/>
  <c r="J129" i="28"/>
  <c r="J167" i="28"/>
  <c r="J171" i="28"/>
  <c r="J63" i="28"/>
  <c r="J252" i="28"/>
  <c r="J100" i="28"/>
  <c r="J258" i="28"/>
  <c r="J150" i="28"/>
  <c r="J148" i="28"/>
  <c r="J179" i="28"/>
  <c r="J160" i="28"/>
  <c r="J247" i="28"/>
  <c r="J227" i="28"/>
  <c r="J62" i="28"/>
  <c r="J126" i="28"/>
  <c r="J261" i="28"/>
  <c r="J112" i="28"/>
  <c r="J206" i="28"/>
  <c r="J85" i="28"/>
  <c r="J88" i="28"/>
  <c r="J251" i="28"/>
  <c r="J122" i="28"/>
  <c r="J26" i="28"/>
  <c r="J41" i="28"/>
  <c r="J211" i="28"/>
  <c r="J23" i="28"/>
  <c r="J40" i="28"/>
  <c r="J29" i="28"/>
  <c r="J229" i="28"/>
  <c r="J131" i="28"/>
  <c r="J245" i="28"/>
  <c r="J155" i="28"/>
  <c r="J232" i="28"/>
  <c r="J133" i="28"/>
  <c r="J217" i="28"/>
  <c r="J184" i="28"/>
  <c r="J216" i="28"/>
  <c r="J55" i="28"/>
  <c r="J48" i="28"/>
  <c r="J209" i="28"/>
  <c r="J189" i="28"/>
  <c r="J123" i="28"/>
  <c r="J146" i="28"/>
  <c r="J130" i="28"/>
  <c r="J195" i="28"/>
  <c r="J242" i="28"/>
  <c r="J103" i="28"/>
  <c r="J154" i="28"/>
  <c r="J34" i="28"/>
  <c r="J21" i="28"/>
  <c r="J39" i="28"/>
  <c r="J97" i="28"/>
  <c r="J190" i="28"/>
  <c r="J176" i="28"/>
  <c r="J54" i="28"/>
  <c r="J254" i="28"/>
  <c r="J75" i="28"/>
  <c r="J177" i="28"/>
  <c r="J108" i="28"/>
  <c r="J173" i="28"/>
  <c r="J77" i="28"/>
  <c r="J214" i="28"/>
  <c r="J226" i="28"/>
  <c r="J210" i="28"/>
  <c r="J102" i="28"/>
  <c r="J111" i="28"/>
  <c r="J225" i="28"/>
  <c r="J61" i="28"/>
  <c r="J35" i="28"/>
  <c r="J178" i="28"/>
  <c r="J46" i="28"/>
  <c r="J250" i="28"/>
  <c r="J241" i="28"/>
  <c r="J175" i="28"/>
  <c r="J94" i="28"/>
  <c r="J169" i="28"/>
  <c r="J89" i="28"/>
  <c r="J38" i="28"/>
  <c r="J82" i="28"/>
  <c r="J20" i="28"/>
  <c r="J90" i="28"/>
  <c r="J205" i="28"/>
  <c r="J145" i="28"/>
  <c r="J192" i="28"/>
  <c r="J119" i="28"/>
  <c r="J172" i="28"/>
  <c r="J92" i="28"/>
  <c r="J78" i="28"/>
  <c r="J80" i="28"/>
  <c r="J125" i="28"/>
  <c r="J170" i="28"/>
  <c r="J256" i="28"/>
  <c r="J263" i="28"/>
  <c r="J36" i="28"/>
  <c r="J69" i="28"/>
  <c r="J157" i="28"/>
  <c r="J51" i="28"/>
  <c r="J57" i="28"/>
  <c r="J193" i="28"/>
  <c r="J81" i="28"/>
  <c r="J264" i="28"/>
  <c r="J66" i="28"/>
  <c r="J67" i="28"/>
  <c r="J166" i="28"/>
  <c r="J163" i="28"/>
  <c r="J191" i="28"/>
  <c r="J56" i="28"/>
  <c r="J153" i="28"/>
  <c r="J204" i="28"/>
  <c r="J142" i="28"/>
  <c r="J28" i="28"/>
  <c r="J181" i="28"/>
  <c r="J33" i="28"/>
  <c r="J202" i="28"/>
  <c r="J95" i="28"/>
  <c r="J188" i="28"/>
  <c r="J238" i="28"/>
  <c r="J27" i="28"/>
  <c r="J219" i="28"/>
  <c r="J58" i="28"/>
  <c r="J222" i="28"/>
  <c r="J47" i="28"/>
  <c r="J72" i="28"/>
  <c r="J84" i="28"/>
  <c r="J71" i="28"/>
  <c r="J59" i="28"/>
  <c r="J31" i="28"/>
  <c r="J213" i="28"/>
  <c r="J197" i="28"/>
  <c r="J168" i="28"/>
  <c r="J73" i="28"/>
  <c r="J162" i="28"/>
  <c r="J246" i="28"/>
  <c r="J182" i="28"/>
  <c r="J115" i="28"/>
  <c r="J243" i="28"/>
  <c r="J165" i="28"/>
  <c r="J53" i="28"/>
  <c r="J255" i="28"/>
  <c r="J121" i="28"/>
  <c r="J87" i="28"/>
  <c r="J164" i="28"/>
  <c r="J223" i="28"/>
  <c r="J220" i="28"/>
  <c r="J141" i="28"/>
  <c r="J137" i="28"/>
  <c r="J45" i="28"/>
  <c r="J106" i="28"/>
  <c r="J134" i="28"/>
  <c r="J221" i="28"/>
  <c r="J70" i="28"/>
  <c r="J109" i="28"/>
  <c r="J136" i="28"/>
  <c r="J118" i="28"/>
  <c r="J98" i="28"/>
  <c r="J43" i="28"/>
  <c r="J37" i="28"/>
  <c r="J199" i="28"/>
  <c r="J139" i="28"/>
  <c r="J215" i="28"/>
  <c r="J180" i="28"/>
  <c r="J117" i="28"/>
  <c r="J128" i="28"/>
  <c r="J230" i="28"/>
  <c r="J236" i="28"/>
  <c r="J249" i="28"/>
  <c r="J86" i="28"/>
  <c r="J124" i="28"/>
  <c r="J140" i="28"/>
  <c r="J186" i="28"/>
  <c r="J17" i="28" l="1"/>
  <c r="N24" i="4" l="1"/>
  <c r="K24" i="4"/>
  <c r="H24" i="4"/>
  <c r="E24" i="4"/>
  <c r="AF27" i="18" l="1"/>
  <c r="M20" i="28" s="1"/>
  <c r="AF28" i="18"/>
  <c r="M21" i="28" s="1"/>
  <c r="AF29" i="18"/>
  <c r="M22" i="28" s="1"/>
  <c r="AF30" i="18"/>
  <c r="M23" i="28" s="1"/>
  <c r="AF31" i="18"/>
  <c r="M24" i="28" s="1"/>
  <c r="AF32" i="18"/>
  <c r="M25" i="28" s="1"/>
  <c r="AF33" i="18"/>
  <c r="M26" i="28" s="1"/>
  <c r="AF34" i="18"/>
  <c r="M27" i="28" s="1"/>
  <c r="AF35" i="18"/>
  <c r="M28" i="28" s="1"/>
  <c r="AF36" i="18"/>
  <c r="M29" i="28" s="1"/>
  <c r="AF37" i="18"/>
  <c r="M30" i="28" s="1"/>
  <c r="AF38" i="18"/>
  <c r="M31" i="28" s="1"/>
  <c r="AF39" i="18"/>
  <c r="M32" i="28" s="1"/>
  <c r="AF40" i="18"/>
  <c r="M33" i="28" s="1"/>
  <c r="AF41" i="18"/>
  <c r="M34" i="28" s="1"/>
  <c r="AF42" i="18"/>
  <c r="M35" i="28" s="1"/>
  <c r="AF43" i="18"/>
  <c r="M36" i="28" s="1"/>
  <c r="AF44" i="18"/>
  <c r="M37" i="28" s="1"/>
  <c r="AF45" i="18"/>
  <c r="M38" i="28" s="1"/>
  <c r="AF46" i="18"/>
  <c r="M39" i="28" s="1"/>
  <c r="AF47" i="18"/>
  <c r="M40" i="28" s="1"/>
  <c r="AF48" i="18"/>
  <c r="M41" i="28" s="1"/>
  <c r="AF49" i="18"/>
  <c r="M42" i="28" s="1"/>
  <c r="AF50" i="18"/>
  <c r="M43" i="28" s="1"/>
  <c r="AF51" i="18"/>
  <c r="M44" i="28" s="1"/>
  <c r="AF52" i="18"/>
  <c r="M45" i="28" s="1"/>
  <c r="AF53" i="18"/>
  <c r="M46" i="28" s="1"/>
  <c r="AF54" i="18"/>
  <c r="M47" i="28" s="1"/>
  <c r="AF55" i="18"/>
  <c r="M48" i="28" s="1"/>
  <c r="AF56" i="18"/>
  <c r="M49" i="28" s="1"/>
  <c r="AF57" i="18"/>
  <c r="M50" i="28" s="1"/>
  <c r="AF58" i="18"/>
  <c r="M51" i="28" s="1"/>
  <c r="AF59" i="18"/>
  <c r="M52" i="28" s="1"/>
  <c r="AF60" i="18"/>
  <c r="M53" i="28" s="1"/>
  <c r="AF61" i="18"/>
  <c r="M54" i="28" s="1"/>
  <c r="AF62" i="18"/>
  <c r="M55" i="28" s="1"/>
  <c r="AF63" i="18"/>
  <c r="M56" i="28" s="1"/>
  <c r="AF64" i="18"/>
  <c r="M57" i="28" s="1"/>
  <c r="AF65" i="18"/>
  <c r="M58" i="28" s="1"/>
  <c r="AF66" i="18"/>
  <c r="M59" i="28" s="1"/>
  <c r="AF67" i="18"/>
  <c r="M60" i="28" s="1"/>
  <c r="AF68" i="18"/>
  <c r="M61" i="28" s="1"/>
  <c r="AF69" i="18"/>
  <c r="M62" i="28" s="1"/>
  <c r="AF70" i="18"/>
  <c r="M63" i="28" s="1"/>
  <c r="AF71" i="18"/>
  <c r="M64" i="28" s="1"/>
  <c r="AF72" i="18"/>
  <c r="M65" i="28" s="1"/>
  <c r="AF73" i="18"/>
  <c r="M67" i="28" s="1"/>
  <c r="AF74" i="18"/>
  <c r="M68" i="28" s="1"/>
  <c r="AF75" i="18"/>
  <c r="M69" i="28" s="1"/>
  <c r="AF76" i="18"/>
  <c r="M70" i="28" s="1"/>
  <c r="AF77" i="18"/>
  <c r="M71" i="28" s="1"/>
  <c r="AF78" i="18"/>
  <c r="M72" i="28" s="1"/>
  <c r="AF79" i="18"/>
  <c r="M73" i="28" s="1"/>
  <c r="AF80" i="18"/>
  <c r="M74" i="28" s="1"/>
  <c r="AF81" i="18"/>
  <c r="M75" i="28" s="1"/>
  <c r="AF82" i="18"/>
  <c r="M76" i="28" s="1"/>
  <c r="AF83" i="18"/>
  <c r="M77" i="28" s="1"/>
  <c r="AF84" i="18"/>
  <c r="M78" i="28" s="1"/>
  <c r="AF85" i="18"/>
  <c r="M79" i="28" s="1"/>
  <c r="AF86" i="18"/>
  <c r="M80" i="28" s="1"/>
  <c r="AF87" i="18"/>
  <c r="M81" i="28" s="1"/>
  <c r="AF88" i="18"/>
  <c r="M82" i="28" s="1"/>
  <c r="AF89" i="18"/>
  <c r="M83" i="28" s="1"/>
  <c r="AF90" i="18"/>
  <c r="M84" i="28" s="1"/>
  <c r="AF91" i="18"/>
  <c r="M85" i="28" s="1"/>
  <c r="AF92" i="18"/>
  <c r="M86" i="28" s="1"/>
  <c r="AF93" i="18"/>
  <c r="M87" i="28" s="1"/>
  <c r="AF94" i="18"/>
  <c r="M88" i="28" s="1"/>
  <c r="AF95" i="18"/>
  <c r="M91" i="28" s="1"/>
  <c r="AF96" i="18"/>
  <c r="M92" i="28" s="1"/>
  <c r="AF97" i="18"/>
  <c r="M93" i="28" s="1"/>
  <c r="AF98" i="18"/>
  <c r="AF99" i="18"/>
  <c r="M94" i="28" s="1"/>
  <c r="AF100" i="18"/>
  <c r="M95" i="28" s="1"/>
  <c r="AF101" i="18"/>
  <c r="M96" i="28" s="1"/>
  <c r="AF102" i="18"/>
  <c r="M97" i="28" s="1"/>
  <c r="AF103" i="18"/>
  <c r="M98" i="28" s="1"/>
  <c r="AF104" i="18"/>
  <c r="M99" i="28" s="1"/>
  <c r="AF105" i="18"/>
  <c r="M100" i="28" s="1"/>
  <c r="AF106" i="18"/>
  <c r="M214" i="28" s="1"/>
  <c r="AF107" i="18"/>
  <c r="M101" i="28" s="1"/>
  <c r="AF108" i="18"/>
  <c r="M102" i="28" s="1"/>
  <c r="AF109" i="18"/>
  <c r="M103" i="28" s="1"/>
  <c r="AF110" i="18"/>
  <c r="M104" i="28" s="1"/>
  <c r="AF111" i="18"/>
  <c r="M105" i="28" s="1"/>
  <c r="AF112" i="18"/>
  <c r="M106" i="28" s="1"/>
  <c r="AF113" i="18"/>
  <c r="M107" i="28" s="1"/>
  <c r="AF114" i="18"/>
  <c r="M108" i="28" s="1"/>
  <c r="AF115" i="18"/>
  <c r="M109" i="28" s="1"/>
  <c r="AF116" i="18"/>
  <c r="M225" i="28" s="1"/>
  <c r="AF117" i="18"/>
  <c r="M110" i="28" s="1"/>
  <c r="AF118" i="18"/>
  <c r="M111" i="28" s="1"/>
  <c r="AF119" i="18"/>
  <c r="M112" i="28" s="1"/>
  <c r="AF120" i="18"/>
  <c r="M113" i="28" s="1"/>
  <c r="AF121" i="18"/>
  <c r="M114" i="28" s="1"/>
  <c r="AF122" i="18"/>
  <c r="M115" i="28" s="1"/>
  <c r="AF123" i="18"/>
  <c r="M116" i="28" s="1"/>
  <c r="AF124" i="18"/>
  <c r="M236" i="28" s="1"/>
  <c r="AF125" i="18"/>
  <c r="M117" i="28" s="1"/>
  <c r="AF126" i="18"/>
  <c r="M118" i="28" s="1"/>
  <c r="AF127" i="18"/>
  <c r="M119" i="28" s="1"/>
  <c r="AF128" i="18"/>
  <c r="M120" i="28" s="1"/>
  <c r="AF129" i="18"/>
  <c r="M121" i="28" s="1"/>
  <c r="AF130" i="18"/>
  <c r="M122" i="28" s="1"/>
  <c r="AF131" i="18"/>
  <c r="M238" i="28" s="1"/>
  <c r="AF132" i="18"/>
  <c r="M123" i="28" s="1"/>
  <c r="AF133" i="18"/>
  <c r="M124" i="28" s="1"/>
  <c r="AF134" i="18"/>
  <c r="M125" i="28" s="1"/>
  <c r="AF135" i="18"/>
  <c r="M126" i="28" s="1"/>
  <c r="AF136" i="18"/>
  <c r="M127" i="28" s="1"/>
  <c r="AF137" i="18"/>
  <c r="M128" i="28" s="1"/>
  <c r="AF138" i="18"/>
  <c r="M129" i="28" s="1"/>
  <c r="AF139" i="18"/>
  <c r="M130" i="28" s="1"/>
  <c r="AF140" i="18"/>
  <c r="M242" i="28" s="1"/>
  <c r="AF141" i="18"/>
  <c r="M131" i="28" s="1"/>
  <c r="AF142" i="18"/>
  <c r="M132" i="28" s="1"/>
  <c r="AF143" i="18"/>
  <c r="M133" i="28" s="1"/>
  <c r="AF144" i="18"/>
  <c r="M134" i="28" s="1"/>
  <c r="AF145" i="18"/>
  <c r="M135" i="28" s="1"/>
  <c r="AF146" i="18"/>
  <c r="M136" i="28" s="1"/>
  <c r="AF147" i="18"/>
  <c r="M137" i="28" s="1"/>
  <c r="AF148" i="18"/>
  <c r="M138" i="28" s="1"/>
  <c r="AF149" i="18"/>
  <c r="M139" i="28" s="1"/>
  <c r="AF150" i="18"/>
  <c r="M140" i="28" s="1"/>
  <c r="AF151" i="18"/>
  <c r="M141" i="28" s="1"/>
  <c r="AF152" i="18"/>
  <c r="M142" i="28" s="1"/>
  <c r="AF153" i="18"/>
  <c r="M143" i="28" s="1"/>
  <c r="AF154" i="18"/>
  <c r="M144" i="28" s="1"/>
  <c r="AF155" i="18"/>
  <c r="M145" i="28" s="1"/>
  <c r="AF156" i="18"/>
  <c r="M146" i="28" s="1"/>
  <c r="AF157" i="18"/>
  <c r="M147" i="28" s="1"/>
  <c r="AF158" i="18"/>
  <c r="M148" i="28" s="1"/>
  <c r="AF159" i="18"/>
  <c r="M149" i="28" s="1"/>
  <c r="AF160" i="18"/>
  <c r="M150" i="28" s="1"/>
  <c r="AF161" i="18"/>
  <c r="M151" i="28" s="1"/>
  <c r="AF162" i="18"/>
  <c r="M249" i="28" s="1"/>
  <c r="AF163" i="18"/>
  <c r="M152" i="28" s="1"/>
  <c r="AF164" i="18"/>
  <c r="M153" i="28" s="1"/>
  <c r="AF165" i="18"/>
  <c r="M154" i="28" s="1"/>
  <c r="AF166" i="18"/>
  <c r="M155" i="28" s="1"/>
  <c r="AF167" i="18"/>
  <c r="M156" i="28" s="1"/>
  <c r="AF168" i="18"/>
  <c r="M157" i="28" s="1"/>
  <c r="AF169" i="18"/>
  <c r="M158" i="28" s="1"/>
  <c r="AF170" i="18"/>
  <c r="M159" i="28" s="1"/>
  <c r="AF171" i="18"/>
  <c r="M160" i="28" s="1"/>
  <c r="AF172" i="18"/>
  <c r="M161" i="28" s="1"/>
  <c r="AF173" i="18"/>
  <c r="M162" i="28" s="1"/>
  <c r="AF174" i="18"/>
  <c r="M163" i="28" s="1"/>
  <c r="AF175" i="18"/>
  <c r="M164" i="28" s="1"/>
  <c r="AF176" i="18"/>
  <c r="M165" i="28" s="1"/>
  <c r="AF177" i="18"/>
  <c r="M166" i="28" s="1"/>
  <c r="AF178" i="18"/>
  <c r="M169" i="28" s="1"/>
  <c r="AF179" i="18"/>
  <c r="M170" i="28" s="1"/>
  <c r="AF180" i="18"/>
  <c r="M171" i="28" s="1"/>
  <c r="AF181" i="18"/>
  <c r="M172" i="28" s="1"/>
  <c r="AF182" i="18"/>
  <c r="M173" i="28" s="1"/>
  <c r="AF183" i="18"/>
  <c r="M174" i="28" s="1"/>
  <c r="AF184" i="18"/>
  <c r="M175" i="28" s="1"/>
  <c r="AF185" i="18"/>
  <c r="M176" i="28" s="1"/>
  <c r="AF186" i="18"/>
  <c r="M177" i="28" s="1"/>
  <c r="AF187" i="18"/>
  <c r="M178" i="28" s="1"/>
  <c r="AF188" i="18"/>
  <c r="M179" i="28" s="1"/>
  <c r="AF189" i="18"/>
  <c r="M180" i="28" s="1"/>
  <c r="AF190" i="18"/>
  <c r="M181" i="28" s="1"/>
  <c r="AF191" i="18"/>
  <c r="M182" i="28" s="1"/>
  <c r="AF192" i="18"/>
  <c r="M183" i="28" s="1"/>
  <c r="AF193" i="18"/>
  <c r="AF194" i="18"/>
  <c r="M185" i="28" s="1"/>
  <c r="AF195" i="18"/>
  <c r="M187" i="28" s="1"/>
  <c r="AF196" i="18"/>
  <c r="M188" i="28" s="1"/>
  <c r="AF197" i="18"/>
  <c r="M189" i="28" s="1"/>
  <c r="AF198" i="18"/>
  <c r="M190" i="28" s="1"/>
  <c r="AF199" i="18"/>
  <c r="M191" i="28" s="1"/>
  <c r="AF200" i="18"/>
  <c r="M192" i="28" s="1"/>
  <c r="AF201" i="18"/>
  <c r="M193" i="28" s="1"/>
  <c r="AF202" i="18"/>
  <c r="M194" i="28" s="1"/>
  <c r="AF203" i="18"/>
  <c r="M195" i="28" s="1"/>
  <c r="AF204" i="18"/>
  <c r="AF205" i="18"/>
  <c r="M196" i="28" s="1"/>
  <c r="AF206" i="18"/>
  <c r="M197" i="28" s="1"/>
  <c r="AF207" i="18"/>
  <c r="M198" i="28" s="1"/>
  <c r="AF208" i="18"/>
  <c r="M199" i="28" s="1"/>
  <c r="AF209" i="18"/>
  <c r="M200" i="28" s="1"/>
  <c r="AF210" i="18"/>
  <c r="M201" i="28" s="1"/>
  <c r="AF211" i="18"/>
  <c r="M202" i="28" s="1"/>
  <c r="AF212" i="18"/>
  <c r="AF213" i="18"/>
  <c r="M204" i="28" s="1"/>
  <c r="AF214" i="18"/>
  <c r="M205" i="28" s="1"/>
  <c r="AF215" i="18"/>
  <c r="M206" i="28" s="1"/>
  <c r="AF216" i="18"/>
  <c r="M207" i="28" s="1"/>
  <c r="AF217" i="18"/>
  <c r="M208" i="28" s="1"/>
  <c r="AF218" i="18"/>
  <c r="M209" i="28" s="1"/>
  <c r="AF219" i="18"/>
  <c r="M210" i="28" s="1"/>
  <c r="AF220" i="18"/>
  <c r="M211" i="28" s="1"/>
  <c r="AF221" i="18"/>
  <c r="M212" i="28" s="1"/>
  <c r="AF222" i="18"/>
  <c r="M213" i="28" s="1"/>
  <c r="AF223" i="18"/>
  <c r="M215" i="28" s="1"/>
  <c r="AF224" i="18"/>
  <c r="M216" i="28" s="1"/>
  <c r="AF225" i="18"/>
  <c r="M217" i="28" s="1"/>
  <c r="AF226" i="18"/>
  <c r="M218" i="28" s="1"/>
  <c r="AF227" i="18"/>
  <c r="M219" i="28" s="1"/>
  <c r="AF228" i="18"/>
  <c r="M220" i="28" s="1"/>
  <c r="AF229" i="18"/>
  <c r="M221" i="28" s="1"/>
  <c r="AF230" i="18"/>
  <c r="AF231" i="18"/>
  <c r="M222" i="28" s="1"/>
  <c r="AF232" i="18"/>
  <c r="M223" i="28" s="1"/>
  <c r="AF233" i="18"/>
  <c r="M224" i="28" s="1"/>
  <c r="AF234" i="18"/>
  <c r="AF235" i="18"/>
  <c r="M226" i="28" s="1"/>
  <c r="AF236" i="18"/>
  <c r="M227" i="28" s="1"/>
  <c r="AF237" i="18"/>
  <c r="M229" i="28" s="1"/>
  <c r="AF238" i="18"/>
  <c r="M230" i="28" s="1"/>
  <c r="AF239" i="18"/>
  <c r="M231" i="28" s="1"/>
  <c r="AF240" i="18"/>
  <c r="M232" i="28" s="1"/>
  <c r="AF241" i="18"/>
  <c r="M233" i="28" s="1"/>
  <c r="AF242" i="18"/>
  <c r="M234" i="28" s="1"/>
  <c r="AF243" i="18"/>
  <c r="M235" i="28" s="1"/>
  <c r="AF244" i="18"/>
  <c r="M237" i="28" s="1"/>
  <c r="AF245" i="18"/>
  <c r="M239" i="28" s="1"/>
  <c r="AF246" i="18"/>
  <c r="M240" i="28" s="1"/>
  <c r="AF247" i="18"/>
  <c r="M241" i="28" s="1"/>
  <c r="AF248" i="18"/>
  <c r="M243" i="28" s="1"/>
  <c r="AF249" i="18"/>
  <c r="M244" i="28" s="1"/>
  <c r="AF250" i="18"/>
  <c r="M245" i="28" s="1"/>
  <c r="AF251" i="18"/>
  <c r="M246" i="28" s="1"/>
  <c r="AF252" i="18"/>
  <c r="M247" i="28" s="1"/>
  <c r="AF253" i="18"/>
  <c r="M248" i="28" s="1"/>
  <c r="AF254" i="18"/>
  <c r="M250" i="28" s="1"/>
  <c r="AF255" i="18"/>
  <c r="M251" i="28" s="1"/>
  <c r="AF256" i="18"/>
  <c r="M252" i="28" s="1"/>
  <c r="AF257" i="18"/>
  <c r="M253" i="28" s="1"/>
  <c r="AF258" i="18"/>
  <c r="M254" i="28" s="1"/>
  <c r="AF259" i="18"/>
  <c r="M255" i="28" s="1"/>
  <c r="AF260" i="18"/>
  <c r="M256" i="28" s="1"/>
  <c r="AF261" i="18"/>
  <c r="M257" i="28" s="1"/>
  <c r="AF262" i="18"/>
  <c r="M258" i="28" s="1"/>
  <c r="AF263" i="18"/>
  <c r="M259" i="28" s="1"/>
  <c r="AF264" i="18"/>
  <c r="M260" i="28" s="1"/>
  <c r="AF265" i="18"/>
  <c r="M261" i="28" s="1"/>
  <c r="AF266" i="18"/>
  <c r="M262" i="28" s="1"/>
  <c r="AF267" i="18"/>
  <c r="AF268" i="18"/>
  <c r="M263" i="28" s="1"/>
  <c r="AF269" i="18"/>
  <c r="M264" i="28" s="1"/>
  <c r="AF270" i="18"/>
  <c r="M265" i="28" s="1"/>
  <c r="AF271" i="18"/>
  <c r="M266" i="28" s="1"/>
  <c r="AF272" i="18"/>
  <c r="M267" i="28" s="1"/>
  <c r="AF273" i="18"/>
  <c r="M268" i="28" s="1"/>
  <c r="AF274" i="18"/>
  <c r="AF26" i="18"/>
  <c r="M19" i="28" s="1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6" i="18"/>
  <c r="AD97" i="18"/>
  <c r="AD98" i="18"/>
  <c r="AD99" i="18"/>
  <c r="AD100" i="18"/>
  <c r="AD101" i="18"/>
  <c r="AD102" i="18"/>
  <c r="AD103" i="18"/>
  <c r="AD104" i="18"/>
  <c r="AD105" i="18"/>
  <c r="AD106" i="18"/>
  <c r="AD107" i="18"/>
  <c r="AD108" i="18"/>
  <c r="AD109" i="18"/>
  <c r="AD110" i="18"/>
  <c r="AD111" i="18"/>
  <c r="AD112" i="18"/>
  <c r="AD113" i="18"/>
  <c r="AD114" i="18"/>
  <c r="AD115" i="18"/>
  <c r="AD116" i="18"/>
  <c r="AD117" i="18"/>
  <c r="AD118" i="18"/>
  <c r="AD119" i="18"/>
  <c r="AD120" i="18"/>
  <c r="AD121" i="18"/>
  <c r="AD122" i="18"/>
  <c r="AD123" i="18"/>
  <c r="AD124" i="18"/>
  <c r="AD125" i="18"/>
  <c r="AD126" i="18"/>
  <c r="AD127" i="18"/>
  <c r="AD128" i="18"/>
  <c r="AD129" i="18"/>
  <c r="AD130" i="18"/>
  <c r="AD131" i="18"/>
  <c r="AD132" i="18"/>
  <c r="AD133" i="18"/>
  <c r="AD134" i="18"/>
  <c r="AD135" i="18"/>
  <c r="AD136" i="18"/>
  <c r="AD137" i="18"/>
  <c r="AD138" i="18"/>
  <c r="AD139" i="18"/>
  <c r="AD140" i="18"/>
  <c r="AD141" i="18"/>
  <c r="AD142" i="18"/>
  <c r="AD143" i="18"/>
  <c r="AD144" i="18"/>
  <c r="AD145" i="18"/>
  <c r="AD146" i="18"/>
  <c r="AD147" i="18"/>
  <c r="AD148" i="18"/>
  <c r="AD149" i="18"/>
  <c r="AD150" i="18"/>
  <c r="AD151" i="18"/>
  <c r="AD152" i="18"/>
  <c r="AD153" i="18"/>
  <c r="AD154" i="18"/>
  <c r="AD155" i="18"/>
  <c r="AD156" i="18"/>
  <c r="AD157" i="18"/>
  <c r="AD158" i="18"/>
  <c r="AD159" i="18"/>
  <c r="AD160" i="18"/>
  <c r="AD161" i="18"/>
  <c r="AD162" i="18"/>
  <c r="AD163" i="18"/>
  <c r="AD164" i="18"/>
  <c r="AD165" i="18"/>
  <c r="AD166" i="18"/>
  <c r="AD167" i="18"/>
  <c r="AD168" i="18"/>
  <c r="AD169" i="18"/>
  <c r="AD170" i="18"/>
  <c r="AD171" i="18"/>
  <c r="AD172" i="18"/>
  <c r="AD173" i="18"/>
  <c r="AD174" i="18"/>
  <c r="AD175" i="18"/>
  <c r="AD176" i="18"/>
  <c r="AD177" i="18"/>
  <c r="AD178" i="18"/>
  <c r="AD179" i="18"/>
  <c r="AD180" i="18"/>
  <c r="AD181" i="18"/>
  <c r="AD182" i="18"/>
  <c r="AD183" i="18"/>
  <c r="AD184" i="18"/>
  <c r="AD185" i="18"/>
  <c r="AD186" i="18"/>
  <c r="AD187" i="18"/>
  <c r="AD188" i="18"/>
  <c r="AD189" i="18"/>
  <c r="AD190" i="18"/>
  <c r="AD191" i="18"/>
  <c r="AD192" i="18"/>
  <c r="AD193" i="18"/>
  <c r="AD194" i="18"/>
  <c r="AD195" i="18"/>
  <c r="AD196" i="18"/>
  <c r="AD197" i="18"/>
  <c r="AD198" i="18"/>
  <c r="AD199" i="18"/>
  <c r="AD200" i="18"/>
  <c r="AD201" i="18"/>
  <c r="AD202" i="18"/>
  <c r="AD203" i="18"/>
  <c r="AD204" i="18"/>
  <c r="AD205" i="18"/>
  <c r="AD206" i="18"/>
  <c r="AD207" i="18"/>
  <c r="AD208" i="18"/>
  <c r="AD209" i="18"/>
  <c r="AD210" i="18"/>
  <c r="AD211" i="18"/>
  <c r="AD212" i="18"/>
  <c r="AD213" i="18"/>
  <c r="AD214" i="18"/>
  <c r="AD215" i="18"/>
  <c r="AD216" i="18"/>
  <c r="AD217" i="18"/>
  <c r="AD218" i="18"/>
  <c r="AD219" i="18"/>
  <c r="AD220" i="18"/>
  <c r="AD221" i="18"/>
  <c r="AD222" i="18"/>
  <c r="AD223" i="18"/>
  <c r="AD224" i="18"/>
  <c r="AD225" i="18"/>
  <c r="AD226" i="18"/>
  <c r="AD227" i="18"/>
  <c r="AD228" i="18"/>
  <c r="AD229" i="18"/>
  <c r="AD230" i="18"/>
  <c r="AD231" i="18"/>
  <c r="AD232" i="18"/>
  <c r="AD233" i="18"/>
  <c r="AD234" i="18"/>
  <c r="AD235" i="18"/>
  <c r="AD236" i="18"/>
  <c r="AD237" i="18"/>
  <c r="AD238" i="18"/>
  <c r="AD239" i="18"/>
  <c r="AD240" i="18"/>
  <c r="AD241" i="18"/>
  <c r="AD242" i="18"/>
  <c r="AD243" i="18"/>
  <c r="AD244" i="18"/>
  <c r="AD245" i="18"/>
  <c r="AD246" i="18"/>
  <c r="AD247" i="18"/>
  <c r="AD248" i="18"/>
  <c r="AD249" i="18"/>
  <c r="AD250" i="18"/>
  <c r="AD251" i="18"/>
  <c r="AD252" i="18"/>
  <c r="AD253" i="18"/>
  <c r="AD254" i="18"/>
  <c r="AD255" i="18"/>
  <c r="AD256" i="18"/>
  <c r="AD257" i="18"/>
  <c r="AD258" i="18"/>
  <c r="AD259" i="18"/>
  <c r="AD260" i="18"/>
  <c r="AD261" i="18"/>
  <c r="AD262" i="18"/>
  <c r="AD263" i="18"/>
  <c r="AD264" i="18"/>
  <c r="AD265" i="18"/>
  <c r="AD266" i="18"/>
  <c r="AD267" i="18"/>
  <c r="AD268" i="18"/>
  <c r="AD269" i="18"/>
  <c r="AD270" i="18"/>
  <c r="AD271" i="18"/>
  <c r="AD272" i="18"/>
  <c r="AD273" i="18"/>
  <c r="AD274" i="18"/>
  <c r="AD26" i="18"/>
  <c r="M16" i="28" l="1"/>
  <c r="N15" i="28" s="1"/>
  <c r="H3" i="24"/>
  <c r="G3" i="24"/>
  <c r="F3" i="24"/>
  <c r="E3" i="24"/>
  <c r="I5" i="24"/>
  <c r="I6" i="24"/>
  <c r="I2" i="24" s="1" a="1"/>
  <c r="I2" i="24" s="1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252" i="24"/>
  <c r="I253" i="24"/>
  <c r="I254" i="24"/>
  <c r="I255" i="24"/>
  <c r="I256" i="24"/>
  <c r="I257" i="24"/>
  <c r="N24" i="18"/>
  <c r="K24" i="18"/>
  <c r="H24" i="18"/>
  <c r="E24" i="18"/>
  <c r="G6" i="19"/>
  <c r="E6" i="19"/>
  <c r="F7" i="19"/>
  <c r="F27" i="18"/>
  <c r="G27" i="18" s="1"/>
  <c r="G8" i="19"/>
  <c r="E8" i="19"/>
  <c r="F9" i="19"/>
  <c r="E9" i="19"/>
  <c r="F10" i="19"/>
  <c r="I31" i="18"/>
  <c r="G11" i="19"/>
  <c r="E11" i="19"/>
  <c r="G12" i="19"/>
  <c r="E12" i="19"/>
  <c r="G13" i="19"/>
  <c r="E13" i="19"/>
  <c r="F14" i="19"/>
  <c r="F15" i="19"/>
  <c r="G15" i="19"/>
  <c r="I36" i="18"/>
  <c r="J36" i="18" s="1"/>
  <c r="G16" i="19"/>
  <c r="E16" i="19"/>
  <c r="I37" i="18"/>
  <c r="J37" i="18" s="1"/>
  <c r="E17" i="19"/>
  <c r="F18" i="19"/>
  <c r="G18" i="19"/>
  <c r="E18" i="19"/>
  <c r="G19" i="19"/>
  <c r="E19" i="19"/>
  <c r="G20" i="19"/>
  <c r="E20" i="19"/>
  <c r="F21" i="19"/>
  <c r="G21" i="19"/>
  <c r="F22" i="19"/>
  <c r="E22" i="19"/>
  <c r="F23" i="19"/>
  <c r="G23" i="19"/>
  <c r="G24" i="19"/>
  <c r="E24" i="19"/>
  <c r="F25" i="19"/>
  <c r="E25" i="19"/>
  <c r="F26" i="19"/>
  <c r="E26" i="19"/>
  <c r="F27" i="19"/>
  <c r="G27" i="19"/>
  <c r="E27" i="19"/>
  <c r="F28" i="19"/>
  <c r="G28" i="19"/>
  <c r="E28" i="19"/>
  <c r="F29" i="19"/>
  <c r="F30" i="19"/>
  <c r="F31" i="19"/>
  <c r="G31" i="19"/>
  <c r="E31" i="19"/>
  <c r="G32" i="19"/>
  <c r="E32" i="19"/>
  <c r="G33" i="19"/>
  <c r="E33" i="19"/>
  <c r="G34" i="19"/>
  <c r="E34" i="19"/>
  <c r="F35" i="19"/>
  <c r="G35" i="19"/>
  <c r="E35" i="19"/>
  <c r="F36" i="19"/>
  <c r="G36" i="19"/>
  <c r="E36" i="19"/>
  <c r="E37" i="19"/>
  <c r="F38" i="19"/>
  <c r="E38" i="19"/>
  <c r="F39" i="19"/>
  <c r="E39" i="19"/>
  <c r="I39" i="25"/>
  <c r="G40" i="19"/>
  <c r="E40" i="19"/>
  <c r="G41" i="19"/>
  <c r="E41" i="19"/>
  <c r="G42" i="19"/>
  <c r="E42" i="19"/>
  <c r="F43" i="19"/>
  <c r="G43" i="19"/>
  <c r="E43" i="19"/>
  <c r="F44" i="19"/>
  <c r="G44" i="19"/>
  <c r="E44" i="19"/>
  <c r="G45" i="19"/>
  <c r="E45" i="19"/>
  <c r="F46" i="19"/>
  <c r="E46" i="19"/>
  <c r="F47" i="19"/>
  <c r="E47" i="19"/>
  <c r="I47" i="25"/>
  <c r="G48" i="19"/>
  <c r="E48" i="19"/>
  <c r="G49" i="19"/>
  <c r="F69" i="18"/>
  <c r="G69" i="18" s="1"/>
  <c r="F50" i="19"/>
  <c r="F51" i="19"/>
  <c r="E51" i="19"/>
  <c r="F52" i="19"/>
  <c r="G52" i="19"/>
  <c r="G53" i="19"/>
  <c r="E53" i="19"/>
  <c r="F54" i="19"/>
  <c r="E54" i="19"/>
  <c r="I75" i="18"/>
  <c r="G55" i="19"/>
  <c r="E55" i="19"/>
  <c r="G56" i="19"/>
  <c r="E56" i="19"/>
  <c r="F57" i="19"/>
  <c r="G57" i="19"/>
  <c r="E57" i="19"/>
  <c r="F78" i="18"/>
  <c r="G78" i="18" s="1"/>
  <c r="F59" i="19"/>
  <c r="F60" i="19"/>
  <c r="L80" i="18"/>
  <c r="E60" i="19"/>
  <c r="F61" i="19"/>
  <c r="G61" i="19"/>
  <c r="E61" i="19"/>
  <c r="F62" i="19"/>
  <c r="E62" i="19"/>
  <c r="F63" i="19"/>
  <c r="E63" i="19"/>
  <c r="G64" i="19"/>
  <c r="E64" i="19"/>
  <c r="F65" i="19"/>
  <c r="G65" i="19"/>
  <c r="F85" i="18"/>
  <c r="G66" i="19"/>
  <c r="E66" i="19"/>
  <c r="F67" i="19"/>
  <c r="E67" i="19"/>
  <c r="F68" i="19"/>
  <c r="G68" i="19"/>
  <c r="E68" i="19"/>
  <c r="E69" i="19"/>
  <c r="F70" i="19"/>
  <c r="G70" i="19"/>
  <c r="E70" i="19"/>
  <c r="F71" i="19"/>
  <c r="F72" i="19"/>
  <c r="G72" i="19"/>
  <c r="F92" i="18"/>
  <c r="G73" i="19"/>
  <c r="E73" i="19"/>
  <c r="F76" i="19"/>
  <c r="G76" i="19"/>
  <c r="E76" i="19"/>
  <c r="F77" i="19"/>
  <c r="G77" i="19"/>
  <c r="I76" i="25"/>
  <c r="G78" i="19"/>
  <c r="E78" i="19"/>
  <c r="F79" i="19"/>
  <c r="G79" i="19"/>
  <c r="E79" i="19"/>
  <c r="F80" i="19"/>
  <c r="E80" i="19"/>
  <c r="E81" i="19"/>
  <c r="F82" i="19"/>
  <c r="G82" i="19"/>
  <c r="E82" i="19"/>
  <c r="G83" i="19"/>
  <c r="F85" i="19"/>
  <c r="G85" i="19"/>
  <c r="F86" i="19"/>
  <c r="E86" i="19"/>
  <c r="F87" i="19"/>
  <c r="G87" i="19"/>
  <c r="E87" i="19"/>
  <c r="F88" i="19"/>
  <c r="G88" i="19"/>
  <c r="G89" i="19"/>
  <c r="E89" i="19"/>
  <c r="G90" i="19"/>
  <c r="E90" i="19"/>
  <c r="F91" i="19"/>
  <c r="E91" i="19"/>
  <c r="F92" i="19"/>
  <c r="G93" i="19"/>
  <c r="E94" i="19"/>
  <c r="E95" i="19"/>
  <c r="F96" i="19"/>
  <c r="G96" i="19"/>
  <c r="E96" i="19"/>
  <c r="G97" i="19"/>
  <c r="E97" i="19"/>
  <c r="G98" i="19"/>
  <c r="E98" i="19"/>
  <c r="F100" i="19"/>
  <c r="L120" i="18"/>
  <c r="F101" i="19"/>
  <c r="G101" i="19"/>
  <c r="E101" i="19"/>
  <c r="F102" i="19"/>
  <c r="G102" i="19"/>
  <c r="E102" i="19"/>
  <c r="F103" i="19"/>
  <c r="G103" i="19"/>
  <c r="E103" i="19"/>
  <c r="F104" i="19"/>
  <c r="G105" i="19"/>
  <c r="E105" i="19"/>
  <c r="G106" i="19"/>
  <c r="E106" i="19"/>
  <c r="G107" i="19"/>
  <c r="E107" i="19"/>
  <c r="F108" i="19"/>
  <c r="F109" i="19"/>
  <c r="G109" i="19"/>
  <c r="G110" i="19"/>
  <c r="E110" i="19"/>
  <c r="F111" i="19"/>
  <c r="E111" i="19"/>
  <c r="E112" i="19"/>
  <c r="G113" i="19"/>
  <c r="E113" i="19"/>
  <c r="G114" i="19"/>
  <c r="E114" i="19"/>
  <c r="F116" i="19"/>
  <c r="G116" i="19"/>
  <c r="E116" i="19"/>
  <c r="F117" i="19"/>
  <c r="G117" i="19"/>
  <c r="E117" i="19"/>
  <c r="E118" i="19"/>
  <c r="F119" i="19"/>
  <c r="G119" i="19"/>
  <c r="E119" i="19"/>
  <c r="G120" i="19"/>
  <c r="E120" i="19"/>
  <c r="F121" i="19"/>
  <c r="E121" i="19"/>
  <c r="F122" i="19"/>
  <c r="G122" i="19"/>
  <c r="E122" i="19"/>
  <c r="F123" i="19"/>
  <c r="I116" i="25"/>
  <c r="E123" i="19"/>
  <c r="F124" i="19"/>
  <c r="G124" i="19"/>
  <c r="G125" i="19"/>
  <c r="I119" i="25"/>
  <c r="G126" i="19"/>
  <c r="E126" i="19"/>
  <c r="G127" i="19"/>
  <c r="E127" i="19"/>
  <c r="F128" i="19"/>
  <c r="F129" i="19"/>
  <c r="E129" i="19"/>
  <c r="G130" i="19"/>
  <c r="E130" i="19"/>
  <c r="E131" i="19"/>
  <c r="F132" i="19"/>
  <c r="G132" i="19"/>
  <c r="E132" i="19"/>
  <c r="F133" i="19"/>
  <c r="E133" i="19"/>
  <c r="F134" i="19"/>
  <c r="E134" i="19"/>
  <c r="F135" i="19"/>
  <c r="E135" i="19"/>
  <c r="F136" i="19"/>
  <c r="G136" i="19"/>
  <c r="E136" i="19"/>
  <c r="G137" i="19"/>
  <c r="G138" i="19"/>
  <c r="E138" i="19"/>
  <c r="G139" i="19"/>
  <c r="F140" i="19"/>
  <c r="G140" i="19"/>
  <c r="E141" i="19"/>
  <c r="E142" i="19"/>
  <c r="F143" i="19"/>
  <c r="F163" i="18"/>
  <c r="G163" i="18" s="1"/>
  <c r="F144" i="19"/>
  <c r="G144" i="19"/>
  <c r="E144" i="19"/>
  <c r="G145" i="19"/>
  <c r="E145" i="19"/>
  <c r="F146" i="19"/>
  <c r="E146" i="19"/>
  <c r="F147" i="19"/>
  <c r="E147" i="19"/>
  <c r="G148" i="19"/>
  <c r="E148" i="19"/>
  <c r="F149" i="19"/>
  <c r="G149" i="19"/>
  <c r="I170" i="18"/>
  <c r="J170" i="18" s="1"/>
  <c r="G150" i="19"/>
  <c r="E150" i="19"/>
  <c r="F151" i="19"/>
  <c r="E151" i="19"/>
  <c r="F152" i="19"/>
  <c r="E152" i="19"/>
  <c r="F153" i="19"/>
  <c r="E153" i="19"/>
  <c r="F154" i="19"/>
  <c r="G154" i="19"/>
  <c r="E154" i="19"/>
  <c r="E155" i="19"/>
  <c r="F156" i="19"/>
  <c r="E156" i="19"/>
  <c r="F157" i="19"/>
  <c r="G157" i="19"/>
  <c r="F158" i="19"/>
  <c r="G158" i="19"/>
  <c r="E158" i="19"/>
  <c r="G159" i="19"/>
  <c r="E159" i="19"/>
  <c r="F160" i="19"/>
  <c r="G161" i="19"/>
  <c r="E161" i="19"/>
  <c r="F162" i="19"/>
  <c r="G162" i="19"/>
  <c r="E162" i="19"/>
  <c r="I155" i="25"/>
  <c r="G163" i="19"/>
  <c r="F164" i="19"/>
  <c r="G164" i="19"/>
  <c r="E164" i="19"/>
  <c r="G165" i="19"/>
  <c r="G166" i="19"/>
  <c r="F167" i="19"/>
  <c r="G167" i="19"/>
  <c r="E167" i="19"/>
  <c r="F168" i="19"/>
  <c r="G168" i="19"/>
  <c r="G169" i="19"/>
  <c r="E169" i="19"/>
  <c r="G170" i="19"/>
  <c r="E170" i="19"/>
  <c r="F172" i="19"/>
  <c r="G172" i="19"/>
  <c r="G173" i="19"/>
  <c r="F174" i="19"/>
  <c r="G174" i="19"/>
  <c r="E174" i="19"/>
  <c r="F175" i="19"/>
  <c r="E175" i="19"/>
  <c r="F176" i="19"/>
  <c r="E177" i="19"/>
  <c r="F178" i="19"/>
  <c r="E178" i="19"/>
  <c r="F179" i="19"/>
  <c r="G180" i="19"/>
  <c r="E180" i="19"/>
  <c r="F181" i="19"/>
  <c r="G181" i="19"/>
  <c r="F182" i="19"/>
  <c r="G182" i="19"/>
  <c r="E182" i="19"/>
  <c r="F184" i="19"/>
  <c r="G184" i="19"/>
  <c r="G185" i="19"/>
  <c r="F186" i="19"/>
  <c r="G186" i="19"/>
  <c r="E186" i="19"/>
  <c r="F188" i="19"/>
  <c r="E188" i="19"/>
  <c r="F189" i="19"/>
  <c r="I210" i="18"/>
  <c r="J210" i="18" s="1"/>
  <c r="E190" i="19"/>
  <c r="F191" i="19"/>
  <c r="G191" i="19"/>
  <c r="F211" i="18"/>
  <c r="G211" i="18" s="1"/>
  <c r="F192" i="19"/>
  <c r="G193" i="19"/>
  <c r="E193" i="19"/>
  <c r="F194" i="19"/>
  <c r="G194" i="19"/>
  <c r="E194" i="19"/>
  <c r="E195" i="19"/>
  <c r="F196" i="19"/>
  <c r="G196" i="19"/>
  <c r="E196" i="19"/>
  <c r="F197" i="19"/>
  <c r="G198" i="19"/>
  <c r="E198" i="19"/>
  <c r="F219" i="18"/>
  <c r="G219" i="18" s="1"/>
  <c r="F200" i="19"/>
  <c r="E200" i="19"/>
  <c r="I221" i="18"/>
  <c r="J221" i="18" s="1"/>
  <c r="G201" i="19"/>
  <c r="E201" i="19"/>
  <c r="E202" i="19"/>
  <c r="F204" i="19"/>
  <c r="G204" i="19"/>
  <c r="G205" i="19"/>
  <c r="G206" i="19"/>
  <c r="F207" i="19"/>
  <c r="G207" i="19"/>
  <c r="I228" i="18"/>
  <c r="E208" i="19"/>
  <c r="I229" i="18"/>
  <c r="J229" i="18" s="1"/>
  <c r="G209" i="19"/>
  <c r="F210" i="19"/>
  <c r="E210" i="19"/>
  <c r="F211" i="19"/>
  <c r="G211" i="19"/>
  <c r="G212" i="19"/>
  <c r="E212" i="19"/>
  <c r="G213" i="19"/>
  <c r="E213" i="19"/>
  <c r="F214" i="19"/>
  <c r="L234" i="18"/>
  <c r="M234" i="18" s="1"/>
  <c r="E214" i="19"/>
  <c r="G215" i="19"/>
  <c r="E215" i="19"/>
  <c r="G216" i="19"/>
  <c r="I237" i="18"/>
  <c r="J237" i="18" s="1"/>
  <c r="G217" i="19"/>
  <c r="F237" i="18"/>
  <c r="F218" i="19"/>
  <c r="G219" i="19"/>
  <c r="E219" i="19"/>
  <c r="E220" i="19"/>
  <c r="F221" i="19"/>
  <c r="L242" i="18"/>
  <c r="M242" i="18" s="1"/>
  <c r="E222" i="19"/>
  <c r="E223" i="19"/>
  <c r="F224" i="19"/>
  <c r="E224" i="19"/>
  <c r="G225" i="19"/>
  <c r="G226" i="19"/>
  <c r="F227" i="19"/>
  <c r="G227" i="19"/>
  <c r="F228" i="19"/>
  <c r="F229" i="19"/>
  <c r="I250" i="18"/>
  <c r="J250" i="18" s="1"/>
  <c r="E230" i="19"/>
  <c r="F231" i="19"/>
  <c r="F251" i="18"/>
  <c r="F232" i="19"/>
  <c r="G232" i="19"/>
  <c r="E232" i="19"/>
  <c r="E233" i="19"/>
  <c r="F234" i="19"/>
  <c r="G234" i="19"/>
  <c r="E234" i="19"/>
  <c r="F236" i="19"/>
  <c r="G236" i="19"/>
  <c r="G237" i="19"/>
  <c r="E238" i="19"/>
  <c r="F239" i="19"/>
  <c r="E239" i="19"/>
  <c r="G240" i="19"/>
  <c r="E240" i="19"/>
  <c r="F242" i="19"/>
  <c r="G242" i="19"/>
  <c r="E242" i="19"/>
  <c r="F243" i="19"/>
  <c r="G244" i="19"/>
  <c r="F245" i="19"/>
  <c r="L265" i="18"/>
  <c r="M265" i="18" s="1"/>
  <c r="E245" i="19"/>
  <c r="E246" i="19"/>
  <c r="I267" i="18"/>
  <c r="G247" i="19"/>
  <c r="G248" i="19"/>
  <c r="E248" i="19"/>
  <c r="F249" i="19"/>
  <c r="G249" i="19"/>
  <c r="E249" i="19"/>
  <c r="G250" i="19"/>
  <c r="E250" i="19"/>
  <c r="F251" i="19"/>
  <c r="G251" i="19"/>
  <c r="F271" i="18"/>
  <c r="G271" i="18" s="1"/>
  <c r="F252" i="19"/>
  <c r="G252" i="19"/>
  <c r="F253" i="19"/>
  <c r="G253" i="19"/>
  <c r="E254" i="19"/>
  <c r="I27" i="18"/>
  <c r="I29" i="18"/>
  <c r="I30" i="18"/>
  <c r="J30" i="18" s="1"/>
  <c r="I34" i="18"/>
  <c r="J34" i="18" s="1"/>
  <c r="I35" i="18"/>
  <c r="J35" i="18" s="1"/>
  <c r="I42" i="18"/>
  <c r="J42" i="18" s="1"/>
  <c r="I44" i="18"/>
  <c r="J44" i="18" s="1"/>
  <c r="I45" i="18"/>
  <c r="I46" i="18"/>
  <c r="J46" i="18" s="1"/>
  <c r="I49" i="18"/>
  <c r="I50" i="18"/>
  <c r="J50" i="18" s="1"/>
  <c r="I51" i="18"/>
  <c r="J51" i="18" s="1"/>
  <c r="I55" i="18"/>
  <c r="I56" i="18"/>
  <c r="J56" i="18" s="1"/>
  <c r="I59" i="18"/>
  <c r="J59" i="18" s="1"/>
  <c r="I63" i="18"/>
  <c r="J63" i="18" s="1"/>
  <c r="I64" i="18"/>
  <c r="J64" i="18" s="1"/>
  <c r="I66" i="18"/>
  <c r="I70" i="18"/>
  <c r="I71" i="18"/>
  <c r="J71" i="18" s="1"/>
  <c r="I74" i="18"/>
  <c r="I76" i="18"/>
  <c r="J76" i="18" s="1"/>
  <c r="I77" i="18"/>
  <c r="I79" i="18"/>
  <c r="J79" i="18" s="1"/>
  <c r="I82" i="18"/>
  <c r="I83" i="18"/>
  <c r="I86" i="18"/>
  <c r="I87" i="18"/>
  <c r="J87" i="18" s="1"/>
  <c r="I89" i="18"/>
  <c r="J89" i="18" s="1"/>
  <c r="I90" i="18"/>
  <c r="J90" i="18" s="1"/>
  <c r="I91" i="18"/>
  <c r="I95" i="18"/>
  <c r="J95" i="18" s="1"/>
  <c r="I96" i="18"/>
  <c r="J96" i="18" s="1"/>
  <c r="I97" i="18"/>
  <c r="J97" i="18" s="1"/>
  <c r="I100" i="18"/>
  <c r="I102" i="18"/>
  <c r="J102" i="18" s="1"/>
  <c r="I105" i="18"/>
  <c r="I108" i="18"/>
  <c r="J108" i="18" s="1"/>
  <c r="I112" i="18"/>
  <c r="I116" i="18"/>
  <c r="J116" i="18" s="1"/>
  <c r="I118" i="18"/>
  <c r="J118" i="18" s="1"/>
  <c r="I120" i="18"/>
  <c r="I121" i="18"/>
  <c r="J121" i="18" s="1"/>
  <c r="I123" i="18"/>
  <c r="J123" i="18" s="1"/>
  <c r="I124" i="18"/>
  <c r="I126" i="18"/>
  <c r="J126" i="18" s="1"/>
  <c r="I128" i="18"/>
  <c r="I129" i="18"/>
  <c r="I131" i="18"/>
  <c r="J131" i="18" s="1"/>
  <c r="I133" i="18"/>
  <c r="J133" i="18" s="1"/>
  <c r="I136" i="18"/>
  <c r="I137" i="18"/>
  <c r="J137" i="18" s="1"/>
  <c r="I139" i="18"/>
  <c r="J139" i="18" s="1"/>
  <c r="I141" i="18"/>
  <c r="J141" i="18" s="1"/>
  <c r="I142" i="18"/>
  <c r="I143" i="18"/>
  <c r="J143" i="18" s="1"/>
  <c r="I144" i="18"/>
  <c r="J144" i="18" s="1"/>
  <c r="I149" i="18"/>
  <c r="J149" i="18" s="1"/>
  <c r="I153" i="18"/>
  <c r="I155" i="18"/>
  <c r="J155" i="18" s="1"/>
  <c r="I156" i="18"/>
  <c r="J156" i="18" s="1"/>
  <c r="I160" i="18"/>
  <c r="J160" i="18" s="1"/>
  <c r="I163" i="18"/>
  <c r="I165" i="18"/>
  <c r="I166" i="18"/>
  <c r="J166" i="18" s="1"/>
  <c r="I171" i="18"/>
  <c r="I172" i="18"/>
  <c r="J172" i="18" s="1"/>
  <c r="I173" i="18"/>
  <c r="J173" i="18" s="1"/>
  <c r="I176" i="18"/>
  <c r="J176" i="18" s="1"/>
  <c r="I177" i="18"/>
  <c r="J177" i="18" s="1"/>
  <c r="I178" i="18"/>
  <c r="I180" i="18"/>
  <c r="I184" i="18"/>
  <c r="I188" i="18"/>
  <c r="J188" i="18" s="1"/>
  <c r="I192" i="18"/>
  <c r="I195" i="18"/>
  <c r="J195" i="18" s="1"/>
  <c r="I196" i="18"/>
  <c r="I199" i="18"/>
  <c r="J199" i="18" s="1"/>
  <c r="I201" i="18"/>
  <c r="J201" i="18" s="1"/>
  <c r="I208" i="18"/>
  <c r="J208" i="18" s="1"/>
  <c r="I209" i="18"/>
  <c r="I211" i="18"/>
  <c r="I212" i="18"/>
  <c r="J212" i="18" s="1"/>
  <c r="I214" i="18"/>
  <c r="J214" i="18" s="1"/>
  <c r="I216" i="18"/>
  <c r="J216" i="18" s="1"/>
  <c r="I217" i="18"/>
  <c r="J217" i="18" s="1"/>
  <c r="I220" i="18"/>
  <c r="J220" i="18" s="1"/>
  <c r="I241" i="18"/>
  <c r="I244" i="18"/>
  <c r="I246" i="18"/>
  <c r="I248" i="18"/>
  <c r="J248" i="18" s="1"/>
  <c r="I249" i="18"/>
  <c r="J249" i="18" s="1"/>
  <c r="I251" i="18"/>
  <c r="J251" i="18" s="1"/>
  <c r="I252" i="18"/>
  <c r="J252" i="18" s="1"/>
  <c r="I265" i="18"/>
  <c r="I271" i="18"/>
  <c r="I272" i="18"/>
  <c r="J272" i="18" s="1"/>
  <c r="L27" i="18"/>
  <c r="M27" i="18" s="1"/>
  <c r="L28" i="18"/>
  <c r="M28" i="18" s="1"/>
  <c r="L29" i="18"/>
  <c r="M29" i="18" s="1"/>
  <c r="L31" i="18"/>
  <c r="M31" i="18" s="1"/>
  <c r="L32" i="18"/>
  <c r="L35" i="18"/>
  <c r="M35" i="18" s="1"/>
  <c r="L38" i="18"/>
  <c r="M38" i="18" s="1"/>
  <c r="L39" i="18"/>
  <c r="L40" i="18"/>
  <c r="M40" i="18" s="1"/>
  <c r="L43" i="18"/>
  <c r="M43" i="18" s="1"/>
  <c r="L44" i="18"/>
  <c r="L47" i="18"/>
  <c r="M47" i="18" s="1"/>
  <c r="L48" i="18"/>
  <c r="M48" i="18" s="1"/>
  <c r="L51" i="18"/>
  <c r="L53" i="18"/>
  <c r="L55" i="18"/>
  <c r="M55" i="18" s="1"/>
  <c r="L56" i="18"/>
  <c r="L59" i="18"/>
  <c r="M59" i="18" s="1"/>
  <c r="L60" i="18"/>
  <c r="M60" i="18" s="1"/>
  <c r="L61" i="18"/>
  <c r="M61" i="18" s="1"/>
  <c r="L63" i="18"/>
  <c r="L64" i="18"/>
  <c r="O64" i="18" s="1"/>
  <c r="L65" i="18"/>
  <c r="M65" i="18" s="1"/>
  <c r="L68" i="18"/>
  <c r="L69" i="18"/>
  <c r="M69" i="18" s="1"/>
  <c r="L72" i="18"/>
  <c r="L74" i="18"/>
  <c r="M74" i="18" s="1"/>
  <c r="L75" i="18"/>
  <c r="M75" i="18" s="1"/>
  <c r="L76" i="18"/>
  <c r="M76" i="18" s="1"/>
  <c r="L81" i="18"/>
  <c r="M81" i="18" s="1"/>
  <c r="L84" i="18"/>
  <c r="M84" i="18" s="1"/>
  <c r="L85" i="18"/>
  <c r="M85" i="18" s="1"/>
  <c r="L88" i="18"/>
  <c r="M88" i="18" s="1"/>
  <c r="L92" i="18"/>
  <c r="M92" i="18" s="1"/>
  <c r="L93" i="18"/>
  <c r="M93" i="18" s="1"/>
  <c r="L94" i="18"/>
  <c r="M94" i="18" s="1"/>
  <c r="L96" i="18"/>
  <c r="M96" i="18" s="1"/>
  <c r="L97" i="18"/>
  <c r="M97" i="18" s="1"/>
  <c r="L102" i="18"/>
  <c r="M102" i="18" s="1"/>
  <c r="L105" i="18"/>
  <c r="M105" i="18" s="1"/>
  <c r="L107" i="18"/>
  <c r="L108" i="18"/>
  <c r="M108" i="18" s="1"/>
  <c r="L109" i="18"/>
  <c r="M109" i="18" s="1"/>
  <c r="L110" i="18"/>
  <c r="M110" i="18" s="1"/>
  <c r="L113" i="18"/>
  <c r="M113" i="18" s="1"/>
  <c r="L117" i="18"/>
  <c r="M117" i="18" s="1"/>
  <c r="L118" i="18"/>
  <c r="L121" i="18"/>
  <c r="M121" i="18" s="1"/>
  <c r="L123" i="18"/>
  <c r="M123" i="18" s="1"/>
  <c r="L125" i="18"/>
  <c r="L126" i="18"/>
  <c r="L129" i="18"/>
  <c r="M129" i="18" s="1"/>
  <c r="L133" i="18"/>
  <c r="M133" i="18" s="1"/>
  <c r="L134" i="18"/>
  <c r="M134" i="18" s="1"/>
  <c r="L136" i="18"/>
  <c r="M136" i="18" s="1"/>
  <c r="L137" i="18"/>
  <c r="M137" i="18" s="1"/>
  <c r="L139" i="18"/>
  <c r="L142" i="18"/>
  <c r="M142" i="18" s="1"/>
  <c r="L144" i="18"/>
  <c r="M144" i="18" s="1"/>
  <c r="L150" i="18"/>
  <c r="M150" i="18" s="1"/>
  <c r="L152" i="18"/>
  <c r="M152" i="18" s="1"/>
  <c r="L155" i="18"/>
  <c r="L156" i="18"/>
  <c r="M156" i="18" s="1"/>
  <c r="L157" i="18"/>
  <c r="M157" i="18" s="1"/>
  <c r="L158" i="18"/>
  <c r="M158" i="18" s="1"/>
  <c r="L160" i="18"/>
  <c r="L163" i="18"/>
  <c r="M163" i="18" s="1"/>
  <c r="L164" i="18"/>
  <c r="M164" i="18" s="1"/>
  <c r="L165" i="18"/>
  <c r="M165" i="18" s="1"/>
  <c r="L168" i="18"/>
  <c r="M168" i="18" s="1"/>
  <c r="L169" i="18"/>
  <c r="M169" i="18" s="1"/>
  <c r="L170" i="18"/>
  <c r="L174" i="18"/>
  <c r="L177" i="18"/>
  <c r="L178" i="18"/>
  <c r="M178" i="18" s="1"/>
  <c r="L180" i="18"/>
  <c r="M180" i="18" s="1"/>
  <c r="L181" i="18"/>
  <c r="M181" i="18" s="1"/>
  <c r="L182" i="18"/>
  <c r="M182" i="18" s="1"/>
  <c r="L183" i="18"/>
  <c r="M183" i="18" s="1"/>
  <c r="L184" i="18"/>
  <c r="L185" i="18"/>
  <c r="L188" i="18"/>
  <c r="M188" i="18" s="1"/>
  <c r="L190" i="18"/>
  <c r="M190" i="18" s="1"/>
  <c r="L192" i="18"/>
  <c r="L193" i="18"/>
  <c r="M193" i="18" s="1"/>
  <c r="L197" i="18"/>
  <c r="L200" i="18"/>
  <c r="M200" i="18" s="1"/>
  <c r="L201" i="18"/>
  <c r="M201" i="18" s="1"/>
  <c r="L205" i="18"/>
  <c r="M205" i="18" s="1"/>
  <c r="L206" i="18"/>
  <c r="M206" i="18" s="1"/>
  <c r="L211" i="18"/>
  <c r="M211" i="18" s="1"/>
  <c r="L212" i="18"/>
  <c r="M212" i="18" s="1"/>
  <c r="L213" i="18"/>
  <c r="M213" i="18" s="1"/>
  <c r="L217" i="18"/>
  <c r="L225" i="18"/>
  <c r="L226" i="18"/>
  <c r="M226" i="18" s="1"/>
  <c r="L227" i="18"/>
  <c r="M227" i="18" s="1"/>
  <c r="L229" i="18"/>
  <c r="L233" i="18"/>
  <c r="M233" i="18" s="1"/>
  <c r="L245" i="18"/>
  <c r="M245" i="18" s="1"/>
  <c r="L246" i="18"/>
  <c r="M246" i="18" s="1"/>
  <c r="L256" i="18"/>
  <c r="L257" i="18"/>
  <c r="M257" i="18" s="1"/>
  <c r="L262" i="18"/>
  <c r="M262" i="18" s="1"/>
  <c r="L267" i="18"/>
  <c r="M267" i="18" s="1"/>
  <c r="L269" i="18"/>
  <c r="M269" i="18" s="1"/>
  <c r="L270" i="18"/>
  <c r="M270" i="18" s="1"/>
  <c r="L272" i="18"/>
  <c r="M272" i="18" s="1"/>
  <c r="L273" i="18"/>
  <c r="M273" i="18" s="1"/>
  <c r="L26" i="18"/>
  <c r="I26" i="18"/>
  <c r="F28" i="18"/>
  <c r="G28" i="18" s="1"/>
  <c r="F29" i="18"/>
  <c r="G29" i="18" s="1"/>
  <c r="F31" i="18"/>
  <c r="F33" i="18"/>
  <c r="G33" i="18" s="1"/>
  <c r="F36" i="18"/>
  <c r="F37" i="18"/>
  <c r="G37" i="18" s="1"/>
  <c r="F39" i="18"/>
  <c r="G39" i="18" s="1"/>
  <c r="F42" i="18"/>
  <c r="G42" i="18" s="1"/>
  <c r="F44" i="18"/>
  <c r="F46" i="18"/>
  <c r="G46" i="18" s="1"/>
  <c r="F47" i="18"/>
  <c r="G47" i="18" s="1"/>
  <c r="F48" i="18"/>
  <c r="F51" i="18"/>
  <c r="G51" i="18" s="1"/>
  <c r="F52" i="18"/>
  <c r="F53" i="18"/>
  <c r="F54" i="18"/>
  <c r="G54" i="18" s="1"/>
  <c r="F55" i="18"/>
  <c r="G55" i="18" s="1"/>
  <c r="F56" i="18"/>
  <c r="G56" i="18" s="1"/>
  <c r="F57" i="18"/>
  <c r="G57" i="18" s="1"/>
  <c r="F58" i="18"/>
  <c r="G58" i="18" s="1"/>
  <c r="F60" i="18"/>
  <c r="F61" i="18"/>
  <c r="F62" i="18"/>
  <c r="G62" i="18" s="1"/>
  <c r="F63" i="18"/>
  <c r="G63" i="18" s="1"/>
  <c r="F64" i="18"/>
  <c r="G64" i="18" s="1"/>
  <c r="F65" i="18"/>
  <c r="G65" i="18" s="1"/>
  <c r="F66" i="18"/>
  <c r="G66" i="18" s="1"/>
  <c r="F68" i="18"/>
  <c r="F73" i="18"/>
  <c r="G73" i="18" s="1"/>
  <c r="F76" i="18"/>
  <c r="G76" i="18" s="1"/>
  <c r="F77" i="18"/>
  <c r="G77" i="18" s="1"/>
  <c r="F80" i="18"/>
  <c r="G80" i="18" s="1"/>
  <c r="F81" i="18"/>
  <c r="F84" i="18"/>
  <c r="G84" i="18" s="1"/>
  <c r="F86" i="18"/>
  <c r="F88" i="18"/>
  <c r="G88" i="18" s="1"/>
  <c r="F89" i="18"/>
  <c r="F93" i="18"/>
  <c r="G93" i="18" s="1"/>
  <c r="F94" i="18"/>
  <c r="G94" i="18" s="1"/>
  <c r="F98" i="18"/>
  <c r="G98" i="18" s="1"/>
  <c r="F99" i="18"/>
  <c r="G99" i="18" s="1"/>
  <c r="F102" i="18"/>
  <c r="G102" i="18" s="1"/>
  <c r="F106" i="18"/>
  <c r="F107" i="18"/>
  <c r="G107" i="18" s="1"/>
  <c r="F109" i="18"/>
  <c r="G109" i="18" s="1"/>
  <c r="F110" i="18"/>
  <c r="G110" i="18" s="1"/>
  <c r="F111" i="18"/>
  <c r="G111" i="18" s="1"/>
  <c r="F115" i="18"/>
  <c r="G115" i="18" s="1"/>
  <c r="F118" i="18"/>
  <c r="F121" i="18"/>
  <c r="G121" i="18" s="1"/>
  <c r="F122" i="18"/>
  <c r="G122" i="18" s="1"/>
  <c r="F123" i="18"/>
  <c r="G123" i="18" s="1"/>
  <c r="F125" i="18"/>
  <c r="G125" i="18" s="1"/>
  <c r="F126" i="18"/>
  <c r="G126" i="18" s="1"/>
  <c r="F127" i="18"/>
  <c r="G127" i="18" s="1"/>
  <c r="F130" i="18"/>
  <c r="G130" i="18" s="1"/>
  <c r="F131" i="18"/>
  <c r="G131" i="18" s="1"/>
  <c r="F133" i="18"/>
  <c r="F134" i="18"/>
  <c r="G134" i="18" s="1"/>
  <c r="F136" i="18"/>
  <c r="G136" i="18" s="1"/>
  <c r="F138" i="18"/>
  <c r="G138" i="18" s="1"/>
  <c r="F139" i="18"/>
  <c r="G139" i="18" s="1"/>
  <c r="F141" i="18"/>
  <c r="G141" i="18" s="1"/>
  <c r="F143" i="18"/>
  <c r="G143" i="18" s="1"/>
  <c r="F146" i="18"/>
  <c r="F147" i="18"/>
  <c r="G147" i="18" s="1"/>
  <c r="F149" i="18"/>
  <c r="F151" i="18"/>
  <c r="G151" i="18" s="1"/>
  <c r="F152" i="18"/>
  <c r="F154" i="18"/>
  <c r="G154" i="18" s="1"/>
  <c r="F155" i="18"/>
  <c r="G155" i="18" s="1"/>
  <c r="F162" i="18"/>
  <c r="G162" i="18" s="1"/>
  <c r="F167" i="18"/>
  <c r="G167" i="18" s="1"/>
  <c r="F168" i="18"/>
  <c r="F170" i="18"/>
  <c r="F173" i="18"/>
  <c r="F174" i="18"/>
  <c r="F175" i="18"/>
  <c r="G175" i="18" s="1"/>
  <c r="F176" i="18"/>
  <c r="F178" i="18"/>
  <c r="G178" i="18" s="1"/>
  <c r="F179" i="18"/>
  <c r="G179" i="18" s="1"/>
  <c r="F181" i="18"/>
  <c r="F182" i="18"/>
  <c r="G182" i="18" s="1"/>
  <c r="F187" i="18"/>
  <c r="G187" i="18" s="1"/>
  <c r="F189" i="18"/>
  <c r="G189" i="18" s="1"/>
  <c r="F190" i="18"/>
  <c r="G190" i="18" s="1"/>
  <c r="F194" i="18"/>
  <c r="G194" i="18" s="1"/>
  <c r="F195" i="18"/>
  <c r="G195" i="18" s="1"/>
  <c r="F197" i="18"/>
  <c r="G197" i="18" s="1"/>
  <c r="F198" i="18"/>
  <c r="G198" i="18" s="1"/>
  <c r="F202" i="18"/>
  <c r="G202" i="18" s="1"/>
  <c r="F206" i="18"/>
  <c r="G206" i="18" s="1"/>
  <c r="F208" i="18"/>
  <c r="F210" i="18"/>
  <c r="G210" i="18" s="1"/>
  <c r="F213" i="18"/>
  <c r="G213" i="18" s="1"/>
  <c r="F214" i="18"/>
  <c r="G214" i="18" s="1"/>
  <c r="F218" i="18"/>
  <c r="F222" i="18"/>
  <c r="G222" i="18" s="1"/>
  <c r="F230" i="18"/>
  <c r="G230" i="18" s="1"/>
  <c r="F235" i="18"/>
  <c r="G235" i="18" s="1"/>
  <c r="F242" i="18"/>
  <c r="G242" i="18" s="1"/>
  <c r="F243" i="18"/>
  <c r="G243" i="18" s="1"/>
  <c r="F250" i="18"/>
  <c r="F254" i="18"/>
  <c r="F259" i="18"/>
  <c r="G259" i="18" s="1"/>
  <c r="F262" i="18"/>
  <c r="G262" i="18" s="1"/>
  <c r="F266" i="18"/>
  <c r="G266" i="18" s="1"/>
  <c r="F269" i="18"/>
  <c r="F274" i="18"/>
  <c r="G274" i="18" s="1"/>
  <c r="I251" i="25"/>
  <c r="I226" i="25"/>
  <c r="I207" i="25"/>
  <c r="I133" i="25"/>
  <c r="I121" i="25"/>
  <c r="I115" i="25"/>
  <c r="I113" i="25"/>
  <c r="I110" i="25"/>
  <c r="I109" i="25"/>
  <c r="I104" i="25"/>
  <c r="I99" i="25"/>
  <c r="I90" i="25"/>
  <c r="I86" i="25"/>
  <c r="I83" i="25"/>
  <c r="I78" i="25"/>
  <c r="I75" i="25"/>
  <c r="I69" i="25"/>
  <c r="I63" i="25"/>
  <c r="I51" i="25"/>
  <c r="I49" i="25"/>
  <c r="I43" i="25"/>
  <c r="I40" i="25"/>
  <c r="I25" i="25"/>
  <c r="I16" i="25"/>
  <c r="I13" i="25"/>
  <c r="J267" i="18"/>
  <c r="E131" i="1"/>
  <c r="F217" i="1"/>
  <c r="G222" i="1"/>
  <c r="G239" i="1"/>
  <c r="F240" i="1"/>
  <c r="F250" i="1"/>
  <c r="E251" i="1"/>
  <c r="L31" i="4"/>
  <c r="M31" i="4" s="1"/>
  <c r="L63" i="4"/>
  <c r="M63" i="4" s="1"/>
  <c r="L95" i="4"/>
  <c r="M95" i="4" s="1"/>
  <c r="L125" i="4"/>
  <c r="M125" i="4" s="1"/>
  <c r="L127" i="4"/>
  <c r="M127" i="4" s="1"/>
  <c r="L157" i="4"/>
  <c r="M157" i="4" s="1"/>
  <c r="L159" i="4"/>
  <c r="M159" i="4" s="1"/>
  <c r="L189" i="4"/>
  <c r="M189" i="4" s="1"/>
  <c r="L191" i="4"/>
  <c r="M191" i="4" s="1"/>
  <c r="L223" i="4"/>
  <c r="M223" i="4" s="1"/>
  <c r="L255" i="4"/>
  <c r="M255" i="4" s="1"/>
  <c r="I31" i="4"/>
  <c r="J31" i="4" s="1"/>
  <c r="I33" i="4"/>
  <c r="J33" i="4" s="1"/>
  <c r="I63" i="4"/>
  <c r="I65" i="4"/>
  <c r="J65" i="4" s="1"/>
  <c r="I95" i="4"/>
  <c r="J95" i="4" s="1"/>
  <c r="I97" i="4"/>
  <c r="J97" i="4" s="1"/>
  <c r="I129" i="4"/>
  <c r="J129" i="4" s="1"/>
  <c r="I159" i="4"/>
  <c r="J159" i="4" s="1"/>
  <c r="I179" i="4"/>
  <c r="J179" i="4" s="1"/>
  <c r="I183" i="4"/>
  <c r="J183" i="4" s="1"/>
  <c r="I203" i="4"/>
  <c r="J203" i="4" s="1"/>
  <c r="I219" i="4"/>
  <c r="J219" i="4" s="1"/>
  <c r="I233" i="4"/>
  <c r="J233" i="4" s="1"/>
  <c r="I235" i="4"/>
  <c r="J235" i="4" s="1"/>
  <c r="I247" i="4"/>
  <c r="J247" i="4" s="1"/>
  <c r="I254" i="4"/>
  <c r="J254" i="4" s="1"/>
  <c r="I255" i="4"/>
  <c r="J255" i="4" s="1"/>
  <c r="I262" i="4"/>
  <c r="J262" i="4" s="1"/>
  <c r="I270" i="4"/>
  <c r="J270" i="4" s="1"/>
  <c r="I271" i="4"/>
  <c r="J271" i="4" s="1"/>
  <c r="I278" i="4"/>
  <c r="J278" i="4" s="1"/>
  <c r="F27" i="4"/>
  <c r="G27" i="4" s="1"/>
  <c r="F35" i="4"/>
  <c r="G35" i="4" s="1"/>
  <c r="F43" i="4"/>
  <c r="G43" i="4" s="1"/>
  <c r="F51" i="4"/>
  <c r="G51" i="4" s="1"/>
  <c r="F59" i="4"/>
  <c r="G59" i="4" s="1"/>
  <c r="F67" i="4"/>
  <c r="G67" i="4" s="1"/>
  <c r="F75" i="4"/>
  <c r="G75" i="4" s="1"/>
  <c r="F83" i="4"/>
  <c r="G83" i="4" s="1"/>
  <c r="F91" i="4"/>
  <c r="G91" i="4" s="1"/>
  <c r="F98" i="4"/>
  <c r="G98" i="4" s="1"/>
  <c r="F106" i="4"/>
  <c r="G106" i="4" s="1"/>
  <c r="F114" i="4"/>
  <c r="G114" i="4" s="1"/>
  <c r="F115" i="4"/>
  <c r="G115" i="4" s="1"/>
  <c r="F122" i="4"/>
  <c r="G122" i="4" s="1"/>
  <c r="F123" i="4"/>
  <c r="G123" i="4" s="1"/>
  <c r="F130" i="4"/>
  <c r="G130" i="4" s="1"/>
  <c r="F131" i="4"/>
  <c r="G131" i="4" s="1"/>
  <c r="F139" i="4"/>
  <c r="G139" i="4" s="1"/>
  <c r="F146" i="4"/>
  <c r="G146" i="4" s="1"/>
  <c r="F147" i="4"/>
  <c r="G147" i="4" s="1"/>
  <c r="F154" i="4"/>
  <c r="G154" i="4" s="1"/>
  <c r="F162" i="4"/>
  <c r="G162" i="4" s="1"/>
  <c r="F170" i="4"/>
  <c r="G170" i="4" s="1"/>
  <c r="F178" i="4"/>
  <c r="G178" i="4" s="1"/>
  <c r="F179" i="4"/>
  <c r="G179" i="4" s="1"/>
  <c r="F186" i="4"/>
  <c r="G186" i="4" s="1"/>
  <c r="F194" i="4"/>
  <c r="G194" i="4" s="1"/>
  <c r="F202" i="4"/>
  <c r="G202" i="4" s="1"/>
  <c r="F210" i="4"/>
  <c r="G210" i="4" s="1"/>
  <c r="F211" i="4"/>
  <c r="G211" i="4" s="1"/>
  <c r="F219" i="4"/>
  <c r="G219" i="4" s="1"/>
  <c r="F227" i="4"/>
  <c r="G227" i="4" s="1"/>
  <c r="F234" i="4"/>
  <c r="G234" i="4" s="1"/>
  <c r="F235" i="4"/>
  <c r="G235" i="4" s="1"/>
  <c r="F242" i="4"/>
  <c r="G242" i="4" s="1"/>
  <c r="F243" i="4"/>
  <c r="G243" i="4" s="1"/>
  <c r="F250" i="4"/>
  <c r="G250" i="4" s="1"/>
  <c r="F254" i="4"/>
  <c r="G254" i="4" s="1"/>
  <c r="F256" i="4"/>
  <c r="G256" i="4" s="1"/>
  <c r="F258" i="4"/>
  <c r="G258" i="4" s="1"/>
  <c r="F259" i="4"/>
  <c r="G259" i="4" s="1"/>
  <c r="F266" i="4"/>
  <c r="G266" i="4" s="1"/>
  <c r="F267" i="4"/>
  <c r="G267" i="4" s="1"/>
  <c r="F270" i="4"/>
  <c r="G270" i="4" s="1"/>
  <c r="F272" i="4"/>
  <c r="G272" i="4" s="1"/>
  <c r="F275" i="4"/>
  <c r="G275" i="4" s="1"/>
  <c r="F276" i="4"/>
  <c r="G276" i="4" s="1"/>
  <c r="F278" i="4"/>
  <c r="G278" i="4" s="1"/>
  <c r="E258" i="1"/>
  <c r="F258" i="1"/>
  <c r="E257" i="1"/>
  <c r="F257" i="1"/>
  <c r="E256" i="1"/>
  <c r="F256" i="1"/>
  <c r="E255" i="1"/>
  <c r="L275" i="4"/>
  <c r="M275" i="4" s="1"/>
  <c r="F255" i="1"/>
  <c r="F254" i="1"/>
  <c r="F273" i="4"/>
  <c r="G273" i="4" s="1"/>
  <c r="L273" i="4"/>
  <c r="M273" i="4" s="1"/>
  <c r="F253" i="1"/>
  <c r="E252" i="1"/>
  <c r="F271" i="4"/>
  <c r="G271" i="4" s="1"/>
  <c r="G251" i="1"/>
  <c r="F251" i="1"/>
  <c r="E250" i="1"/>
  <c r="E249" i="1"/>
  <c r="F249" i="1"/>
  <c r="E248" i="1"/>
  <c r="I268" i="4"/>
  <c r="J268" i="4" s="1"/>
  <c r="E246" i="1"/>
  <c r="F246" i="1"/>
  <c r="L265" i="4"/>
  <c r="M265" i="4" s="1"/>
  <c r="F245" i="1"/>
  <c r="E244" i="1"/>
  <c r="F244" i="1"/>
  <c r="E243" i="1"/>
  <c r="G243" i="1"/>
  <c r="H243" i="1" s="1"/>
  <c r="F243" i="1"/>
  <c r="E242" i="1"/>
  <c r="F242" i="1"/>
  <c r="E241" i="1"/>
  <c r="G241" i="1"/>
  <c r="F241" i="1"/>
  <c r="E240" i="1"/>
  <c r="I260" i="4"/>
  <c r="J260" i="4" s="1"/>
  <c r="E239" i="1"/>
  <c r="L259" i="4"/>
  <c r="M259" i="4" s="1"/>
  <c r="F239" i="1"/>
  <c r="E238" i="1"/>
  <c r="F238" i="1"/>
  <c r="E143" i="1"/>
  <c r="F143" i="1"/>
  <c r="E237" i="1"/>
  <c r="L257" i="4"/>
  <c r="M257" i="4" s="1"/>
  <c r="F237" i="1"/>
  <c r="E236" i="1"/>
  <c r="E235" i="1"/>
  <c r="G235" i="1"/>
  <c r="F235" i="1"/>
  <c r="E234" i="1"/>
  <c r="F234" i="1"/>
  <c r="E233" i="1"/>
  <c r="F233" i="1"/>
  <c r="E232" i="1"/>
  <c r="F232" i="1"/>
  <c r="E121" i="1"/>
  <c r="G121" i="1"/>
  <c r="E231" i="1"/>
  <c r="F231" i="1"/>
  <c r="H231" i="1" s="1"/>
  <c r="I231" i="1" s="1"/>
  <c r="E230" i="1"/>
  <c r="F230" i="1"/>
  <c r="E229" i="1"/>
  <c r="E112" i="1"/>
  <c r="F248" i="4"/>
  <c r="G248" i="4" s="1"/>
  <c r="F228" i="1"/>
  <c r="E106" i="1"/>
  <c r="E227" i="1"/>
  <c r="I227" i="1" s="1"/>
  <c r="G227" i="1"/>
  <c r="F227" i="1"/>
  <c r="E226" i="1"/>
  <c r="F226" i="1"/>
  <c r="G225" i="1"/>
  <c r="F225" i="1"/>
  <c r="E224" i="1"/>
  <c r="F224" i="1"/>
  <c r="H224" i="1" s="1"/>
  <c r="I224" i="1" s="1"/>
  <c r="E223" i="1"/>
  <c r="E222" i="1"/>
  <c r="L242" i="4"/>
  <c r="M242" i="4" s="1"/>
  <c r="E221" i="1"/>
  <c r="F221" i="1"/>
  <c r="E219" i="1"/>
  <c r="G219" i="1"/>
  <c r="F219" i="1"/>
  <c r="E98" i="1"/>
  <c r="E217" i="1"/>
  <c r="G217" i="1"/>
  <c r="I237" i="4"/>
  <c r="J237" i="4" s="1"/>
  <c r="E216" i="1"/>
  <c r="E215" i="1"/>
  <c r="F215" i="1"/>
  <c r="E214" i="1"/>
  <c r="F213" i="1"/>
  <c r="E212" i="1"/>
  <c r="E211" i="1"/>
  <c r="G211" i="1"/>
  <c r="L230" i="4"/>
  <c r="M230" i="4" s="1"/>
  <c r="E209" i="1"/>
  <c r="G209" i="1"/>
  <c r="F209" i="1"/>
  <c r="H209" i="1" s="1"/>
  <c r="I209" i="1" s="1"/>
  <c r="E208" i="1"/>
  <c r="E88" i="1"/>
  <c r="I108" i="4"/>
  <c r="J108" i="4" s="1"/>
  <c r="E207" i="1"/>
  <c r="F207" i="1"/>
  <c r="E205" i="1"/>
  <c r="F205" i="1"/>
  <c r="E204" i="1"/>
  <c r="I204" i="1" s="1"/>
  <c r="L204" i="1" s="1"/>
  <c r="G203" i="1"/>
  <c r="F203" i="1"/>
  <c r="E202" i="1"/>
  <c r="E201" i="1"/>
  <c r="E200" i="1"/>
  <c r="E199" i="1"/>
  <c r="F199" i="1"/>
  <c r="E78" i="1"/>
  <c r="E197" i="1"/>
  <c r="E195" i="1"/>
  <c r="G195" i="1"/>
  <c r="F195" i="1"/>
  <c r="E194" i="1"/>
  <c r="E193" i="1"/>
  <c r="G193" i="1"/>
  <c r="F193" i="1"/>
  <c r="H193" i="1" s="1"/>
  <c r="I193" i="1" s="1"/>
  <c r="L193" i="1" s="1"/>
  <c r="E192" i="1"/>
  <c r="I212" i="4"/>
  <c r="J212" i="4" s="1"/>
  <c r="E191" i="1"/>
  <c r="F191" i="1"/>
  <c r="E190" i="1"/>
  <c r="E189" i="1"/>
  <c r="E187" i="1"/>
  <c r="G187" i="1"/>
  <c r="H187" i="1" s="1"/>
  <c r="I187" i="1" s="1"/>
  <c r="F187" i="1"/>
  <c r="E186" i="1"/>
  <c r="E185" i="1"/>
  <c r="G185" i="1"/>
  <c r="F185" i="1"/>
  <c r="E184" i="1"/>
  <c r="E183" i="1"/>
  <c r="F183" i="1"/>
  <c r="H183" i="1" s="1"/>
  <c r="I183" i="1" s="1"/>
  <c r="E182" i="1"/>
  <c r="E181" i="1"/>
  <c r="L201" i="4"/>
  <c r="M201" i="4" s="1"/>
  <c r="E179" i="1"/>
  <c r="G179" i="1"/>
  <c r="F179" i="1"/>
  <c r="E178" i="1"/>
  <c r="E177" i="1"/>
  <c r="G177" i="1"/>
  <c r="E176" i="1"/>
  <c r="E175" i="1"/>
  <c r="F175" i="1"/>
  <c r="E174" i="1"/>
  <c r="E173" i="1"/>
  <c r="E171" i="1"/>
  <c r="G171" i="1"/>
  <c r="H171" i="1" s="1"/>
  <c r="F171" i="1"/>
  <c r="E170" i="1"/>
  <c r="E169" i="1"/>
  <c r="G169" i="1"/>
  <c r="E168" i="1"/>
  <c r="E167" i="1"/>
  <c r="F167" i="1"/>
  <c r="E166" i="1"/>
  <c r="E165" i="1"/>
  <c r="E163" i="1"/>
  <c r="G163" i="1"/>
  <c r="F163" i="1"/>
  <c r="E162" i="1"/>
  <c r="E161" i="1"/>
  <c r="G161" i="1"/>
  <c r="E160" i="1"/>
  <c r="E159" i="1"/>
  <c r="F159" i="1"/>
  <c r="E158" i="1"/>
  <c r="E157" i="1"/>
  <c r="E155" i="1"/>
  <c r="G155" i="1"/>
  <c r="F155" i="1"/>
  <c r="H155" i="1" s="1"/>
  <c r="E154" i="1"/>
  <c r="E153" i="1"/>
  <c r="G153" i="1"/>
  <c r="E152" i="1"/>
  <c r="I172" i="4"/>
  <c r="J172" i="4" s="1"/>
  <c r="E151" i="1"/>
  <c r="F151" i="1"/>
  <c r="E150" i="1"/>
  <c r="E247" i="1"/>
  <c r="L267" i="4"/>
  <c r="M267" i="4" s="1"/>
  <c r="F149" i="1"/>
  <c r="E148" i="1"/>
  <c r="E147" i="1"/>
  <c r="E146" i="1"/>
  <c r="E145" i="1"/>
  <c r="G145" i="1"/>
  <c r="E142" i="1"/>
  <c r="E141" i="1"/>
  <c r="F141" i="1"/>
  <c r="E139" i="1"/>
  <c r="G139" i="1"/>
  <c r="F139" i="1"/>
  <c r="E138" i="1"/>
  <c r="E137" i="1"/>
  <c r="G137" i="1"/>
  <c r="H137" i="1" s="1"/>
  <c r="I137" i="1" s="1"/>
  <c r="E136" i="1"/>
  <c r="E135" i="1"/>
  <c r="E134" i="1"/>
  <c r="E133" i="1"/>
  <c r="F151" i="4"/>
  <c r="G151" i="4" s="1"/>
  <c r="G131" i="1"/>
  <c r="F131" i="1"/>
  <c r="E130" i="1"/>
  <c r="E129" i="1"/>
  <c r="G129" i="1"/>
  <c r="E128" i="1"/>
  <c r="E127" i="1"/>
  <c r="E126" i="1"/>
  <c r="E125" i="1"/>
  <c r="E123" i="1"/>
  <c r="G123" i="1"/>
  <c r="H123" i="1" s="1"/>
  <c r="I123" i="1" s="1"/>
  <c r="L123" i="1" s="1"/>
  <c r="F123" i="1"/>
  <c r="E122" i="1"/>
  <c r="E120" i="1"/>
  <c r="E119" i="1"/>
  <c r="E117" i="1"/>
  <c r="F117" i="1"/>
  <c r="E116" i="1"/>
  <c r="F115" i="1"/>
  <c r="H115" i="1" s="1"/>
  <c r="I115" i="1" s="1"/>
  <c r="E114" i="1"/>
  <c r="E113" i="1"/>
  <c r="E111" i="1"/>
  <c r="E110" i="1"/>
  <c r="F109" i="1"/>
  <c r="E108" i="1"/>
  <c r="E107" i="1"/>
  <c r="G107" i="1"/>
  <c r="G105" i="1"/>
  <c r="E104" i="1"/>
  <c r="E103" i="1"/>
  <c r="E102" i="1"/>
  <c r="E101" i="1"/>
  <c r="F101" i="1"/>
  <c r="E99" i="1"/>
  <c r="G99" i="1"/>
  <c r="H99" i="1" s="1"/>
  <c r="I99" i="1" s="1"/>
  <c r="L99" i="1" s="1"/>
  <c r="F99" i="1"/>
  <c r="E97" i="1"/>
  <c r="G97" i="1"/>
  <c r="E95" i="1"/>
  <c r="E94" i="1"/>
  <c r="E93" i="1"/>
  <c r="F93" i="1"/>
  <c r="E92" i="1"/>
  <c r="F91" i="1"/>
  <c r="E90" i="1"/>
  <c r="E89" i="1"/>
  <c r="G89" i="1"/>
  <c r="E87" i="1"/>
  <c r="E86" i="1"/>
  <c r="E85" i="1"/>
  <c r="E84" i="1"/>
  <c r="I84" i="1" s="1"/>
  <c r="L84" i="1" s="1"/>
  <c r="E83" i="1"/>
  <c r="G83" i="1"/>
  <c r="F83" i="1"/>
  <c r="E81" i="1"/>
  <c r="G81" i="1"/>
  <c r="E80" i="1"/>
  <c r="E79" i="1"/>
  <c r="E77" i="1"/>
  <c r="F77" i="1"/>
  <c r="E76" i="1"/>
  <c r="E75" i="1"/>
  <c r="G75" i="1"/>
  <c r="F75" i="1"/>
  <c r="E74" i="1"/>
  <c r="E72" i="1"/>
  <c r="E71" i="1"/>
  <c r="E69" i="1"/>
  <c r="F69" i="1"/>
  <c r="E68" i="1"/>
  <c r="F87" i="4"/>
  <c r="G87" i="4" s="1"/>
  <c r="G67" i="1"/>
  <c r="F67" i="1"/>
  <c r="E66" i="1"/>
  <c r="E64" i="1"/>
  <c r="E63" i="1"/>
  <c r="E61" i="1"/>
  <c r="F61" i="1"/>
  <c r="E60" i="1"/>
  <c r="E59" i="1"/>
  <c r="G59" i="1"/>
  <c r="F59" i="1"/>
  <c r="E58" i="1"/>
  <c r="I58" i="1" s="1"/>
  <c r="E56" i="1"/>
  <c r="E55" i="1"/>
  <c r="E53" i="1"/>
  <c r="F53" i="1"/>
  <c r="E52" i="1"/>
  <c r="E51" i="1"/>
  <c r="G51" i="1"/>
  <c r="F51" i="1"/>
  <c r="H51" i="1" s="1"/>
  <c r="I51" i="1" s="1"/>
  <c r="E50" i="1"/>
  <c r="E48" i="1"/>
  <c r="E47" i="1"/>
  <c r="E45" i="1"/>
  <c r="L65" i="4"/>
  <c r="M65" i="4" s="1"/>
  <c r="F45" i="1"/>
  <c r="E44" i="1"/>
  <c r="E43" i="1"/>
  <c r="G43" i="1"/>
  <c r="F43" i="1"/>
  <c r="E42" i="1"/>
  <c r="E40" i="1"/>
  <c r="E39" i="1"/>
  <c r="E37" i="1"/>
  <c r="F37" i="1"/>
  <c r="E36" i="1"/>
  <c r="E35" i="1"/>
  <c r="G35" i="1"/>
  <c r="F35" i="1"/>
  <c r="E34" i="1"/>
  <c r="E32" i="1"/>
  <c r="E31" i="1"/>
  <c r="E29" i="1"/>
  <c r="F29" i="1"/>
  <c r="H29" i="1" s="1"/>
  <c r="I29" i="1" s="1"/>
  <c r="L29" i="1" s="1"/>
  <c r="E28" i="1"/>
  <c r="E27" i="1"/>
  <c r="G27" i="1"/>
  <c r="F27" i="1"/>
  <c r="E26" i="1"/>
  <c r="E24" i="1"/>
  <c r="I44" i="4"/>
  <c r="J44" i="4" s="1"/>
  <c r="E23" i="1"/>
  <c r="E21" i="1"/>
  <c r="F21" i="1"/>
  <c r="E20" i="1"/>
  <c r="E19" i="1"/>
  <c r="G19" i="1"/>
  <c r="F19" i="1"/>
  <c r="E18" i="1"/>
  <c r="E16" i="1"/>
  <c r="E15" i="1"/>
  <c r="E13" i="1"/>
  <c r="F13" i="1"/>
  <c r="E12" i="1"/>
  <c r="E11" i="1"/>
  <c r="G11" i="1"/>
  <c r="F11" i="1"/>
  <c r="E10" i="1"/>
  <c r="E8" i="1"/>
  <c r="E7" i="1"/>
  <c r="G6" i="1"/>
  <c r="G17" i="1"/>
  <c r="L37" i="4"/>
  <c r="M37" i="4" s="1"/>
  <c r="G25" i="1"/>
  <c r="L45" i="4"/>
  <c r="M45" i="4" s="1"/>
  <c r="E38" i="1"/>
  <c r="F58" i="4"/>
  <c r="G58" i="4" s="1"/>
  <c r="F52" i="1"/>
  <c r="I72" i="4"/>
  <c r="J72" i="4" s="1"/>
  <c r="E62" i="1"/>
  <c r="F82" i="4"/>
  <c r="G82" i="4" s="1"/>
  <c r="E70" i="1"/>
  <c r="F90" i="4"/>
  <c r="G90" i="4" s="1"/>
  <c r="G91" i="1"/>
  <c r="H91" i="1" s="1"/>
  <c r="L111" i="4"/>
  <c r="M111" i="4" s="1"/>
  <c r="I111" i="4"/>
  <c r="J111" i="4" s="1"/>
  <c r="F111" i="4"/>
  <c r="G111" i="4" s="1"/>
  <c r="F103" i="1"/>
  <c r="I123" i="4"/>
  <c r="J123" i="4" s="1"/>
  <c r="F122" i="1"/>
  <c r="I142" i="4"/>
  <c r="J142" i="4" s="1"/>
  <c r="E140" i="1"/>
  <c r="F160" i="4"/>
  <c r="G160" i="4" s="1"/>
  <c r="E156" i="1"/>
  <c r="F176" i="4"/>
  <c r="G176" i="4" s="1"/>
  <c r="E172" i="1"/>
  <c r="F192" i="4"/>
  <c r="G192" i="4" s="1"/>
  <c r="E188" i="1"/>
  <c r="F208" i="4"/>
  <c r="G208" i="4" s="1"/>
  <c r="F201" i="1"/>
  <c r="I221" i="4"/>
  <c r="J221" i="4" s="1"/>
  <c r="L233" i="4"/>
  <c r="M233" i="4" s="1"/>
  <c r="G213" i="1"/>
  <c r="F223" i="1"/>
  <c r="I243" i="4"/>
  <c r="J243" i="4" s="1"/>
  <c r="G257" i="1"/>
  <c r="L277" i="4"/>
  <c r="M277" i="4" s="1"/>
  <c r="G12" i="1"/>
  <c r="H12" i="1" s="1"/>
  <c r="L32" i="4"/>
  <c r="M32" i="4" s="1"/>
  <c r="F23" i="1"/>
  <c r="I43" i="4"/>
  <c r="J43" i="4" s="1"/>
  <c r="F39" i="1"/>
  <c r="I59" i="4"/>
  <c r="J59" i="4" s="1"/>
  <c r="F55" i="1"/>
  <c r="I75" i="4"/>
  <c r="J75" i="4" s="1"/>
  <c r="F71" i="1"/>
  <c r="H71" i="1" s="1"/>
  <c r="I71" i="1" s="1"/>
  <c r="I91" i="4"/>
  <c r="J91" i="4" s="1"/>
  <c r="L105" i="4"/>
  <c r="M105" i="4" s="1"/>
  <c r="G85" i="1"/>
  <c r="F97" i="1"/>
  <c r="I117" i="4"/>
  <c r="J117" i="4" s="1"/>
  <c r="F116" i="1"/>
  <c r="I136" i="4"/>
  <c r="J136" i="4" s="1"/>
  <c r="G147" i="1"/>
  <c r="H147" i="1" s="1"/>
  <c r="I147" i="1" s="1"/>
  <c r="L147" i="1" s="1"/>
  <c r="L167" i="4"/>
  <c r="M167" i="4" s="1"/>
  <c r="F204" i="1"/>
  <c r="I224" i="4"/>
  <c r="J224" i="4" s="1"/>
  <c r="L224" i="4"/>
  <c r="M224" i="4" s="1"/>
  <c r="F224" i="4"/>
  <c r="G224" i="4" s="1"/>
  <c r="E213" i="1"/>
  <c r="F233" i="4"/>
  <c r="G233" i="4" s="1"/>
  <c r="F203" i="4"/>
  <c r="G203" i="4" s="1"/>
  <c r="F171" i="4"/>
  <c r="G171" i="4" s="1"/>
  <c r="G41" i="1"/>
  <c r="L61" i="4"/>
  <c r="M61" i="4" s="1"/>
  <c r="F60" i="1"/>
  <c r="I80" i="4"/>
  <c r="J80" i="4" s="1"/>
  <c r="L80" i="4"/>
  <c r="M80" i="4" s="1"/>
  <c r="F80" i="4"/>
  <c r="G80" i="4" s="1"/>
  <c r="G73" i="1"/>
  <c r="H73" i="1" s="1"/>
  <c r="I73" i="1" s="1"/>
  <c r="L73" i="1" s="1"/>
  <c r="L93" i="4"/>
  <c r="M93" i="4" s="1"/>
  <c r="G100" i="1"/>
  <c r="L120" i="4"/>
  <c r="M120" i="4" s="1"/>
  <c r="G118" i="1"/>
  <c r="L138" i="4"/>
  <c r="M138" i="4" s="1"/>
  <c r="G135" i="1"/>
  <c r="L155" i="4"/>
  <c r="M155" i="4" s="1"/>
  <c r="I155" i="4"/>
  <c r="J155" i="4" s="1"/>
  <c r="F155" i="4"/>
  <c r="G155" i="4" s="1"/>
  <c r="G151" i="1"/>
  <c r="L171" i="4"/>
  <c r="M171" i="4" s="1"/>
  <c r="G167" i="1"/>
  <c r="L187" i="4"/>
  <c r="M187" i="4" s="1"/>
  <c r="F186" i="1"/>
  <c r="I206" i="4"/>
  <c r="J206" i="4" s="1"/>
  <c r="G198" i="1"/>
  <c r="H198" i="1" s="1"/>
  <c r="I198" i="1" s="1"/>
  <c r="L198" i="1" s="1"/>
  <c r="L218" i="4"/>
  <c r="M218" i="4" s="1"/>
  <c r="I236" i="4"/>
  <c r="J236" i="4" s="1"/>
  <c r="F216" i="1"/>
  <c r="F229" i="1"/>
  <c r="I249" i="4"/>
  <c r="J249" i="4" s="1"/>
  <c r="F236" i="1"/>
  <c r="I256" i="4"/>
  <c r="J256" i="4" s="1"/>
  <c r="G249" i="1"/>
  <c r="L269" i="4"/>
  <c r="M269" i="4" s="1"/>
  <c r="I269" i="4"/>
  <c r="J269" i="4" s="1"/>
  <c r="F269" i="4"/>
  <c r="G269" i="4" s="1"/>
  <c r="F7" i="1"/>
  <c r="I27" i="4"/>
  <c r="J27" i="4" s="1"/>
  <c r="G20" i="1"/>
  <c r="L40" i="4"/>
  <c r="M40" i="4" s="1"/>
  <c r="E33" i="1"/>
  <c r="F53" i="4"/>
  <c r="G53" i="4" s="1"/>
  <c r="F47" i="1"/>
  <c r="I67" i="4"/>
  <c r="J67" i="4" s="1"/>
  <c r="L67" i="4"/>
  <c r="M67" i="4" s="1"/>
  <c r="G60" i="1"/>
  <c r="E73" i="1"/>
  <c r="F93" i="4"/>
  <c r="G93" i="4" s="1"/>
  <c r="F89" i="1"/>
  <c r="H89" i="1" s="1"/>
  <c r="I109" i="4"/>
  <c r="J109" i="4" s="1"/>
  <c r="E100" i="1"/>
  <c r="F120" i="4"/>
  <c r="G120" i="4" s="1"/>
  <c r="G113" i="1"/>
  <c r="L133" i="4"/>
  <c r="M133" i="4" s="1"/>
  <c r="F125" i="1"/>
  <c r="I145" i="4"/>
  <c r="J145" i="4" s="1"/>
  <c r="F133" i="1"/>
  <c r="H133" i="1" s="1"/>
  <c r="I133" i="1" s="1"/>
  <c r="L133" i="1" s="1"/>
  <c r="I153" i="4"/>
  <c r="J153" i="4" s="1"/>
  <c r="E144" i="1"/>
  <c r="F164" i="4"/>
  <c r="G164" i="4" s="1"/>
  <c r="G154" i="1"/>
  <c r="L174" i="4"/>
  <c r="M174" i="4" s="1"/>
  <c r="F165" i="1"/>
  <c r="I185" i="4"/>
  <c r="J185" i="4" s="1"/>
  <c r="G201" i="1"/>
  <c r="L221" i="4"/>
  <c r="M221" i="4" s="1"/>
  <c r="F98" i="1"/>
  <c r="I118" i="4"/>
  <c r="J118" i="4" s="1"/>
  <c r="L118" i="4"/>
  <c r="M118" i="4" s="1"/>
  <c r="F118" i="4"/>
  <c r="G118" i="4" s="1"/>
  <c r="F99" i="4"/>
  <c r="G99" i="4" s="1"/>
  <c r="G9" i="1"/>
  <c r="L29" i="4"/>
  <c r="M29" i="4" s="1"/>
  <c r="E22" i="1"/>
  <c r="F42" i="4"/>
  <c r="G42" i="4" s="1"/>
  <c r="E30" i="1"/>
  <c r="F50" i="4"/>
  <c r="G50" i="4" s="1"/>
  <c r="E46" i="1"/>
  <c r="F66" i="4"/>
  <c r="G66" i="4" s="1"/>
  <c r="G57" i="1"/>
  <c r="L77" i="4"/>
  <c r="M77" i="4" s="1"/>
  <c r="F68" i="1"/>
  <c r="I88" i="4"/>
  <c r="J88" i="4" s="1"/>
  <c r="L88" i="4"/>
  <c r="M88" i="4" s="1"/>
  <c r="F88" i="4"/>
  <c r="G88" i="4" s="1"/>
  <c r="F76" i="1"/>
  <c r="I96" i="4"/>
  <c r="J96" i="4" s="1"/>
  <c r="G82" i="1"/>
  <c r="L102" i="4"/>
  <c r="M102" i="4" s="1"/>
  <c r="F94" i="1"/>
  <c r="I114" i="4"/>
  <c r="J114" i="4" s="1"/>
  <c r="E115" i="1"/>
  <c r="F135" i="4"/>
  <c r="G135" i="4" s="1"/>
  <c r="F130" i="1"/>
  <c r="H130" i="1" s="1"/>
  <c r="I150" i="4"/>
  <c r="J150" i="4" s="1"/>
  <c r="E149" i="1"/>
  <c r="F169" i="4"/>
  <c r="G169" i="4" s="1"/>
  <c r="F162" i="1"/>
  <c r="I182" i="4"/>
  <c r="J182" i="4" s="1"/>
  <c r="E180" i="1"/>
  <c r="F200" i="4"/>
  <c r="G200" i="4" s="1"/>
  <c r="F194" i="1"/>
  <c r="I214" i="4"/>
  <c r="J214" i="4" s="1"/>
  <c r="I228" i="4"/>
  <c r="J228" i="4" s="1"/>
  <c r="F208" i="1"/>
  <c r="H208" i="1" s="1"/>
  <c r="I208" i="1" s="1"/>
  <c r="E218" i="1"/>
  <c r="F238" i="4"/>
  <c r="G238" i="4" s="1"/>
  <c r="E225" i="1"/>
  <c r="F245" i="4"/>
  <c r="G245" i="4" s="1"/>
  <c r="E254" i="1"/>
  <c r="F274" i="4"/>
  <c r="G274" i="4" s="1"/>
  <c r="F15" i="1"/>
  <c r="I35" i="4"/>
  <c r="J35" i="4" s="1"/>
  <c r="F31" i="1"/>
  <c r="I51" i="4"/>
  <c r="J51" i="4" s="1"/>
  <c r="E41" i="1"/>
  <c r="F61" i="4"/>
  <c r="G61" i="4" s="1"/>
  <c r="G52" i="1"/>
  <c r="L72" i="4"/>
  <c r="M72" i="4" s="1"/>
  <c r="E65" i="1"/>
  <c r="F85" i="4"/>
  <c r="G85" i="4" s="1"/>
  <c r="I100" i="4"/>
  <c r="J100" i="4" s="1"/>
  <c r="F80" i="1"/>
  <c r="G94" i="1"/>
  <c r="L114" i="4"/>
  <c r="M114" i="4" s="1"/>
  <c r="E109" i="1"/>
  <c r="F129" i="4"/>
  <c r="G129" i="4" s="1"/>
  <c r="G122" i="1"/>
  <c r="L142" i="4"/>
  <c r="G130" i="1"/>
  <c r="L150" i="4"/>
  <c r="G138" i="1"/>
  <c r="L158" i="4"/>
  <c r="M158" i="4" s="1"/>
  <c r="F247" i="1"/>
  <c r="I267" i="4"/>
  <c r="J267" i="4" s="1"/>
  <c r="F157" i="1"/>
  <c r="I177" i="4"/>
  <c r="J177" i="4" s="1"/>
  <c r="G186" i="1"/>
  <c r="L206" i="4"/>
  <c r="M206" i="4" s="1"/>
  <c r="F197" i="1"/>
  <c r="I217" i="4"/>
  <c r="J217" i="4" s="1"/>
  <c r="L217" i="4"/>
  <c r="M217" i="4" s="1"/>
  <c r="F217" i="4"/>
  <c r="G217" i="4" s="1"/>
  <c r="G208" i="1"/>
  <c r="L228" i="4"/>
  <c r="M228" i="4" s="1"/>
  <c r="F195" i="4"/>
  <c r="G195" i="4" s="1"/>
  <c r="F163" i="4"/>
  <c r="G163" i="4" s="1"/>
  <c r="I161" i="4"/>
  <c r="J161" i="4" s="1"/>
  <c r="L129" i="4"/>
  <c r="M129" i="4" s="1"/>
  <c r="G109" i="1"/>
  <c r="G127" i="1"/>
  <c r="L147" i="4"/>
  <c r="M147" i="4" s="1"/>
  <c r="G144" i="1"/>
  <c r="L164" i="4"/>
  <c r="M164" i="4" s="1"/>
  <c r="G159" i="1"/>
  <c r="L179" i="4"/>
  <c r="G175" i="1"/>
  <c r="L195" i="4"/>
  <c r="M195" i="4" s="1"/>
  <c r="F223" i="4"/>
  <c r="G223" i="4" s="1"/>
  <c r="E203" i="1"/>
  <c r="F211" i="1"/>
  <c r="H211" i="1" s="1"/>
  <c r="I211" i="1" s="1"/>
  <c r="I231" i="4"/>
  <c r="J231" i="4" s="1"/>
  <c r="I263" i="4"/>
  <c r="J263" i="4" s="1"/>
  <c r="E6" i="1"/>
  <c r="F26" i="4"/>
  <c r="E14" i="1"/>
  <c r="F34" i="4"/>
  <c r="G34" i="4" s="1"/>
  <c r="F28" i="1"/>
  <c r="I48" i="4"/>
  <c r="J48" i="4" s="1"/>
  <c r="F36" i="1"/>
  <c r="I56" i="4"/>
  <c r="J56" i="4" s="1"/>
  <c r="G49" i="1"/>
  <c r="L69" i="4"/>
  <c r="M69" i="4" s="1"/>
  <c r="G65" i="1"/>
  <c r="L85" i="4"/>
  <c r="M85" i="4" s="1"/>
  <c r="E105" i="1"/>
  <c r="F125" i="4"/>
  <c r="G125" i="4" s="1"/>
  <c r="E124" i="1"/>
  <c r="F144" i="4"/>
  <c r="G144" i="4" s="1"/>
  <c r="F138" i="1"/>
  <c r="I158" i="4"/>
  <c r="J158" i="4" s="1"/>
  <c r="F154" i="1"/>
  <c r="I174" i="4"/>
  <c r="J174" i="4" s="1"/>
  <c r="F174" i="4"/>
  <c r="G174" i="4" s="1"/>
  <c r="F170" i="1"/>
  <c r="H170" i="1" s="1"/>
  <c r="I170" i="1" s="1"/>
  <c r="L170" i="1" s="1"/>
  <c r="I190" i="4"/>
  <c r="J190" i="4" s="1"/>
  <c r="G183" i="1"/>
  <c r="L203" i="4"/>
  <c r="M203" i="4" s="1"/>
  <c r="E196" i="1"/>
  <c r="F216" i="4"/>
  <c r="G216" i="4" s="1"/>
  <c r="E210" i="1"/>
  <c r="F230" i="4"/>
  <c r="G230" i="4" s="1"/>
  <c r="G240" i="1"/>
  <c r="L260" i="4"/>
  <c r="M260" i="4" s="1"/>
  <c r="F252" i="1"/>
  <c r="I272" i="4"/>
  <c r="J272" i="4" s="1"/>
  <c r="E9" i="1"/>
  <c r="F29" i="4"/>
  <c r="G29" i="4" s="1"/>
  <c r="E25" i="1"/>
  <c r="F45" i="4"/>
  <c r="G45" i="4" s="1"/>
  <c r="G36" i="1"/>
  <c r="L56" i="4"/>
  <c r="M56" i="4" s="1"/>
  <c r="E49" i="1"/>
  <c r="F69" i="4"/>
  <c r="G69" i="4" s="1"/>
  <c r="G68" i="1"/>
  <c r="E82" i="1"/>
  <c r="F102" i="4"/>
  <c r="G102" i="4" s="1"/>
  <c r="G103" i="1"/>
  <c r="L123" i="4"/>
  <c r="M123" i="4" s="1"/>
  <c r="G162" i="1"/>
  <c r="L182" i="4"/>
  <c r="M182" i="4" s="1"/>
  <c r="F173" i="1"/>
  <c r="I193" i="4"/>
  <c r="J193" i="4" s="1"/>
  <c r="F181" i="1"/>
  <c r="I201" i="4"/>
  <c r="J201" i="4" s="1"/>
  <c r="G194" i="1"/>
  <c r="L214" i="4"/>
  <c r="E206" i="1"/>
  <c r="F226" i="4"/>
  <c r="G226" i="4" s="1"/>
  <c r="E220" i="1"/>
  <c r="F240" i="4"/>
  <c r="G240" i="4" s="1"/>
  <c r="F107" i="4"/>
  <c r="G107" i="4" s="1"/>
  <c r="F187" i="4"/>
  <c r="G187" i="4" s="1"/>
  <c r="F12" i="1"/>
  <c r="I32" i="4"/>
  <c r="J32" i="4" s="1"/>
  <c r="F20" i="1"/>
  <c r="I40" i="4"/>
  <c r="J40" i="4" s="1"/>
  <c r="G33" i="1"/>
  <c r="L53" i="4"/>
  <c r="M53" i="4" s="1"/>
  <c r="I53" i="4"/>
  <c r="J53" i="4" s="1"/>
  <c r="F44" i="1"/>
  <c r="I64" i="4"/>
  <c r="J64" i="4" s="1"/>
  <c r="E54" i="1"/>
  <c r="F74" i="4"/>
  <c r="G74" i="4" s="1"/>
  <c r="F85" i="1"/>
  <c r="I105" i="4"/>
  <c r="J105" i="4" s="1"/>
  <c r="E96" i="1"/>
  <c r="F116" i="4"/>
  <c r="G116" i="4" s="1"/>
  <c r="F113" i="1"/>
  <c r="I133" i="4"/>
  <c r="J133" i="4" s="1"/>
  <c r="E132" i="1"/>
  <c r="I132" i="1" s="1"/>
  <c r="F152" i="4"/>
  <c r="G152" i="4" s="1"/>
  <c r="F147" i="1"/>
  <c r="I167" i="4"/>
  <c r="J167" i="4" s="1"/>
  <c r="E164" i="1"/>
  <c r="F184" i="4"/>
  <c r="G184" i="4" s="1"/>
  <c r="F178" i="1"/>
  <c r="I198" i="4"/>
  <c r="J198" i="4" s="1"/>
  <c r="G191" i="1"/>
  <c r="H191" i="1" s="1"/>
  <c r="I191" i="1" s="1"/>
  <c r="L211" i="4"/>
  <c r="M211" i="4" s="1"/>
  <c r="L226" i="4"/>
  <c r="M226" i="4" s="1"/>
  <c r="G206" i="1"/>
  <c r="L240" i="4"/>
  <c r="M240" i="4" s="1"/>
  <c r="G220" i="1"/>
  <c r="G106" i="1"/>
  <c r="L126" i="4"/>
  <c r="M126" i="4" s="1"/>
  <c r="G233" i="1"/>
  <c r="H233" i="1" s="1"/>
  <c r="I233" i="1" s="1"/>
  <c r="L253" i="4"/>
  <c r="M253" i="4" s="1"/>
  <c r="E245" i="1"/>
  <c r="F265" i="4"/>
  <c r="G265" i="4" s="1"/>
  <c r="F251" i="4"/>
  <c r="G251" i="4" s="1"/>
  <c r="E17" i="1"/>
  <c r="F37" i="4"/>
  <c r="G37" i="4" s="1"/>
  <c r="G28" i="1"/>
  <c r="L48" i="4"/>
  <c r="M48" i="4" s="1"/>
  <c r="G44" i="1"/>
  <c r="L64" i="4"/>
  <c r="M64" i="4" s="1"/>
  <c r="E57" i="1"/>
  <c r="F77" i="4"/>
  <c r="G77" i="4" s="1"/>
  <c r="F63" i="1"/>
  <c r="I83" i="4"/>
  <c r="J83" i="4" s="1"/>
  <c r="L83" i="4"/>
  <c r="M83" i="4" s="1"/>
  <c r="G76" i="1"/>
  <c r="H76" i="1" s="1"/>
  <c r="I76" i="1" s="1"/>
  <c r="L76" i="1" s="1"/>
  <c r="L96" i="4"/>
  <c r="E91" i="1"/>
  <c r="F107" i="1"/>
  <c r="I127" i="4"/>
  <c r="J127" i="4" s="1"/>
  <c r="F127" i="4"/>
  <c r="G127" i="4" s="1"/>
  <c r="E118" i="1"/>
  <c r="F138" i="4"/>
  <c r="G138" i="4" s="1"/>
  <c r="G170" i="1"/>
  <c r="L190" i="4"/>
  <c r="M190" i="4" s="1"/>
  <c r="G178" i="1"/>
  <c r="L198" i="4"/>
  <c r="M198" i="4" s="1"/>
  <c r="F189" i="1"/>
  <c r="I209" i="4"/>
  <c r="J209" i="4" s="1"/>
  <c r="E198" i="1"/>
  <c r="F218" i="4"/>
  <c r="G218" i="4" s="1"/>
  <c r="G216" i="1"/>
  <c r="H216" i="1" s="1"/>
  <c r="I216" i="1" s="1"/>
  <c r="L236" i="4"/>
  <c r="M236" i="4" s="1"/>
  <c r="F121" i="1"/>
  <c r="H121" i="1" s="1"/>
  <c r="I121" i="1" s="1"/>
  <c r="I141" i="4"/>
  <c r="J141" i="4" s="1"/>
  <c r="F9" i="1"/>
  <c r="I29" i="4"/>
  <c r="J29" i="4" s="1"/>
  <c r="G14" i="1"/>
  <c r="L34" i="4"/>
  <c r="M34" i="4" s="1"/>
  <c r="I34" i="4"/>
  <c r="J34" i="4" s="1"/>
  <c r="F17" i="1"/>
  <c r="I37" i="4"/>
  <c r="J37" i="4" s="1"/>
  <c r="G22" i="1"/>
  <c r="L42" i="4"/>
  <c r="M42" i="4" s="1"/>
  <c r="F25" i="1"/>
  <c r="I45" i="4"/>
  <c r="J45" i="4" s="1"/>
  <c r="G30" i="1"/>
  <c r="L50" i="4"/>
  <c r="M50" i="4" s="1"/>
  <c r="F33" i="1"/>
  <c r="G38" i="1"/>
  <c r="L58" i="4"/>
  <c r="M58" i="4" s="1"/>
  <c r="F41" i="1"/>
  <c r="I61" i="4"/>
  <c r="J61" i="4" s="1"/>
  <c r="G46" i="1"/>
  <c r="L66" i="4"/>
  <c r="M66" i="4" s="1"/>
  <c r="I66" i="4"/>
  <c r="J66" i="4" s="1"/>
  <c r="F49" i="1"/>
  <c r="I69" i="4"/>
  <c r="J69" i="4" s="1"/>
  <c r="G54" i="1"/>
  <c r="L74" i="4"/>
  <c r="M74" i="4" s="1"/>
  <c r="F57" i="1"/>
  <c r="I77" i="4"/>
  <c r="J77" i="4" s="1"/>
  <c r="G62" i="1"/>
  <c r="L82" i="4"/>
  <c r="M82" i="4" s="1"/>
  <c r="F65" i="1"/>
  <c r="I85" i="4"/>
  <c r="G70" i="1"/>
  <c r="L90" i="4"/>
  <c r="M90" i="4" s="1"/>
  <c r="F73" i="1"/>
  <c r="I93" i="4"/>
  <c r="J93" i="4" s="1"/>
  <c r="G79" i="1"/>
  <c r="L99" i="4"/>
  <c r="M99" i="4" s="1"/>
  <c r="I99" i="4"/>
  <c r="J99" i="4" s="1"/>
  <c r="F82" i="1"/>
  <c r="H82" i="1" s="1"/>
  <c r="I82" i="1" s="1"/>
  <c r="I102" i="4"/>
  <c r="J102" i="4" s="1"/>
  <c r="G87" i="1"/>
  <c r="L107" i="4"/>
  <c r="M107" i="4" s="1"/>
  <c r="G96" i="1"/>
  <c r="L116" i="4"/>
  <c r="M116" i="4" s="1"/>
  <c r="F100" i="1"/>
  <c r="I120" i="4"/>
  <c r="J120" i="4" s="1"/>
  <c r="G115" i="1"/>
  <c r="F118" i="1"/>
  <c r="I138" i="4"/>
  <c r="J138" i="4" s="1"/>
  <c r="G124" i="1"/>
  <c r="L144" i="4"/>
  <c r="M144" i="4" s="1"/>
  <c r="F127" i="1"/>
  <c r="I147" i="4"/>
  <c r="J147" i="4" s="1"/>
  <c r="G132" i="1"/>
  <c r="L152" i="4"/>
  <c r="M152" i="4" s="1"/>
  <c r="F135" i="1"/>
  <c r="G140" i="1"/>
  <c r="L160" i="4"/>
  <c r="M160" i="4" s="1"/>
  <c r="I164" i="4"/>
  <c r="J164" i="4" s="1"/>
  <c r="F144" i="1"/>
  <c r="L169" i="4"/>
  <c r="M169" i="4" s="1"/>
  <c r="G149" i="1"/>
  <c r="G156" i="1"/>
  <c r="L176" i="4"/>
  <c r="M176" i="4" s="1"/>
  <c r="G164" i="1"/>
  <c r="L184" i="4"/>
  <c r="M184" i="4" s="1"/>
  <c r="G172" i="1"/>
  <c r="L192" i="4"/>
  <c r="M192" i="4" s="1"/>
  <c r="G180" i="1"/>
  <c r="L200" i="4"/>
  <c r="M200" i="4" s="1"/>
  <c r="G188" i="1"/>
  <c r="L208" i="4"/>
  <c r="M208" i="4" s="1"/>
  <c r="G196" i="1"/>
  <c r="L216" i="4"/>
  <c r="M216" i="4" s="1"/>
  <c r="F198" i="1"/>
  <c r="I218" i="4"/>
  <c r="J218" i="4" s="1"/>
  <c r="F206" i="1"/>
  <c r="H206" i="1" s="1"/>
  <c r="I206" i="1" s="1"/>
  <c r="L206" i="1" s="1"/>
  <c r="I226" i="4"/>
  <c r="J226" i="4" s="1"/>
  <c r="G218" i="1"/>
  <c r="L238" i="4"/>
  <c r="M238" i="4" s="1"/>
  <c r="F220" i="1"/>
  <c r="I240" i="4"/>
  <c r="F106" i="1"/>
  <c r="I126" i="4"/>
  <c r="F126" i="4"/>
  <c r="G126" i="4" s="1"/>
  <c r="G231" i="1"/>
  <c r="L251" i="4"/>
  <c r="M251" i="4" s="1"/>
  <c r="G143" i="1"/>
  <c r="L163" i="4"/>
  <c r="M163" i="4" s="1"/>
  <c r="G254" i="1"/>
  <c r="L274" i="4"/>
  <c r="M274" i="4" s="1"/>
  <c r="F268" i="4"/>
  <c r="G268" i="4" s="1"/>
  <c r="F260" i="4"/>
  <c r="G260" i="4" s="1"/>
  <c r="F252" i="4"/>
  <c r="G252" i="4" s="1"/>
  <c r="F244" i="4"/>
  <c r="G244" i="4" s="1"/>
  <c r="F236" i="4"/>
  <c r="G236" i="4" s="1"/>
  <c r="F228" i="4"/>
  <c r="G228" i="4" s="1"/>
  <c r="F220" i="4"/>
  <c r="G220" i="4" s="1"/>
  <c r="F212" i="4"/>
  <c r="G212" i="4" s="1"/>
  <c r="F204" i="4"/>
  <c r="G204" i="4" s="1"/>
  <c r="F196" i="4"/>
  <c r="G196" i="4" s="1"/>
  <c r="F188" i="4"/>
  <c r="G188" i="4" s="1"/>
  <c r="F180" i="4"/>
  <c r="G180" i="4" s="1"/>
  <c r="F172" i="4"/>
  <c r="G172" i="4" s="1"/>
  <c r="F156" i="4"/>
  <c r="G156" i="4" s="1"/>
  <c r="F148" i="4"/>
  <c r="G148" i="4" s="1"/>
  <c r="F140" i="4"/>
  <c r="G140" i="4" s="1"/>
  <c r="F132" i="4"/>
  <c r="G132" i="4" s="1"/>
  <c r="F124" i="4"/>
  <c r="G124" i="4" s="1"/>
  <c r="F108" i="4"/>
  <c r="G108" i="4" s="1"/>
  <c r="F100" i="4"/>
  <c r="G100" i="4" s="1"/>
  <c r="F92" i="4"/>
  <c r="G92" i="4" s="1"/>
  <c r="F84" i="4"/>
  <c r="G84" i="4" s="1"/>
  <c r="F76" i="4"/>
  <c r="G76" i="4" s="1"/>
  <c r="F68" i="4"/>
  <c r="G68" i="4" s="1"/>
  <c r="F60" i="4"/>
  <c r="G60" i="4" s="1"/>
  <c r="F52" i="4"/>
  <c r="G52" i="4" s="1"/>
  <c r="F44" i="4"/>
  <c r="G44" i="4" s="1"/>
  <c r="F36" i="4"/>
  <c r="G36" i="4" s="1"/>
  <c r="F28" i="4"/>
  <c r="G28" i="4" s="1"/>
  <c r="I264" i="4"/>
  <c r="J264" i="4" s="1"/>
  <c r="I248" i="4"/>
  <c r="J248" i="4" s="1"/>
  <c r="I205" i="4"/>
  <c r="J205" i="4" s="1"/>
  <c r="I163" i="4"/>
  <c r="J163" i="4" s="1"/>
  <c r="I135" i="4"/>
  <c r="J135" i="4" s="1"/>
  <c r="L135" i="4"/>
  <c r="M135" i="4" s="1"/>
  <c r="I103" i="4"/>
  <c r="J103" i="4" s="1"/>
  <c r="I71" i="4"/>
  <c r="J71" i="4" s="1"/>
  <c r="I39" i="4"/>
  <c r="J39" i="4" s="1"/>
  <c r="L261" i="4"/>
  <c r="M261" i="4" s="1"/>
  <c r="L229" i="4"/>
  <c r="M229" i="4" s="1"/>
  <c r="L197" i="4"/>
  <c r="M197" i="4" s="1"/>
  <c r="L165" i="4"/>
  <c r="M165" i="4" s="1"/>
  <c r="L101" i="4"/>
  <c r="M101" i="4" s="1"/>
  <c r="I101" i="4"/>
  <c r="J101" i="4" s="1"/>
  <c r="F101" i="4"/>
  <c r="G101" i="4" s="1"/>
  <c r="E253" i="1"/>
  <c r="E228" i="1"/>
  <c r="F152" i="1"/>
  <c r="G223" i="1"/>
  <c r="L243" i="4"/>
  <c r="M243" i="4" s="1"/>
  <c r="I246" i="4"/>
  <c r="J246" i="4" s="1"/>
  <c r="G7" i="1"/>
  <c r="L27" i="4"/>
  <c r="M27" i="4" s="1"/>
  <c r="F10" i="1"/>
  <c r="I30" i="4"/>
  <c r="J30" i="4" s="1"/>
  <c r="G15" i="1"/>
  <c r="L35" i="4"/>
  <c r="M35" i="4" s="1"/>
  <c r="F18" i="1"/>
  <c r="H18" i="1" s="1"/>
  <c r="I18" i="1" s="1"/>
  <c r="I38" i="4"/>
  <c r="J38" i="4" s="1"/>
  <c r="G23" i="1"/>
  <c r="L43" i="4"/>
  <c r="F26" i="1"/>
  <c r="I46" i="4"/>
  <c r="J46" i="4" s="1"/>
  <c r="G31" i="1"/>
  <c r="L51" i="4"/>
  <c r="M51" i="4" s="1"/>
  <c r="F34" i="1"/>
  <c r="H34" i="1" s="1"/>
  <c r="I34" i="1" s="1"/>
  <c r="I54" i="4"/>
  <c r="J54" i="4" s="1"/>
  <c r="G39" i="1"/>
  <c r="L59" i="4"/>
  <c r="M59" i="4" s="1"/>
  <c r="F42" i="1"/>
  <c r="I62" i="4"/>
  <c r="J62" i="4" s="1"/>
  <c r="G47" i="1"/>
  <c r="F50" i="1"/>
  <c r="I70" i="4"/>
  <c r="J70" i="4" s="1"/>
  <c r="L70" i="4"/>
  <c r="M70" i="4" s="1"/>
  <c r="F70" i="4"/>
  <c r="G70" i="4" s="1"/>
  <c r="G55" i="1"/>
  <c r="L75" i="4"/>
  <c r="F58" i="1"/>
  <c r="I78" i="4"/>
  <c r="J78" i="4" s="1"/>
  <c r="G63" i="1"/>
  <c r="F66" i="1"/>
  <c r="H66" i="1" s="1"/>
  <c r="I86" i="4"/>
  <c r="J86" i="4" s="1"/>
  <c r="L86" i="4"/>
  <c r="M86" i="4" s="1"/>
  <c r="F86" i="4"/>
  <c r="G86" i="4" s="1"/>
  <c r="G71" i="1"/>
  <c r="L91" i="4"/>
  <c r="M91" i="4" s="1"/>
  <c r="F74" i="1"/>
  <c r="I94" i="4"/>
  <c r="J94" i="4" s="1"/>
  <c r="G80" i="1"/>
  <c r="H80" i="1" s="1"/>
  <c r="I80" i="1" s="1"/>
  <c r="L100" i="4"/>
  <c r="M100" i="4" s="1"/>
  <c r="F92" i="1"/>
  <c r="I112" i="4"/>
  <c r="J112" i="4" s="1"/>
  <c r="L112" i="4"/>
  <c r="M112" i="4" s="1"/>
  <c r="F112" i="4"/>
  <c r="G112" i="4" s="1"/>
  <c r="F110" i="1"/>
  <c r="I130" i="4"/>
  <c r="J130" i="4" s="1"/>
  <c r="G116" i="1"/>
  <c r="H116" i="1" s="1"/>
  <c r="I116" i="1" s="1"/>
  <c r="L136" i="4"/>
  <c r="F119" i="1"/>
  <c r="I139" i="4"/>
  <c r="J139" i="4" s="1"/>
  <c r="L145" i="4"/>
  <c r="M145" i="4" s="1"/>
  <c r="F145" i="4"/>
  <c r="G145" i="4" s="1"/>
  <c r="G125" i="1"/>
  <c r="H125" i="1" s="1"/>
  <c r="I148" i="4"/>
  <c r="J148" i="4" s="1"/>
  <c r="F128" i="1"/>
  <c r="G133" i="1"/>
  <c r="L153" i="4"/>
  <c r="M153" i="4" s="1"/>
  <c r="F136" i="1"/>
  <c r="I156" i="4"/>
  <c r="J156" i="4" s="1"/>
  <c r="L161" i="4"/>
  <c r="M161" i="4" s="1"/>
  <c r="F161" i="4"/>
  <c r="G161" i="4" s="1"/>
  <c r="G141" i="1"/>
  <c r="F145" i="1"/>
  <c r="H145" i="1" s="1"/>
  <c r="I145" i="1" s="1"/>
  <c r="L145" i="1" s="1"/>
  <c r="I165" i="4"/>
  <c r="J165" i="4" s="1"/>
  <c r="G157" i="1"/>
  <c r="H157" i="1" s="1"/>
  <c r="I157" i="1" s="1"/>
  <c r="L157" i="1" s="1"/>
  <c r="L177" i="4"/>
  <c r="M177" i="4" s="1"/>
  <c r="F160" i="1"/>
  <c r="I180" i="4"/>
  <c r="J180" i="4" s="1"/>
  <c r="L185" i="4"/>
  <c r="M185" i="4" s="1"/>
  <c r="F185" i="4"/>
  <c r="G185" i="4" s="1"/>
  <c r="G165" i="1"/>
  <c r="H165" i="1" s="1"/>
  <c r="I165" i="1" s="1"/>
  <c r="I188" i="4"/>
  <c r="J188" i="4" s="1"/>
  <c r="F168" i="1"/>
  <c r="H168" i="1" s="1"/>
  <c r="I168" i="1" s="1"/>
  <c r="G173" i="1"/>
  <c r="L193" i="4"/>
  <c r="I196" i="4"/>
  <c r="J196" i="4" s="1"/>
  <c r="F176" i="1"/>
  <c r="F184" i="1"/>
  <c r="I204" i="4"/>
  <c r="J204" i="4" s="1"/>
  <c r="L204" i="4"/>
  <c r="M204" i="4" s="1"/>
  <c r="L209" i="4"/>
  <c r="M209" i="4" s="1"/>
  <c r="G189" i="1"/>
  <c r="G197" i="1"/>
  <c r="G204" i="1"/>
  <c r="F214" i="1"/>
  <c r="I234" i="4"/>
  <c r="J234" i="4" s="1"/>
  <c r="L234" i="4"/>
  <c r="M234" i="4" s="1"/>
  <c r="G98" i="1"/>
  <c r="G226" i="1"/>
  <c r="L246" i="4"/>
  <c r="M246" i="4" s="1"/>
  <c r="G238" i="1"/>
  <c r="L258" i="4"/>
  <c r="M258" i="4" s="1"/>
  <c r="G246" i="1"/>
  <c r="H246" i="1" s="1"/>
  <c r="I246" i="1" s="1"/>
  <c r="L266" i="4"/>
  <c r="M266" i="4" s="1"/>
  <c r="I266" i="4"/>
  <c r="J266" i="4" s="1"/>
  <c r="F257" i="4"/>
  <c r="G257" i="4" s="1"/>
  <c r="F249" i="4"/>
  <c r="G249" i="4" s="1"/>
  <c r="F241" i="4"/>
  <c r="G241" i="4" s="1"/>
  <c r="F225" i="4"/>
  <c r="G225" i="4" s="1"/>
  <c r="F209" i="4"/>
  <c r="G209" i="4" s="1"/>
  <c r="F201" i="4"/>
  <c r="G201" i="4" s="1"/>
  <c r="F193" i="4"/>
  <c r="G193" i="4" s="1"/>
  <c r="F177" i="4"/>
  <c r="G177" i="4" s="1"/>
  <c r="F153" i="4"/>
  <c r="G153" i="4" s="1"/>
  <c r="F137" i="4"/>
  <c r="G137" i="4" s="1"/>
  <c r="F121" i="4"/>
  <c r="G121" i="4" s="1"/>
  <c r="F113" i="4"/>
  <c r="G113" i="4" s="1"/>
  <c r="F105" i="4"/>
  <c r="G105" i="4" s="1"/>
  <c r="F97" i="4"/>
  <c r="G97" i="4" s="1"/>
  <c r="F89" i="4"/>
  <c r="G89" i="4" s="1"/>
  <c r="F81" i="4"/>
  <c r="G81" i="4" s="1"/>
  <c r="F73" i="4"/>
  <c r="G73" i="4" s="1"/>
  <c r="F65" i="4"/>
  <c r="G65" i="4" s="1"/>
  <c r="F57" i="4"/>
  <c r="G57" i="4" s="1"/>
  <c r="F49" i="4"/>
  <c r="G49" i="4" s="1"/>
  <c r="F41" i="4"/>
  <c r="G41" i="4" s="1"/>
  <c r="F33" i="4"/>
  <c r="G33" i="4" s="1"/>
  <c r="I277" i="4"/>
  <c r="I261" i="4"/>
  <c r="J261" i="4" s="1"/>
  <c r="I253" i="4"/>
  <c r="J253" i="4" s="1"/>
  <c r="I245" i="4"/>
  <c r="J245" i="4" s="1"/>
  <c r="I215" i="4"/>
  <c r="J215" i="4" s="1"/>
  <c r="L215" i="4"/>
  <c r="M215" i="4" s="1"/>
  <c r="F215" i="4"/>
  <c r="G215" i="4" s="1"/>
  <c r="I199" i="4"/>
  <c r="J199" i="4" s="1"/>
  <c r="I121" i="4"/>
  <c r="J121" i="4" s="1"/>
  <c r="I89" i="4"/>
  <c r="J89" i="4" s="1"/>
  <c r="I57" i="4"/>
  <c r="L26" i="4"/>
  <c r="L247" i="4"/>
  <c r="L183" i="4"/>
  <c r="M183" i="4" s="1"/>
  <c r="L151" i="4"/>
  <c r="M151" i="4" s="1"/>
  <c r="L119" i="4"/>
  <c r="M119" i="4" s="1"/>
  <c r="L87" i="4"/>
  <c r="M87" i="4" s="1"/>
  <c r="L55" i="4"/>
  <c r="M55" i="4" s="1"/>
  <c r="F248" i="1"/>
  <c r="G237" i="1"/>
  <c r="G210" i="1"/>
  <c r="F88" i="1"/>
  <c r="G42" i="1"/>
  <c r="L62" i="4"/>
  <c r="M62" i="4" s="1"/>
  <c r="G92" i="1"/>
  <c r="G110" i="1"/>
  <c r="H110" i="1" s="1"/>
  <c r="I110" i="1" s="1"/>
  <c r="L110" i="1" s="1"/>
  <c r="L130" i="4"/>
  <c r="M130" i="4" s="1"/>
  <c r="F114" i="1"/>
  <c r="H114" i="1" s="1"/>
  <c r="I114" i="1" s="1"/>
  <c r="L114" i="1" s="1"/>
  <c r="I134" i="4"/>
  <c r="J134" i="4" s="1"/>
  <c r="G136" i="1"/>
  <c r="L156" i="4"/>
  <c r="F148" i="1"/>
  <c r="I168" i="4"/>
  <c r="J168" i="4" s="1"/>
  <c r="G152" i="1"/>
  <c r="H152" i="1" s="1"/>
  <c r="I152" i="1" s="1"/>
  <c r="L172" i="4"/>
  <c r="M172" i="4" s="1"/>
  <c r="G160" i="1"/>
  <c r="L180" i="4"/>
  <c r="M180" i="4" s="1"/>
  <c r="G168" i="1"/>
  <c r="L188" i="4"/>
  <c r="M188" i="4" s="1"/>
  <c r="G176" i="1"/>
  <c r="L196" i="4"/>
  <c r="M196" i="4" s="1"/>
  <c r="G184" i="1"/>
  <c r="G192" i="1"/>
  <c r="L212" i="4"/>
  <c r="M212" i="4" s="1"/>
  <c r="G199" i="1"/>
  <c r="L219" i="4"/>
  <c r="M219" i="4" s="1"/>
  <c r="F202" i="1"/>
  <c r="I222" i="4"/>
  <c r="J222" i="4" s="1"/>
  <c r="G207" i="1"/>
  <c r="L227" i="4"/>
  <c r="M227" i="4" s="1"/>
  <c r="G214" i="1"/>
  <c r="L241" i="4"/>
  <c r="M241" i="4" s="1"/>
  <c r="G221" i="1"/>
  <c r="G228" i="1"/>
  <c r="H228" i="1" s="1"/>
  <c r="L248" i="4"/>
  <c r="M248" i="4" s="1"/>
  <c r="G234" i="1"/>
  <c r="L254" i="4"/>
  <c r="M254" i="4" s="1"/>
  <c r="G250" i="1"/>
  <c r="H250" i="1" s="1"/>
  <c r="I250" i="1" s="1"/>
  <c r="L250" i="1" s="1"/>
  <c r="L270" i="4"/>
  <c r="M270" i="4" s="1"/>
  <c r="G258" i="1"/>
  <c r="H258" i="1" s="1"/>
  <c r="I258" i="1" s="1"/>
  <c r="L278" i="4"/>
  <c r="M278" i="4" s="1"/>
  <c r="F264" i="4"/>
  <c r="G264" i="4" s="1"/>
  <c r="F232" i="4"/>
  <c r="G232" i="4" s="1"/>
  <c r="F168" i="4"/>
  <c r="G168" i="4" s="1"/>
  <c r="F136" i="4"/>
  <c r="G136" i="4" s="1"/>
  <c r="F128" i="4"/>
  <c r="G128" i="4" s="1"/>
  <c r="F104" i="4"/>
  <c r="G104" i="4" s="1"/>
  <c r="F96" i="4"/>
  <c r="G96" i="4" s="1"/>
  <c r="F72" i="4"/>
  <c r="G72" i="4" s="1"/>
  <c r="F64" i="4"/>
  <c r="G64" i="4" s="1"/>
  <c r="F56" i="4"/>
  <c r="G56" i="4" s="1"/>
  <c r="F48" i="4"/>
  <c r="G48" i="4" s="1"/>
  <c r="F40" i="4"/>
  <c r="G40" i="4" s="1"/>
  <c r="F32" i="4"/>
  <c r="G32" i="4" s="1"/>
  <c r="I276" i="4"/>
  <c r="J276" i="4" s="1"/>
  <c r="I252" i="4"/>
  <c r="J252" i="4" s="1"/>
  <c r="L252" i="4"/>
  <c r="M252" i="4" s="1"/>
  <c r="I244" i="4"/>
  <c r="J244" i="4" s="1"/>
  <c r="L244" i="4"/>
  <c r="M244" i="4" s="1"/>
  <c r="I229" i="4"/>
  <c r="J229" i="4" s="1"/>
  <c r="I213" i="4"/>
  <c r="J213" i="4" s="1"/>
  <c r="I195" i="4"/>
  <c r="J195" i="4" s="1"/>
  <c r="I175" i="4"/>
  <c r="J175" i="4" s="1"/>
  <c r="I151" i="4"/>
  <c r="J151" i="4" s="1"/>
  <c r="I119" i="4"/>
  <c r="J119" i="4" s="1"/>
  <c r="I87" i="4"/>
  <c r="J87" i="4" s="1"/>
  <c r="I55" i="4"/>
  <c r="J55" i="4" s="1"/>
  <c r="F55" i="4"/>
  <c r="G55" i="4" s="1"/>
  <c r="L245" i="4"/>
  <c r="M245" i="4" s="1"/>
  <c r="L213" i="4"/>
  <c r="M213" i="4" s="1"/>
  <c r="L181" i="4"/>
  <c r="M181" i="4" s="1"/>
  <c r="L149" i="4"/>
  <c r="M149" i="4" s="1"/>
  <c r="L117" i="4"/>
  <c r="M117" i="4" s="1"/>
  <c r="G247" i="1"/>
  <c r="E67" i="1"/>
  <c r="L256" i="4"/>
  <c r="M256" i="4" s="1"/>
  <c r="G236" i="1"/>
  <c r="G50" i="1"/>
  <c r="H50" i="1" s="1"/>
  <c r="I50" i="1" s="1"/>
  <c r="L50" i="1" s="1"/>
  <c r="G58" i="1"/>
  <c r="L78" i="4"/>
  <c r="F95" i="1"/>
  <c r="I115" i="4"/>
  <c r="J115" i="4" s="1"/>
  <c r="G119" i="1"/>
  <c r="L139" i="4"/>
  <c r="M139" i="4" s="1"/>
  <c r="G128" i="1"/>
  <c r="L148" i="4"/>
  <c r="M148" i="4" s="1"/>
  <c r="F8" i="1"/>
  <c r="I28" i="4"/>
  <c r="J28" i="4" s="1"/>
  <c r="L33" i="4"/>
  <c r="M33" i="4" s="1"/>
  <c r="G13" i="1"/>
  <c r="I36" i="4"/>
  <c r="J36" i="4" s="1"/>
  <c r="F16" i="1"/>
  <c r="L41" i="4"/>
  <c r="M41" i="4" s="1"/>
  <c r="G21" i="1"/>
  <c r="H21" i="1" s="1"/>
  <c r="I21" i="1" s="1"/>
  <c r="L21" i="1" s="1"/>
  <c r="G29" i="1"/>
  <c r="L49" i="4"/>
  <c r="M49" i="4" s="1"/>
  <c r="I49" i="4"/>
  <c r="J49" i="4" s="1"/>
  <c r="F32" i="1"/>
  <c r="I52" i="4"/>
  <c r="J52" i="4" s="1"/>
  <c r="L57" i="4"/>
  <c r="M57" i="4" s="1"/>
  <c r="G37" i="1"/>
  <c r="I60" i="4"/>
  <c r="J60" i="4" s="1"/>
  <c r="F40" i="1"/>
  <c r="F48" i="1"/>
  <c r="I68" i="4"/>
  <c r="J68" i="4" s="1"/>
  <c r="L68" i="4"/>
  <c r="M68" i="4" s="1"/>
  <c r="L73" i="4"/>
  <c r="M73" i="4" s="1"/>
  <c r="I73" i="4"/>
  <c r="J73" i="4" s="1"/>
  <c r="G53" i="1"/>
  <c r="I76" i="4"/>
  <c r="J76" i="4" s="1"/>
  <c r="F56" i="1"/>
  <c r="L81" i="4"/>
  <c r="M81" i="4" s="1"/>
  <c r="G61" i="1"/>
  <c r="I84" i="4"/>
  <c r="J84" i="4" s="1"/>
  <c r="F64" i="1"/>
  <c r="G69" i="1"/>
  <c r="H69" i="1" s="1"/>
  <c r="I69" i="1" s="1"/>
  <c r="L89" i="4"/>
  <c r="M89" i="4" s="1"/>
  <c r="F72" i="1"/>
  <c r="I92" i="4"/>
  <c r="J92" i="4" s="1"/>
  <c r="L97" i="4"/>
  <c r="G77" i="1"/>
  <c r="F81" i="1"/>
  <c r="G86" i="1"/>
  <c r="L106" i="4"/>
  <c r="M106" i="4" s="1"/>
  <c r="F90" i="1"/>
  <c r="I110" i="4"/>
  <c r="J110" i="4" s="1"/>
  <c r="G95" i="1"/>
  <c r="L115" i="4"/>
  <c r="M115" i="4" s="1"/>
  <c r="G104" i="1"/>
  <c r="L124" i="4"/>
  <c r="M124" i="4" s="1"/>
  <c r="F108" i="1"/>
  <c r="I128" i="4"/>
  <c r="J128" i="4" s="1"/>
  <c r="G114" i="1"/>
  <c r="L134" i="4"/>
  <c r="M134" i="4" s="1"/>
  <c r="F126" i="1"/>
  <c r="I146" i="4"/>
  <c r="J146" i="4" s="1"/>
  <c r="F134" i="1"/>
  <c r="I154" i="4"/>
  <c r="J154" i="4" s="1"/>
  <c r="L154" i="4"/>
  <c r="M154" i="4" s="1"/>
  <c r="F142" i="1"/>
  <c r="H142" i="1" s="1"/>
  <c r="I162" i="4"/>
  <c r="J162" i="4" s="1"/>
  <c r="G148" i="1"/>
  <c r="L168" i="4"/>
  <c r="M168" i="4" s="1"/>
  <c r="F150" i="1"/>
  <c r="H150" i="1" s="1"/>
  <c r="I150" i="1" s="1"/>
  <c r="I170" i="4"/>
  <c r="J170" i="4" s="1"/>
  <c r="F158" i="1"/>
  <c r="I178" i="4"/>
  <c r="J178" i="4" s="1"/>
  <c r="L178" i="4"/>
  <c r="M178" i="4" s="1"/>
  <c r="F166" i="1"/>
  <c r="I186" i="4"/>
  <c r="J186" i="4" s="1"/>
  <c r="F174" i="1"/>
  <c r="I194" i="4"/>
  <c r="J194" i="4" s="1"/>
  <c r="F182" i="1"/>
  <c r="H182" i="1" s="1"/>
  <c r="I182" i="1" s="1"/>
  <c r="I202" i="4"/>
  <c r="J202" i="4" s="1"/>
  <c r="F190" i="1"/>
  <c r="I210" i="4"/>
  <c r="J210" i="4" s="1"/>
  <c r="F78" i="1"/>
  <c r="I98" i="4"/>
  <c r="J98" i="4" s="1"/>
  <c r="G202" i="1"/>
  <c r="L222" i="4"/>
  <c r="F212" i="1"/>
  <c r="H212" i="1" s="1"/>
  <c r="I232" i="4"/>
  <c r="J232" i="4" s="1"/>
  <c r="G224" i="1"/>
  <c r="L250" i="4"/>
  <c r="M250" i="4" s="1"/>
  <c r="I250" i="4"/>
  <c r="J250" i="4" s="1"/>
  <c r="G230" i="1"/>
  <c r="H230" i="1" s="1"/>
  <c r="I230" i="1" s="1"/>
  <c r="L264" i="4"/>
  <c r="G244" i="1"/>
  <c r="H244" i="1" s="1"/>
  <c r="I244" i="1" s="1"/>
  <c r="L244" i="1" s="1"/>
  <c r="F263" i="4"/>
  <c r="G263" i="4" s="1"/>
  <c r="F255" i="4"/>
  <c r="G255" i="4" s="1"/>
  <c r="F247" i="4"/>
  <c r="G247" i="4" s="1"/>
  <c r="F239" i="4"/>
  <c r="G239" i="4" s="1"/>
  <c r="F231" i="4"/>
  <c r="G231" i="4" s="1"/>
  <c r="F207" i="4"/>
  <c r="G207" i="4" s="1"/>
  <c r="F199" i="4"/>
  <c r="G199" i="4" s="1"/>
  <c r="F191" i="4"/>
  <c r="G191" i="4" s="1"/>
  <c r="F183" i="4"/>
  <c r="G183" i="4" s="1"/>
  <c r="F175" i="4"/>
  <c r="G175" i="4" s="1"/>
  <c r="F167" i="4"/>
  <c r="G167" i="4" s="1"/>
  <c r="F159" i="4"/>
  <c r="G159" i="4" s="1"/>
  <c r="F143" i="4"/>
  <c r="G143" i="4" s="1"/>
  <c r="F119" i="4"/>
  <c r="G119" i="4" s="1"/>
  <c r="F103" i="4"/>
  <c r="G103" i="4" s="1"/>
  <c r="F95" i="4"/>
  <c r="G95" i="4" s="1"/>
  <c r="F79" i="4"/>
  <c r="G79" i="4" s="1"/>
  <c r="F71" i="4"/>
  <c r="G71" i="4" s="1"/>
  <c r="F63" i="4"/>
  <c r="G63" i="4" s="1"/>
  <c r="F47" i="4"/>
  <c r="G47" i="4" s="1"/>
  <c r="F39" i="4"/>
  <c r="G39" i="4" s="1"/>
  <c r="F31" i="4"/>
  <c r="G31" i="4" s="1"/>
  <c r="I275" i="4"/>
  <c r="J275" i="4" s="1"/>
  <c r="I259" i="4"/>
  <c r="J259" i="4" s="1"/>
  <c r="I251" i="4"/>
  <c r="J251" i="4" s="1"/>
  <c r="I227" i="4"/>
  <c r="J227" i="4" s="1"/>
  <c r="I211" i="4"/>
  <c r="J211" i="4" s="1"/>
  <c r="I171" i="4"/>
  <c r="J171" i="4" s="1"/>
  <c r="I113" i="4"/>
  <c r="J113" i="4" s="1"/>
  <c r="I81" i="4"/>
  <c r="J81" i="4" s="1"/>
  <c r="L271" i="4"/>
  <c r="L239" i="4"/>
  <c r="M239" i="4" s="1"/>
  <c r="L207" i="4"/>
  <c r="M207" i="4" s="1"/>
  <c r="I207" i="4"/>
  <c r="J207" i="4" s="1"/>
  <c r="L175" i="4"/>
  <c r="M175" i="4" s="1"/>
  <c r="L143" i="4"/>
  <c r="M143" i="4" s="1"/>
  <c r="L79" i="4"/>
  <c r="M79" i="4" s="1"/>
  <c r="L47" i="4"/>
  <c r="M47" i="4" s="1"/>
  <c r="G245" i="1"/>
  <c r="F192" i="1"/>
  <c r="H192" i="1" s="1"/>
  <c r="I192" i="1" s="1"/>
  <c r="G45" i="1"/>
  <c r="H45" i="1" s="1"/>
  <c r="G18" i="1"/>
  <c r="L38" i="4"/>
  <c r="M38" i="4" s="1"/>
  <c r="G26" i="1"/>
  <c r="H26" i="1" s="1"/>
  <c r="I26" i="1" s="1"/>
  <c r="L46" i="4"/>
  <c r="M46" i="4" s="1"/>
  <c r="G74" i="1"/>
  <c r="L94" i="4"/>
  <c r="M94" i="4" s="1"/>
  <c r="I124" i="4"/>
  <c r="J124" i="4" s="1"/>
  <c r="F104" i="1"/>
  <c r="G8" i="1"/>
  <c r="L28" i="4"/>
  <c r="M28" i="4" s="1"/>
  <c r="G24" i="1"/>
  <c r="L44" i="4"/>
  <c r="M44" i="4" s="1"/>
  <c r="G40" i="1"/>
  <c r="H40" i="1" s="1"/>
  <c r="I40" i="1" s="1"/>
  <c r="L60" i="4"/>
  <c r="M60" i="4" s="1"/>
  <c r="G48" i="1"/>
  <c r="G56" i="1"/>
  <c r="L76" i="4"/>
  <c r="M76" i="4" s="1"/>
  <c r="G64" i="1"/>
  <c r="L84" i="4"/>
  <c r="M84" i="4" s="1"/>
  <c r="G72" i="1"/>
  <c r="L92" i="4"/>
  <c r="M92" i="4" s="1"/>
  <c r="F84" i="1"/>
  <c r="I104" i="4"/>
  <c r="J104" i="4" s="1"/>
  <c r="L104" i="4"/>
  <c r="M104" i="4" s="1"/>
  <c r="G90" i="1"/>
  <c r="L110" i="4"/>
  <c r="M110" i="4" s="1"/>
  <c r="F110" i="4"/>
  <c r="G110" i="4" s="1"/>
  <c r="F102" i="1"/>
  <c r="I122" i="4"/>
  <c r="J122" i="4" s="1"/>
  <c r="G108" i="1"/>
  <c r="L128" i="4"/>
  <c r="M128" i="4" s="1"/>
  <c r="F111" i="1"/>
  <c r="I131" i="4"/>
  <c r="J131" i="4" s="1"/>
  <c r="L137" i="4"/>
  <c r="M137" i="4" s="1"/>
  <c r="I137" i="4"/>
  <c r="J137" i="4" s="1"/>
  <c r="G117" i="1"/>
  <c r="H117" i="1" s="1"/>
  <c r="I140" i="4"/>
  <c r="J140" i="4" s="1"/>
  <c r="F120" i="1"/>
  <c r="G126" i="1"/>
  <c r="L146" i="4"/>
  <c r="M146" i="4" s="1"/>
  <c r="F129" i="1"/>
  <c r="I149" i="4"/>
  <c r="J149" i="4" s="1"/>
  <c r="G134" i="1"/>
  <c r="F137" i="1"/>
  <c r="I157" i="4"/>
  <c r="G142" i="1"/>
  <c r="L162" i="4"/>
  <c r="M162" i="4" s="1"/>
  <c r="F146" i="1"/>
  <c r="I166" i="4"/>
  <c r="J166" i="4" s="1"/>
  <c r="G150" i="1"/>
  <c r="L170" i="4"/>
  <c r="M170" i="4" s="1"/>
  <c r="F153" i="1"/>
  <c r="I173" i="4"/>
  <c r="J173" i="4" s="1"/>
  <c r="G158" i="1"/>
  <c r="H158" i="1" s="1"/>
  <c r="F161" i="1"/>
  <c r="H161" i="1" s="1"/>
  <c r="I161" i="1" s="1"/>
  <c r="L161" i="1" s="1"/>
  <c r="I181" i="4"/>
  <c r="J181" i="4" s="1"/>
  <c r="G166" i="1"/>
  <c r="L186" i="4"/>
  <c r="M186" i="4" s="1"/>
  <c r="F169" i="1"/>
  <c r="H169" i="1" s="1"/>
  <c r="I169" i="1" s="1"/>
  <c r="L169" i="1" s="1"/>
  <c r="I189" i="4"/>
  <c r="J189" i="4" s="1"/>
  <c r="G174" i="1"/>
  <c r="H174" i="1" s="1"/>
  <c r="I174" i="1" s="1"/>
  <c r="L174" i="1" s="1"/>
  <c r="L194" i="4"/>
  <c r="M194" i="4" s="1"/>
  <c r="F177" i="1"/>
  <c r="H177" i="1" s="1"/>
  <c r="I177" i="1" s="1"/>
  <c r="L177" i="1" s="1"/>
  <c r="I197" i="4"/>
  <c r="J197" i="4" s="1"/>
  <c r="G182" i="1"/>
  <c r="L202" i="4"/>
  <c r="M202" i="4" s="1"/>
  <c r="G190" i="1"/>
  <c r="L210" i="4"/>
  <c r="M210" i="4" s="1"/>
  <c r="G78" i="1"/>
  <c r="H78" i="1" s="1"/>
  <c r="I78" i="1" s="1"/>
  <c r="L78" i="1" s="1"/>
  <c r="L98" i="4"/>
  <c r="M98" i="4" s="1"/>
  <c r="I220" i="4"/>
  <c r="J220" i="4" s="1"/>
  <c r="L220" i="4"/>
  <c r="M220" i="4" s="1"/>
  <c r="F200" i="1"/>
  <c r="L225" i="4"/>
  <c r="M225" i="4" s="1"/>
  <c r="G205" i="1"/>
  <c r="G212" i="1"/>
  <c r="L232" i="4"/>
  <c r="M232" i="4" s="1"/>
  <c r="F222" i="1"/>
  <c r="I242" i="4"/>
  <c r="F112" i="1"/>
  <c r="I132" i="4"/>
  <c r="J132" i="4" s="1"/>
  <c r="G232" i="1"/>
  <c r="H232" i="1" s="1"/>
  <c r="G248" i="1"/>
  <c r="H248" i="1" s="1"/>
  <c r="I248" i="1" s="1"/>
  <c r="L268" i="4"/>
  <c r="M268" i="4" s="1"/>
  <c r="G256" i="1"/>
  <c r="H256" i="1" s="1"/>
  <c r="I256" i="1" s="1"/>
  <c r="L256" i="1" s="1"/>
  <c r="L276" i="4"/>
  <c r="M276" i="4" s="1"/>
  <c r="F262" i="4"/>
  <c r="G262" i="4" s="1"/>
  <c r="F246" i="4"/>
  <c r="G246" i="4" s="1"/>
  <c r="F222" i="4"/>
  <c r="G222" i="4" s="1"/>
  <c r="F214" i="4"/>
  <c r="G214" i="4" s="1"/>
  <c r="F206" i="4"/>
  <c r="G206" i="4" s="1"/>
  <c r="F198" i="4"/>
  <c r="G198" i="4" s="1"/>
  <c r="F190" i="4"/>
  <c r="G190" i="4" s="1"/>
  <c r="F182" i="4"/>
  <c r="G182" i="4" s="1"/>
  <c r="F166" i="4"/>
  <c r="G166" i="4" s="1"/>
  <c r="F158" i="4"/>
  <c r="G158" i="4" s="1"/>
  <c r="F150" i="4"/>
  <c r="G150" i="4" s="1"/>
  <c r="F142" i="4"/>
  <c r="G142" i="4" s="1"/>
  <c r="F134" i="4"/>
  <c r="G134" i="4" s="1"/>
  <c r="F94" i="4"/>
  <c r="G94" i="4" s="1"/>
  <c r="F78" i="4"/>
  <c r="G78" i="4" s="1"/>
  <c r="F62" i="4"/>
  <c r="G62" i="4" s="1"/>
  <c r="F54" i="4"/>
  <c r="G54" i="4" s="1"/>
  <c r="F46" i="4"/>
  <c r="G46" i="4" s="1"/>
  <c r="F38" i="4"/>
  <c r="G38" i="4" s="1"/>
  <c r="F30" i="4"/>
  <c r="G30" i="4" s="1"/>
  <c r="I274" i="4"/>
  <c r="I258" i="4"/>
  <c r="J258" i="4" s="1"/>
  <c r="I241" i="4"/>
  <c r="J241" i="4" s="1"/>
  <c r="I225" i="4"/>
  <c r="J225" i="4" s="1"/>
  <c r="I191" i="4"/>
  <c r="I169" i="4"/>
  <c r="J169" i="4" s="1"/>
  <c r="I143" i="4"/>
  <c r="J143" i="4" s="1"/>
  <c r="I79" i="4"/>
  <c r="J79" i="4" s="1"/>
  <c r="I47" i="4"/>
  <c r="J47" i="4" s="1"/>
  <c r="L237" i="4"/>
  <c r="M237" i="4" s="1"/>
  <c r="F237" i="4"/>
  <c r="G237" i="4" s="1"/>
  <c r="L205" i="4"/>
  <c r="L173" i="4"/>
  <c r="M173" i="4" s="1"/>
  <c r="L141" i="4"/>
  <c r="L109" i="4"/>
  <c r="M109" i="4" s="1"/>
  <c r="F109" i="4"/>
  <c r="G109" i="4" s="1"/>
  <c r="G255" i="1"/>
  <c r="H255" i="1" s="1"/>
  <c r="I255" i="1" s="1"/>
  <c r="G181" i="1"/>
  <c r="H181" i="1" s="1"/>
  <c r="I181" i="1" s="1"/>
  <c r="L181" i="1" s="1"/>
  <c r="F24" i="1"/>
  <c r="L249" i="4"/>
  <c r="M249" i="4" s="1"/>
  <c r="G229" i="1"/>
  <c r="H229" i="1" s="1"/>
  <c r="I229" i="1" s="1"/>
  <c r="L272" i="4"/>
  <c r="M272" i="4" s="1"/>
  <c r="G252" i="1"/>
  <c r="G10" i="1"/>
  <c r="H10" i="1" s="1"/>
  <c r="L30" i="4"/>
  <c r="M30" i="4" s="1"/>
  <c r="G34" i="1"/>
  <c r="L54" i="4"/>
  <c r="M54" i="4" s="1"/>
  <c r="G66" i="1"/>
  <c r="F86" i="1"/>
  <c r="H86" i="1" s="1"/>
  <c r="I86" i="1" s="1"/>
  <c r="I106" i="4"/>
  <c r="J106" i="4" s="1"/>
  <c r="L121" i="4"/>
  <c r="M121" i="4" s="1"/>
  <c r="G101" i="1"/>
  <c r="H101" i="1" s="1"/>
  <c r="I101" i="1" s="1"/>
  <c r="G16" i="1"/>
  <c r="L36" i="4"/>
  <c r="M36" i="4" s="1"/>
  <c r="G32" i="1"/>
  <c r="H32" i="1" s="1"/>
  <c r="I32" i="1" s="1"/>
  <c r="L32" i="1" s="1"/>
  <c r="L52" i="4"/>
  <c r="M52" i="4" s="1"/>
  <c r="F6" i="1"/>
  <c r="H6" i="1" s="1"/>
  <c r="I26" i="4"/>
  <c r="F14" i="1"/>
  <c r="F22" i="1"/>
  <c r="I42" i="4"/>
  <c r="F30" i="1"/>
  <c r="H30" i="1" s="1"/>
  <c r="I30" i="1" s="1"/>
  <c r="I50" i="4"/>
  <c r="J50" i="4" s="1"/>
  <c r="F38" i="1"/>
  <c r="H38" i="1" s="1"/>
  <c r="I58" i="4"/>
  <c r="F46" i="1"/>
  <c r="H46" i="1" s="1"/>
  <c r="I46" i="1" s="1"/>
  <c r="F54" i="1"/>
  <c r="I74" i="4"/>
  <c r="F62" i="1"/>
  <c r="H62" i="1" s="1"/>
  <c r="I82" i="4"/>
  <c r="J82" i="4" s="1"/>
  <c r="F70" i="1"/>
  <c r="I90" i="4"/>
  <c r="J90" i="4" s="1"/>
  <c r="F79" i="1"/>
  <c r="H79" i="1" s="1"/>
  <c r="I79" i="1" s="1"/>
  <c r="G84" i="1"/>
  <c r="F87" i="1"/>
  <c r="H87" i="1" s="1"/>
  <c r="I107" i="4"/>
  <c r="J107" i="4" s="1"/>
  <c r="G93" i="1"/>
  <c r="L113" i="4"/>
  <c r="M113" i="4" s="1"/>
  <c r="F96" i="1"/>
  <c r="I116" i="4"/>
  <c r="J116" i="4" s="1"/>
  <c r="G102" i="1"/>
  <c r="H102" i="1" s="1"/>
  <c r="I102" i="1" s="1"/>
  <c r="L102" i="1" s="1"/>
  <c r="L122" i="4"/>
  <c r="M122" i="4" s="1"/>
  <c r="F105" i="1"/>
  <c r="H105" i="1" s="1"/>
  <c r="I125" i="4"/>
  <c r="G111" i="1"/>
  <c r="L131" i="4"/>
  <c r="M131" i="4" s="1"/>
  <c r="G120" i="1"/>
  <c r="L140" i="4"/>
  <c r="M140" i="4" s="1"/>
  <c r="F124" i="1"/>
  <c r="H124" i="1" s="1"/>
  <c r="I124" i="1" s="1"/>
  <c r="I144" i="4"/>
  <c r="J144" i="4" s="1"/>
  <c r="F132" i="1"/>
  <c r="H132" i="1" s="1"/>
  <c r="I152" i="4"/>
  <c r="J152" i="4" s="1"/>
  <c r="F140" i="1"/>
  <c r="I160" i="4"/>
  <c r="J160" i="4" s="1"/>
  <c r="G146" i="1"/>
  <c r="L166" i="4"/>
  <c r="M166" i="4" s="1"/>
  <c r="F156" i="1"/>
  <c r="H156" i="1" s="1"/>
  <c r="I156" i="1" s="1"/>
  <c r="I176" i="4"/>
  <c r="J176" i="4" s="1"/>
  <c r="F164" i="1"/>
  <c r="H164" i="1" s="1"/>
  <c r="I164" i="1" s="1"/>
  <c r="I184" i="4"/>
  <c r="J184" i="4" s="1"/>
  <c r="F172" i="1"/>
  <c r="I192" i="4"/>
  <c r="J192" i="4" s="1"/>
  <c r="F180" i="1"/>
  <c r="I200" i="4"/>
  <c r="J200" i="4" s="1"/>
  <c r="F188" i="1"/>
  <c r="H188" i="1" s="1"/>
  <c r="I188" i="1" s="1"/>
  <c r="L188" i="1" s="1"/>
  <c r="I208" i="4"/>
  <c r="J208" i="4" s="1"/>
  <c r="F196" i="1"/>
  <c r="I216" i="4"/>
  <c r="J216" i="4" s="1"/>
  <c r="G200" i="1"/>
  <c r="G88" i="1"/>
  <c r="H88" i="1" s="1"/>
  <c r="I88" i="1" s="1"/>
  <c r="L108" i="4"/>
  <c r="F210" i="1"/>
  <c r="H210" i="1" s="1"/>
  <c r="I230" i="4"/>
  <c r="J230" i="4" s="1"/>
  <c r="G215" i="1"/>
  <c r="L235" i="4"/>
  <c r="F218" i="1"/>
  <c r="I238" i="4"/>
  <c r="J238" i="4" s="1"/>
  <c r="G112" i="1"/>
  <c r="L132" i="4"/>
  <c r="M132" i="4" s="1"/>
  <c r="G242" i="1"/>
  <c r="H242" i="1" s="1"/>
  <c r="I242" i="1" s="1"/>
  <c r="L242" i="1" s="1"/>
  <c r="L262" i="4"/>
  <c r="M262" i="4" s="1"/>
  <c r="F277" i="4"/>
  <c r="G277" i="4" s="1"/>
  <c r="F261" i="4"/>
  <c r="G261" i="4" s="1"/>
  <c r="F253" i="4"/>
  <c r="G253" i="4" s="1"/>
  <c r="F229" i="4"/>
  <c r="G229" i="4" s="1"/>
  <c r="F221" i="4"/>
  <c r="G221" i="4" s="1"/>
  <c r="F213" i="4"/>
  <c r="G213" i="4" s="1"/>
  <c r="F205" i="4"/>
  <c r="G205" i="4" s="1"/>
  <c r="F197" i="4"/>
  <c r="G197" i="4" s="1"/>
  <c r="F189" i="4"/>
  <c r="G189" i="4" s="1"/>
  <c r="F181" i="4"/>
  <c r="G181" i="4" s="1"/>
  <c r="F173" i="4"/>
  <c r="G173" i="4" s="1"/>
  <c r="F165" i="4"/>
  <c r="G165" i="4" s="1"/>
  <c r="F157" i="4"/>
  <c r="G157" i="4" s="1"/>
  <c r="F149" i="4"/>
  <c r="G149" i="4" s="1"/>
  <c r="F141" i="4"/>
  <c r="G141" i="4" s="1"/>
  <c r="F133" i="4"/>
  <c r="G133" i="4" s="1"/>
  <c r="F117" i="4"/>
  <c r="G117" i="4" s="1"/>
  <c r="I273" i="4"/>
  <c r="I265" i="4"/>
  <c r="I257" i="4"/>
  <c r="J257" i="4" s="1"/>
  <c r="I239" i="4"/>
  <c r="J239" i="4" s="1"/>
  <c r="I223" i="4"/>
  <c r="I187" i="4"/>
  <c r="J187" i="4" s="1"/>
  <c r="I41" i="4"/>
  <c r="J41" i="4" s="1"/>
  <c r="L263" i="4"/>
  <c r="M263" i="4" s="1"/>
  <c r="L231" i="4"/>
  <c r="M231" i="4" s="1"/>
  <c r="L199" i="4"/>
  <c r="L103" i="4"/>
  <c r="M103" i="4" s="1"/>
  <c r="L71" i="4"/>
  <c r="M71" i="4" s="1"/>
  <c r="L39" i="4"/>
  <c r="G253" i="1"/>
  <c r="O229" i="4"/>
  <c r="P229" i="4" s="1"/>
  <c r="O72" i="4"/>
  <c r="P72" i="4" s="1"/>
  <c r="H257" i="1"/>
  <c r="I257" i="1"/>
  <c r="L257" i="1" s="1"/>
  <c r="O183" i="4"/>
  <c r="P183" i="4" s="1"/>
  <c r="O158" i="4"/>
  <c r="P158" i="4" s="1"/>
  <c r="O31" i="4"/>
  <c r="O129" i="4"/>
  <c r="I3" i="24"/>
  <c r="H251" i="1"/>
  <c r="I251" i="1" s="1"/>
  <c r="L251" i="1" s="1"/>
  <c r="E10" i="4"/>
  <c r="E11" i="4" s="1"/>
  <c r="R4" i="1"/>
  <c r="H7" i="1"/>
  <c r="I7" i="1" s="1"/>
  <c r="H8" i="1"/>
  <c r="I8" i="1" s="1"/>
  <c r="L8" i="1" s="1"/>
  <c r="H9" i="1"/>
  <c r="I9" i="1" s="1"/>
  <c r="H11" i="1"/>
  <c r="H15" i="1"/>
  <c r="I15" i="1" s="1"/>
  <c r="H17" i="1"/>
  <c r="I17" i="1" s="1"/>
  <c r="H19" i="1"/>
  <c r="H23" i="1"/>
  <c r="H24" i="1"/>
  <c r="I24" i="1" s="1"/>
  <c r="L24" i="1" s="1"/>
  <c r="H25" i="1"/>
  <c r="I25" i="1" s="1"/>
  <c r="H27" i="1"/>
  <c r="H31" i="1"/>
  <c r="I31" i="1" s="1"/>
  <c r="L31" i="1" s="1"/>
  <c r="H33" i="1"/>
  <c r="I33" i="1" s="1"/>
  <c r="H35" i="1"/>
  <c r="H39" i="1"/>
  <c r="I39" i="1" s="1"/>
  <c r="H41" i="1"/>
  <c r="H42" i="1"/>
  <c r="H43" i="1"/>
  <c r="H47" i="1"/>
  <c r="I47" i="1" s="1"/>
  <c r="H49" i="1"/>
  <c r="I49" i="1" s="1"/>
  <c r="L49" i="1" s="1"/>
  <c r="H55" i="1"/>
  <c r="H57" i="1"/>
  <c r="I57" i="1" s="1"/>
  <c r="L57" i="1" s="1"/>
  <c r="H58" i="1"/>
  <c r="H59" i="1"/>
  <c r="I59" i="1" s="1"/>
  <c r="L59" i="1" s="1"/>
  <c r="H63" i="1"/>
  <c r="H64" i="1"/>
  <c r="I64" i="1" s="1"/>
  <c r="L64" i="1" s="1"/>
  <c r="H65" i="1"/>
  <c r="I65" i="1" s="1"/>
  <c r="H67" i="1"/>
  <c r="I67" i="1" s="1"/>
  <c r="H75" i="1"/>
  <c r="H81" i="1"/>
  <c r="I81" i="1" s="1"/>
  <c r="L81" i="1" s="1"/>
  <c r="H83" i="1"/>
  <c r="I83" i="1" s="1"/>
  <c r="H90" i="1"/>
  <c r="I90" i="1" s="1"/>
  <c r="L90" i="1" s="1"/>
  <c r="H95" i="1"/>
  <c r="I95" i="1" s="1"/>
  <c r="H96" i="1"/>
  <c r="I96" i="1" s="1"/>
  <c r="L96" i="1" s="1"/>
  <c r="H97" i="1"/>
  <c r="H98" i="1"/>
  <c r="I98" i="1" s="1"/>
  <c r="H103" i="1"/>
  <c r="H104" i="1"/>
  <c r="I104" i="1" s="1"/>
  <c r="H106" i="1"/>
  <c r="I106" i="1" s="1"/>
  <c r="H107" i="1"/>
  <c r="H113" i="1"/>
  <c r="I113" i="1" s="1"/>
  <c r="L113" i="1" s="1"/>
  <c r="H120" i="1"/>
  <c r="I120" i="1" s="1"/>
  <c r="H122" i="1"/>
  <c r="I122" i="1" s="1"/>
  <c r="H127" i="1"/>
  <c r="I127" i="1" s="1"/>
  <c r="L127" i="1" s="1"/>
  <c r="H129" i="1"/>
  <c r="H131" i="1"/>
  <c r="H135" i="1"/>
  <c r="H136" i="1"/>
  <c r="I136" i="1" s="1"/>
  <c r="H138" i="1"/>
  <c r="I138" i="1" s="1"/>
  <c r="H139" i="1"/>
  <c r="I139" i="1" s="1"/>
  <c r="H144" i="1"/>
  <c r="I144" i="1" s="1"/>
  <c r="H151" i="1"/>
  <c r="I151" i="1" s="1"/>
  <c r="H153" i="1"/>
  <c r="H154" i="1"/>
  <c r="I154" i="1" s="1"/>
  <c r="L154" i="1" s="1"/>
  <c r="H159" i="1"/>
  <c r="I159" i="1" s="1"/>
  <c r="L159" i="1" s="1"/>
  <c r="H160" i="1"/>
  <c r="I160" i="1" s="1"/>
  <c r="H162" i="1"/>
  <c r="I162" i="1" s="1"/>
  <c r="H163" i="1"/>
  <c r="H167" i="1"/>
  <c r="H175" i="1"/>
  <c r="I175" i="1" s="1"/>
  <c r="H176" i="1"/>
  <c r="I176" i="1" s="1"/>
  <c r="L176" i="1" s="1"/>
  <c r="H178" i="1"/>
  <c r="I178" i="1" s="1"/>
  <c r="H179" i="1"/>
  <c r="H185" i="1"/>
  <c r="H186" i="1"/>
  <c r="I186" i="1" s="1"/>
  <c r="H195" i="1"/>
  <c r="H200" i="1"/>
  <c r="H201" i="1"/>
  <c r="I201" i="1" s="1"/>
  <c r="H202" i="1"/>
  <c r="H203" i="1"/>
  <c r="I203" i="1" s="1"/>
  <c r="L203" i="1" s="1"/>
  <c r="H207" i="1"/>
  <c r="I207" i="1" s="1"/>
  <c r="L207" i="1" s="1"/>
  <c r="H215" i="1"/>
  <c r="I215" i="1" s="1"/>
  <c r="H217" i="1"/>
  <c r="H218" i="1"/>
  <c r="I218" i="1" s="1"/>
  <c r="H223" i="1"/>
  <c r="I223" i="1" s="1"/>
  <c r="H225" i="1"/>
  <c r="H226" i="1"/>
  <c r="H227" i="1"/>
  <c r="H234" i="1"/>
  <c r="I234" i="1" s="1"/>
  <c r="H235" i="1"/>
  <c r="I235" i="1" s="1"/>
  <c r="L235" i="1" s="1"/>
  <c r="H241" i="1"/>
  <c r="H249" i="1"/>
  <c r="I249" i="1" s="1"/>
  <c r="M39" i="18"/>
  <c r="M63" i="18"/>
  <c r="M68" i="18"/>
  <c r="M72" i="18"/>
  <c r="M80" i="18"/>
  <c r="M125" i="18"/>
  <c r="M139" i="18"/>
  <c r="M160" i="18"/>
  <c r="M177" i="18"/>
  <c r="M184" i="18"/>
  <c r="M185" i="18"/>
  <c r="M192" i="18"/>
  <c r="M225" i="18"/>
  <c r="M229" i="18"/>
  <c r="J49" i="18"/>
  <c r="J66" i="18"/>
  <c r="J153" i="18"/>
  <c r="J209" i="18"/>
  <c r="J241" i="18"/>
  <c r="J265" i="18"/>
  <c r="M26" i="18"/>
  <c r="G85" i="18"/>
  <c r="G254" i="18"/>
  <c r="G251" i="18"/>
  <c r="G237" i="18"/>
  <c r="G218" i="18"/>
  <c r="G174" i="18"/>
  <c r="G173" i="18"/>
  <c r="G170" i="18"/>
  <c r="G146" i="18"/>
  <c r="G31" i="18"/>
  <c r="G44" i="18"/>
  <c r="G48" i="18"/>
  <c r="G133" i="18"/>
  <c r="G149" i="18"/>
  <c r="G60" i="18"/>
  <c r="G68" i="18"/>
  <c r="G106" i="18"/>
  <c r="G61" i="18"/>
  <c r="J124" i="18"/>
  <c r="J192" i="18"/>
  <c r="O192" i="18"/>
  <c r="J45" i="18"/>
  <c r="J29" i="18"/>
  <c r="J246" i="18"/>
  <c r="J128" i="18"/>
  <c r="J112" i="18"/>
  <c r="J211" i="18"/>
  <c r="J91" i="18"/>
  <c r="J86" i="18"/>
  <c r="J82" i="18"/>
  <c r="J75" i="18"/>
  <c r="O75" i="18"/>
  <c r="J77" i="18"/>
  <c r="J171" i="18"/>
  <c r="J136" i="18"/>
  <c r="J120" i="18"/>
  <c r="J55" i="18"/>
  <c r="J27" i="18"/>
  <c r="O97" i="18"/>
  <c r="R4" i="19"/>
  <c r="Z19" i="18"/>
  <c r="U18" i="18"/>
  <c r="E10" i="18"/>
  <c r="E11" i="18"/>
  <c r="Z24" i="18"/>
  <c r="Z19" i="4"/>
  <c r="Z24" i="4" s="1"/>
  <c r="U18" i="4"/>
  <c r="G118" i="18"/>
  <c r="G92" i="18"/>
  <c r="J31" i="18"/>
  <c r="M256" i="18"/>
  <c r="G53" i="18"/>
  <c r="E14" i="18"/>
  <c r="E16" i="18"/>
  <c r="E15" i="18"/>
  <c r="L248" i="1"/>
  <c r="H236" i="1"/>
  <c r="I236" i="1" s="1"/>
  <c r="I232" i="1"/>
  <c r="I228" i="1"/>
  <c r="L228" i="1"/>
  <c r="H220" i="1"/>
  <c r="I220" i="1" s="1"/>
  <c r="I212" i="1"/>
  <c r="L212" i="1" s="1"/>
  <c r="H204" i="1"/>
  <c r="I200" i="1"/>
  <c r="H196" i="1"/>
  <c r="I196" i="1"/>
  <c r="L196" i="1" s="1"/>
  <c r="L164" i="1"/>
  <c r="H148" i="1"/>
  <c r="I148" i="1" s="1"/>
  <c r="L148" i="1" s="1"/>
  <c r="H140" i="1"/>
  <c r="H108" i="1"/>
  <c r="I108" i="1"/>
  <c r="L108" i="1" s="1"/>
  <c r="H100" i="1"/>
  <c r="I100" i="1" s="1"/>
  <c r="H92" i="1"/>
  <c r="I92" i="1"/>
  <c r="L92" i="1" s="1"/>
  <c r="H84" i="1"/>
  <c r="H68" i="1"/>
  <c r="I68" i="1" s="1"/>
  <c r="H60" i="1"/>
  <c r="I60" i="1" s="1"/>
  <c r="H52" i="1"/>
  <c r="I52" i="1" s="1"/>
  <c r="L52" i="1" s="1"/>
  <c r="H44" i="1"/>
  <c r="I44" i="1" s="1"/>
  <c r="H36" i="1"/>
  <c r="I36" i="1" s="1"/>
  <c r="H28" i="1"/>
  <c r="I28" i="1"/>
  <c r="L28" i="1" s="1"/>
  <c r="H20" i="1"/>
  <c r="I20" i="1" s="1"/>
  <c r="L20" i="1"/>
  <c r="L17" i="1"/>
  <c r="I41" i="1"/>
  <c r="L41" i="1" s="1"/>
  <c r="I167" i="1"/>
  <c r="L167" i="1" s="1"/>
  <c r="I87" i="1"/>
  <c r="I43" i="1"/>
  <c r="L43" i="1" s="1"/>
  <c r="H254" i="1"/>
  <c r="I254" i="1" s="1"/>
  <c r="I171" i="1"/>
  <c r="L171" i="1" s="1"/>
  <c r="I163" i="1"/>
  <c r="L163" i="1"/>
  <c r="I135" i="1"/>
  <c r="I75" i="1"/>
  <c r="L75" i="1" s="1"/>
  <c r="I55" i="1"/>
  <c r="I35" i="1"/>
  <c r="L35" i="1" s="1"/>
  <c r="H238" i="1"/>
  <c r="I238" i="1" s="1"/>
  <c r="H222" i="1"/>
  <c r="H214" i="1"/>
  <c r="I214" i="1" s="1"/>
  <c r="H190" i="1"/>
  <c r="I190" i="1" s="1"/>
  <c r="H166" i="1"/>
  <c r="H134" i="1"/>
  <c r="I134" i="1" s="1"/>
  <c r="H118" i="1"/>
  <c r="I118" i="1"/>
  <c r="L118" i="1" s="1"/>
  <c r="H94" i="1"/>
  <c r="I94" i="1" s="1"/>
  <c r="H70" i="1"/>
  <c r="I70" i="1" s="1"/>
  <c r="H54" i="1"/>
  <c r="I54" i="1"/>
  <c r="L54" i="1" s="1"/>
  <c r="H22" i="1"/>
  <c r="I22" i="1" s="1"/>
  <c r="L22" i="1"/>
  <c r="H14" i="1"/>
  <c r="I14" i="1" s="1"/>
  <c r="L14" i="1" s="1"/>
  <c r="I243" i="1"/>
  <c r="I195" i="1"/>
  <c r="I179" i="1"/>
  <c r="I131" i="1"/>
  <c r="I107" i="1"/>
  <c r="I103" i="1"/>
  <c r="L103" i="1" s="1"/>
  <c r="I91" i="1"/>
  <c r="I63" i="1"/>
  <c r="L63" i="1" s="1"/>
  <c r="I27" i="1"/>
  <c r="L27" i="1" s="1"/>
  <c r="I19" i="1"/>
  <c r="L19" i="1" s="1"/>
  <c r="I11" i="1"/>
  <c r="L11" i="1"/>
  <c r="H252" i="1"/>
  <c r="I252" i="1" s="1"/>
  <c r="I226" i="1"/>
  <c r="I222" i="1"/>
  <c r="I210" i="1"/>
  <c r="I202" i="1"/>
  <c r="L186" i="1"/>
  <c r="I158" i="1"/>
  <c r="L158" i="1" s="1"/>
  <c r="I130" i="1"/>
  <c r="L98" i="1"/>
  <c r="I62" i="1"/>
  <c r="L58" i="1"/>
  <c r="I42" i="1"/>
  <c r="L42" i="1"/>
  <c r="L26" i="1"/>
  <c r="H245" i="1"/>
  <c r="I245" i="1" s="1"/>
  <c r="H237" i="1"/>
  <c r="I237" i="1" s="1"/>
  <c r="H221" i="1"/>
  <c r="I221" i="1" s="1"/>
  <c r="L221" i="1" s="1"/>
  <c r="H213" i="1"/>
  <c r="I213" i="1"/>
  <c r="H205" i="1"/>
  <c r="I205" i="1" s="1"/>
  <c r="H197" i="1"/>
  <c r="H189" i="1"/>
  <c r="I189" i="1" s="1"/>
  <c r="L189" i="1" s="1"/>
  <c r="H173" i="1"/>
  <c r="I173" i="1" s="1"/>
  <c r="L173" i="1" s="1"/>
  <c r="H149" i="1"/>
  <c r="I149" i="1" s="1"/>
  <c r="L149" i="1" s="1"/>
  <c r="H141" i="1"/>
  <c r="I141" i="1" s="1"/>
  <c r="L141" i="1" s="1"/>
  <c r="I117" i="1"/>
  <c r="H109" i="1"/>
  <c r="I109" i="1" s="1"/>
  <c r="L109" i="1" s="1"/>
  <c r="H93" i="1"/>
  <c r="I93" i="1" s="1"/>
  <c r="H85" i="1"/>
  <c r="I85" i="1"/>
  <c r="L85" i="1" s="1"/>
  <c r="H77" i="1"/>
  <c r="I77" i="1" s="1"/>
  <c r="L77" i="1" s="1"/>
  <c r="H61" i="1"/>
  <c r="I61" i="1" s="1"/>
  <c r="H53" i="1"/>
  <c r="I53" i="1"/>
  <c r="I45" i="1"/>
  <c r="L45" i="1" s="1"/>
  <c r="H37" i="1"/>
  <c r="I37" i="1" s="1"/>
  <c r="H13" i="1"/>
  <c r="I12" i="1"/>
  <c r="L226" i="1"/>
  <c r="L220" i="1"/>
  <c r="I241" i="1"/>
  <c r="L241" i="1" s="1"/>
  <c r="I225" i="1"/>
  <c r="I217" i="1"/>
  <c r="L217" i="1" s="1"/>
  <c r="I197" i="1"/>
  <c r="L197" i="1" s="1"/>
  <c r="I185" i="1"/>
  <c r="I153" i="1"/>
  <c r="I129" i="1"/>
  <c r="I125" i="1"/>
  <c r="I105" i="1"/>
  <c r="L105" i="1" s="1"/>
  <c r="I97" i="1"/>
  <c r="I89" i="1"/>
  <c r="L69" i="1"/>
  <c r="L37" i="1"/>
  <c r="L25" i="1"/>
  <c r="L9" i="1"/>
  <c r="L136" i="1"/>
  <c r="L215" i="1"/>
  <c r="L179" i="1"/>
  <c r="L67" i="1"/>
  <c r="L39" i="1"/>
  <c r="L15" i="1"/>
  <c r="E17" i="18"/>
  <c r="I13" i="1"/>
  <c r="L13" i="1" s="1"/>
  <c r="L137" i="1"/>
  <c r="L117" i="1"/>
  <c r="L153" i="1"/>
  <c r="L97" i="1"/>
  <c r="N213" i="28" l="1"/>
  <c r="O213" i="28" s="1"/>
  <c r="Q213" i="28" s="1"/>
  <c r="S213" i="28" s="1"/>
  <c r="T213" i="28" s="1"/>
  <c r="N154" i="28"/>
  <c r="O154" i="28" s="1"/>
  <c r="Q154" i="28" s="1"/>
  <c r="S154" i="28" s="1"/>
  <c r="T154" i="28" s="1"/>
  <c r="N65" i="28"/>
  <c r="O65" i="28" s="1"/>
  <c r="Q65" i="28" s="1"/>
  <c r="S65" i="28" s="1"/>
  <c r="T65" i="28" s="1"/>
  <c r="N109" i="28"/>
  <c r="O109" i="28" s="1"/>
  <c r="Q109" i="28" s="1"/>
  <c r="S109" i="28" s="1"/>
  <c r="T109" i="28" s="1"/>
  <c r="N226" i="28"/>
  <c r="O226" i="28" s="1"/>
  <c r="Q226" i="28" s="1"/>
  <c r="S226" i="28" s="1"/>
  <c r="T226" i="28" s="1"/>
  <c r="N200" i="28"/>
  <c r="O200" i="28" s="1"/>
  <c r="Q200" i="28" s="1"/>
  <c r="S200" i="28" s="1"/>
  <c r="T200" i="28" s="1"/>
  <c r="N101" i="28"/>
  <c r="O101" i="28" s="1"/>
  <c r="Q101" i="28" s="1"/>
  <c r="S101" i="28" s="1"/>
  <c r="T101" i="28" s="1"/>
  <c r="N66" i="28"/>
  <c r="O66" i="28" s="1"/>
  <c r="Q66" i="28" s="1"/>
  <c r="S66" i="28" s="1"/>
  <c r="T66" i="28" s="1"/>
  <c r="N55" i="28"/>
  <c r="O55" i="28" s="1"/>
  <c r="Q55" i="28" s="1"/>
  <c r="S55" i="28" s="1"/>
  <c r="T55" i="28" s="1"/>
  <c r="N25" i="28"/>
  <c r="O25" i="28" s="1"/>
  <c r="Q25" i="28" s="1"/>
  <c r="S25" i="28" s="1"/>
  <c r="T25" i="28" s="1"/>
  <c r="N31" i="28"/>
  <c r="O31" i="28" s="1"/>
  <c r="Q31" i="28" s="1"/>
  <c r="S31" i="28" s="1"/>
  <c r="T31" i="28" s="1"/>
  <c r="N89" i="28"/>
  <c r="O89" i="28" s="1"/>
  <c r="Q89" i="28" s="1"/>
  <c r="S89" i="28" s="1"/>
  <c r="T89" i="28" s="1"/>
  <c r="N227" i="28"/>
  <c r="O227" i="28" s="1"/>
  <c r="Q227" i="28" s="1"/>
  <c r="S227" i="28" s="1"/>
  <c r="T227" i="28" s="1"/>
  <c r="N244" i="28"/>
  <c r="O244" i="28" s="1"/>
  <c r="Q244" i="28" s="1"/>
  <c r="S244" i="28" s="1"/>
  <c r="T244" i="28" s="1"/>
  <c r="N43" i="28"/>
  <c r="O43" i="28" s="1"/>
  <c r="Q43" i="28" s="1"/>
  <c r="S43" i="28" s="1"/>
  <c r="T43" i="28" s="1"/>
  <c r="N256" i="28"/>
  <c r="O256" i="28" s="1"/>
  <c r="Q256" i="28" s="1"/>
  <c r="S256" i="28" s="1"/>
  <c r="T256" i="28" s="1"/>
  <c r="N29" i="28"/>
  <c r="O29" i="28" s="1"/>
  <c r="Q29" i="28" s="1"/>
  <c r="S29" i="28" s="1"/>
  <c r="T29" i="28" s="1"/>
  <c r="N110" i="28"/>
  <c r="O110" i="28" s="1"/>
  <c r="Q110" i="28" s="1"/>
  <c r="S110" i="28" s="1"/>
  <c r="T110" i="28" s="1"/>
  <c r="N87" i="28"/>
  <c r="O87" i="28" s="1"/>
  <c r="Q87" i="28" s="1"/>
  <c r="S87" i="28" s="1"/>
  <c r="T87" i="28" s="1"/>
  <c r="N39" i="28"/>
  <c r="O39" i="28" s="1"/>
  <c r="Q39" i="28" s="1"/>
  <c r="S39" i="28" s="1"/>
  <c r="T39" i="28" s="1"/>
  <c r="N259" i="28"/>
  <c r="O259" i="28" s="1"/>
  <c r="Q259" i="28" s="1"/>
  <c r="S259" i="28" s="1"/>
  <c r="T259" i="28" s="1"/>
  <c r="N104" i="28"/>
  <c r="O104" i="28" s="1"/>
  <c r="Q104" i="28" s="1"/>
  <c r="S104" i="28" s="1"/>
  <c r="T104" i="28" s="1"/>
  <c r="N255" i="28"/>
  <c r="O255" i="28" s="1"/>
  <c r="Q255" i="28" s="1"/>
  <c r="S255" i="28" s="1"/>
  <c r="T255" i="28" s="1"/>
  <c r="N168" i="28"/>
  <c r="O168" i="28" s="1"/>
  <c r="Q168" i="28" s="1"/>
  <c r="S168" i="28" s="1"/>
  <c r="T168" i="28" s="1"/>
  <c r="N111" i="28"/>
  <c r="O111" i="28" s="1"/>
  <c r="Q111" i="28" s="1"/>
  <c r="S111" i="28" s="1"/>
  <c r="T111" i="28" s="1"/>
  <c r="N167" i="28"/>
  <c r="O167" i="28" s="1"/>
  <c r="Q167" i="28" s="1"/>
  <c r="S167" i="28" s="1"/>
  <c r="T167" i="28" s="1"/>
  <c r="N50" i="28"/>
  <c r="O50" i="28" s="1"/>
  <c r="Q50" i="28" s="1"/>
  <c r="S50" i="28" s="1"/>
  <c r="T50" i="28" s="1"/>
  <c r="N73" i="28"/>
  <c r="O73" i="28" s="1"/>
  <c r="Q73" i="28" s="1"/>
  <c r="S73" i="28" s="1"/>
  <c r="T73" i="28" s="1"/>
  <c r="N222" i="28"/>
  <c r="O222" i="28" s="1"/>
  <c r="Q222" i="28" s="1"/>
  <c r="S222" i="28" s="1"/>
  <c r="T222" i="28" s="1"/>
  <c r="N75" i="28"/>
  <c r="O75" i="28" s="1"/>
  <c r="Q75" i="28" s="1"/>
  <c r="S75" i="28" s="1"/>
  <c r="T75" i="28" s="1"/>
  <c r="N158" i="28"/>
  <c r="O158" i="28" s="1"/>
  <c r="Q158" i="28" s="1"/>
  <c r="S158" i="28" s="1"/>
  <c r="T158" i="28" s="1"/>
  <c r="N265" i="28"/>
  <c r="O265" i="28" s="1"/>
  <c r="Q265" i="28" s="1"/>
  <c r="S265" i="28" s="1"/>
  <c r="T265" i="28" s="1"/>
  <c r="N166" i="28"/>
  <c r="O166" i="28" s="1"/>
  <c r="Q166" i="28" s="1"/>
  <c r="S166" i="28" s="1"/>
  <c r="T166" i="28" s="1"/>
  <c r="N209" i="28"/>
  <c r="O209" i="28" s="1"/>
  <c r="Q209" i="28" s="1"/>
  <c r="S209" i="28" s="1"/>
  <c r="T209" i="28" s="1"/>
  <c r="N24" i="28"/>
  <c r="O24" i="28" s="1"/>
  <c r="Q24" i="28" s="1"/>
  <c r="S24" i="28" s="1"/>
  <c r="T24" i="28" s="1"/>
  <c r="N115" i="28"/>
  <c r="O115" i="28" s="1"/>
  <c r="Q115" i="28" s="1"/>
  <c r="S115" i="28" s="1"/>
  <c r="T115" i="28" s="1"/>
  <c r="N54" i="28"/>
  <c r="O54" i="28" s="1"/>
  <c r="Q54" i="28" s="1"/>
  <c r="S54" i="28" s="1"/>
  <c r="T54" i="28" s="1"/>
  <c r="N240" i="28"/>
  <c r="O240" i="28" s="1"/>
  <c r="Q240" i="28" s="1"/>
  <c r="S240" i="28" s="1"/>
  <c r="T240" i="28" s="1"/>
  <c r="N194" i="28"/>
  <c r="O194" i="28" s="1"/>
  <c r="Q194" i="28" s="1"/>
  <c r="S194" i="28" s="1"/>
  <c r="T194" i="28" s="1"/>
  <c r="N36" i="28"/>
  <c r="O36" i="28" s="1"/>
  <c r="Q36" i="28" s="1"/>
  <c r="S36" i="28" s="1"/>
  <c r="T36" i="28" s="1"/>
  <c r="N131" i="28"/>
  <c r="O131" i="28" s="1"/>
  <c r="Q131" i="28" s="1"/>
  <c r="S131" i="28" s="1"/>
  <c r="T131" i="28" s="1"/>
  <c r="N114" i="28"/>
  <c r="O114" i="28" s="1"/>
  <c r="Q114" i="28" s="1"/>
  <c r="S114" i="28" s="1"/>
  <c r="T114" i="28" s="1"/>
  <c r="N134" i="28"/>
  <c r="O134" i="28" s="1"/>
  <c r="Q134" i="28" s="1"/>
  <c r="S134" i="28" s="1"/>
  <c r="T134" i="28" s="1"/>
  <c r="N35" i="28"/>
  <c r="O35" i="28" s="1"/>
  <c r="Q35" i="28" s="1"/>
  <c r="S35" i="28" s="1"/>
  <c r="T35" i="28" s="1"/>
  <c r="N252" i="28"/>
  <c r="O252" i="28" s="1"/>
  <c r="Q252" i="28" s="1"/>
  <c r="S252" i="28" s="1"/>
  <c r="T252" i="28" s="1"/>
  <c r="N201" i="28"/>
  <c r="O201" i="28" s="1"/>
  <c r="Q201" i="28" s="1"/>
  <c r="S201" i="28" s="1"/>
  <c r="T201" i="28" s="1"/>
  <c r="N106" i="28"/>
  <c r="O106" i="28" s="1"/>
  <c r="Q106" i="28" s="1"/>
  <c r="S106" i="28" s="1"/>
  <c r="T106" i="28" s="1"/>
  <c r="N192" i="28"/>
  <c r="O192" i="28" s="1"/>
  <c r="Q192" i="28" s="1"/>
  <c r="S192" i="28" s="1"/>
  <c r="T192" i="28" s="1"/>
  <c r="N88" i="28"/>
  <c r="O88" i="28" s="1"/>
  <c r="Q88" i="28" s="1"/>
  <c r="S88" i="28" s="1"/>
  <c r="T88" i="28" s="1"/>
  <c r="N138" i="28"/>
  <c r="O138" i="28" s="1"/>
  <c r="Q138" i="28" s="1"/>
  <c r="S138" i="28" s="1"/>
  <c r="T138" i="28" s="1"/>
  <c r="N45" i="28"/>
  <c r="O45" i="28" s="1"/>
  <c r="Q45" i="28" s="1"/>
  <c r="S45" i="28" s="1"/>
  <c r="T45" i="28" s="1"/>
  <c r="N146" i="28"/>
  <c r="O146" i="28" s="1"/>
  <c r="Q146" i="28" s="1"/>
  <c r="S146" i="28" s="1"/>
  <c r="T146" i="28" s="1"/>
  <c r="N224" i="28"/>
  <c r="O224" i="28" s="1"/>
  <c r="Q224" i="28" s="1"/>
  <c r="S224" i="28" s="1"/>
  <c r="T224" i="28" s="1"/>
  <c r="N58" i="28"/>
  <c r="O58" i="28" s="1"/>
  <c r="Q58" i="28" s="1"/>
  <c r="S58" i="28" s="1"/>
  <c r="T58" i="28" s="1"/>
  <c r="N72" i="28"/>
  <c r="O72" i="28" s="1"/>
  <c r="Q72" i="28" s="1"/>
  <c r="S72" i="28" s="1"/>
  <c r="T72" i="28" s="1"/>
  <c r="N47" i="28"/>
  <c r="O47" i="28" s="1"/>
  <c r="Q47" i="28" s="1"/>
  <c r="S47" i="28" s="1"/>
  <c r="T47" i="28" s="1"/>
  <c r="N177" i="28"/>
  <c r="O177" i="28" s="1"/>
  <c r="Q177" i="28" s="1"/>
  <c r="S177" i="28" s="1"/>
  <c r="T177" i="28" s="1"/>
  <c r="N257" i="28"/>
  <c r="O257" i="28" s="1"/>
  <c r="Q257" i="28" s="1"/>
  <c r="S257" i="28" s="1"/>
  <c r="T257" i="28" s="1"/>
  <c r="N151" i="28"/>
  <c r="O151" i="28" s="1"/>
  <c r="Q151" i="28" s="1"/>
  <c r="S151" i="28" s="1"/>
  <c r="T151" i="28" s="1"/>
  <c r="N193" i="28"/>
  <c r="O193" i="28" s="1"/>
  <c r="Q193" i="28" s="1"/>
  <c r="S193" i="28" s="1"/>
  <c r="T193" i="28" s="1"/>
  <c r="N33" i="28"/>
  <c r="O33" i="28" s="1"/>
  <c r="Q33" i="28" s="1"/>
  <c r="S33" i="28" s="1"/>
  <c r="T33" i="28" s="1"/>
  <c r="N34" i="28"/>
  <c r="O34" i="28" s="1"/>
  <c r="Q34" i="28" s="1"/>
  <c r="S34" i="28" s="1"/>
  <c r="T34" i="28" s="1"/>
  <c r="N218" i="28"/>
  <c r="O218" i="28" s="1"/>
  <c r="Q218" i="28" s="1"/>
  <c r="S218" i="28" s="1"/>
  <c r="T218" i="28" s="1"/>
  <c r="N19" i="28"/>
  <c r="N157" i="28"/>
  <c r="O157" i="28" s="1"/>
  <c r="Q157" i="28" s="1"/>
  <c r="S157" i="28" s="1"/>
  <c r="T157" i="28" s="1"/>
  <c r="N155" i="28"/>
  <c r="O155" i="28" s="1"/>
  <c r="Q155" i="28" s="1"/>
  <c r="S155" i="28" s="1"/>
  <c r="T155" i="28" s="1"/>
  <c r="N228" i="28"/>
  <c r="O228" i="28" s="1"/>
  <c r="Q228" i="28" s="1"/>
  <c r="S228" i="28" s="1"/>
  <c r="T228" i="28" s="1"/>
  <c r="N28" i="28"/>
  <c r="O28" i="28" s="1"/>
  <c r="Q28" i="28" s="1"/>
  <c r="S28" i="28" s="1"/>
  <c r="T28" i="28" s="1"/>
  <c r="N103" i="28"/>
  <c r="O103" i="28" s="1"/>
  <c r="Q103" i="28" s="1"/>
  <c r="S103" i="28" s="1"/>
  <c r="T103" i="28" s="1"/>
  <c r="N183" i="28"/>
  <c r="O183" i="28" s="1"/>
  <c r="Q183" i="28" s="1"/>
  <c r="S183" i="28" s="1"/>
  <c r="T183" i="28" s="1"/>
  <c r="N220" i="28"/>
  <c r="O220" i="28" s="1"/>
  <c r="Q220" i="28" s="1"/>
  <c r="S220" i="28" s="1"/>
  <c r="T220" i="28" s="1"/>
  <c r="N172" i="28"/>
  <c r="O172" i="28" s="1"/>
  <c r="Q172" i="28" s="1"/>
  <c r="S172" i="28" s="1"/>
  <c r="T172" i="28" s="1"/>
  <c r="N122" i="28"/>
  <c r="O122" i="28" s="1"/>
  <c r="Q122" i="28" s="1"/>
  <c r="S122" i="28" s="1"/>
  <c r="T122" i="28" s="1"/>
  <c r="N260" i="28"/>
  <c r="O260" i="28" s="1"/>
  <c r="Q260" i="28" s="1"/>
  <c r="S260" i="28" s="1"/>
  <c r="T260" i="28" s="1"/>
  <c r="N71" i="28"/>
  <c r="O71" i="28" s="1"/>
  <c r="Q71" i="28" s="1"/>
  <c r="S71" i="28" s="1"/>
  <c r="T71" i="28" s="1"/>
  <c r="N77" i="28"/>
  <c r="O77" i="28" s="1"/>
  <c r="Q77" i="28" s="1"/>
  <c r="S77" i="28" s="1"/>
  <c r="T77" i="28" s="1"/>
  <c r="N44" i="28"/>
  <c r="O44" i="28" s="1"/>
  <c r="Q44" i="28" s="1"/>
  <c r="S44" i="28" s="1"/>
  <c r="T44" i="28" s="1"/>
  <c r="N198" i="28"/>
  <c r="O198" i="28" s="1"/>
  <c r="Q198" i="28" s="1"/>
  <c r="S198" i="28" s="1"/>
  <c r="T198" i="28" s="1"/>
  <c r="N121" i="28"/>
  <c r="O121" i="28" s="1"/>
  <c r="Q121" i="28" s="1"/>
  <c r="S121" i="28" s="1"/>
  <c r="T121" i="28" s="1"/>
  <c r="N169" i="28"/>
  <c r="O169" i="28" s="1"/>
  <c r="Q169" i="28" s="1"/>
  <c r="S169" i="28" s="1"/>
  <c r="T169" i="28" s="1"/>
  <c r="N247" i="28"/>
  <c r="O247" i="28" s="1"/>
  <c r="Q247" i="28" s="1"/>
  <c r="S247" i="28" s="1"/>
  <c r="T247" i="28" s="1"/>
  <c r="N42" i="28"/>
  <c r="O42" i="28" s="1"/>
  <c r="Q42" i="28" s="1"/>
  <c r="S42" i="28" s="1"/>
  <c r="T42" i="28" s="1"/>
  <c r="N95" i="28"/>
  <c r="O95" i="28" s="1"/>
  <c r="Q95" i="28" s="1"/>
  <c r="S95" i="28" s="1"/>
  <c r="T95" i="28" s="1"/>
  <c r="N217" i="28"/>
  <c r="O217" i="28" s="1"/>
  <c r="Q217" i="28" s="1"/>
  <c r="S217" i="28" s="1"/>
  <c r="T217" i="28" s="1"/>
  <c r="N212" i="28"/>
  <c r="O212" i="28" s="1"/>
  <c r="Q212" i="28" s="1"/>
  <c r="S212" i="28" s="1"/>
  <c r="T212" i="28" s="1"/>
  <c r="N70" i="28"/>
  <c r="O70" i="28" s="1"/>
  <c r="Q70" i="28" s="1"/>
  <c r="S70" i="28" s="1"/>
  <c r="T70" i="28" s="1"/>
  <c r="N56" i="28"/>
  <c r="O56" i="28" s="1"/>
  <c r="Q56" i="28" s="1"/>
  <c r="S56" i="28" s="1"/>
  <c r="T56" i="28" s="1"/>
  <c r="N202" i="28"/>
  <c r="O202" i="28" s="1"/>
  <c r="Q202" i="28" s="1"/>
  <c r="S202" i="28" s="1"/>
  <c r="T202" i="28" s="1"/>
  <c r="N21" i="28"/>
  <c r="O21" i="28" s="1"/>
  <c r="Q21" i="28" s="1"/>
  <c r="S21" i="28" s="1"/>
  <c r="T21" i="28" s="1"/>
  <c r="N74" i="28"/>
  <c r="O74" i="28" s="1"/>
  <c r="Q74" i="28" s="1"/>
  <c r="S74" i="28" s="1"/>
  <c r="T74" i="28" s="1"/>
  <c r="N116" i="28"/>
  <c r="O116" i="28" s="1"/>
  <c r="Q116" i="28" s="1"/>
  <c r="S116" i="28" s="1"/>
  <c r="T116" i="28" s="1"/>
  <c r="N140" i="28"/>
  <c r="O140" i="28" s="1"/>
  <c r="Q140" i="28" s="1"/>
  <c r="S140" i="28" s="1"/>
  <c r="T140" i="28" s="1"/>
  <c r="N163" i="28"/>
  <c r="O163" i="28" s="1"/>
  <c r="Q163" i="28" s="1"/>
  <c r="S163" i="28" s="1"/>
  <c r="T163" i="28" s="1"/>
  <c r="N189" i="28"/>
  <c r="O189" i="28" s="1"/>
  <c r="Q189" i="28" s="1"/>
  <c r="S189" i="28" s="1"/>
  <c r="T189" i="28" s="1"/>
  <c r="N105" i="28"/>
  <c r="O105" i="28" s="1"/>
  <c r="Q105" i="28" s="1"/>
  <c r="S105" i="28" s="1"/>
  <c r="T105" i="28" s="1"/>
  <c r="N78" i="28"/>
  <c r="O78" i="28" s="1"/>
  <c r="Q78" i="28" s="1"/>
  <c r="S78" i="28" s="1"/>
  <c r="T78" i="28" s="1"/>
  <c r="N41" i="28"/>
  <c r="O41" i="28" s="1"/>
  <c r="Q41" i="28" s="1"/>
  <c r="S41" i="28" s="1"/>
  <c r="T41" i="28" s="1"/>
  <c r="N207" i="28"/>
  <c r="O207" i="28" s="1"/>
  <c r="Q207" i="28" s="1"/>
  <c r="S207" i="28" s="1"/>
  <c r="T207" i="28" s="1"/>
  <c r="N67" i="28"/>
  <c r="O67" i="28" s="1"/>
  <c r="Q67" i="28" s="1"/>
  <c r="S67" i="28" s="1"/>
  <c r="T67" i="28" s="1"/>
  <c r="N48" i="28"/>
  <c r="O48" i="28" s="1"/>
  <c r="Q48" i="28" s="1"/>
  <c r="S48" i="28" s="1"/>
  <c r="T48" i="28" s="1"/>
  <c r="N113" i="28"/>
  <c r="O113" i="28" s="1"/>
  <c r="Q113" i="28" s="1"/>
  <c r="S113" i="28" s="1"/>
  <c r="T113" i="28" s="1"/>
  <c r="N86" i="28"/>
  <c r="O86" i="28" s="1"/>
  <c r="Q86" i="28" s="1"/>
  <c r="S86" i="28" s="1"/>
  <c r="T86" i="28" s="1"/>
  <c r="N38" i="28"/>
  <c r="O38" i="28" s="1"/>
  <c r="Q38" i="28" s="1"/>
  <c r="S38" i="28" s="1"/>
  <c r="T38" i="28" s="1"/>
  <c r="N62" i="28"/>
  <c r="O62" i="28" s="1"/>
  <c r="Q62" i="28" s="1"/>
  <c r="S62" i="28" s="1"/>
  <c r="T62" i="28" s="1"/>
  <c r="N231" i="28"/>
  <c r="O231" i="28" s="1"/>
  <c r="Q231" i="28" s="1"/>
  <c r="S231" i="28" s="1"/>
  <c r="T231" i="28" s="1"/>
  <c r="N238" i="28"/>
  <c r="O238" i="28" s="1"/>
  <c r="Q238" i="28" s="1"/>
  <c r="S238" i="28" s="1"/>
  <c r="T238" i="28" s="1"/>
  <c r="N190" i="28"/>
  <c r="O190" i="28" s="1"/>
  <c r="Q190" i="28" s="1"/>
  <c r="S190" i="28" s="1"/>
  <c r="T190" i="28" s="1"/>
  <c r="N91" i="28"/>
  <c r="O91" i="28" s="1"/>
  <c r="Q91" i="28" s="1"/>
  <c r="S91" i="28" s="1"/>
  <c r="T91" i="28" s="1"/>
  <c r="N268" i="28"/>
  <c r="O268" i="28" s="1"/>
  <c r="Q268" i="28" s="1"/>
  <c r="S268" i="28" s="1"/>
  <c r="T268" i="28" s="1"/>
  <c r="N162" i="28"/>
  <c r="O162" i="28" s="1"/>
  <c r="Q162" i="28" s="1"/>
  <c r="S162" i="28" s="1"/>
  <c r="T162" i="28" s="1"/>
  <c r="N61" i="28"/>
  <c r="O61" i="28" s="1"/>
  <c r="Q61" i="28" s="1"/>
  <c r="S61" i="28" s="1"/>
  <c r="T61" i="28" s="1"/>
  <c r="N63" i="28"/>
  <c r="O63" i="28" s="1"/>
  <c r="Q63" i="28" s="1"/>
  <c r="S63" i="28" s="1"/>
  <c r="T63" i="28" s="1"/>
  <c r="N253" i="28"/>
  <c r="O253" i="28" s="1"/>
  <c r="Q253" i="28" s="1"/>
  <c r="S253" i="28" s="1"/>
  <c r="T253" i="28" s="1"/>
  <c r="N170" i="28"/>
  <c r="O170" i="28" s="1"/>
  <c r="Q170" i="28" s="1"/>
  <c r="S170" i="28" s="1"/>
  <c r="T170" i="28" s="1"/>
  <c r="N40" i="28"/>
  <c r="O40" i="28" s="1"/>
  <c r="Q40" i="28" s="1"/>
  <c r="S40" i="28" s="1"/>
  <c r="T40" i="28" s="1"/>
  <c r="N49" i="28"/>
  <c r="O49" i="28" s="1"/>
  <c r="Q49" i="28" s="1"/>
  <c r="S49" i="28" s="1"/>
  <c r="T49" i="28" s="1"/>
  <c r="N249" i="28"/>
  <c r="O249" i="28" s="1"/>
  <c r="Q249" i="28" s="1"/>
  <c r="S249" i="28" s="1"/>
  <c r="T249" i="28" s="1"/>
  <c r="N186" i="28"/>
  <c r="O186" i="28" s="1"/>
  <c r="Q186" i="28" s="1"/>
  <c r="S186" i="28" s="1"/>
  <c r="T186" i="28" s="1"/>
  <c r="N191" i="28"/>
  <c r="O191" i="28" s="1"/>
  <c r="Q191" i="28" s="1"/>
  <c r="S191" i="28" s="1"/>
  <c r="T191" i="28" s="1"/>
  <c r="N123" i="28"/>
  <c r="O123" i="28" s="1"/>
  <c r="Q123" i="28" s="1"/>
  <c r="S123" i="28" s="1"/>
  <c r="T123" i="28" s="1"/>
  <c r="N237" i="28"/>
  <c r="O237" i="28" s="1"/>
  <c r="Q237" i="28" s="1"/>
  <c r="S237" i="28" s="1"/>
  <c r="T237" i="28" s="1"/>
  <c r="N243" i="28"/>
  <c r="O243" i="28" s="1"/>
  <c r="Q243" i="28" s="1"/>
  <c r="S243" i="28" s="1"/>
  <c r="T243" i="28" s="1"/>
  <c r="N180" i="28"/>
  <c r="O180" i="28" s="1"/>
  <c r="Q180" i="28" s="1"/>
  <c r="S180" i="28" s="1"/>
  <c r="T180" i="28" s="1"/>
  <c r="N51" i="28"/>
  <c r="O51" i="28" s="1"/>
  <c r="Q51" i="28" s="1"/>
  <c r="S51" i="28" s="1"/>
  <c r="T51" i="28" s="1"/>
  <c r="N232" i="28"/>
  <c r="O232" i="28" s="1"/>
  <c r="Q232" i="28" s="1"/>
  <c r="S232" i="28" s="1"/>
  <c r="T232" i="28" s="1"/>
  <c r="N96" i="28"/>
  <c r="O96" i="28" s="1"/>
  <c r="Q96" i="28" s="1"/>
  <c r="S96" i="28" s="1"/>
  <c r="T96" i="28" s="1"/>
  <c r="N20" i="28"/>
  <c r="O20" i="28" s="1"/>
  <c r="Q20" i="28" s="1"/>
  <c r="S20" i="28" s="1"/>
  <c r="T20" i="28" s="1"/>
  <c r="N261" i="28"/>
  <c r="O261" i="28" s="1"/>
  <c r="Q261" i="28" s="1"/>
  <c r="S261" i="28" s="1"/>
  <c r="T261" i="28" s="1"/>
  <c r="N185" i="28"/>
  <c r="O185" i="28" s="1"/>
  <c r="Q185" i="28" s="1"/>
  <c r="S185" i="28" s="1"/>
  <c r="T185" i="28" s="1"/>
  <c r="N69" i="28"/>
  <c r="O69" i="28" s="1"/>
  <c r="Q69" i="28" s="1"/>
  <c r="S69" i="28" s="1"/>
  <c r="T69" i="28" s="1"/>
  <c r="N245" i="28"/>
  <c r="O245" i="28" s="1"/>
  <c r="Q245" i="28" s="1"/>
  <c r="S245" i="28" s="1"/>
  <c r="T245" i="28" s="1"/>
  <c r="N187" i="28"/>
  <c r="O187" i="28" s="1"/>
  <c r="Q187" i="28" s="1"/>
  <c r="S187" i="28" s="1"/>
  <c r="T187" i="28" s="1"/>
  <c r="N199" i="28"/>
  <c r="O199" i="28" s="1"/>
  <c r="Q199" i="28" s="1"/>
  <c r="S199" i="28" s="1"/>
  <c r="T199" i="28" s="1"/>
  <c r="N178" i="28"/>
  <c r="O178" i="28" s="1"/>
  <c r="Q178" i="28" s="1"/>
  <c r="S178" i="28" s="1"/>
  <c r="T178" i="28" s="1"/>
  <c r="N100" i="28"/>
  <c r="O100" i="28" s="1"/>
  <c r="Q100" i="28" s="1"/>
  <c r="S100" i="28" s="1"/>
  <c r="T100" i="28" s="1"/>
  <c r="N107" i="28"/>
  <c r="O107" i="28" s="1"/>
  <c r="Q107" i="28" s="1"/>
  <c r="S107" i="28" s="1"/>
  <c r="T107" i="28" s="1"/>
  <c r="N204" i="28"/>
  <c r="O204" i="28" s="1"/>
  <c r="Q204" i="28" s="1"/>
  <c r="S204" i="28" s="1"/>
  <c r="T204" i="28" s="1"/>
  <c r="N195" i="28"/>
  <c r="O195" i="28" s="1"/>
  <c r="Q195" i="28" s="1"/>
  <c r="S195" i="28" s="1"/>
  <c r="T195" i="28" s="1"/>
  <c r="N132" i="28"/>
  <c r="O132" i="28" s="1"/>
  <c r="Q132" i="28" s="1"/>
  <c r="S132" i="28" s="1"/>
  <c r="T132" i="28" s="1"/>
  <c r="N215" i="28"/>
  <c r="O215" i="28" s="1"/>
  <c r="Q215" i="28" s="1"/>
  <c r="S215" i="28" s="1"/>
  <c r="T215" i="28" s="1"/>
  <c r="N84" i="28"/>
  <c r="O84" i="28" s="1"/>
  <c r="Q84" i="28" s="1"/>
  <c r="S84" i="28" s="1"/>
  <c r="T84" i="28" s="1"/>
  <c r="N173" i="28"/>
  <c r="O173" i="28" s="1"/>
  <c r="Q173" i="28" s="1"/>
  <c r="S173" i="28" s="1"/>
  <c r="T173" i="28" s="1"/>
  <c r="N208" i="28"/>
  <c r="O208" i="28" s="1"/>
  <c r="Q208" i="28" s="1"/>
  <c r="S208" i="28" s="1"/>
  <c r="T208" i="28" s="1"/>
  <c r="N239" i="28"/>
  <c r="O239" i="28" s="1"/>
  <c r="Q239" i="28" s="1"/>
  <c r="S239" i="28" s="1"/>
  <c r="T239" i="28" s="1"/>
  <c r="N145" i="28"/>
  <c r="O145" i="28" s="1"/>
  <c r="Q145" i="28" s="1"/>
  <c r="S145" i="28" s="1"/>
  <c r="T145" i="28" s="1"/>
  <c r="N85" i="28"/>
  <c r="O85" i="28" s="1"/>
  <c r="Q85" i="28" s="1"/>
  <c r="S85" i="28" s="1"/>
  <c r="T85" i="28" s="1"/>
  <c r="N32" i="28"/>
  <c r="O32" i="28" s="1"/>
  <c r="Q32" i="28" s="1"/>
  <c r="S32" i="28" s="1"/>
  <c r="T32" i="28" s="1"/>
  <c r="N182" i="28"/>
  <c r="O182" i="28" s="1"/>
  <c r="Q182" i="28" s="1"/>
  <c r="S182" i="28" s="1"/>
  <c r="T182" i="28" s="1"/>
  <c r="N117" i="28"/>
  <c r="O117" i="28" s="1"/>
  <c r="Q117" i="28" s="1"/>
  <c r="S117" i="28" s="1"/>
  <c r="T117" i="28" s="1"/>
  <c r="N57" i="28"/>
  <c r="O57" i="28" s="1"/>
  <c r="Q57" i="28" s="1"/>
  <c r="S57" i="28" s="1"/>
  <c r="T57" i="28" s="1"/>
  <c r="N133" i="28"/>
  <c r="O133" i="28" s="1"/>
  <c r="Q133" i="28" s="1"/>
  <c r="S133" i="28" s="1"/>
  <c r="T133" i="28" s="1"/>
  <c r="N143" i="28"/>
  <c r="O143" i="28" s="1"/>
  <c r="Q143" i="28" s="1"/>
  <c r="S143" i="28" s="1"/>
  <c r="T143" i="28" s="1"/>
  <c r="N223" i="28"/>
  <c r="O223" i="28" s="1"/>
  <c r="Q223" i="28" s="1"/>
  <c r="S223" i="28" s="1"/>
  <c r="T223" i="28" s="1"/>
  <c r="N136" i="28"/>
  <c r="O136" i="28" s="1"/>
  <c r="Q136" i="28" s="1"/>
  <c r="S136" i="28" s="1"/>
  <c r="T136" i="28" s="1"/>
  <c r="N80" i="28"/>
  <c r="O80" i="28" s="1"/>
  <c r="Q80" i="28" s="1"/>
  <c r="S80" i="28" s="1"/>
  <c r="T80" i="28" s="1"/>
  <c r="N211" i="28"/>
  <c r="O211" i="28" s="1"/>
  <c r="Q211" i="28" s="1"/>
  <c r="S211" i="28" s="1"/>
  <c r="T211" i="28" s="1"/>
  <c r="N83" i="28"/>
  <c r="O83" i="28" s="1"/>
  <c r="Q83" i="28" s="1"/>
  <c r="S83" i="28" s="1"/>
  <c r="T83" i="28" s="1"/>
  <c r="N250" i="28"/>
  <c r="O250" i="28" s="1"/>
  <c r="Q250" i="28" s="1"/>
  <c r="S250" i="28" s="1"/>
  <c r="T250" i="28" s="1"/>
  <c r="N150" i="28"/>
  <c r="O150" i="28" s="1"/>
  <c r="Q150" i="28" s="1"/>
  <c r="S150" i="28" s="1"/>
  <c r="T150" i="28" s="1"/>
  <c r="N52" i="28"/>
  <c r="O52" i="28" s="1"/>
  <c r="Q52" i="28" s="1"/>
  <c r="S52" i="28" s="1"/>
  <c r="T52" i="28" s="1"/>
  <c r="N92" i="28"/>
  <c r="O92" i="28" s="1"/>
  <c r="Q92" i="28" s="1"/>
  <c r="S92" i="28" s="1"/>
  <c r="T92" i="28" s="1"/>
  <c r="N26" i="28"/>
  <c r="O26" i="28" s="1"/>
  <c r="Q26" i="28" s="1"/>
  <c r="S26" i="28" s="1"/>
  <c r="T26" i="28" s="1"/>
  <c r="N248" i="28"/>
  <c r="O248" i="28" s="1"/>
  <c r="Q248" i="28" s="1"/>
  <c r="S248" i="28" s="1"/>
  <c r="T248" i="28" s="1"/>
  <c r="N59" i="28"/>
  <c r="O59" i="28" s="1"/>
  <c r="Q59" i="28" s="1"/>
  <c r="S59" i="28" s="1"/>
  <c r="T59" i="28" s="1"/>
  <c r="N214" i="28"/>
  <c r="O214" i="28" s="1"/>
  <c r="Q214" i="28" s="1"/>
  <c r="S214" i="28" s="1"/>
  <c r="T214" i="28" s="1"/>
  <c r="N159" i="28"/>
  <c r="O159" i="28" s="1"/>
  <c r="Q159" i="28" s="1"/>
  <c r="S159" i="28" s="1"/>
  <c r="T159" i="28" s="1"/>
  <c r="N156" i="28"/>
  <c r="O156" i="28" s="1"/>
  <c r="Q156" i="28" s="1"/>
  <c r="S156" i="28" s="1"/>
  <c r="T156" i="28" s="1"/>
  <c r="N264" i="28"/>
  <c r="O264" i="28" s="1"/>
  <c r="Q264" i="28" s="1"/>
  <c r="S264" i="28" s="1"/>
  <c r="T264" i="28" s="1"/>
  <c r="N216" i="28"/>
  <c r="O216" i="28" s="1"/>
  <c r="Q216" i="28" s="1"/>
  <c r="S216" i="28" s="1"/>
  <c r="T216" i="28" s="1"/>
  <c r="N235" i="28"/>
  <c r="O235" i="28" s="1"/>
  <c r="Q235" i="28" s="1"/>
  <c r="S235" i="28" s="1"/>
  <c r="T235" i="28" s="1"/>
  <c r="N139" i="28"/>
  <c r="O139" i="28" s="1"/>
  <c r="Q139" i="28" s="1"/>
  <c r="S139" i="28" s="1"/>
  <c r="T139" i="28" s="1"/>
  <c r="N188" i="28"/>
  <c r="O188" i="28" s="1"/>
  <c r="Q188" i="28" s="1"/>
  <c r="S188" i="28" s="1"/>
  <c r="T188" i="28" s="1"/>
  <c r="N97" i="28"/>
  <c r="O97" i="28" s="1"/>
  <c r="Q97" i="28" s="1"/>
  <c r="S97" i="28" s="1"/>
  <c r="T97" i="28" s="1"/>
  <c r="N68" i="28"/>
  <c r="O68" i="28" s="1"/>
  <c r="Q68" i="28" s="1"/>
  <c r="S68" i="28" s="1"/>
  <c r="T68" i="28" s="1"/>
  <c r="N76" i="28"/>
  <c r="O76" i="28" s="1"/>
  <c r="Q76" i="28" s="1"/>
  <c r="S76" i="28" s="1"/>
  <c r="T76" i="28" s="1"/>
  <c r="N94" i="28"/>
  <c r="O94" i="28" s="1"/>
  <c r="Q94" i="28" s="1"/>
  <c r="S94" i="28" s="1"/>
  <c r="T94" i="28" s="1"/>
  <c r="N160" i="28"/>
  <c r="O160" i="28" s="1"/>
  <c r="Q160" i="28" s="1"/>
  <c r="S160" i="28" s="1"/>
  <c r="T160" i="28" s="1"/>
  <c r="N64" i="28"/>
  <c r="O64" i="28" s="1"/>
  <c r="Q64" i="28" s="1"/>
  <c r="S64" i="28" s="1"/>
  <c r="T64" i="28" s="1"/>
  <c r="N236" i="28"/>
  <c r="O236" i="28" s="1"/>
  <c r="Q236" i="28" s="1"/>
  <c r="S236" i="28" s="1"/>
  <c r="T236" i="28" s="1"/>
  <c r="N118" i="28"/>
  <c r="O118" i="28" s="1"/>
  <c r="Q118" i="28" s="1"/>
  <c r="S118" i="28" s="1"/>
  <c r="T118" i="28" s="1"/>
  <c r="N125" i="28"/>
  <c r="O125" i="28" s="1"/>
  <c r="Q125" i="28" s="1"/>
  <c r="S125" i="28" s="1"/>
  <c r="T125" i="28" s="1"/>
  <c r="N23" i="28"/>
  <c r="O23" i="28" s="1"/>
  <c r="Q23" i="28" s="1"/>
  <c r="S23" i="28" s="1"/>
  <c r="T23" i="28" s="1"/>
  <c r="N99" i="28"/>
  <c r="O99" i="28" s="1"/>
  <c r="Q99" i="28" s="1"/>
  <c r="S99" i="28" s="1"/>
  <c r="T99" i="28" s="1"/>
  <c r="N221" i="28"/>
  <c r="O221" i="28" s="1"/>
  <c r="Q221" i="28" s="1"/>
  <c r="S221" i="28" s="1"/>
  <c r="T221" i="28" s="1"/>
  <c r="N141" i="28"/>
  <c r="O141" i="28" s="1"/>
  <c r="Q141" i="28" s="1"/>
  <c r="S141" i="28" s="1"/>
  <c r="T141" i="28" s="1"/>
  <c r="N90" i="28"/>
  <c r="O90" i="28" s="1"/>
  <c r="Q90" i="28" s="1"/>
  <c r="S90" i="28" s="1"/>
  <c r="T90" i="28" s="1"/>
  <c r="N112" i="28"/>
  <c r="O112" i="28" s="1"/>
  <c r="Q112" i="28" s="1"/>
  <c r="S112" i="28" s="1"/>
  <c r="T112" i="28" s="1"/>
  <c r="N234" i="28"/>
  <c r="O234" i="28" s="1"/>
  <c r="Q234" i="28" s="1"/>
  <c r="S234" i="28" s="1"/>
  <c r="T234" i="28" s="1"/>
  <c r="N210" i="28"/>
  <c r="O210" i="28" s="1"/>
  <c r="Q210" i="28" s="1"/>
  <c r="S210" i="28" s="1"/>
  <c r="T210" i="28" s="1"/>
  <c r="N233" i="28"/>
  <c r="O233" i="28" s="1"/>
  <c r="Q233" i="28" s="1"/>
  <c r="S233" i="28" s="1"/>
  <c r="T233" i="28" s="1"/>
  <c r="N30" i="28"/>
  <c r="O30" i="28" s="1"/>
  <c r="Q30" i="28" s="1"/>
  <c r="S30" i="28" s="1"/>
  <c r="T30" i="28" s="1"/>
  <c r="N82" i="28"/>
  <c r="O82" i="28" s="1"/>
  <c r="Q82" i="28" s="1"/>
  <c r="S82" i="28" s="1"/>
  <c r="T82" i="28" s="1"/>
  <c r="N126" i="28"/>
  <c r="O126" i="28" s="1"/>
  <c r="Q126" i="28" s="1"/>
  <c r="S126" i="28" s="1"/>
  <c r="T126" i="28" s="1"/>
  <c r="N120" i="28"/>
  <c r="O120" i="28" s="1"/>
  <c r="Q120" i="28" s="1"/>
  <c r="S120" i="28" s="1"/>
  <c r="T120" i="28" s="1"/>
  <c r="N27" i="28"/>
  <c r="O27" i="28" s="1"/>
  <c r="Q27" i="28" s="1"/>
  <c r="S27" i="28" s="1"/>
  <c r="T27" i="28" s="1"/>
  <c r="N176" i="28"/>
  <c r="O176" i="28" s="1"/>
  <c r="Q176" i="28" s="1"/>
  <c r="S176" i="28" s="1"/>
  <c r="T176" i="28" s="1"/>
  <c r="N267" i="28"/>
  <c r="O267" i="28" s="1"/>
  <c r="Q267" i="28" s="1"/>
  <c r="S267" i="28" s="1"/>
  <c r="T267" i="28" s="1"/>
  <c r="N60" i="28"/>
  <c r="O60" i="28" s="1"/>
  <c r="Q60" i="28" s="1"/>
  <c r="S60" i="28" s="1"/>
  <c r="T60" i="28" s="1"/>
  <c r="N263" i="28"/>
  <c r="O263" i="28" s="1"/>
  <c r="Q263" i="28" s="1"/>
  <c r="S263" i="28" s="1"/>
  <c r="T263" i="28" s="1"/>
  <c r="N229" i="28"/>
  <c r="O229" i="28" s="1"/>
  <c r="Q229" i="28" s="1"/>
  <c r="S229" i="28" s="1"/>
  <c r="T229" i="28" s="1"/>
  <c r="N174" i="28"/>
  <c r="O174" i="28" s="1"/>
  <c r="Q174" i="28" s="1"/>
  <c r="S174" i="28" s="1"/>
  <c r="T174" i="28" s="1"/>
  <c r="N164" i="28"/>
  <c r="O164" i="28" s="1"/>
  <c r="Q164" i="28" s="1"/>
  <c r="S164" i="28" s="1"/>
  <c r="T164" i="28" s="1"/>
  <c r="N153" i="28"/>
  <c r="O153" i="28" s="1"/>
  <c r="Q153" i="28" s="1"/>
  <c r="S153" i="28" s="1"/>
  <c r="T153" i="28" s="1"/>
  <c r="N130" i="28"/>
  <c r="O130" i="28" s="1"/>
  <c r="Q130" i="28" s="1"/>
  <c r="S130" i="28" s="1"/>
  <c r="T130" i="28" s="1"/>
  <c r="N196" i="28"/>
  <c r="O196" i="28" s="1"/>
  <c r="Q196" i="28" s="1"/>
  <c r="S196" i="28" s="1"/>
  <c r="T196" i="28" s="1"/>
  <c r="N124" i="28"/>
  <c r="O124" i="28" s="1"/>
  <c r="Q124" i="28" s="1"/>
  <c r="S124" i="28" s="1"/>
  <c r="T124" i="28" s="1"/>
  <c r="N225" i="28"/>
  <c r="O225" i="28" s="1"/>
  <c r="Q225" i="28" s="1"/>
  <c r="S225" i="28" s="1"/>
  <c r="T225" i="28" s="1"/>
  <c r="N171" i="28"/>
  <c r="O171" i="28" s="1"/>
  <c r="Q171" i="28" s="1"/>
  <c r="S171" i="28" s="1"/>
  <c r="T171" i="28" s="1"/>
  <c r="N135" i="28"/>
  <c r="O135" i="28" s="1"/>
  <c r="Q135" i="28" s="1"/>
  <c r="S135" i="28" s="1"/>
  <c r="T135" i="28" s="1"/>
  <c r="N230" i="28"/>
  <c r="O230" i="28" s="1"/>
  <c r="Q230" i="28" s="1"/>
  <c r="S230" i="28" s="1"/>
  <c r="T230" i="28" s="1"/>
  <c r="N137" i="28"/>
  <c r="O137" i="28" s="1"/>
  <c r="Q137" i="28" s="1"/>
  <c r="S137" i="28" s="1"/>
  <c r="T137" i="28" s="1"/>
  <c r="N205" i="28"/>
  <c r="O205" i="28" s="1"/>
  <c r="Q205" i="28" s="1"/>
  <c r="S205" i="28" s="1"/>
  <c r="T205" i="28" s="1"/>
  <c r="N206" i="28"/>
  <c r="O206" i="28" s="1"/>
  <c r="Q206" i="28" s="1"/>
  <c r="S206" i="28" s="1"/>
  <c r="T206" i="28" s="1"/>
  <c r="N152" i="28"/>
  <c r="O152" i="28" s="1"/>
  <c r="Q152" i="28" s="1"/>
  <c r="S152" i="28" s="1"/>
  <c r="T152" i="28" s="1"/>
  <c r="N37" i="28"/>
  <c r="O37" i="28" s="1"/>
  <c r="Q37" i="28" s="1"/>
  <c r="S37" i="28" s="1"/>
  <c r="T37" i="28" s="1"/>
  <c r="N165" i="28"/>
  <c r="O165" i="28" s="1"/>
  <c r="Q165" i="28" s="1"/>
  <c r="S165" i="28" s="1"/>
  <c r="T165" i="28" s="1"/>
  <c r="N241" i="28"/>
  <c r="O241" i="28" s="1"/>
  <c r="Q241" i="28" s="1"/>
  <c r="S241" i="28" s="1"/>
  <c r="T241" i="28" s="1"/>
  <c r="N148" i="28"/>
  <c r="O148" i="28" s="1"/>
  <c r="Q148" i="28" s="1"/>
  <c r="S148" i="28" s="1"/>
  <c r="T148" i="28" s="1"/>
  <c r="N262" i="28"/>
  <c r="O262" i="28" s="1"/>
  <c r="Q262" i="28" s="1"/>
  <c r="S262" i="28" s="1"/>
  <c r="T262" i="28" s="1"/>
  <c r="N254" i="28"/>
  <c r="O254" i="28" s="1"/>
  <c r="Q254" i="28" s="1"/>
  <c r="S254" i="28" s="1"/>
  <c r="T254" i="28" s="1"/>
  <c r="N203" i="28"/>
  <c r="O203" i="28" s="1"/>
  <c r="Q203" i="28" s="1"/>
  <c r="S203" i="28" s="1"/>
  <c r="T203" i="28" s="1"/>
  <c r="N22" i="28"/>
  <c r="O22" i="28" s="1"/>
  <c r="Q22" i="28" s="1"/>
  <c r="S22" i="28" s="1"/>
  <c r="T22" i="28" s="1"/>
  <c r="N46" i="28"/>
  <c r="O46" i="28" s="1"/>
  <c r="Q46" i="28" s="1"/>
  <c r="S46" i="28" s="1"/>
  <c r="T46" i="28" s="1"/>
  <c r="N258" i="28"/>
  <c r="O258" i="28" s="1"/>
  <c r="Q258" i="28" s="1"/>
  <c r="S258" i="28" s="1"/>
  <c r="T258" i="28" s="1"/>
  <c r="N93" i="28"/>
  <c r="O93" i="28" s="1"/>
  <c r="Q93" i="28" s="1"/>
  <c r="S93" i="28" s="1"/>
  <c r="T93" i="28" s="1"/>
  <c r="N142" i="28"/>
  <c r="O142" i="28" s="1"/>
  <c r="Q142" i="28" s="1"/>
  <c r="S142" i="28" s="1"/>
  <c r="T142" i="28" s="1"/>
  <c r="N242" i="28"/>
  <c r="O242" i="28" s="1"/>
  <c r="Q242" i="28" s="1"/>
  <c r="S242" i="28" s="1"/>
  <c r="T242" i="28" s="1"/>
  <c r="N149" i="28"/>
  <c r="O149" i="28" s="1"/>
  <c r="Q149" i="28" s="1"/>
  <c r="S149" i="28" s="1"/>
  <c r="T149" i="28" s="1"/>
  <c r="N181" i="28"/>
  <c r="O181" i="28" s="1"/>
  <c r="Q181" i="28" s="1"/>
  <c r="S181" i="28" s="1"/>
  <c r="T181" i="28" s="1"/>
  <c r="N119" i="28"/>
  <c r="O119" i="28" s="1"/>
  <c r="Q119" i="28" s="1"/>
  <c r="S119" i="28" s="1"/>
  <c r="T119" i="28" s="1"/>
  <c r="N251" i="28"/>
  <c r="O251" i="28" s="1"/>
  <c r="Q251" i="28" s="1"/>
  <c r="S251" i="28" s="1"/>
  <c r="T251" i="28" s="1"/>
  <c r="N147" i="28"/>
  <c r="O147" i="28" s="1"/>
  <c r="Q147" i="28" s="1"/>
  <c r="S147" i="28" s="1"/>
  <c r="T147" i="28" s="1"/>
  <c r="N246" i="28"/>
  <c r="O246" i="28" s="1"/>
  <c r="Q246" i="28" s="1"/>
  <c r="S246" i="28" s="1"/>
  <c r="T246" i="28" s="1"/>
  <c r="N81" i="28"/>
  <c r="O81" i="28" s="1"/>
  <c r="Q81" i="28" s="1"/>
  <c r="S81" i="28" s="1"/>
  <c r="T81" i="28" s="1"/>
  <c r="N184" i="28"/>
  <c r="O184" i="28" s="1"/>
  <c r="Q184" i="28" s="1"/>
  <c r="S184" i="28" s="1"/>
  <c r="T184" i="28" s="1"/>
  <c r="N266" i="28"/>
  <c r="O266" i="28" s="1"/>
  <c r="Q266" i="28" s="1"/>
  <c r="S266" i="28" s="1"/>
  <c r="T266" i="28" s="1"/>
  <c r="N219" i="28"/>
  <c r="O219" i="28" s="1"/>
  <c r="Q219" i="28" s="1"/>
  <c r="S219" i="28" s="1"/>
  <c r="T219" i="28" s="1"/>
  <c r="N108" i="28"/>
  <c r="O108" i="28" s="1"/>
  <c r="Q108" i="28" s="1"/>
  <c r="S108" i="28" s="1"/>
  <c r="T108" i="28" s="1"/>
  <c r="N127" i="28"/>
  <c r="O127" i="28" s="1"/>
  <c r="Q127" i="28" s="1"/>
  <c r="S127" i="28" s="1"/>
  <c r="T127" i="28" s="1"/>
  <c r="N161" i="28"/>
  <c r="O161" i="28" s="1"/>
  <c r="Q161" i="28" s="1"/>
  <c r="S161" i="28" s="1"/>
  <c r="T161" i="28" s="1"/>
  <c r="N98" i="28"/>
  <c r="O98" i="28" s="1"/>
  <c r="Q98" i="28" s="1"/>
  <c r="S98" i="28" s="1"/>
  <c r="T98" i="28" s="1"/>
  <c r="N53" i="28"/>
  <c r="O53" i="28" s="1"/>
  <c r="Q53" i="28" s="1"/>
  <c r="S53" i="28" s="1"/>
  <c r="T53" i="28" s="1"/>
  <c r="N175" i="28"/>
  <c r="O175" i="28" s="1"/>
  <c r="Q175" i="28" s="1"/>
  <c r="S175" i="28" s="1"/>
  <c r="T175" i="28" s="1"/>
  <c r="N179" i="28"/>
  <c r="O179" i="28" s="1"/>
  <c r="Q179" i="28" s="1"/>
  <c r="S179" i="28" s="1"/>
  <c r="T179" i="28" s="1"/>
  <c r="N144" i="28"/>
  <c r="O144" i="28" s="1"/>
  <c r="Q144" i="28" s="1"/>
  <c r="S144" i="28" s="1"/>
  <c r="T144" i="28" s="1"/>
  <c r="N128" i="28"/>
  <c r="O128" i="28" s="1"/>
  <c r="Q128" i="28" s="1"/>
  <c r="S128" i="28" s="1"/>
  <c r="T128" i="28" s="1"/>
  <c r="N197" i="28"/>
  <c r="O197" i="28" s="1"/>
  <c r="Q197" i="28" s="1"/>
  <c r="S197" i="28" s="1"/>
  <c r="T197" i="28" s="1"/>
  <c r="N102" i="28"/>
  <c r="O102" i="28" s="1"/>
  <c r="Q102" i="28" s="1"/>
  <c r="S102" i="28" s="1"/>
  <c r="T102" i="28" s="1"/>
  <c r="N129" i="28"/>
  <c r="O129" i="28" s="1"/>
  <c r="Q129" i="28" s="1"/>
  <c r="S129" i="28" s="1"/>
  <c r="T129" i="28" s="1"/>
  <c r="N79" i="28"/>
  <c r="O79" i="28" s="1"/>
  <c r="Q79" i="28" s="1"/>
  <c r="S79" i="28" s="1"/>
  <c r="T79" i="28" s="1"/>
  <c r="O141" i="4"/>
  <c r="P141" i="4" s="1"/>
  <c r="M141" i="4"/>
  <c r="O191" i="4"/>
  <c r="P191" i="4" s="1"/>
  <c r="J191" i="4"/>
  <c r="O242" i="4"/>
  <c r="P242" i="4" s="1"/>
  <c r="J242" i="4"/>
  <c r="O222" i="4"/>
  <c r="P222" i="4" s="1"/>
  <c r="M222" i="4"/>
  <c r="O97" i="4"/>
  <c r="M97" i="4"/>
  <c r="H48" i="1"/>
  <c r="I48" i="1" s="1"/>
  <c r="L48" i="1" s="1"/>
  <c r="I38" i="1"/>
  <c r="L38" i="1" s="1"/>
  <c r="H240" i="1"/>
  <c r="I240" i="1" s="1"/>
  <c r="O157" i="4"/>
  <c r="P157" i="4" s="1"/>
  <c r="J157" i="4"/>
  <c r="O214" i="4"/>
  <c r="P214" i="4" s="1"/>
  <c r="M214" i="4"/>
  <c r="O142" i="4"/>
  <c r="P142" i="4" s="1"/>
  <c r="M142" i="4"/>
  <c r="I23" i="1"/>
  <c r="O58" i="4"/>
  <c r="P58" i="4" s="1"/>
  <c r="J58" i="4"/>
  <c r="I142" i="1"/>
  <c r="H74" i="1"/>
  <c r="I74" i="1" s="1"/>
  <c r="L74" i="1" s="1"/>
  <c r="H112" i="1"/>
  <c r="I112" i="1" s="1"/>
  <c r="O85" i="4"/>
  <c r="P85" i="4" s="1"/>
  <c r="J85" i="4"/>
  <c r="O150" i="4"/>
  <c r="P150" i="4" s="1"/>
  <c r="M150" i="4"/>
  <c r="O78" i="4"/>
  <c r="P78" i="4" s="1"/>
  <c r="M78" i="4"/>
  <c r="L24" i="4"/>
  <c r="M26" i="4"/>
  <c r="I166" i="1"/>
  <c r="O39" i="4"/>
  <c r="P39" i="4" s="1"/>
  <c r="M39" i="4"/>
  <c r="O223" i="4"/>
  <c r="J223" i="4"/>
  <c r="O108" i="4"/>
  <c r="P108" i="4" s="1"/>
  <c r="M108" i="4"/>
  <c r="H180" i="1"/>
  <c r="I180" i="1" s="1"/>
  <c r="H146" i="1"/>
  <c r="I146" i="1" s="1"/>
  <c r="O205" i="4"/>
  <c r="P205" i="4" s="1"/>
  <c r="M205" i="4"/>
  <c r="O271" i="4"/>
  <c r="M271" i="4"/>
  <c r="O264" i="4"/>
  <c r="M264" i="4"/>
  <c r="H126" i="1"/>
  <c r="I126" i="1" s="1"/>
  <c r="H56" i="1"/>
  <c r="I56" i="1" s="1"/>
  <c r="O57" i="4"/>
  <c r="P57" i="4" s="1"/>
  <c r="J57" i="4"/>
  <c r="O136" i="4"/>
  <c r="P136" i="4" s="1"/>
  <c r="M136" i="4"/>
  <c r="O96" i="4"/>
  <c r="P96" i="4" s="1"/>
  <c r="M96" i="4"/>
  <c r="O63" i="4"/>
  <c r="P63" i="4" s="1"/>
  <c r="J63" i="4"/>
  <c r="H172" i="1"/>
  <c r="I172" i="1" s="1"/>
  <c r="H111" i="1"/>
  <c r="I111" i="1" s="1"/>
  <c r="O42" i="4"/>
  <c r="P42" i="4" s="1"/>
  <c r="J42" i="4"/>
  <c r="H72" i="1"/>
  <c r="I72" i="1" s="1"/>
  <c r="H128" i="1"/>
  <c r="I128" i="1" s="1"/>
  <c r="L128" i="1" s="1"/>
  <c r="O277" i="4"/>
  <c r="P277" i="4" s="1"/>
  <c r="J277" i="4"/>
  <c r="H184" i="1"/>
  <c r="I184" i="1" s="1"/>
  <c r="O126" i="4"/>
  <c r="P126" i="4" s="1"/>
  <c r="J126" i="4"/>
  <c r="I155" i="1"/>
  <c r="H199" i="1"/>
  <c r="I199" i="1" s="1"/>
  <c r="L199" i="1" s="1"/>
  <c r="H219" i="1"/>
  <c r="I219" i="1" s="1"/>
  <c r="L219" i="1" s="1"/>
  <c r="H143" i="1"/>
  <c r="I143" i="1" s="1"/>
  <c r="L143" i="1" s="1"/>
  <c r="H253" i="1"/>
  <c r="I253" i="1" s="1"/>
  <c r="H239" i="1"/>
  <c r="I239" i="1" s="1"/>
  <c r="L239" i="1" s="1"/>
  <c r="O199" i="4"/>
  <c r="P199" i="4" s="1"/>
  <c r="M199" i="4"/>
  <c r="O125" i="4"/>
  <c r="P125" i="4" s="1"/>
  <c r="J125" i="4"/>
  <c r="O274" i="4"/>
  <c r="Q274" i="4" s="1"/>
  <c r="J274" i="4"/>
  <c r="O273" i="4"/>
  <c r="J273" i="4"/>
  <c r="O235" i="4"/>
  <c r="M235" i="4"/>
  <c r="O156" i="4"/>
  <c r="P156" i="4" s="1"/>
  <c r="M156" i="4"/>
  <c r="O240" i="4"/>
  <c r="Q240" i="4" s="1"/>
  <c r="J240" i="4"/>
  <c r="H247" i="1"/>
  <c r="I247" i="1" s="1"/>
  <c r="L247" i="1" s="1"/>
  <c r="H194" i="1"/>
  <c r="I194" i="1" s="1"/>
  <c r="I1" i="24" a="1"/>
  <c r="I1" i="24" s="1"/>
  <c r="O265" i="4"/>
  <c r="P265" i="4" s="1"/>
  <c r="J265" i="4"/>
  <c r="O74" i="4"/>
  <c r="P74" i="4" s="1"/>
  <c r="J74" i="4"/>
  <c r="I10" i="1"/>
  <c r="I140" i="1"/>
  <c r="L140" i="1" s="1"/>
  <c r="I24" i="4"/>
  <c r="J26" i="4"/>
  <c r="J24" i="4" s="1"/>
  <c r="O193" i="4"/>
  <c r="P193" i="4" s="1"/>
  <c r="M193" i="4"/>
  <c r="O75" i="4"/>
  <c r="P75" i="4" s="1"/>
  <c r="M75" i="4"/>
  <c r="F24" i="4"/>
  <c r="G26" i="4"/>
  <c r="G24" i="4" s="1"/>
  <c r="O247" i="4"/>
  <c r="P247" i="4" s="1"/>
  <c r="M247" i="4"/>
  <c r="O43" i="4"/>
  <c r="P43" i="4" s="1"/>
  <c r="M43" i="4"/>
  <c r="M24" i="4" s="1"/>
  <c r="O179" i="4"/>
  <c r="P179" i="4" s="1"/>
  <c r="M179" i="4"/>
  <c r="Q97" i="4"/>
  <c r="P97" i="4"/>
  <c r="Q223" i="4"/>
  <c r="P223" i="4"/>
  <c r="Q271" i="4"/>
  <c r="P271" i="4"/>
  <c r="Q264" i="4"/>
  <c r="P264" i="4"/>
  <c r="Q273" i="4"/>
  <c r="P273" i="4"/>
  <c r="Q235" i="4"/>
  <c r="P235" i="4"/>
  <c r="Q156" i="4"/>
  <c r="Q129" i="4"/>
  <c r="P129" i="4"/>
  <c r="Q31" i="4"/>
  <c r="P31" i="4"/>
  <c r="Q179" i="4"/>
  <c r="O276" i="4"/>
  <c r="O138" i="4"/>
  <c r="P138" i="4" s="1"/>
  <c r="O255" i="4"/>
  <c r="O230" i="4"/>
  <c r="O116" i="4"/>
  <c r="P116" i="4" s="1"/>
  <c r="O64" i="4"/>
  <c r="O206" i="4"/>
  <c r="O192" i="4"/>
  <c r="O256" i="4"/>
  <c r="Q138" i="4"/>
  <c r="O163" i="4"/>
  <c r="O202" i="4"/>
  <c r="O124" i="4"/>
  <c r="O69" i="4"/>
  <c r="O131" i="4"/>
  <c r="O67" i="4"/>
  <c r="O267" i="4"/>
  <c r="O159" i="4"/>
  <c r="O30" i="4"/>
  <c r="O248" i="4"/>
  <c r="O133" i="4"/>
  <c r="O187" i="4"/>
  <c r="Q116" i="4"/>
  <c r="O52" i="4"/>
  <c r="O249" i="4"/>
  <c r="Q242" i="4"/>
  <c r="O209" i="4"/>
  <c r="O37" i="4"/>
  <c r="P37" i="4" s="1"/>
  <c r="O95" i="4"/>
  <c r="O160" i="4"/>
  <c r="O195" i="4"/>
  <c r="O261" i="4"/>
  <c r="O123" i="4"/>
  <c r="O258" i="4"/>
  <c r="O46" i="4"/>
  <c r="O196" i="4"/>
  <c r="P196" i="4" s="1"/>
  <c r="O107" i="4"/>
  <c r="O62" i="4"/>
  <c r="P62" i="4" s="1"/>
  <c r="O174" i="4"/>
  <c r="Q43" i="4"/>
  <c r="Q142" i="4"/>
  <c r="O182" i="4"/>
  <c r="O219" i="4"/>
  <c r="O241" i="4"/>
  <c r="P241" i="4" s="1"/>
  <c r="O257" i="4"/>
  <c r="O65" i="4"/>
  <c r="Q75" i="4"/>
  <c r="Q58" i="4"/>
  <c r="Q85" i="4"/>
  <c r="O246" i="4"/>
  <c r="Q205" i="4"/>
  <c r="O120" i="4"/>
  <c r="Q42" i="4"/>
  <c r="O201" i="4"/>
  <c r="O151" i="4"/>
  <c r="O175" i="4"/>
  <c r="O188" i="4"/>
  <c r="O29" i="4"/>
  <c r="O155" i="4"/>
  <c r="O268" i="4"/>
  <c r="O139" i="4"/>
  <c r="O212" i="4"/>
  <c r="O270" i="4"/>
  <c r="Q136" i="4"/>
  <c r="O54" i="4"/>
  <c r="O38" i="4"/>
  <c r="O226" i="4"/>
  <c r="O200" i="4"/>
  <c r="O236" i="4"/>
  <c r="Q96" i="4"/>
  <c r="O56" i="4"/>
  <c r="O260" i="4"/>
  <c r="O231" i="4"/>
  <c r="O153" i="4"/>
  <c r="O51" i="4"/>
  <c r="O152" i="4"/>
  <c r="Q125" i="4"/>
  <c r="O137" i="4"/>
  <c r="O77" i="4"/>
  <c r="Q196" i="4"/>
  <c r="O263" i="4"/>
  <c r="O79" i="4"/>
  <c r="O149" i="4"/>
  <c r="O103" i="4"/>
  <c r="O245" i="4"/>
  <c r="O35" i="4"/>
  <c r="O41" i="4"/>
  <c r="O224" i="4"/>
  <c r="O172" i="4"/>
  <c r="O251" i="4"/>
  <c r="O177" i="4"/>
  <c r="O176" i="4"/>
  <c r="O102" i="4"/>
  <c r="O198" i="4"/>
  <c r="O272" i="4"/>
  <c r="O203" i="4"/>
  <c r="O71" i="4"/>
  <c r="O186" i="4"/>
  <c r="O253" i="4"/>
  <c r="O190" i="4"/>
  <c r="O100" i="4"/>
  <c r="Q199" i="4"/>
  <c r="O238" i="4"/>
  <c r="O237" i="4"/>
  <c r="Q265" i="4"/>
  <c r="O170" i="4"/>
  <c r="O171" i="4"/>
  <c r="O61" i="4"/>
  <c r="O105" i="4"/>
  <c r="O208" i="4"/>
  <c r="O89" i="4"/>
  <c r="O213" i="4"/>
  <c r="O168" i="4"/>
  <c r="O87" i="4"/>
  <c r="O197" i="4"/>
  <c r="O50" i="4"/>
  <c r="Q74" i="4"/>
  <c r="O73" i="4"/>
  <c r="O233" i="4"/>
  <c r="O211" i="4"/>
  <c r="O55" i="4"/>
  <c r="O76" i="4"/>
  <c r="O227" i="4"/>
  <c r="O112" i="4"/>
  <c r="O53" i="4"/>
  <c r="Q108" i="4"/>
  <c r="O140" i="4"/>
  <c r="O173" i="4"/>
  <c r="O98" i="4"/>
  <c r="O60" i="4"/>
  <c r="O121" i="4"/>
  <c r="O218" i="4"/>
  <c r="O34" i="4"/>
  <c r="O167" i="4"/>
  <c r="O91" i="4"/>
  <c r="O32" i="4"/>
  <c r="O221" i="4"/>
  <c r="Q39" i="4"/>
  <c r="O207" i="4"/>
  <c r="O164" i="4"/>
  <c r="O144" i="4"/>
  <c r="O93" i="4"/>
  <c r="O228" i="4"/>
  <c r="O145" i="4"/>
  <c r="O40" i="4"/>
  <c r="O169" i="4"/>
  <c r="Q193" i="4"/>
  <c r="O162" i="4"/>
  <c r="O278" i="4"/>
  <c r="Q247" i="4"/>
  <c r="O215" i="4"/>
  <c r="Q57" i="4"/>
  <c r="O225" i="4"/>
  <c r="O259" i="4"/>
  <c r="Q191" i="4"/>
  <c r="Q222" i="4"/>
  <c r="O115" i="4"/>
  <c r="O82" i="4"/>
  <c r="O275" i="4"/>
  <c r="O130" i="4"/>
  <c r="O189" i="4"/>
  <c r="O113" i="4"/>
  <c r="O148" i="4"/>
  <c r="O99" i="4"/>
  <c r="O269" i="4"/>
  <c r="O216" i="4"/>
  <c r="O122" i="4"/>
  <c r="O47" i="4"/>
  <c r="O81" i="4"/>
  <c r="O244" i="4"/>
  <c r="O48" i="4"/>
  <c r="O111" i="4"/>
  <c r="O28" i="4"/>
  <c r="O184" i="4"/>
  <c r="O166" i="4"/>
  <c r="O110" i="4"/>
  <c r="O217" i="4"/>
  <c r="O80" i="4"/>
  <c r="O178" i="4"/>
  <c r="O234" i="4"/>
  <c r="O70" i="4"/>
  <c r="O165" i="4"/>
  <c r="O194" i="4"/>
  <c r="O185" i="4"/>
  <c r="O114" i="4"/>
  <c r="O88" i="4"/>
  <c r="O180" i="4"/>
  <c r="O147" i="4"/>
  <c r="O181" i="4"/>
  <c r="O94" i="4"/>
  <c r="O232" i="4"/>
  <c r="O154" i="4"/>
  <c r="O252" i="4"/>
  <c r="Q126" i="4"/>
  <c r="R10" i="4"/>
  <c r="Q72" i="4"/>
  <c r="Q277" i="4"/>
  <c r="O90" i="4"/>
  <c r="R4" i="4"/>
  <c r="O84" i="4"/>
  <c r="O117" i="4"/>
  <c r="O59" i="4"/>
  <c r="O243" i="4"/>
  <c r="O45" i="4"/>
  <c r="O44" i="4"/>
  <c r="O262" i="4"/>
  <c r="O33" i="4"/>
  <c r="O127" i="4"/>
  <c r="Q63" i="4"/>
  <c r="O106" i="4"/>
  <c r="O146" i="4"/>
  <c r="O68" i="4"/>
  <c r="O266" i="4"/>
  <c r="O204" i="4"/>
  <c r="R5" i="4"/>
  <c r="Q241" i="4"/>
  <c r="Q141" i="4"/>
  <c r="O239" i="4"/>
  <c r="O92" i="4"/>
  <c r="O49" i="4"/>
  <c r="O161" i="4"/>
  <c r="O27" i="4"/>
  <c r="O254" i="4"/>
  <c r="O128" i="4"/>
  <c r="O134" i="4"/>
  <c r="O86" i="4"/>
  <c r="O101" i="4"/>
  <c r="O66" i="4"/>
  <c r="O118" i="4"/>
  <c r="Q37" i="4"/>
  <c r="Q158" i="4"/>
  <c r="O132" i="4"/>
  <c r="O210" i="4"/>
  <c r="O83" i="4"/>
  <c r="L172" i="1"/>
  <c r="L101" i="1"/>
  <c r="L190" i="1"/>
  <c r="L106" i="1"/>
  <c r="L70" i="1"/>
  <c r="L214" i="1"/>
  <c r="L245" i="1"/>
  <c r="L10" i="1"/>
  <c r="L205" i="1"/>
  <c r="L249" i="1"/>
  <c r="L201" i="1"/>
  <c r="L138" i="1"/>
  <c r="L122" i="1"/>
  <c r="L18" i="1"/>
  <c r="L82" i="1"/>
  <c r="L202" i="1"/>
  <c r="L182" i="1"/>
  <c r="L87" i="1"/>
  <c r="L36" i="1"/>
  <c r="L68" i="1"/>
  <c r="L124" i="1"/>
  <c r="L236" i="1"/>
  <c r="L83" i="1"/>
  <c r="L126" i="1"/>
  <c r="L56" i="1"/>
  <c r="L53" i="1"/>
  <c r="L51" i="1"/>
  <c r="O26" i="4"/>
  <c r="L112" i="1"/>
  <c r="L225" i="1"/>
  <c r="L93" i="1"/>
  <c r="L227" i="1"/>
  <c r="E19" i="4"/>
  <c r="L165" i="1"/>
  <c r="I6" i="1"/>
  <c r="L210" i="1"/>
  <c r="L195" i="1"/>
  <c r="L94" i="1"/>
  <c r="L95" i="1"/>
  <c r="L183" i="1"/>
  <c r="L100" i="1"/>
  <c r="L156" i="1"/>
  <c r="L208" i="1"/>
  <c r="L240" i="1"/>
  <c r="L162" i="1"/>
  <c r="R11" i="4"/>
  <c r="R3" i="4"/>
  <c r="R9" i="4"/>
  <c r="R7" i="4"/>
  <c r="R8" i="4"/>
  <c r="L115" i="1"/>
  <c r="L65" i="1"/>
  <c r="L104" i="1"/>
  <c r="L223" i="1"/>
  <c r="L130" i="1"/>
  <c r="L222" i="1"/>
  <c r="L107" i="1"/>
  <c r="L230" i="1"/>
  <c r="L185" i="1"/>
  <c r="L209" i="1"/>
  <c r="L139" i="1"/>
  <c r="L191" i="1"/>
  <c r="L192" i="1"/>
  <c r="R6" i="4"/>
  <c r="L150" i="1"/>
  <c r="L238" i="1"/>
  <c r="L44" i="1"/>
  <c r="L80" i="1"/>
  <c r="L132" i="1"/>
  <c r="L234" i="1"/>
  <c r="L218" i="1"/>
  <c r="L175" i="1"/>
  <c r="L146" i="1"/>
  <c r="L46" i="1"/>
  <c r="L255" i="1"/>
  <c r="L72" i="1"/>
  <c r="L79" i="1"/>
  <c r="L135" i="1"/>
  <c r="L231" i="1"/>
  <c r="L129" i="1"/>
  <c r="L61" i="1"/>
  <c r="L34" i="1"/>
  <c r="L252" i="1"/>
  <c r="L166" i="1"/>
  <c r="L144" i="1"/>
  <c r="L180" i="1"/>
  <c r="L200" i="1"/>
  <c r="L62" i="1"/>
  <c r="L246" i="1"/>
  <c r="L187" i="1"/>
  <c r="L168" i="1"/>
  <c r="L121" i="1"/>
  <c r="L243" i="1"/>
  <c r="L216" i="1"/>
  <c r="L89" i="1"/>
  <c r="L253" i="1"/>
  <c r="L233" i="1"/>
  <c r="L125" i="1"/>
  <c r="L254" i="1"/>
  <c r="L229" i="1"/>
  <c r="L224" i="1"/>
  <c r="L12" i="1"/>
  <c r="L91" i="1"/>
  <c r="L86" i="1"/>
  <c r="L134" i="1"/>
  <c r="L55" i="1"/>
  <c r="L60" i="1"/>
  <c r="L232" i="1"/>
  <c r="L120" i="1"/>
  <c r="L88" i="1"/>
  <c r="L111" i="1"/>
  <c r="L237" i="1"/>
  <c r="L178" i="1"/>
  <c r="L142" i="1"/>
  <c r="L40" i="1"/>
  <c r="L152" i="1"/>
  <c r="L23" i="1"/>
  <c r="Q150" i="4"/>
  <c r="F4" i="1"/>
  <c r="I66" i="1"/>
  <c r="L71" i="1"/>
  <c r="L151" i="1"/>
  <c r="O220" i="4"/>
  <c r="L258" i="1"/>
  <c r="L7" i="1"/>
  <c r="L160" i="1"/>
  <c r="L184" i="1"/>
  <c r="Q183" i="4"/>
  <c r="L155" i="1"/>
  <c r="L30" i="1"/>
  <c r="L131" i="1"/>
  <c r="L47" i="1"/>
  <c r="L213" i="1"/>
  <c r="L211" i="1"/>
  <c r="L116" i="1"/>
  <c r="L194" i="1"/>
  <c r="L33" i="1"/>
  <c r="Q229" i="4"/>
  <c r="O143" i="4"/>
  <c r="Q78" i="4"/>
  <c r="H16" i="1"/>
  <c r="I16" i="1" s="1"/>
  <c r="O36" i="4"/>
  <c r="O250" i="4"/>
  <c r="H119" i="1"/>
  <c r="I119" i="1" s="1"/>
  <c r="E4" i="1"/>
  <c r="O104" i="4"/>
  <c r="G4" i="1"/>
  <c r="O119" i="4"/>
  <c r="O135" i="4"/>
  <c r="O109" i="4"/>
  <c r="O29" i="18"/>
  <c r="P29" i="18" s="1"/>
  <c r="O246" i="18"/>
  <c r="P246" i="18" s="1"/>
  <c r="O155" i="18"/>
  <c r="O178" i="18"/>
  <c r="P178" i="18" s="1"/>
  <c r="F118" i="19"/>
  <c r="I138" i="18"/>
  <c r="J138" i="18" s="1"/>
  <c r="G99" i="19"/>
  <c r="L119" i="18"/>
  <c r="M119" i="18" s="1"/>
  <c r="F24" i="19"/>
  <c r="I23" i="25"/>
  <c r="I176" i="25"/>
  <c r="E253" i="19"/>
  <c r="F273" i="18"/>
  <c r="F219" i="19"/>
  <c r="I239" i="18"/>
  <c r="G208" i="19"/>
  <c r="L228" i="18"/>
  <c r="M228" i="18" s="1"/>
  <c r="F203" i="19"/>
  <c r="I223" i="18"/>
  <c r="J223" i="18" s="1"/>
  <c r="G200" i="19"/>
  <c r="H200" i="19" s="1"/>
  <c r="I200" i="19" s="1"/>
  <c r="L220" i="18"/>
  <c r="M220" i="18" s="1"/>
  <c r="I193" i="25"/>
  <c r="E197" i="19"/>
  <c r="F217" i="18"/>
  <c r="G217" i="18" s="1"/>
  <c r="I188" i="25"/>
  <c r="G192" i="19"/>
  <c r="I184" i="25"/>
  <c r="F187" i="19"/>
  <c r="I207" i="18"/>
  <c r="J207" i="18" s="1"/>
  <c r="G176" i="19"/>
  <c r="L196" i="18"/>
  <c r="M196" i="18" s="1"/>
  <c r="E173" i="19"/>
  <c r="F193" i="18"/>
  <c r="G193" i="18" s="1"/>
  <c r="E165" i="19"/>
  <c r="F185" i="18"/>
  <c r="G185" i="18" s="1"/>
  <c r="G160" i="19"/>
  <c r="H160" i="19" s="1"/>
  <c r="F155" i="19"/>
  <c r="I175" i="18"/>
  <c r="J175" i="18" s="1"/>
  <c r="G152" i="19"/>
  <c r="L172" i="18"/>
  <c r="M172" i="18" s="1"/>
  <c r="E149" i="19"/>
  <c r="F169" i="18"/>
  <c r="G169" i="18" s="1"/>
  <c r="G128" i="19"/>
  <c r="H128" i="19" s="1"/>
  <c r="L148" i="18"/>
  <c r="M148" i="18" s="1"/>
  <c r="E125" i="19"/>
  <c r="F145" i="18"/>
  <c r="G145" i="18" s="1"/>
  <c r="G112" i="19"/>
  <c r="L132" i="18"/>
  <c r="M132" i="18" s="1"/>
  <c r="E109" i="19"/>
  <c r="F129" i="18"/>
  <c r="G129" i="18" s="1"/>
  <c r="F107" i="19"/>
  <c r="H107" i="19" s="1"/>
  <c r="I107" i="19" s="1"/>
  <c r="I127" i="18"/>
  <c r="J127" i="18" s="1"/>
  <c r="G104" i="19"/>
  <c r="L124" i="18"/>
  <c r="F99" i="19"/>
  <c r="I95" i="25"/>
  <c r="I119" i="18"/>
  <c r="J119" i="18" s="1"/>
  <c r="E93" i="19"/>
  <c r="F113" i="18"/>
  <c r="G113" i="18" s="1"/>
  <c r="F83" i="19"/>
  <c r="I103" i="18"/>
  <c r="I81" i="25"/>
  <c r="G80" i="19"/>
  <c r="L100" i="18"/>
  <c r="M100" i="18" s="1"/>
  <c r="E77" i="19"/>
  <c r="F97" i="18"/>
  <c r="G97" i="18" s="1"/>
  <c r="F75" i="19"/>
  <c r="I74" i="25"/>
  <c r="F66" i="19"/>
  <c r="I65" i="25"/>
  <c r="G63" i="19"/>
  <c r="I62" i="25"/>
  <c r="L83" i="18"/>
  <c r="M83" i="18" s="1"/>
  <c r="F58" i="19"/>
  <c r="I78" i="18"/>
  <c r="G47" i="19"/>
  <c r="L67" i="18"/>
  <c r="M67" i="18" s="1"/>
  <c r="G39" i="19"/>
  <c r="I38" i="25"/>
  <c r="F34" i="19"/>
  <c r="I33" i="25"/>
  <c r="G26" i="19"/>
  <c r="H26" i="19" s="1"/>
  <c r="I26" i="19" s="1"/>
  <c r="L26" i="19" s="1"/>
  <c r="L46" i="18"/>
  <c r="M46" i="18" s="1"/>
  <c r="E23" i="19"/>
  <c r="F43" i="18"/>
  <c r="G43" i="18" s="1"/>
  <c r="E15" i="19"/>
  <c r="F35" i="18"/>
  <c r="G35" i="18" s="1"/>
  <c r="F13" i="19"/>
  <c r="H13" i="19" s="1"/>
  <c r="I13" i="19" s="1"/>
  <c r="I12" i="25"/>
  <c r="I33" i="18"/>
  <c r="J33" i="18" s="1"/>
  <c r="G10" i="19"/>
  <c r="L30" i="18"/>
  <c r="M30" i="18" s="1"/>
  <c r="F222" i="19"/>
  <c r="I242" i="18"/>
  <c r="F198" i="19"/>
  <c r="I191" i="25"/>
  <c r="I218" i="18"/>
  <c r="E184" i="19"/>
  <c r="F204" i="18"/>
  <c r="G204" i="18" s="1"/>
  <c r="G171" i="19"/>
  <c r="L191" i="18"/>
  <c r="M191" i="18" s="1"/>
  <c r="E128" i="19"/>
  <c r="F148" i="18"/>
  <c r="G148" i="18" s="1"/>
  <c r="G91" i="19"/>
  <c r="H91" i="19" s="1"/>
  <c r="I91" i="19" s="1"/>
  <c r="L91" i="19" s="1"/>
  <c r="L111" i="18"/>
  <c r="M111" i="18" s="1"/>
  <c r="F69" i="19"/>
  <c r="I68" i="25"/>
  <c r="G58" i="19"/>
  <c r="L78" i="18"/>
  <c r="M78" i="18" s="1"/>
  <c r="F32" i="19"/>
  <c r="I52" i="18"/>
  <c r="J52" i="18" s="1"/>
  <c r="F260" i="18"/>
  <c r="G260" i="18" s="1"/>
  <c r="L231" i="18"/>
  <c r="M231" i="18" s="1"/>
  <c r="F228" i="18"/>
  <c r="G228" i="18" s="1"/>
  <c r="O142" i="18"/>
  <c r="J142" i="18"/>
  <c r="O160" i="18"/>
  <c r="P160" i="18" s="1"/>
  <c r="I60" i="25"/>
  <c r="I70" i="25"/>
  <c r="I150" i="25"/>
  <c r="I202" i="25"/>
  <c r="I219" i="25"/>
  <c r="F156" i="18"/>
  <c r="G156" i="18" s="1"/>
  <c r="L33" i="18"/>
  <c r="M33" i="18" s="1"/>
  <c r="I269" i="18"/>
  <c r="E216" i="19"/>
  <c r="F236" i="18"/>
  <c r="G236" i="18" s="1"/>
  <c r="F206" i="19"/>
  <c r="H206" i="19" s="1"/>
  <c r="I200" i="25"/>
  <c r="E192" i="19"/>
  <c r="F212" i="18"/>
  <c r="G212" i="18" s="1"/>
  <c r="F126" i="19"/>
  <c r="I146" i="18"/>
  <c r="J146" i="18" s="1"/>
  <c r="E71" i="19"/>
  <c r="F91" i="18"/>
  <c r="G91" i="18" s="1"/>
  <c r="F45" i="19"/>
  <c r="H45" i="19" s="1"/>
  <c r="I45" i="19" s="1"/>
  <c r="L45" i="19" s="1"/>
  <c r="I44" i="25"/>
  <c r="I54" i="25"/>
  <c r="I209" i="25"/>
  <c r="F220" i="18"/>
  <c r="G220" i="18" s="1"/>
  <c r="E252" i="19"/>
  <c r="F272" i="18"/>
  <c r="E236" i="19"/>
  <c r="F256" i="18"/>
  <c r="E228" i="19"/>
  <c r="F248" i="18"/>
  <c r="F226" i="19"/>
  <c r="E204" i="19"/>
  <c r="F224" i="18"/>
  <c r="F202" i="19"/>
  <c r="I222" i="18"/>
  <c r="J222" i="18" s="1"/>
  <c r="G199" i="19"/>
  <c r="L219" i="18"/>
  <c r="M219" i="18" s="1"/>
  <c r="G183" i="19"/>
  <c r="L203" i="18"/>
  <c r="M203" i="18" s="1"/>
  <c r="G143" i="19"/>
  <c r="I135" i="25"/>
  <c r="E140" i="19"/>
  <c r="F160" i="18"/>
  <c r="F138" i="19"/>
  <c r="I158" i="18"/>
  <c r="G135" i="19"/>
  <c r="I128" i="25"/>
  <c r="F130" i="19"/>
  <c r="I123" i="25"/>
  <c r="I150" i="18"/>
  <c r="J150" i="18" s="1"/>
  <c r="F114" i="19"/>
  <c r="H114" i="19" s="1"/>
  <c r="I114" i="19" s="1"/>
  <c r="I134" i="18"/>
  <c r="I108" i="25"/>
  <c r="G111" i="19"/>
  <c r="L131" i="18"/>
  <c r="M131" i="18" s="1"/>
  <c r="I221" i="25"/>
  <c r="E108" i="19"/>
  <c r="F128" i="18"/>
  <c r="G128" i="18" s="1"/>
  <c r="F106" i="19"/>
  <c r="H106" i="19" s="1"/>
  <c r="I106" i="19" s="1"/>
  <c r="L106" i="19" s="1"/>
  <c r="I101" i="25"/>
  <c r="F98" i="19"/>
  <c r="I94" i="25"/>
  <c r="G95" i="19"/>
  <c r="L115" i="18"/>
  <c r="M115" i="18" s="1"/>
  <c r="E92" i="19"/>
  <c r="F112" i="18"/>
  <c r="E84" i="19"/>
  <c r="F104" i="18"/>
  <c r="F73" i="19"/>
  <c r="I93" i="18"/>
  <c r="J93" i="18" s="1"/>
  <c r="E59" i="19"/>
  <c r="F79" i="18"/>
  <c r="G79" i="18" s="1"/>
  <c r="G54" i="19"/>
  <c r="I53" i="25"/>
  <c r="F49" i="19"/>
  <c r="H49" i="19" s="1"/>
  <c r="I48" i="25"/>
  <c r="I69" i="18"/>
  <c r="G46" i="19"/>
  <c r="L66" i="18"/>
  <c r="M66" i="18" s="1"/>
  <c r="I45" i="25"/>
  <c r="F41" i="19"/>
  <c r="I61" i="18"/>
  <c r="G38" i="19"/>
  <c r="H38" i="19" s="1"/>
  <c r="I38" i="19" s="1"/>
  <c r="L38" i="19" s="1"/>
  <c r="L58" i="18"/>
  <c r="M58" i="18" s="1"/>
  <c r="F33" i="19"/>
  <c r="I32" i="25"/>
  <c r="E30" i="19"/>
  <c r="F50" i="18"/>
  <c r="G50" i="18" s="1"/>
  <c r="L45" i="18"/>
  <c r="M45" i="18" s="1"/>
  <c r="I24" i="25"/>
  <c r="F20" i="19"/>
  <c r="H20" i="19" s="1"/>
  <c r="I20" i="19" s="1"/>
  <c r="L20" i="19" s="1"/>
  <c r="I40" i="18"/>
  <c r="G17" i="19"/>
  <c r="L37" i="18"/>
  <c r="E14" i="19"/>
  <c r="F34" i="18"/>
  <c r="G34" i="18" s="1"/>
  <c r="F12" i="19"/>
  <c r="I32" i="18"/>
  <c r="J32" i="18" s="1"/>
  <c r="I11" i="25"/>
  <c r="G9" i="19"/>
  <c r="I8" i="25"/>
  <c r="J165" i="18"/>
  <c r="O165" i="18"/>
  <c r="P165" i="18" s="1"/>
  <c r="G195" i="19"/>
  <c r="L215" i="18"/>
  <c r="M215" i="18" s="1"/>
  <c r="G187" i="19"/>
  <c r="L207" i="18"/>
  <c r="M207" i="18" s="1"/>
  <c r="E176" i="19"/>
  <c r="F196" i="18"/>
  <c r="G196" i="18" s="1"/>
  <c r="F166" i="19"/>
  <c r="I186" i="18"/>
  <c r="J186" i="18" s="1"/>
  <c r="F142" i="19"/>
  <c r="I232" i="25"/>
  <c r="I162" i="18"/>
  <c r="G115" i="19"/>
  <c r="L135" i="18"/>
  <c r="M135" i="18" s="1"/>
  <c r="F94" i="19"/>
  <c r="I114" i="18"/>
  <c r="I91" i="25"/>
  <c r="E88" i="19"/>
  <c r="F108" i="18"/>
  <c r="G108" i="18" s="1"/>
  <c r="G75" i="19"/>
  <c r="L95" i="18"/>
  <c r="O95" i="18" s="1"/>
  <c r="P95" i="18" s="1"/>
  <c r="G50" i="19"/>
  <c r="L70" i="18"/>
  <c r="M70" i="18" s="1"/>
  <c r="E10" i="19"/>
  <c r="F30" i="18"/>
  <c r="G30" i="18" s="1"/>
  <c r="F164" i="18"/>
  <c r="G164" i="18" s="1"/>
  <c r="O131" i="18"/>
  <c r="O177" i="18"/>
  <c r="P177" i="18" s="1"/>
  <c r="I17" i="25"/>
  <c r="I20" i="25"/>
  <c r="I250" i="25"/>
  <c r="F252" i="18"/>
  <c r="G252" i="18" s="1"/>
  <c r="F132" i="18"/>
  <c r="G132" i="18" s="1"/>
  <c r="F38" i="18"/>
  <c r="G38" i="18" s="1"/>
  <c r="L103" i="18"/>
  <c r="M103" i="18" s="1"/>
  <c r="O44" i="18"/>
  <c r="Q44" i="18" s="1"/>
  <c r="F200" i="18"/>
  <c r="G200" i="18" s="1"/>
  <c r="F172" i="18"/>
  <c r="G172" i="18" s="1"/>
  <c r="F100" i="18"/>
  <c r="G100" i="18" s="1"/>
  <c r="F67" i="18"/>
  <c r="G67" i="18" s="1"/>
  <c r="F59" i="18"/>
  <c r="G59" i="18" s="1"/>
  <c r="L202" i="18"/>
  <c r="M202" i="18" s="1"/>
  <c r="L186" i="18"/>
  <c r="L146" i="18"/>
  <c r="M146" i="18" s="1"/>
  <c r="L130" i="18"/>
  <c r="M130" i="18" s="1"/>
  <c r="L116" i="18"/>
  <c r="M116" i="18" s="1"/>
  <c r="L86" i="18"/>
  <c r="M86" i="18" s="1"/>
  <c r="I254" i="18"/>
  <c r="J254" i="18" s="1"/>
  <c r="I234" i="18"/>
  <c r="I154" i="18"/>
  <c r="J154" i="18" s="1"/>
  <c r="I106" i="18"/>
  <c r="J106" i="18" s="1"/>
  <c r="I92" i="18"/>
  <c r="I81" i="18"/>
  <c r="I65" i="18"/>
  <c r="F53" i="19"/>
  <c r="I73" i="18"/>
  <c r="J73" i="18" s="1"/>
  <c r="I52" i="25"/>
  <c r="G29" i="19"/>
  <c r="H29" i="19" s="1"/>
  <c r="I29" i="19" s="1"/>
  <c r="L29" i="19" s="1"/>
  <c r="L49" i="18"/>
  <c r="F16" i="19"/>
  <c r="H16" i="19" s="1"/>
  <c r="I16" i="19" s="1"/>
  <c r="I15" i="25"/>
  <c r="F8" i="19"/>
  <c r="I28" i="18"/>
  <c r="J28" i="18" s="1"/>
  <c r="I7" i="25"/>
  <c r="I85" i="25"/>
  <c r="I205" i="25"/>
  <c r="F75" i="18"/>
  <c r="G75" i="18" s="1"/>
  <c r="J178" i="18"/>
  <c r="I144" i="25"/>
  <c r="E244" i="19"/>
  <c r="F264" i="18"/>
  <c r="G239" i="19"/>
  <c r="L259" i="18"/>
  <c r="M259" i="18" s="1"/>
  <c r="O63" i="18"/>
  <c r="I28" i="25"/>
  <c r="I31" i="25"/>
  <c r="I127" i="25"/>
  <c r="I168" i="25"/>
  <c r="I175" i="25"/>
  <c r="I196" i="25"/>
  <c r="F268" i="18"/>
  <c r="G268" i="18" s="1"/>
  <c r="F215" i="18"/>
  <c r="G215" i="18" s="1"/>
  <c r="F153" i="18"/>
  <c r="G153" i="18" s="1"/>
  <c r="F140" i="18"/>
  <c r="G140" i="18" s="1"/>
  <c r="L218" i="18"/>
  <c r="M218" i="18" s="1"/>
  <c r="L159" i="18"/>
  <c r="M159" i="18" s="1"/>
  <c r="L98" i="18"/>
  <c r="M98" i="18" s="1"/>
  <c r="L41" i="18"/>
  <c r="M41" i="18" s="1"/>
  <c r="I167" i="18"/>
  <c r="J167" i="18" s="1"/>
  <c r="I122" i="18"/>
  <c r="J122" i="18" s="1"/>
  <c r="O220" i="18"/>
  <c r="I142" i="25"/>
  <c r="L239" i="18"/>
  <c r="M239" i="18" s="1"/>
  <c r="L54" i="18"/>
  <c r="M54" i="18" s="1"/>
  <c r="I226" i="18"/>
  <c r="J226" i="18" s="1"/>
  <c r="G254" i="19"/>
  <c r="L274" i="18"/>
  <c r="M274" i="18" s="1"/>
  <c r="F241" i="19"/>
  <c r="I261" i="18"/>
  <c r="J261" i="18" s="1"/>
  <c r="G238" i="19"/>
  <c r="L258" i="18"/>
  <c r="M258" i="18" s="1"/>
  <c r="G230" i="19"/>
  <c r="L250" i="18"/>
  <c r="M250" i="18" s="1"/>
  <c r="E227" i="19"/>
  <c r="F247" i="18"/>
  <c r="G247" i="18" s="1"/>
  <c r="F209" i="19"/>
  <c r="H209" i="19" s="1"/>
  <c r="I203" i="25"/>
  <c r="G190" i="19"/>
  <c r="L210" i="18"/>
  <c r="M210" i="18" s="1"/>
  <c r="F185" i="19"/>
  <c r="I177" i="25"/>
  <c r="F169" i="19"/>
  <c r="I189" i="18"/>
  <c r="J189" i="18" s="1"/>
  <c r="E163" i="19"/>
  <c r="F183" i="18"/>
  <c r="G183" i="18" s="1"/>
  <c r="G142" i="19"/>
  <c r="L162" i="18"/>
  <c r="M162" i="18" s="1"/>
  <c r="F137" i="19"/>
  <c r="I157" i="18"/>
  <c r="J157" i="18" s="1"/>
  <c r="F113" i="19"/>
  <c r="H113" i="19" s="1"/>
  <c r="I107" i="25"/>
  <c r="F105" i="19"/>
  <c r="H105" i="19" s="1"/>
  <c r="I105" i="19" s="1"/>
  <c r="I125" i="18"/>
  <c r="J125" i="18" s="1"/>
  <c r="E99" i="19"/>
  <c r="F119" i="18"/>
  <c r="G119" i="18" s="1"/>
  <c r="G94" i="19"/>
  <c r="L114" i="18"/>
  <c r="M114" i="18" s="1"/>
  <c r="G86" i="19"/>
  <c r="L106" i="18"/>
  <c r="M106" i="18" s="1"/>
  <c r="E83" i="19"/>
  <c r="F103" i="18"/>
  <c r="G103" i="18" s="1"/>
  <c r="F81" i="19"/>
  <c r="I101" i="18"/>
  <c r="J101" i="18" s="1"/>
  <c r="G69" i="19"/>
  <c r="L89" i="18"/>
  <c r="M89" i="18" s="1"/>
  <c r="F56" i="19"/>
  <c r="I55" i="25"/>
  <c r="E50" i="19"/>
  <c r="F70" i="18"/>
  <c r="G70" i="18" s="1"/>
  <c r="E29" i="19"/>
  <c r="F49" i="18"/>
  <c r="G49" i="18" s="1"/>
  <c r="E21" i="19"/>
  <c r="F41" i="18"/>
  <c r="G41" i="18" s="1"/>
  <c r="I164" i="25"/>
  <c r="I5" i="25"/>
  <c r="I14" i="25"/>
  <c r="I35" i="25"/>
  <c r="I58" i="25"/>
  <c r="I67" i="25"/>
  <c r="I97" i="25"/>
  <c r="I125" i="25"/>
  <c r="I149" i="25"/>
  <c r="I165" i="25"/>
  <c r="I235" i="25"/>
  <c r="I30" i="25"/>
  <c r="I42" i="25"/>
  <c r="L36" i="18"/>
  <c r="M36" i="18" s="1"/>
  <c r="H144" i="19"/>
  <c r="O76" i="18"/>
  <c r="P76" i="18" s="1"/>
  <c r="M64" i="18"/>
  <c r="O217" i="18"/>
  <c r="Q217" i="18" s="1"/>
  <c r="O229" i="18"/>
  <c r="M155" i="18"/>
  <c r="O26" i="18"/>
  <c r="P26" i="18" s="1"/>
  <c r="I181" i="25"/>
  <c r="O83" i="18"/>
  <c r="P83" i="18" s="1"/>
  <c r="H52" i="19"/>
  <c r="O134" i="18"/>
  <c r="O65" i="18"/>
  <c r="P65" i="18" s="1"/>
  <c r="H236" i="19"/>
  <c r="I92" i="25"/>
  <c r="Q64" i="18"/>
  <c r="O108" i="18"/>
  <c r="I253" i="25"/>
  <c r="I245" i="25"/>
  <c r="H157" i="19"/>
  <c r="I105" i="25"/>
  <c r="I27" i="25"/>
  <c r="I100" i="25"/>
  <c r="I166" i="25"/>
  <c r="I225" i="25"/>
  <c r="I228" i="25"/>
  <c r="L232" i="18"/>
  <c r="M232" i="18" s="1"/>
  <c r="O136" i="18"/>
  <c r="P136" i="18" s="1"/>
  <c r="I85" i="18"/>
  <c r="I53" i="18"/>
  <c r="J53" i="18" s="1"/>
  <c r="G222" i="19"/>
  <c r="G189" i="19"/>
  <c r="H189" i="19" s="1"/>
  <c r="I172" i="25"/>
  <c r="F110" i="19"/>
  <c r="G100" i="19"/>
  <c r="H100" i="19" s="1"/>
  <c r="I87" i="25"/>
  <c r="M44" i="18"/>
  <c r="I61" i="25"/>
  <c r="I72" i="25"/>
  <c r="I98" i="25"/>
  <c r="I136" i="25"/>
  <c r="I146" i="25"/>
  <c r="I198" i="25"/>
  <c r="F239" i="18"/>
  <c r="F221" i="18"/>
  <c r="G221" i="18" s="1"/>
  <c r="F137" i="18"/>
  <c r="G137" i="18" s="1"/>
  <c r="F87" i="18"/>
  <c r="G87" i="18" s="1"/>
  <c r="L260" i="18"/>
  <c r="M260" i="18" s="1"/>
  <c r="L209" i="18"/>
  <c r="O209" i="18" s="1"/>
  <c r="P209" i="18" s="1"/>
  <c r="L189" i="18"/>
  <c r="L140" i="18"/>
  <c r="M140" i="18" s="1"/>
  <c r="L122" i="18"/>
  <c r="I202" i="18"/>
  <c r="I187" i="18"/>
  <c r="J187" i="18" s="1"/>
  <c r="I239" i="25"/>
  <c r="H232" i="19"/>
  <c r="I232" i="19" s="1"/>
  <c r="I206" i="25"/>
  <c r="O123" i="18"/>
  <c r="P123" i="18" s="1"/>
  <c r="I19" i="25"/>
  <c r="I64" i="25"/>
  <c r="I84" i="25"/>
  <c r="I93" i="25"/>
  <c r="I161" i="25"/>
  <c r="I174" i="25"/>
  <c r="I183" i="25"/>
  <c r="I214" i="25"/>
  <c r="I217" i="25"/>
  <c r="F184" i="18"/>
  <c r="G184" i="18" s="1"/>
  <c r="F166" i="18"/>
  <c r="G166" i="18" s="1"/>
  <c r="F117" i="18"/>
  <c r="G117" i="18" s="1"/>
  <c r="F40" i="18"/>
  <c r="G40" i="18" s="1"/>
  <c r="F32" i="18"/>
  <c r="G32" i="18" s="1"/>
  <c r="L62" i="18"/>
  <c r="M62" i="18" s="1"/>
  <c r="I174" i="18"/>
  <c r="J174" i="18" s="1"/>
  <c r="I164" i="18"/>
  <c r="J164" i="18" s="1"/>
  <c r="I72" i="18"/>
  <c r="I38" i="18"/>
  <c r="J38" i="18" s="1"/>
  <c r="I34" i="25"/>
  <c r="I56" i="25"/>
  <c r="I189" i="25"/>
  <c r="F96" i="18"/>
  <c r="F74" i="18"/>
  <c r="G74" i="18" s="1"/>
  <c r="I227" i="18"/>
  <c r="I130" i="18"/>
  <c r="J130" i="18" s="1"/>
  <c r="I99" i="18"/>
  <c r="J99" i="18" s="1"/>
  <c r="I80" i="18"/>
  <c r="H176" i="19"/>
  <c r="H143" i="19"/>
  <c r="I131" i="25"/>
  <c r="I141" i="25"/>
  <c r="I156" i="25"/>
  <c r="I159" i="25"/>
  <c r="F265" i="18"/>
  <c r="F234" i="18"/>
  <c r="G234" i="18" s="1"/>
  <c r="F142" i="18"/>
  <c r="G142" i="18" s="1"/>
  <c r="F82" i="18"/>
  <c r="G82" i="18" s="1"/>
  <c r="L237" i="18"/>
  <c r="M237" i="18" s="1"/>
  <c r="L214" i="18"/>
  <c r="L194" i="18"/>
  <c r="M194" i="18" s="1"/>
  <c r="L127" i="18"/>
  <c r="M127" i="18" s="1"/>
  <c r="L90" i="18"/>
  <c r="M90" i="18" s="1"/>
  <c r="I263" i="18"/>
  <c r="J263" i="18" s="1"/>
  <c r="I182" i="18"/>
  <c r="J182" i="18" s="1"/>
  <c r="I107" i="18"/>
  <c r="J107" i="18" s="1"/>
  <c r="O89" i="18"/>
  <c r="P89" i="18" s="1"/>
  <c r="I48" i="18"/>
  <c r="J48" i="18" s="1"/>
  <c r="O35" i="18"/>
  <c r="Q35" i="18" s="1"/>
  <c r="H168" i="19"/>
  <c r="H119" i="19"/>
  <c r="O201" i="18"/>
  <c r="P201" i="18" s="1"/>
  <c r="I102" i="25"/>
  <c r="I187" i="25"/>
  <c r="F216" i="18"/>
  <c r="G216" i="18" s="1"/>
  <c r="F171" i="18"/>
  <c r="G171" i="18" s="1"/>
  <c r="F150" i="18"/>
  <c r="G150" i="18" s="1"/>
  <c r="F45" i="18"/>
  <c r="G45" i="18" s="1"/>
  <c r="L204" i="18"/>
  <c r="M204" i="18" s="1"/>
  <c r="L77" i="18"/>
  <c r="M77" i="18" s="1"/>
  <c r="I46" i="25"/>
  <c r="I6" i="25"/>
  <c r="I9" i="25"/>
  <c r="I41" i="25"/>
  <c r="I111" i="25"/>
  <c r="I129" i="25"/>
  <c r="I148" i="25"/>
  <c r="I154" i="25"/>
  <c r="F158" i="18"/>
  <c r="G158" i="18" s="1"/>
  <c r="L252" i="18"/>
  <c r="M252" i="18" s="1"/>
  <c r="L224" i="18"/>
  <c r="M224" i="18" s="1"/>
  <c r="I169" i="18"/>
  <c r="I148" i="18"/>
  <c r="J148" i="18" s="1"/>
  <c r="I67" i="18"/>
  <c r="E217" i="19"/>
  <c r="H126" i="19"/>
  <c r="J65" i="18"/>
  <c r="O124" i="18"/>
  <c r="P124" i="18" s="1"/>
  <c r="M124" i="18"/>
  <c r="M107" i="18"/>
  <c r="M56" i="18"/>
  <c r="O56" i="18"/>
  <c r="P56" i="18" s="1"/>
  <c r="I237" i="25"/>
  <c r="F238" i="19"/>
  <c r="H238" i="19" s="1"/>
  <c r="I238" i="19" s="1"/>
  <c r="L238" i="19" s="1"/>
  <c r="I258" i="18"/>
  <c r="O150" i="18"/>
  <c r="O133" i="18"/>
  <c r="P133" i="18" s="1"/>
  <c r="O210" i="18"/>
  <c r="O46" i="18"/>
  <c r="Q46" i="18" s="1"/>
  <c r="G214" i="19"/>
  <c r="I208" i="25"/>
  <c r="E206" i="19"/>
  <c r="F226" i="18"/>
  <c r="G226" i="18" s="1"/>
  <c r="G179" i="19"/>
  <c r="H179" i="19" s="1"/>
  <c r="L199" i="18"/>
  <c r="M199" i="18" s="1"/>
  <c r="F177" i="19"/>
  <c r="I197" i="18"/>
  <c r="J197" i="18" s="1"/>
  <c r="O102" i="18"/>
  <c r="J83" i="18"/>
  <c r="O250" i="18"/>
  <c r="Q155" i="18"/>
  <c r="O237" i="18"/>
  <c r="P237" i="18" s="1"/>
  <c r="M120" i="18"/>
  <c r="O120" i="18"/>
  <c r="P120" i="18" s="1"/>
  <c r="O51" i="18"/>
  <c r="M51" i="18"/>
  <c r="J184" i="18"/>
  <c r="O184" i="18"/>
  <c r="J163" i="18"/>
  <c r="O163" i="18"/>
  <c r="O27" i="18"/>
  <c r="H252" i="19"/>
  <c r="I252" i="19" s="1"/>
  <c r="L241" i="18"/>
  <c r="I216" i="25"/>
  <c r="O267" i="18"/>
  <c r="P267" i="18" s="1"/>
  <c r="G223" i="19"/>
  <c r="L243" i="18"/>
  <c r="M243" i="18" s="1"/>
  <c r="O144" i="18"/>
  <c r="P144" i="18" s="1"/>
  <c r="O70" i="18"/>
  <c r="P70" i="18" s="1"/>
  <c r="J70" i="18"/>
  <c r="O212" i="18"/>
  <c r="Q212" i="18" s="1"/>
  <c r="O96" i="18"/>
  <c r="P96" i="18" s="1"/>
  <c r="J26" i="18"/>
  <c r="O226" i="18"/>
  <c r="J242" i="18"/>
  <c r="O242" i="18"/>
  <c r="P242" i="18" s="1"/>
  <c r="E225" i="19"/>
  <c r="F245" i="18"/>
  <c r="G245" i="18" s="1"/>
  <c r="E172" i="19"/>
  <c r="F192" i="18"/>
  <c r="G192" i="18" s="1"/>
  <c r="F170" i="19"/>
  <c r="I190" i="18"/>
  <c r="I162" i="25"/>
  <c r="O218" i="18"/>
  <c r="P218" i="18" s="1"/>
  <c r="J218" i="18"/>
  <c r="O74" i="18"/>
  <c r="P74" i="18" s="1"/>
  <c r="J74" i="18"/>
  <c r="O116" i="18"/>
  <c r="Q178" i="18"/>
  <c r="J134" i="18"/>
  <c r="M170" i="18"/>
  <c r="O170" i="18"/>
  <c r="P170" i="18" s="1"/>
  <c r="O66" i="18"/>
  <c r="G202" i="19"/>
  <c r="I195" i="25"/>
  <c r="L222" i="18"/>
  <c r="I252" i="25"/>
  <c r="F258" i="18"/>
  <c r="F244" i="18"/>
  <c r="G244" i="18" s="1"/>
  <c r="F233" i="18"/>
  <c r="G233" i="18" s="1"/>
  <c r="L264" i="18"/>
  <c r="M264" i="18" s="1"/>
  <c r="L235" i="18"/>
  <c r="M235" i="18" s="1"/>
  <c r="L216" i="18"/>
  <c r="O105" i="18"/>
  <c r="P105" i="18" s="1"/>
  <c r="E251" i="19"/>
  <c r="F247" i="19"/>
  <c r="H242" i="19"/>
  <c r="I242" i="19" s="1"/>
  <c r="F230" i="19"/>
  <c r="H192" i="19"/>
  <c r="I192" i="19" s="1"/>
  <c r="H174" i="19"/>
  <c r="I174" i="19" s="1"/>
  <c r="I114" i="25"/>
  <c r="I113" i="19"/>
  <c r="I66" i="25"/>
  <c r="H53" i="19"/>
  <c r="H27" i="19"/>
  <c r="I27" i="19" s="1"/>
  <c r="L27" i="19" s="1"/>
  <c r="I89" i="25"/>
  <c r="I243" i="25"/>
  <c r="H110" i="19"/>
  <c r="I110" i="19" s="1"/>
  <c r="L271" i="18"/>
  <c r="M271" i="18" s="1"/>
  <c r="I198" i="18"/>
  <c r="J198" i="18" s="1"/>
  <c r="I29" i="25"/>
  <c r="I18" i="25"/>
  <c r="I173" i="25"/>
  <c r="I230" i="25"/>
  <c r="I233" i="25"/>
  <c r="I82" i="25"/>
  <c r="H23" i="19"/>
  <c r="I23" i="19" s="1"/>
  <c r="L23" i="19" s="1"/>
  <c r="L254" i="18"/>
  <c r="M254" i="18" s="1"/>
  <c r="I273" i="18"/>
  <c r="J273" i="18" s="1"/>
  <c r="I259" i="18"/>
  <c r="I247" i="18"/>
  <c r="J247" i="18" s="1"/>
  <c r="I231" i="18"/>
  <c r="J231" i="18" s="1"/>
  <c r="I205" i="18"/>
  <c r="H142" i="19"/>
  <c r="I142" i="19" s="1"/>
  <c r="O172" i="18"/>
  <c r="Q172" i="18" s="1"/>
  <c r="J105" i="18"/>
  <c r="M209" i="18"/>
  <c r="F240" i="18"/>
  <c r="G240" i="18" s="1"/>
  <c r="I94" i="18"/>
  <c r="F74" i="19"/>
  <c r="E187" i="19"/>
  <c r="F207" i="18"/>
  <c r="G207" i="18" s="1"/>
  <c r="F165" i="19"/>
  <c r="H165" i="19" s="1"/>
  <c r="I165" i="19" s="1"/>
  <c r="I157" i="25"/>
  <c r="I185" i="18"/>
  <c r="H85" i="19"/>
  <c r="F199" i="19"/>
  <c r="I192" i="25"/>
  <c r="I219" i="18"/>
  <c r="G147" i="19"/>
  <c r="H147" i="19" s="1"/>
  <c r="I147" i="19" s="1"/>
  <c r="I139" i="25"/>
  <c r="L167" i="18"/>
  <c r="M217" i="18"/>
  <c r="M197" i="18"/>
  <c r="G241" i="19"/>
  <c r="L261" i="18"/>
  <c r="G224" i="19"/>
  <c r="H224" i="19" s="1"/>
  <c r="I224" i="19" s="1"/>
  <c r="I220" i="25"/>
  <c r="L244" i="18"/>
  <c r="M244" i="18" s="1"/>
  <c r="E166" i="19"/>
  <c r="F186" i="18"/>
  <c r="G153" i="19"/>
  <c r="I145" i="25"/>
  <c r="L173" i="18"/>
  <c r="G151" i="19"/>
  <c r="H151" i="19" s="1"/>
  <c r="I151" i="19" s="1"/>
  <c r="L151" i="19" s="1"/>
  <c r="L171" i="18"/>
  <c r="I143" i="25"/>
  <c r="I159" i="18"/>
  <c r="F139" i="19"/>
  <c r="H139" i="19" s="1"/>
  <c r="E124" i="19"/>
  <c r="F144" i="18"/>
  <c r="H35" i="19"/>
  <c r="I35" i="19" s="1"/>
  <c r="E160" i="19"/>
  <c r="F180" i="18"/>
  <c r="G180" i="18" s="1"/>
  <c r="G108" i="19"/>
  <c r="L128" i="18"/>
  <c r="O59" i="18"/>
  <c r="Q59" i="18" s="1"/>
  <c r="E243" i="19"/>
  <c r="F263" i="18"/>
  <c r="G263" i="18" s="1"/>
  <c r="L249" i="18"/>
  <c r="I227" i="25"/>
  <c r="G229" i="19"/>
  <c r="E226" i="19"/>
  <c r="F246" i="18"/>
  <c r="G246" i="18" s="1"/>
  <c r="I201" i="25"/>
  <c r="F227" i="18"/>
  <c r="G227" i="18" s="1"/>
  <c r="E207" i="19"/>
  <c r="E205" i="19"/>
  <c r="F225" i="18"/>
  <c r="G225" i="18" s="1"/>
  <c r="G203" i="19"/>
  <c r="L223" i="18"/>
  <c r="I197" i="25"/>
  <c r="F171" i="19"/>
  <c r="I191" i="18"/>
  <c r="I163" i="25"/>
  <c r="E168" i="19"/>
  <c r="F188" i="18"/>
  <c r="G188" i="18" s="1"/>
  <c r="G155" i="19"/>
  <c r="I147" i="25"/>
  <c r="L175" i="18"/>
  <c r="I134" i="25"/>
  <c r="L161" i="18"/>
  <c r="M161" i="18" s="1"/>
  <c r="G141" i="19"/>
  <c r="G129" i="19"/>
  <c r="H129" i="19" s="1"/>
  <c r="I129" i="19" s="1"/>
  <c r="L149" i="18"/>
  <c r="F112" i="19"/>
  <c r="I132" i="18"/>
  <c r="I106" i="25"/>
  <c r="E185" i="19"/>
  <c r="F205" i="18"/>
  <c r="G205" i="18" s="1"/>
  <c r="O119" i="18"/>
  <c r="I103" i="25"/>
  <c r="I238" i="18"/>
  <c r="J238" i="18" s="1"/>
  <c r="G131" i="19"/>
  <c r="L151" i="18"/>
  <c r="M151" i="18" s="1"/>
  <c r="I124" i="25"/>
  <c r="J271" i="18"/>
  <c r="O271" i="18"/>
  <c r="P271" i="18" s="1"/>
  <c r="F229" i="18"/>
  <c r="G229" i="18" s="1"/>
  <c r="E209" i="19"/>
  <c r="E179" i="19"/>
  <c r="F199" i="18"/>
  <c r="G177" i="19"/>
  <c r="I169" i="25"/>
  <c r="G175" i="19"/>
  <c r="H175" i="19" s="1"/>
  <c r="I175" i="19" s="1"/>
  <c r="L175" i="19" s="1"/>
  <c r="L195" i="18"/>
  <c r="I167" i="25"/>
  <c r="G133" i="19"/>
  <c r="I126" i="25"/>
  <c r="L153" i="18"/>
  <c r="E115" i="19"/>
  <c r="F135" i="18"/>
  <c r="G135" i="18" s="1"/>
  <c r="F120" i="18"/>
  <c r="G120" i="18" s="1"/>
  <c r="E100" i="19"/>
  <c r="O31" i="18"/>
  <c r="I274" i="18"/>
  <c r="F254" i="19"/>
  <c r="H254" i="19" s="1"/>
  <c r="I254" i="19" s="1"/>
  <c r="F250" i="19"/>
  <c r="H250" i="19" s="1"/>
  <c r="I250" i="19" s="1"/>
  <c r="L250" i="19" s="1"/>
  <c r="I249" i="25"/>
  <c r="I270" i="18"/>
  <c r="J270" i="18" s="1"/>
  <c r="G245" i="19"/>
  <c r="H245" i="19" s="1"/>
  <c r="I245" i="19" s="1"/>
  <c r="L245" i="19" s="1"/>
  <c r="I244" i="25"/>
  <c r="F233" i="19"/>
  <c r="I253" i="18"/>
  <c r="J253" i="18" s="1"/>
  <c r="F195" i="19"/>
  <c r="H195" i="19" s="1"/>
  <c r="I195" i="19" s="1"/>
  <c r="I215" i="18"/>
  <c r="F203" i="18"/>
  <c r="G203" i="18" s="1"/>
  <c r="E183" i="19"/>
  <c r="E181" i="19"/>
  <c r="F201" i="18"/>
  <c r="G201" i="18" s="1"/>
  <c r="I179" i="18"/>
  <c r="F159" i="19"/>
  <c r="H159" i="19" s="1"/>
  <c r="I159" i="19" s="1"/>
  <c r="L159" i="19" s="1"/>
  <c r="I151" i="25"/>
  <c r="H138" i="19"/>
  <c r="I138" i="19" s="1"/>
  <c r="L138" i="19" s="1"/>
  <c r="O93" i="18"/>
  <c r="O265" i="18"/>
  <c r="E237" i="19"/>
  <c r="F257" i="18"/>
  <c r="G257" i="18" s="1"/>
  <c r="G235" i="19"/>
  <c r="L255" i="18"/>
  <c r="M255" i="18" s="1"/>
  <c r="I211" i="25"/>
  <c r="I236" i="18"/>
  <c r="F216" i="19"/>
  <c r="H216" i="19" s="1"/>
  <c r="I190" i="25"/>
  <c r="G197" i="19"/>
  <c r="H197" i="19" s="1"/>
  <c r="I197" i="19" s="1"/>
  <c r="L197" i="19" s="1"/>
  <c r="F145" i="19"/>
  <c r="I137" i="25"/>
  <c r="F157" i="18"/>
  <c r="G157" i="18" s="1"/>
  <c r="E137" i="19"/>
  <c r="E104" i="19"/>
  <c r="F124" i="18"/>
  <c r="H76" i="19"/>
  <c r="I76" i="19" s="1"/>
  <c r="L76" i="19" s="1"/>
  <c r="I22" i="25"/>
  <c r="I59" i="25"/>
  <c r="I182" i="25"/>
  <c r="I215" i="25"/>
  <c r="F253" i="18"/>
  <c r="G253" i="18" s="1"/>
  <c r="F165" i="18"/>
  <c r="F116" i="18"/>
  <c r="G116" i="18" s="1"/>
  <c r="F90" i="18"/>
  <c r="G90" i="18" s="1"/>
  <c r="L236" i="18"/>
  <c r="M236" i="18" s="1"/>
  <c r="L87" i="18"/>
  <c r="I262" i="18"/>
  <c r="I230" i="18"/>
  <c r="J230" i="18" s="1"/>
  <c r="I204" i="18"/>
  <c r="J204" i="18" s="1"/>
  <c r="I194" i="18"/>
  <c r="O137" i="18"/>
  <c r="I43" i="18"/>
  <c r="F244" i="19"/>
  <c r="H244" i="19" s="1"/>
  <c r="I244" i="19" s="1"/>
  <c r="L244" i="19" s="1"/>
  <c r="F240" i="19"/>
  <c r="H240" i="19" s="1"/>
  <c r="I240" i="19" s="1"/>
  <c r="E231" i="19"/>
  <c r="G221" i="19"/>
  <c r="H221" i="19" s="1"/>
  <c r="F208" i="19"/>
  <c r="H208" i="19" s="1"/>
  <c r="H204" i="19"/>
  <c r="I204" i="19" s="1"/>
  <c r="E199" i="19"/>
  <c r="H196" i="19"/>
  <c r="E191" i="19"/>
  <c r="F190" i="19"/>
  <c r="H190" i="19" s="1"/>
  <c r="I190" i="19" s="1"/>
  <c r="L190" i="19" s="1"/>
  <c r="F150" i="19"/>
  <c r="H150" i="19" s="1"/>
  <c r="I150" i="19" s="1"/>
  <c r="L150" i="19" s="1"/>
  <c r="I140" i="25"/>
  <c r="E143" i="19"/>
  <c r="H109" i="19"/>
  <c r="I109" i="19" s="1"/>
  <c r="H86" i="19"/>
  <c r="I86" i="19" s="1"/>
  <c r="H214" i="19"/>
  <c r="I214" i="19" s="1"/>
  <c r="I57" i="25"/>
  <c r="I96" i="25"/>
  <c r="I130" i="25"/>
  <c r="I224" i="25"/>
  <c r="I241" i="25"/>
  <c r="F270" i="18"/>
  <c r="G270" i="18" s="1"/>
  <c r="F232" i="18"/>
  <c r="F114" i="18"/>
  <c r="F71" i="18"/>
  <c r="G71" i="18" s="1"/>
  <c r="L147" i="18"/>
  <c r="M147" i="18" s="1"/>
  <c r="L112" i="18"/>
  <c r="I260" i="18"/>
  <c r="O260" i="18" s="1"/>
  <c r="I104" i="18"/>
  <c r="J104" i="18" s="1"/>
  <c r="O86" i="18"/>
  <c r="P86" i="18" s="1"/>
  <c r="I58" i="18"/>
  <c r="J58" i="18" s="1"/>
  <c r="I41" i="18"/>
  <c r="H167" i="19"/>
  <c r="I167" i="19" s="1"/>
  <c r="L167" i="19" s="1"/>
  <c r="G92" i="19"/>
  <c r="H92" i="19" s="1"/>
  <c r="I92" i="19" s="1"/>
  <c r="L92" i="19" s="1"/>
  <c r="F84" i="19"/>
  <c r="E72" i="19"/>
  <c r="G67" i="19"/>
  <c r="H67" i="19" s="1"/>
  <c r="I67" i="19" s="1"/>
  <c r="L67" i="19" s="1"/>
  <c r="E65" i="19"/>
  <c r="G60" i="19"/>
  <c r="E58" i="19"/>
  <c r="H57" i="19"/>
  <c r="I57" i="19" s="1"/>
  <c r="L57" i="19" s="1"/>
  <c r="F55" i="19"/>
  <c r="E49" i="19"/>
  <c r="H36" i="19"/>
  <c r="G25" i="19"/>
  <c r="H25" i="19" s="1"/>
  <c r="I25" i="19" s="1"/>
  <c r="L25" i="19" s="1"/>
  <c r="F19" i="19"/>
  <c r="H19" i="19" s="1"/>
  <c r="I19" i="19" s="1"/>
  <c r="L19" i="19" s="1"/>
  <c r="F17" i="19"/>
  <c r="H15" i="19"/>
  <c r="I15" i="19" s="1"/>
  <c r="L15" i="19" s="1"/>
  <c r="F11" i="19"/>
  <c r="I10" i="25"/>
  <c r="I26" i="25"/>
  <c r="I37" i="25"/>
  <c r="I50" i="25"/>
  <c r="I71" i="25"/>
  <c r="I117" i="25"/>
  <c r="I178" i="25"/>
  <c r="I236" i="25"/>
  <c r="F161" i="18"/>
  <c r="G161" i="18" s="1"/>
  <c r="L145" i="18"/>
  <c r="M145" i="18" s="1"/>
  <c r="L73" i="18"/>
  <c r="O28" i="18"/>
  <c r="O55" i="18"/>
  <c r="Q55" i="18" s="1"/>
  <c r="I47" i="18"/>
  <c r="J47" i="18" s="1"/>
  <c r="I39" i="18"/>
  <c r="H229" i="19"/>
  <c r="H108" i="19"/>
  <c r="I108" i="19" s="1"/>
  <c r="H32" i="19"/>
  <c r="I32" i="19" s="1"/>
  <c r="L32" i="19" s="1"/>
  <c r="I79" i="25"/>
  <c r="I152" i="25"/>
  <c r="I160" i="25"/>
  <c r="F26" i="18"/>
  <c r="G26" i="18" s="1"/>
  <c r="L187" i="18"/>
  <c r="L179" i="18"/>
  <c r="M179" i="18" s="1"/>
  <c r="L99" i="18"/>
  <c r="O36" i="18"/>
  <c r="I256" i="18"/>
  <c r="J256" i="18" s="1"/>
  <c r="I224" i="18"/>
  <c r="O188" i="18"/>
  <c r="P188" i="18" s="1"/>
  <c r="I152" i="18"/>
  <c r="I54" i="18"/>
  <c r="J54" i="18" s="1"/>
  <c r="O30" i="18"/>
  <c r="Q30" i="18" s="1"/>
  <c r="H239" i="19"/>
  <c r="I239" i="19" s="1"/>
  <c r="L239" i="19" s="1"/>
  <c r="H207" i="19"/>
  <c r="I207" i="19" s="1"/>
  <c r="L207" i="19" s="1"/>
  <c r="H149" i="19"/>
  <c r="I149" i="19" s="1"/>
  <c r="L149" i="19" s="1"/>
  <c r="H70" i="19"/>
  <c r="I70" i="19" s="1"/>
  <c r="H41" i="19"/>
  <c r="F101" i="18"/>
  <c r="G101" i="18" s="1"/>
  <c r="I264" i="18"/>
  <c r="I206" i="18"/>
  <c r="O130" i="18"/>
  <c r="P130" i="18" s="1"/>
  <c r="H253" i="19"/>
  <c r="H181" i="19"/>
  <c r="H61" i="19"/>
  <c r="I61" i="19" s="1"/>
  <c r="I21" i="25"/>
  <c r="I77" i="25"/>
  <c r="I158" i="25"/>
  <c r="I171" i="25"/>
  <c r="I179" i="25"/>
  <c r="I223" i="25"/>
  <c r="F83" i="18"/>
  <c r="G83" i="18" s="1"/>
  <c r="L268" i="18"/>
  <c r="M268" i="18" s="1"/>
  <c r="L247" i="18"/>
  <c r="O211" i="18"/>
  <c r="L52" i="18"/>
  <c r="O121" i="18"/>
  <c r="P121" i="18" s="1"/>
  <c r="H182" i="19"/>
  <c r="I182" i="19" s="1"/>
  <c r="L182" i="19" s="1"/>
  <c r="H164" i="19"/>
  <c r="H116" i="19"/>
  <c r="I116" i="19" s="1"/>
  <c r="H68" i="19"/>
  <c r="I68" i="19" s="1"/>
  <c r="L68" i="19" s="1"/>
  <c r="H47" i="19"/>
  <c r="I47" i="19" s="1"/>
  <c r="L47" i="19" s="1"/>
  <c r="Q4" i="1"/>
  <c r="E14" i="4"/>
  <c r="E16" i="4"/>
  <c r="E15" i="4"/>
  <c r="Q63" i="18"/>
  <c r="P63" i="18"/>
  <c r="P142" i="18"/>
  <c r="Q142" i="18"/>
  <c r="Q237" i="18"/>
  <c r="Q76" i="18"/>
  <c r="P116" i="18"/>
  <c r="G146" i="19"/>
  <c r="H146" i="19" s="1"/>
  <c r="I146" i="19" s="1"/>
  <c r="L146" i="19" s="1"/>
  <c r="L166" i="18"/>
  <c r="I138" i="25"/>
  <c r="Q134" i="18"/>
  <c r="P134" i="18"/>
  <c r="J129" i="18"/>
  <c r="O129" i="18"/>
  <c r="Q121" i="18"/>
  <c r="G178" i="19"/>
  <c r="H178" i="19" s="1"/>
  <c r="I178" i="19" s="1"/>
  <c r="L178" i="19" s="1"/>
  <c r="L198" i="18"/>
  <c r="I170" i="25"/>
  <c r="M32" i="18"/>
  <c r="I243" i="18"/>
  <c r="F223" i="19"/>
  <c r="H223" i="19" s="1"/>
  <c r="I223" i="19" s="1"/>
  <c r="L223" i="19" s="1"/>
  <c r="E218" i="19"/>
  <c r="F238" i="18"/>
  <c r="G238" i="18" s="1"/>
  <c r="E235" i="19"/>
  <c r="F255" i="18"/>
  <c r="G255" i="18" s="1"/>
  <c r="G233" i="19"/>
  <c r="H233" i="19" s="1"/>
  <c r="I233" i="19" s="1"/>
  <c r="L233" i="19" s="1"/>
  <c r="I231" i="25"/>
  <c r="L253" i="18"/>
  <c r="G231" i="19"/>
  <c r="H231" i="19" s="1"/>
  <c r="I231" i="19" s="1"/>
  <c r="L231" i="19" s="1"/>
  <c r="I229" i="25"/>
  <c r="L251" i="18"/>
  <c r="P75" i="18"/>
  <c r="Q75" i="18"/>
  <c r="P155" i="18"/>
  <c r="E247" i="19"/>
  <c r="F267" i="18"/>
  <c r="O157" i="18"/>
  <c r="O148" i="18"/>
  <c r="G243" i="19"/>
  <c r="H243" i="19" s="1"/>
  <c r="I243" i="19" s="1"/>
  <c r="I242" i="25"/>
  <c r="L263" i="18"/>
  <c r="G218" i="19"/>
  <c r="H218" i="19" s="1"/>
  <c r="L238" i="18"/>
  <c r="I213" i="25"/>
  <c r="L208" i="18"/>
  <c r="G188" i="19"/>
  <c r="H188" i="19" s="1"/>
  <c r="I188" i="19" s="1"/>
  <c r="I180" i="25"/>
  <c r="H172" i="19"/>
  <c r="L176" i="18"/>
  <c r="G156" i="19"/>
  <c r="H156" i="19" s="1"/>
  <c r="I156" i="19" s="1"/>
  <c r="H140" i="19"/>
  <c r="G134" i="19"/>
  <c r="H134" i="19" s="1"/>
  <c r="I134" i="19" s="1"/>
  <c r="L154" i="18"/>
  <c r="F120" i="19"/>
  <c r="H120" i="19" s="1"/>
  <c r="I120" i="19" s="1"/>
  <c r="L120" i="19" s="1"/>
  <c r="I140" i="18"/>
  <c r="F89" i="19"/>
  <c r="H89" i="19" s="1"/>
  <c r="I89" i="19" s="1"/>
  <c r="L89" i="19" s="1"/>
  <c r="I109" i="18"/>
  <c r="F37" i="19"/>
  <c r="I57" i="18"/>
  <c r="J57" i="18" s="1"/>
  <c r="G14" i="19"/>
  <c r="H14" i="19" s="1"/>
  <c r="I14" i="19" s="1"/>
  <c r="L14" i="19" s="1"/>
  <c r="L34" i="18"/>
  <c r="F235" i="19"/>
  <c r="H235" i="19" s="1"/>
  <c r="I234" i="25"/>
  <c r="F223" i="18"/>
  <c r="G223" i="18" s="1"/>
  <c r="E203" i="19"/>
  <c r="F191" i="18"/>
  <c r="G191" i="18" s="1"/>
  <c r="E171" i="19"/>
  <c r="G86" i="18"/>
  <c r="O270" i="18"/>
  <c r="I73" i="25"/>
  <c r="I80" i="25"/>
  <c r="I132" i="25"/>
  <c r="O164" i="18"/>
  <c r="Q164" i="18" s="1"/>
  <c r="I88" i="18"/>
  <c r="F237" i="19"/>
  <c r="H237" i="19" s="1"/>
  <c r="I257" i="18"/>
  <c r="L240" i="18"/>
  <c r="M240" i="18" s="1"/>
  <c r="G220" i="19"/>
  <c r="F231" i="18"/>
  <c r="G231" i="18" s="1"/>
  <c r="E211" i="19"/>
  <c r="E189" i="19"/>
  <c r="F209" i="18"/>
  <c r="E157" i="19"/>
  <c r="I157" i="19" s="1"/>
  <c r="L157" i="19" s="1"/>
  <c r="F177" i="18"/>
  <c r="F78" i="19"/>
  <c r="H78" i="19" s="1"/>
  <c r="I78" i="19" s="1"/>
  <c r="L78" i="19" s="1"/>
  <c r="I98" i="18"/>
  <c r="L79" i="18"/>
  <c r="G59" i="19"/>
  <c r="H59" i="19" s="1"/>
  <c r="I59" i="19" s="1"/>
  <c r="L59" i="19" s="1"/>
  <c r="G22" i="19"/>
  <c r="H22" i="19" s="1"/>
  <c r="I22" i="19" s="1"/>
  <c r="L22" i="19" s="1"/>
  <c r="L42" i="18"/>
  <c r="O139" i="18"/>
  <c r="Q139" i="18" s="1"/>
  <c r="P64" i="18"/>
  <c r="O156" i="18"/>
  <c r="P156" i="18" s="1"/>
  <c r="O254" i="18"/>
  <c r="F220" i="19"/>
  <c r="I240" i="18"/>
  <c r="F163" i="19"/>
  <c r="H163" i="19" s="1"/>
  <c r="I163" i="19" s="1"/>
  <c r="I183" i="18"/>
  <c r="G123" i="19"/>
  <c r="L143" i="18"/>
  <c r="L104" i="18"/>
  <c r="G84" i="19"/>
  <c r="F40" i="19"/>
  <c r="H40" i="19" s="1"/>
  <c r="I40" i="19" s="1"/>
  <c r="L40" i="19" s="1"/>
  <c r="I60" i="18"/>
  <c r="F212" i="19"/>
  <c r="H212" i="19" s="1"/>
  <c r="I212" i="19" s="1"/>
  <c r="I232" i="18"/>
  <c r="J232" i="18" s="1"/>
  <c r="I168" i="18"/>
  <c r="F148" i="19"/>
  <c r="H148" i="19" s="1"/>
  <c r="I148" i="19" s="1"/>
  <c r="Q83" i="18"/>
  <c r="O252" i="18"/>
  <c r="P252" i="18" s="1"/>
  <c r="I88" i="25"/>
  <c r="L221" i="18"/>
  <c r="L266" i="18"/>
  <c r="M266" i="18" s="1"/>
  <c r="G246" i="19"/>
  <c r="L248" i="18"/>
  <c r="G228" i="19"/>
  <c r="H228" i="19" s="1"/>
  <c r="F205" i="19"/>
  <c r="H205" i="19" s="1"/>
  <c r="I205" i="19" s="1"/>
  <c r="L205" i="19" s="1"/>
  <c r="I199" i="25"/>
  <c r="I225" i="18"/>
  <c r="F97" i="19"/>
  <c r="H97" i="19" s="1"/>
  <c r="I97" i="19" s="1"/>
  <c r="I117" i="18"/>
  <c r="I84" i="18"/>
  <c r="F64" i="19"/>
  <c r="H64" i="19" s="1"/>
  <c r="I64" i="19" s="1"/>
  <c r="L64" i="19" s="1"/>
  <c r="F180" i="19"/>
  <c r="H180" i="19" s="1"/>
  <c r="I180" i="19" s="1"/>
  <c r="I200" i="18"/>
  <c r="F159" i="18"/>
  <c r="G159" i="18" s="1"/>
  <c r="E139" i="19"/>
  <c r="P265" i="18"/>
  <c r="I255" i="18"/>
  <c r="F246" i="19"/>
  <c r="I266" i="18"/>
  <c r="E221" i="19"/>
  <c r="F241" i="18"/>
  <c r="I235" i="18"/>
  <c r="F215" i="19"/>
  <c r="H215" i="19" s="1"/>
  <c r="I215" i="19" s="1"/>
  <c r="I203" i="18"/>
  <c r="F183" i="19"/>
  <c r="H183" i="19" s="1"/>
  <c r="I183" i="19" s="1"/>
  <c r="L183" i="19" s="1"/>
  <c r="F173" i="19"/>
  <c r="H173" i="19" s="1"/>
  <c r="I173" i="19" s="1"/>
  <c r="L173" i="19" s="1"/>
  <c r="I193" i="18"/>
  <c r="F141" i="19"/>
  <c r="H141" i="19" s="1"/>
  <c r="I141" i="19" s="1"/>
  <c r="L141" i="19" s="1"/>
  <c r="I161" i="18"/>
  <c r="F131" i="19"/>
  <c r="I151" i="18"/>
  <c r="F105" i="18"/>
  <c r="Q105" i="18" s="1"/>
  <c r="E85" i="19"/>
  <c r="I85" i="19" s="1"/>
  <c r="I68" i="18"/>
  <c r="F48" i="19"/>
  <c r="H48" i="19" s="1"/>
  <c r="I48" i="19" s="1"/>
  <c r="L48" i="19" s="1"/>
  <c r="H43" i="19"/>
  <c r="I43" i="19" s="1"/>
  <c r="L43" i="19" s="1"/>
  <c r="H21" i="19"/>
  <c r="I21" i="19" s="1"/>
  <c r="H11" i="19"/>
  <c r="I11" i="19" s="1"/>
  <c r="L11" i="19" s="1"/>
  <c r="I111" i="18"/>
  <c r="I268" i="18"/>
  <c r="I247" i="25"/>
  <c r="F248" i="19"/>
  <c r="H248" i="19" s="1"/>
  <c r="I248" i="19" s="1"/>
  <c r="L248" i="19" s="1"/>
  <c r="E241" i="19"/>
  <c r="F261" i="18"/>
  <c r="G261" i="18" s="1"/>
  <c r="E229" i="19"/>
  <c r="F249" i="18"/>
  <c r="G249" i="18" s="1"/>
  <c r="F213" i="19"/>
  <c r="H213" i="19" s="1"/>
  <c r="I213" i="19" s="1"/>
  <c r="L213" i="19" s="1"/>
  <c r="I233" i="18"/>
  <c r="I204" i="25"/>
  <c r="G210" i="19"/>
  <c r="H210" i="19" s="1"/>
  <c r="I210" i="19" s="1"/>
  <c r="L210" i="19" s="1"/>
  <c r="L230" i="18"/>
  <c r="M230" i="18" s="1"/>
  <c r="I135" i="18"/>
  <c r="F115" i="19"/>
  <c r="G81" i="19"/>
  <c r="H81" i="19" s="1"/>
  <c r="I81" i="19" s="1"/>
  <c r="L81" i="19" s="1"/>
  <c r="L101" i="18"/>
  <c r="F95" i="18"/>
  <c r="G95" i="18" s="1"/>
  <c r="E75" i="19"/>
  <c r="L71" i="18"/>
  <c r="O71" i="18" s="1"/>
  <c r="P71" i="18" s="1"/>
  <c r="G51" i="19"/>
  <c r="H51" i="19" s="1"/>
  <c r="I51" i="19" s="1"/>
  <c r="L51" i="19" s="1"/>
  <c r="H230" i="19"/>
  <c r="I230" i="19" s="1"/>
  <c r="L230" i="19" s="1"/>
  <c r="H198" i="19"/>
  <c r="I198" i="19" s="1"/>
  <c r="H166" i="19"/>
  <c r="H77" i="19"/>
  <c r="I77" i="19" s="1"/>
  <c r="L77" i="19" s="1"/>
  <c r="I185" i="25"/>
  <c r="G74" i="19"/>
  <c r="H74" i="19" s="1"/>
  <c r="O48" i="18"/>
  <c r="H251" i="19"/>
  <c r="I251" i="19" s="1"/>
  <c r="L251" i="19" s="1"/>
  <c r="H234" i="19"/>
  <c r="I234" i="19" s="1"/>
  <c r="L234" i="19" s="1"/>
  <c r="H202" i="19"/>
  <c r="I202" i="19" s="1"/>
  <c r="L202" i="19" s="1"/>
  <c r="H185" i="19"/>
  <c r="I185" i="19" s="1"/>
  <c r="L185" i="19" s="1"/>
  <c r="H170" i="19"/>
  <c r="I170" i="19" s="1"/>
  <c r="L170" i="19" s="1"/>
  <c r="H153" i="19"/>
  <c r="I153" i="19" s="1"/>
  <c r="L153" i="19" s="1"/>
  <c r="H133" i="19"/>
  <c r="I133" i="19" s="1"/>
  <c r="L133" i="19" s="1"/>
  <c r="H112" i="19"/>
  <c r="I112" i="19" s="1"/>
  <c r="L112" i="19" s="1"/>
  <c r="H99" i="19"/>
  <c r="I99" i="19" s="1"/>
  <c r="L99" i="19" s="1"/>
  <c r="H73" i="19"/>
  <c r="I73" i="19" s="1"/>
  <c r="L73" i="19" s="1"/>
  <c r="H46" i="19"/>
  <c r="I46" i="19" s="1"/>
  <c r="H34" i="19"/>
  <c r="I34" i="19" s="1"/>
  <c r="L34" i="19" s="1"/>
  <c r="H191" i="19"/>
  <c r="I189" i="19"/>
  <c r="L189" i="19" s="1"/>
  <c r="H136" i="19"/>
  <c r="I136" i="19" s="1"/>
  <c r="L136" i="19" s="1"/>
  <c r="H123" i="19"/>
  <c r="I123" i="19" s="1"/>
  <c r="L123" i="19" s="1"/>
  <c r="H87" i="19"/>
  <c r="I87" i="19" s="1"/>
  <c r="L87" i="19" s="1"/>
  <c r="H28" i="19"/>
  <c r="I28" i="19" s="1"/>
  <c r="L28" i="19" s="1"/>
  <c r="H184" i="19"/>
  <c r="H152" i="19"/>
  <c r="H75" i="19"/>
  <c r="H54" i="19"/>
  <c r="I54" i="19" s="1"/>
  <c r="L54" i="19" s="1"/>
  <c r="H44" i="19"/>
  <c r="I44" i="19" s="1"/>
  <c r="L44" i="19" s="1"/>
  <c r="H17" i="19"/>
  <c r="I17" i="19" s="1"/>
  <c r="L17" i="19" s="1"/>
  <c r="H12" i="19"/>
  <c r="I12" i="19" s="1"/>
  <c r="L12" i="19" s="1"/>
  <c r="H9" i="19"/>
  <c r="I9" i="19" s="1"/>
  <c r="L9" i="19" s="1"/>
  <c r="Q89" i="18"/>
  <c r="O269" i="18"/>
  <c r="H249" i="19"/>
  <c r="I249" i="19" s="1"/>
  <c r="L249" i="19" s="1"/>
  <c r="H186" i="19"/>
  <c r="I186" i="19" s="1"/>
  <c r="L186" i="19" s="1"/>
  <c r="H169" i="19"/>
  <c r="I169" i="19" s="1"/>
  <c r="L169" i="19" s="1"/>
  <c r="H154" i="19"/>
  <c r="I154" i="19" s="1"/>
  <c r="L154" i="19" s="1"/>
  <c r="H111" i="19"/>
  <c r="I111" i="19" s="1"/>
  <c r="L111" i="19" s="1"/>
  <c r="H72" i="19"/>
  <c r="I72" i="19" s="1"/>
  <c r="L72" i="19" s="1"/>
  <c r="H60" i="19"/>
  <c r="I60" i="19" s="1"/>
  <c r="H222" i="19"/>
  <c r="I222" i="19" s="1"/>
  <c r="L222" i="19" s="1"/>
  <c r="H158" i="19"/>
  <c r="I158" i="19" s="1"/>
  <c r="L158" i="19" s="1"/>
  <c r="H132" i="19"/>
  <c r="I132" i="19" s="1"/>
  <c r="I126" i="19"/>
  <c r="L126" i="19" s="1"/>
  <c r="H124" i="19"/>
  <c r="I124" i="19" s="1"/>
  <c r="I119" i="19"/>
  <c r="L119" i="19" s="1"/>
  <c r="H117" i="19"/>
  <c r="I117" i="19" s="1"/>
  <c r="L117" i="19" s="1"/>
  <c r="H101" i="19"/>
  <c r="I101" i="19" s="1"/>
  <c r="L101" i="19" s="1"/>
  <c r="H98" i="19"/>
  <c r="I98" i="19" s="1"/>
  <c r="L98" i="19" s="1"/>
  <c r="H88" i="19"/>
  <c r="I88" i="19" s="1"/>
  <c r="L88" i="19" s="1"/>
  <c r="I41" i="19"/>
  <c r="L41" i="19" s="1"/>
  <c r="O272" i="18"/>
  <c r="P272" i="18" s="1"/>
  <c r="O256" i="18"/>
  <c r="H226" i="19"/>
  <c r="I226" i="19" s="1"/>
  <c r="L226" i="19" s="1"/>
  <c r="H194" i="19"/>
  <c r="I194" i="19" s="1"/>
  <c r="L194" i="19" s="1"/>
  <c r="H162" i="19"/>
  <c r="I162" i="19" s="1"/>
  <c r="L162" i="19" s="1"/>
  <c r="H145" i="19"/>
  <c r="I145" i="19" s="1"/>
  <c r="L145" i="19" s="1"/>
  <c r="H137" i="19"/>
  <c r="H135" i="19"/>
  <c r="I135" i="19" s="1"/>
  <c r="L135" i="19" s="1"/>
  <c r="H130" i="19"/>
  <c r="I130" i="19" s="1"/>
  <c r="L130" i="19" s="1"/>
  <c r="H102" i="19"/>
  <c r="I102" i="19" s="1"/>
  <c r="L102" i="19" s="1"/>
  <c r="I53" i="19"/>
  <c r="L53" i="19" s="1"/>
  <c r="H33" i="19"/>
  <c r="I33" i="19" s="1"/>
  <c r="L33" i="19" s="1"/>
  <c r="P119" i="18"/>
  <c r="Q119" i="18"/>
  <c r="P192" i="18"/>
  <c r="Q192" i="18"/>
  <c r="P220" i="18"/>
  <c r="Q220" i="18"/>
  <c r="P108" i="18"/>
  <c r="Q108" i="18"/>
  <c r="P229" i="18"/>
  <c r="Q229" i="18"/>
  <c r="J180" i="18"/>
  <c r="O180" i="18"/>
  <c r="P164" i="18"/>
  <c r="O103" i="18"/>
  <c r="J103" i="18"/>
  <c r="F225" i="19"/>
  <c r="H225" i="19" s="1"/>
  <c r="I222" i="25"/>
  <c r="I245" i="18"/>
  <c r="F193" i="19"/>
  <c r="H193" i="19" s="1"/>
  <c r="I193" i="19" s="1"/>
  <c r="I186" i="25"/>
  <c r="I213" i="18"/>
  <c r="F161" i="19"/>
  <c r="H161" i="19" s="1"/>
  <c r="I161" i="19" s="1"/>
  <c r="I181" i="18"/>
  <c r="I153" i="25"/>
  <c r="Q29" i="18"/>
  <c r="P55" i="18"/>
  <c r="P131" i="18"/>
  <c r="Q131" i="18"/>
  <c r="J196" i="18"/>
  <c r="O196" i="18"/>
  <c r="P31" i="18"/>
  <c r="Q31" i="18"/>
  <c r="P137" i="18"/>
  <c r="G273" i="18"/>
  <c r="G265" i="18"/>
  <c r="G241" i="18"/>
  <c r="J244" i="18"/>
  <c r="O244" i="18"/>
  <c r="J228" i="18"/>
  <c r="O228" i="18"/>
  <c r="G272" i="18"/>
  <c r="G264" i="18"/>
  <c r="G256" i="18"/>
  <c r="G248" i="18"/>
  <c r="G232" i="18"/>
  <c r="G224" i="18"/>
  <c r="G208" i="18"/>
  <c r="G176" i="18"/>
  <c r="G168" i="18"/>
  <c r="G152" i="18"/>
  <c r="G144" i="18"/>
  <c r="Q136" i="18"/>
  <c r="G112" i="18"/>
  <c r="G104" i="18"/>
  <c r="G96" i="18"/>
  <c r="Q96" i="18"/>
  <c r="M53" i="18"/>
  <c r="O53" i="18"/>
  <c r="P184" i="18"/>
  <c r="Q184" i="18"/>
  <c r="P163" i="18"/>
  <c r="Q163" i="18"/>
  <c r="Q74" i="18"/>
  <c r="G89" i="18"/>
  <c r="M126" i="18"/>
  <c r="O126" i="18"/>
  <c r="M118" i="18"/>
  <c r="O118" i="18"/>
  <c r="F201" i="19"/>
  <c r="H201" i="19" s="1"/>
  <c r="I201" i="19" s="1"/>
  <c r="I194" i="25"/>
  <c r="L165" i="19"/>
  <c r="O45" i="18"/>
  <c r="J269" i="18"/>
  <c r="G269" i="18"/>
  <c r="G181" i="18"/>
  <c r="G52" i="18"/>
  <c r="G36" i="18"/>
  <c r="M214" i="18"/>
  <c r="O214" i="18"/>
  <c r="M174" i="18"/>
  <c r="O174" i="18"/>
  <c r="J100" i="18"/>
  <c r="O100" i="18"/>
  <c r="L132" i="19"/>
  <c r="L86" i="19"/>
  <c r="P97" i="18"/>
  <c r="G258" i="18"/>
  <c r="G250" i="18"/>
  <c r="L252" i="19"/>
  <c r="F217" i="19"/>
  <c r="H217" i="19" s="1"/>
  <c r="I212" i="25"/>
  <c r="L215" i="19"/>
  <c r="L57" i="18"/>
  <c r="G37" i="19"/>
  <c r="I36" i="25"/>
  <c r="G81" i="18"/>
  <c r="I147" i="18"/>
  <c r="F127" i="19"/>
  <c r="H127" i="19" s="1"/>
  <c r="I127" i="19" s="1"/>
  <c r="I120" i="25"/>
  <c r="F125" i="19"/>
  <c r="H125" i="19" s="1"/>
  <c r="I125" i="19" s="1"/>
  <c r="I145" i="18"/>
  <c r="I118" i="25"/>
  <c r="L138" i="18"/>
  <c r="G118" i="19"/>
  <c r="H118" i="19" s="1"/>
  <c r="I118" i="19" s="1"/>
  <c r="I112" i="25"/>
  <c r="L116" i="19"/>
  <c r="L113" i="19"/>
  <c r="L46" i="19"/>
  <c r="F42" i="19"/>
  <c r="H42" i="19" s="1"/>
  <c r="I42" i="19" s="1"/>
  <c r="I62" i="18"/>
  <c r="H104" i="19"/>
  <c r="H96" i="19"/>
  <c r="I96" i="19" s="1"/>
  <c r="H94" i="19"/>
  <c r="I94" i="19" s="1"/>
  <c r="L82" i="18"/>
  <c r="G62" i="19"/>
  <c r="H62" i="19" s="1"/>
  <c r="I62" i="19" s="1"/>
  <c r="F72" i="18"/>
  <c r="E52" i="19"/>
  <c r="I52" i="19" s="1"/>
  <c r="AC24" i="18"/>
  <c r="G121" i="19"/>
  <c r="H121" i="19" s="1"/>
  <c r="I121" i="19" s="1"/>
  <c r="L141" i="18"/>
  <c r="F90" i="19"/>
  <c r="H90" i="19" s="1"/>
  <c r="I90" i="19" s="1"/>
  <c r="I110" i="18"/>
  <c r="H79" i="19"/>
  <c r="I79" i="19" s="1"/>
  <c r="I216" i="19"/>
  <c r="L214" i="19"/>
  <c r="I208" i="19"/>
  <c r="L198" i="19"/>
  <c r="I176" i="19"/>
  <c r="L174" i="19"/>
  <c r="I152" i="19"/>
  <c r="I144" i="19"/>
  <c r="L142" i="19"/>
  <c r="L70" i="19"/>
  <c r="L242" i="19"/>
  <c r="L60" i="19"/>
  <c r="E74" i="19"/>
  <c r="H247" i="19"/>
  <c r="I236" i="19"/>
  <c r="H227" i="19"/>
  <c r="I227" i="19" s="1"/>
  <c r="H219" i="19"/>
  <c r="I219" i="19" s="1"/>
  <c r="H211" i="19"/>
  <c r="H203" i="19"/>
  <c r="I203" i="19" s="1"/>
  <c r="I196" i="19"/>
  <c r="H171" i="19"/>
  <c r="I171" i="19" s="1"/>
  <c r="I164" i="19"/>
  <c r="H155" i="19"/>
  <c r="I155" i="19" s="1"/>
  <c r="I140" i="19"/>
  <c r="H103" i="19"/>
  <c r="I103" i="19" s="1"/>
  <c r="I115" i="18"/>
  <c r="F95" i="19"/>
  <c r="H95" i="19" s="1"/>
  <c r="I95" i="19" s="1"/>
  <c r="F93" i="19"/>
  <c r="H93" i="19" s="1"/>
  <c r="I113" i="18"/>
  <c r="H80" i="19"/>
  <c r="I80" i="19" s="1"/>
  <c r="L91" i="18"/>
  <c r="G71" i="19"/>
  <c r="H71" i="19" s="1"/>
  <c r="I71" i="19" s="1"/>
  <c r="L61" i="19"/>
  <c r="H55" i="19"/>
  <c r="I55" i="19" s="1"/>
  <c r="I122" i="25"/>
  <c r="I210" i="25"/>
  <c r="I218" i="25"/>
  <c r="I238" i="25"/>
  <c r="I240" i="25"/>
  <c r="I246" i="25"/>
  <c r="I248" i="25"/>
  <c r="H122" i="19"/>
  <c r="I122" i="19" s="1"/>
  <c r="I36" i="19"/>
  <c r="L50" i="18"/>
  <c r="G30" i="19"/>
  <c r="H30" i="19" s="1"/>
  <c r="I30" i="19" s="1"/>
  <c r="L110" i="19"/>
  <c r="H18" i="19"/>
  <c r="I18" i="19" s="1"/>
  <c r="H10" i="19"/>
  <c r="I10" i="19" s="1"/>
  <c r="G7" i="19"/>
  <c r="H7" i="19" s="1"/>
  <c r="F3" i="25"/>
  <c r="E3" i="25"/>
  <c r="F6" i="19"/>
  <c r="L35" i="19"/>
  <c r="H82" i="19"/>
  <c r="I82" i="19" s="1"/>
  <c r="H63" i="19"/>
  <c r="I63" i="19" s="1"/>
  <c r="H56" i="19"/>
  <c r="I56" i="19" s="1"/>
  <c r="H50" i="19"/>
  <c r="I50" i="19" s="1"/>
  <c r="H31" i="19"/>
  <c r="I31" i="19" s="1"/>
  <c r="H24" i="19"/>
  <c r="I24" i="19" s="1"/>
  <c r="H83" i="19"/>
  <c r="H8" i="19"/>
  <c r="I8" i="19" s="1"/>
  <c r="H65" i="19"/>
  <c r="I65" i="19" s="1"/>
  <c r="H39" i="19"/>
  <c r="I39" i="19" s="1"/>
  <c r="H66" i="19"/>
  <c r="I66" i="19" s="1"/>
  <c r="H3" i="25"/>
  <c r="E7" i="19"/>
  <c r="W53" i="28" l="1"/>
  <c r="W148" i="28"/>
  <c r="W64" i="28"/>
  <c r="W102" i="28"/>
  <c r="W161" i="28"/>
  <c r="W147" i="28"/>
  <c r="W258" i="28"/>
  <c r="W165" i="28"/>
  <c r="W171" i="28"/>
  <c r="W229" i="28"/>
  <c r="W82" i="28"/>
  <c r="W221" i="28"/>
  <c r="W94" i="28"/>
  <c r="W264" i="28"/>
  <c r="W52" i="28"/>
  <c r="W143" i="28"/>
  <c r="W239" i="28"/>
  <c r="W107" i="28"/>
  <c r="W261" i="28"/>
  <c r="W123" i="28"/>
  <c r="W63" i="28"/>
  <c r="W62" i="28"/>
  <c r="W78" i="28"/>
  <c r="W202" i="28"/>
  <c r="W169" i="28"/>
  <c r="W172" i="28"/>
  <c r="N16" i="28"/>
  <c r="O19" i="28"/>
  <c r="W47" i="28"/>
  <c r="W192" i="28"/>
  <c r="W36" i="28"/>
  <c r="W265" i="28"/>
  <c r="W168" i="28"/>
  <c r="W256" i="28"/>
  <c r="W66" i="28"/>
  <c r="W81" i="28"/>
  <c r="W230" i="28"/>
  <c r="W90" i="28"/>
  <c r="W197" i="28"/>
  <c r="W127" i="28"/>
  <c r="W251" i="28"/>
  <c r="W46" i="28"/>
  <c r="W37" i="28"/>
  <c r="W225" i="28"/>
  <c r="W263" i="28"/>
  <c r="W30" i="28"/>
  <c r="W99" i="28"/>
  <c r="W76" i="28"/>
  <c r="W156" i="28"/>
  <c r="W150" i="28"/>
  <c r="W133" i="28"/>
  <c r="W208" i="28"/>
  <c r="W100" i="28"/>
  <c r="W20" i="28"/>
  <c r="W191" i="28"/>
  <c r="W61" i="28"/>
  <c r="W38" i="28"/>
  <c r="W105" i="28"/>
  <c r="W56" i="28"/>
  <c r="W121" i="28"/>
  <c r="W220" i="28"/>
  <c r="W218" i="28"/>
  <c r="W72" i="28"/>
  <c r="W106" i="28"/>
  <c r="W194" i="28"/>
  <c r="W158" i="28"/>
  <c r="W255" i="28"/>
  <c r="W43" i="28"/>
  <c r="W101" i="28"/>
  <c r="W128" i="28"/>
  <c r="W108" i="28"/>
  <c r="W119" i="28"/>
  <c r="W22" i="28"/>
  <c r="W152" i="28"/>
  <c r="W124" i="28"/>
  <c r="W60" i="28"/>
  <c r="W233" i="28"/>
  <c r="W23" i="28"/>
  <c r="W68" i="28"/>
  <c r="W159" i="28"/>
  <c r="W250" i="28"/>
  <c r="W57" i="28"/>
  <c r="W173" i="28"/>
  <c r="W178" i="28"/>
  <c r="W96" i="28"/>
  <c r="W186" i="28"/>
  <c r="W162" i="28"/>
  <c r="W86" i="28"/>
  <c r="W189" i="28"/>
  <c r="W70" i="28"/>
  <c r="W198" i="28"/>
  <c r="W183" i="28"/>
  <c r="W34" i="28"/>
  <c r="W58" i="28"/>
  <c r="W201" i="28"/>
  <c r="W240" i="28"/>
  <c r="W75" i="28"/>
  <c r="W104" i="28"/>
  <c r="W244" i="28"/>
  <c r="W200" i="28"/>
  <c r="W144" i="28"/>
  <c r="W219" i="28"/>
  <c r="W181" i="28"/>
  <c r="W203" i="28"/>
  <c r="W206" i="28"/>
  <c r="W196" i="28"/>
  <c r="W267" i="28"/>
  <c r="W210" i="28"/>
  <c r="W125" i="28"/>
  <c r="W97" i="28"/>
  <c r="W214" i="28"/>
  <c r="W83" i="28"/>
  <c r="W117" i="28"/>
  <c r="W84" i="28"/>
  <c r="W199" i="28"/>
  <c r="W232" i="28"/>
  <c r="W249" i="28"/>
  <c r="W268" i="28"/>
  <c r="W113" i="28"/>
  <c r="W163" i="28"/>
  <c r="W212" i="28"/>
  <c r="W44" i="28"/>
  <c r="W103" i="28"/>
  <c r="W33" i="28"/>
  <c r="W224" i="28"/>
  <c r="W252" i="28"/>
  <c r="W54" i="28"/>
  <c r="W222" i="28"/>
  <c r="W259" i="28"/>
  <c r="W227" i="28"/>
  <c r="W226" i="28"/>
  <c r="W179" i="28"/>
  <c r="W266" i="28"/>
  <c r="W149" i="28"/>
  <c r="W254" i="28"/>
  <c r="W205" i="28"/>
  <c r="W130" i="28"/>
  <c r="W176" i="28"/>
  <c r="W234" i="28"/>
  <c r="W118" i="28"/>
  <c r="W188" i="28"/>
  <c r="W59" i="28"/>
  <c r="W211" i="28"/>
  <c r="W182" i="28"/>
  <c r="W215" i="28"/>
  <c r="W187" i="28"/>
  <c r="W51" i="28"/>
  <c r="W49" i="28"/>
  <c r="W91" i="28"/>
  <c r="W48" i="28"/>
  <c r="W140" i="28"/>
  <c r="W217" i="28"/>
  <c r="W77" i="28"/>
  <c r="W28" i="28"/>
  <c r="W193" i="28"/>
  <c r="W146" i="28"/>
  <c r="W35" i="28"/>
  <c r="W115" i="28"/>
  <c r="W73" i="28"/>
  <c r="W39" i="28"/>
  <c r="W89" i="28"/>
  <c r="W109" i="28"/>
  <c r="W175" i="28"/>
  <c r="W184" i="28"/>
  <c r="W242" i="28"/>
  <c r="W262" i="28"/>
  <c r="W137" i="28"/>
  <c r="W153" i="28"/>
  <c r="W27" i="28"/>
  <c r="W112" i="28"/>
  <c r="W236" i="28"/>
  <c r="W139" i="28"/>
  <c r="W248" i="28"/>
  <c r="W80" i="28"/>
  <c r="W32" i="28"/>
  <c r="W132" i="28"/>
  <c r="W245" i="28"/>
  <c r="W180" i="28"/>
  <c r="W40" i="28"/>
  <c r="W190" i="28"/>
  <c r="W67" i="28"/>
  <c r="W116" i="28"/>
  <c r="W95" i="28"/>
  <c r="W71" i="28"/>
  <c r="W228" i="28"/>
  <c r="W151" i="28"/>
  <c r="W45" i="28"/>
  <c r="W134" i="28"/>
  <c r="W24" i="28"/>
  <c r="W50" i="28"/>
  <c r="W87" i="28"/>
  <c r="W31" i="28"/>
  <c r="W65" i="28"/>
  <c r="W235" i="28"/>
  <c r="W26" i="28"/>
  <c r="W136" i="28"/>
  <c r="W85" i="28"/>
  <c r="W195" i="28"/>
  <c r="W69" i="28"/>
  <c r="W243" i="28"/>
  <c r="W170" i="28"/>
  <c r="W238" i="28"/>
  <c r="W207" i="28"/>
  <c r="W74" i="28"/>
  <c r="W42" i="28"/>
  <c r="W260" i="28"/>
  <c r="W155" i="28"/>
  <c r="W257" i="28"/>
  <c r="W138" i="28"/>
  <c r="W114" i="28"/>
  <c r="W209" i="28"/>
  <c r="W167" i="28"/>
  <c r="W110" i="28"/>
  <c r="W25" i="28"/>
  <c r="W154" i="28"/>
  <c r="W79" i="28"/>
  <c r="W142" i="28"/>
  <c r="W164" i="28"/>
  <c r="W120" i="28"/>
  <c r="W129" i="28"/>
  <c r="W98" i="28"/>
  <c r="W246" i="28"/>
  <c r="W93" i="28"/>
  <c r="W241" i="28"/>
  <c r="W135" i="28"/>
  <c r="W174" i="28"/>
  <c r="W126" i="28"/>
  <c r="W141" i="28"/>
  <c r="W160" i="28"/>
  <c r="W216" i="28"/>
  <c r="W92" i="28"/>
  <c r="W223" i="28"/>
  <c r="W145" i="28"/>
  <c r="W204" i="28"/>
  <c r="W185" i="28"/>
  <c r="W237" i="28"/>
  <c r="W253" i="28"/>
  <c r="W231" i="28"/>
  <c r="W41" i="28"/>
  <c r="W21" i="28"/>
  <c r="W247" i="28"/>
  <c r="W122" i="28"/>
  <c r="W157" i="28"/>
  <c r="W177" i="28"/>
  <c r="W88" i="28"/>
  <c r="W131" i="28"/>
  <c r="W166" i="28"/>
  <c r="W111" i="28"/>
  <c r="W29" i="28"/>
  <c r="W55" i="28"/>
  <c r="W213" i="28"/>
  <c r="Q214" i="4"/>
  <c r="Q157" i="4"/>
  <c r="P240" i="4"/>
  <c r="P274" i="4"/>
  <c r="Q143" i="4"/>
  <c r="P143" i="4"/>
  <c r="Q220" i="4"/>
  <c r="P220" i="4"/>
  <c r="Q118" i="4"/>
  <c r="P118" i="4"/>
  <c r="Q161" i="4"/>
  <c r="P161" i="4"/>
  <c r="Q204" i="4"/>
  <c r="P204" i="4"/>
  <c r="Q262" i="4"/>
  <c r="P262" i="4"/>
  <c r="Q90" i="4"/>
  <c r="P90" i="4"/>
  <c r="Q94" i="4"/>
  <c r="P94" i="4"/>
  <c r="Q165" i="4"/>
  <c r="P165" i="4"/>
  <c r="Q184" i="4"/>
  <c r="P184" i="4"/>
  <c r="Q216" i="4"/>
  <c r="P216" i="4"/>
  <c r="Q82" i="4"/>
  <c r="P82" i="4"/>
  <c r="Q93" i="4"/>
  <c r="P93" i="4"/>
  <c r="Q167" i="4"/>
  <c r="P167" i="4"/>
  <c r="Q73" i="4"/>
  <c r="P73" i="4"/>
  <c r="Q89" i="4"/>
  <c r="P89" i="4"/>
  <c r="Q238" i="4"/>
  <c r="P238" i="4"/>
  <c r="Q203" i="4"/>
  <c r="P203" i="4"/>
  <c r="Q224" i="4"/>
  <c r="P224" i="4"/>
  <c r="Q260" i="4"/>
  <c r="P260" i="4"/>
  <c r="Q175" i="4"/>
  <c r="P175" i="4"/>
  <c r="Q261" i="4"/>
  <c r="P261" i="4"/>
  <c r="Q52" i="4"/>
  <c r="P52" i="4"/>
  <c r="Q67" i="4"/>
  <c r="P67" i="4"/>
  <c r="Q192" i="4"/>
  <c r="P192" i="4"/>
  <c r="Q104" i="4"/>
  <c r="P104" i="4"/>
  <c r="Q66" i="4"/>
  <c r="P66" i="4"/>
  <c r="Q62" i="4"/>
  <c r="Q266" i="4"/>
  <c r="P266" i="4"/>
  <c r="Q44" i="4"/>
  <c r="P44" i="4"/>
  <c r="Q181" i="4"/>
  <c r="P181" i="4"/>
  <c r="Q70" i="4"/>
  <c r="P70" i="4"/>
  <c r="Q28" i="4"/>
  <c r="P28" i="4"/>
  <c r="Q269" i="4"/>
  <c r="P269" i="4"/>
  <c r="Q115" i="4"/>
  <c r="P115" i="4"/>
  <c r="Q278" i="4"/>
  <c r="P278" i="4"/>
  <c r="Q144" i="4"/>
  <c r="P144" i="4"/>
  <c r="Q34" i="4"/>
  <c r="P34" i="4"/>
  <c r="Q53" i="4"/>
  <c r="P53" i="4"/>
  <c r="Q208" i="4"/>
  <c r="P208" i="4"/>
  <c r="Q272" i="4"/>
  <c r="P272" i="4"/>
  <c r="Q41" i="4"/>
  <c r="P41" i="4"/>
  <c r="Q77" i="4"/>
  <c r="P77" i="4"/>
  <c r="Q56" i="4"/>
  <c r="P56" i="4"/>
  <c r="Q270" i="4"/>
  <c r="P270" i="4"/>
  <c r="Q151" i="4"/>
  <c r="P151" i="4"/>
  <c r="Q174" i="4"/>
  <c r="P174" i="4"/>
  <c r="Q195" i="4"/>
  <c r="P195" i="4"/>
  <c r="Q131" i="4"/>
  <c r="P131" i="4"/>
  <c r="Q206" i="4"/>
  <c r="P206" i="4"/>
  <c r="Q111" i="4"/>
  <c r="P111" i="4"/>
  <c r="Q83" i="4"/>
  <c r="P83" i="4"/>
  <c r="Q86" i="4"/>
  <c r="P86" i="4"/>
  <c r="Q92" i="4"/>
  <c r="P92" i="4"/>
  <c r="Q146" i="4"/>
  <c r="P146" i="4"/>
  <c r="Q243" i="4"/>
  <c r="P243" i="4"/>
  <c r="Q180" i="4"/>
  <c r="P180" i="4"/>
  <c r="Q178" i="4"/>
  <c r="P178" i="4"/>
  <c r="Q48" i="4"/>
  <c r="P48" i="4"/>
  <c r="Q148" i="4"/>
  <c r="P148" i="4"/>
  <c r="Q207" i="4"/>
  <c r="P207" i="4"/>
  <c r="Q121" i="4"/>
  <c r="P121" i="4"/>
  <c r="Q227" i="4"/>
  <c r="P227" i="4"/>
  <c r="Q50" i="4"/>
  <c r="P50" i="4"/>
  <c r="Q61" i="4"/>
  <c r="P61" i="4"/>
  <c r="Q190" i="4"/>
  <c r="P190" i="4"/>
  <c r="Q102" i="4"/>
  <c r="P102" i="4"/>
  <c r="Q245" i="4"/>
  <c r="P245" i="4"/>
  <c r="Q236" i="4"/>
  <c r="P236" i="4"/>
  <c r="Q139" i="4"/>
  <c r="P139" i="4"/>
  <c r="Q257" i="4"/>
  <c r="P257" i="4"/>
  <c r="Q107" i="4"/>
  <c r="P107" i="4"/>
  <c r="Q95" i="4"/>
  <c r="P95" i="4"/>
  <c r="Q133" i="4"/>
  <c r="P133" i="4"/>
  <c r="Q124" i="4"/>
  <c r="P124" i="4"/>
  <c r="Q250" i="4"/>
  <c r="P250" i="4"/>
  <c r="Q210" i="4"/>
  <c r="P210" i="4"/>
  <c r="Q134" i="4"/>
  <c r="P134" i="4"/>
  <c r="Q239" i="4"/>
  <c r="P239" i="4"/>
  <c r="Q106" i="4"/>
  <c r="P106" i="4"/>
  <c r="Q59" i="4"/>
  <c r="P59" i="4"/>
  <c r="Q88" i="4"/>
  <c r="P88" i="4"/>
  <c r="Q80" i="4"/>
  <c r="P80" i="4"/>
  <c r="Q244" i="4"/>
  <c r="P244" i="4"/>
  <c r="Q113" i="4"/>
  <c r="P113" i="4"/>
  <c r="Q259" i="4"/>
  <c r="P259" i="4"/>
  <c r="Q169" i="4"/>
  <c r="P169" i="4"/>
  <c r="Q60" i="4"/>
  <c r="P60" i="4"/>
  <c r="Q76" i="4"/>
  <c r="P76" i="4"/>
  <c r="Q197" i="4"/>
  <c r="P197" i="4"/>
  <c r="Q171" i="4"/>
  <c r="P171" i="4"/>
  <c r="Q253" i="4"/>
  <c r="P253" i="4"/>
  <c r="Q176" i="4"/>
  <c r="P176" i="4"/>
  <c r="Q103" i="4"/>
  <c r="P103" i="4"/>
  <c r="Q152" i="4"/>
  <c r="P152" i="4"/>
  <c r="Q200" i="4"/>
  <c r="P200" i="4"/>
  <c r="Q268" i="4"/>
  <c r="P268" i="4"/>
  <c r="Q120" i="4"/>
  <c r="P120" i="4"/>
  <c r="Q248" i="4"/>
  <c r="P248" i="4"/>
  <c r="Q202" i="4"/>
  <c r="P202" i="4"/>
  <c r="Q230" i="4"/>
  <c r="P230" i="4"/>
  <c r="Q49" i="4"/>
  <c r="P49" i="4"/>
  <c r="Q45" i="4"/>
  <c r="P45" i="4"/>
  <c r="Q234" i="4"/>
  <c r="P234" i="4"/>
  <c r="Q99" i="4"/>
  <c r="P99" i="4"/>
  <c r="Q162" i="4"/>
  <c r="P162" i="4"/>
  <c r="Q218" i="4"/>
  <c r="P218" i="4"/>
  <c r="Q105" i="4"/>
  <c r="P105" i="4"/>
  <c r="Q100" i="4"/>
  <c r="P100" i="4"/>
  <c r="Q35" i="4"/>
  <c r="P35" i="4"/>
  <c r="Q137" i="4"/>
  <c r="P137" i="4"/>
  <c r="Q212" i="4"/>
  <c r="P212" i="4"/>
  <c r="Q201" i="4"/>
  <c r="P201" i="4"/>
  <c r="Q65" i="4"/>
  <c r="P65" i="4"/>
  <c r="Q160" i="4"/>
  <c r="P160" i="4"/>
  <c r="Q187" i="4"/>
  <c r="P187" i="4"/>
  <c r="Q69" i="4"/>
  <c r="P69" i="4"/>
  <c r="Q64" i="4"/>
  <c r="P64" i="4"/>
  <c r="Q109" i="4"/>
  <c r="P109" i="4"/>
  <c r="Q36" i="4"/>
  <c r="P36" i="4"/>
  <c r="Q132" i="4"/>
  <c r="P132" i="4"/>
  <c r="Q128" i="4"/>
  <c r="P128" i="4"/>
  <c r="Q117" i="4"/>
  <c r="P117" i="4"/>
  <c r="Q252" i="4"/>
  <c r="P252" i="4"/>
  <c r="Q114" i="4"/>
  <c r="P114" i="4"/>
  <c r="Q217" i="4"/>
  <c r="P217" i="4"/>
  <c r="Q81" i="4"/>
  <c r="P81" i="4"/>
  <c r="Q189" i="4"/>
  <c r="P189" i="4"/>
  <c r="Q225" i="4"/>
  <c r="P225" i="4"/>
  <c r="Q40" i="4"/>
  <c r="P40" i="4"/>
  <c r="Q221" i="4"/>
  <c r="P221" i="4"/>
  <c r="Q98" i="4"/>
  <c r="P98" i="4"/>
  <c r="Q55" i="4"/>
  <c r="P55" i="4"/>
  <c r="Q87" i="4"/>
  <c r="P87" i="4"/>
  <c r="Q170" i="4"/>
  <c r="P170" i="4"/>
  <c r="Q186" i="4"/>
  <c r="P186" i="4"/>
  <c r="Q177" i="4"/>
  <c r="P177" i="4"/>
  <c r="Q149" i="4"/>
  <c r="P149" i="4"/>
  <c r="Q51" i="4"/>
  <c r="P51" i="4"/>
  <c r="Q226" i="4"/>
  <c r="P226" i="4"/>
  <c r="Q155" i="4"/>
  <c r="P155" i="4"/>
  <c r="Q219" i="4"/>
  <c r="P219" i="4"/>
  <c r="Q46" i="4"/>
  <c r="P46" i="4"/>
  <c r="Q209" i="4"/>
  <c r="P209" i="4"/>
  <c r="Q30" i="4"/>
  <c r="P30" i="4"/>
  <c r="Q163" i="4"/>
  <c r="P163" i="4"/>
  <c r="Q255" i="4"/>
  <c r="P255" i="4"/>
  <c r="Q101" i="4"/>
  <c r="P101" i="4"/>
  <c r="Q68" i="4"/>
  <c r="P68" i="4"/>
  <c r="Q147" i="4"/>
  <c r="P147" i="4"/>
  <c r="Q164" i="4"/>
  <c r="P164" i="4"/>
  <c r="Q112" i="4"/>
  <c r="P112" i="4"/>
  <c r="Q198" i="4"/>
  <c r="P198" i="4"/>
  <c r="Q135" i="4"/>
  <c r="P135" i="4"/>
  <c r="Q254" i="4"/>
  <c r="P254" i="4"/>
  <c r="Q127" i="4"/>
  <c r="P127" i="4"/>
  <c r="Q84" i="4"/>
  <c r="P84" i="4"/>
  <c r="Q154" i="4"/>
  <c r="P154" i="4"/>
  <c r="Q185" i="4"/>
  <c r="P185" i="4"/>
  <c r="Q110" i="4"/>
  <c r="P110" i="4"/>
  <c r="Q47" i="4"/>
  <c r="P47" i="4"/>
  <c r="Q130" i="4"/>
  <c r="P130" i="4"/>
  <c r="Q145" i="4"/>
  <c r="P145" i="4"/>
  <c r="Q32" i="4"/>
  <c r="P32" i="4"/>
  <c r="Q173" i="4"/>
  <c r="P173" i="4"/>
  <c r="Q211" i="4"/>
  <c r="P211" i="4"/>
  <c r="Q168" i="4"/>
  <c r="P168" i="4"/>
  <c r="Q251" i="4"/>
  <c r="P251" i="4"/>
  <c r="Q79" i="4"/>
  <c r="P79" i="4"/>
  <c r="Q153" i="4"/>
  <c r="P153" i="4"/>
  <c r="Q38" i="4"/>
  <c r="P38" i="4"/>
  <c r="Q29" i="4"/>
  <c r="P29" i="4"/>
  <c r="Q246" i="4"/>
  <c r="P246" i="4"/>
  <c r="Q182" i="4"/>
  <c r="P182" i="4"/>
  <c r="Q258" i="4"/>
  <c r="P258" i="4"/>
  <c r="Q159" i="4"/>
  <c r="P159" i="4"/>
  <c r="Q119" i="4"/>
  <c r="P119" i="4"/>
  <c r="Q27" i="4"/>
  <c r="P27" i="4"/>
  <c r="Q33" i="4"/>
  <c r="P33" i="4"/>
  <c r="Q232" i="4"/>
  <c r="P232" i="4"/>
  <c r="Q194" i="4"/>
  <c r="P194" i="4"/>
  <c r="Q166" i="4"/>
  <c r="P166" i="4"/>
  <c r="Q122" i="4"/>
  <c r="P122" i="4"/>
  <c r="Q275" i="4"/>
  <c r="P275" i="4"/>
  <c r="Q215" i="4"/>
  <c r="P215" i="4"/>
  <c r="Q228" i="4"/>
  <c r="P228" i="4"/>
  <c r="Q91" i="4"/>
  <c r="P91" i="4"/>
  <c r="Q140" i="4"/>
  <c r="P140" i="4"/>
  <c r="Q233" i="4"/>
  <c r="P233" i="4"/>
  <c r="Q213" i="4"/>
  <c r="P213" i="4"/>
  <c r="Q237" i="4"/>
  <c r="P237" i="4"/>
  <c r="Q71" i="4"/>
  <c r="P71" i="4"/>
  <c r="Q172" i="4"/>
  <c r="P172" i="4"/>
  <c r="Q263" i="4"/>
  <c r="P263" i="4"/>
  <c r="Q231" i="4"/>
  <c r="P231" i="4"/>
  <c r="Q54" i="4"/>
  <c r="P54" i="4"/>
  <c r="Q188" i="4"/>
  <c r="P188" i="4"/>
  <c r="Q123" i="4"/>
  <c r="P123" i="4"/>
  <c r="Q249" i="4"/>
  <c r="P249" i="4"/>
  <c r="Q267" i="4"/>
  <c r="P267" i="4"/>
  <c r="Q256" i="4"/>
  <c r="P256" i="4"/>
  <c r="Q276" i="4"/>
  <c r="P276" i="4"/>
  <c r="O24" i="4"/>
  <c r="P26" i="4"/>
  <c r="F15" i="4"/>
  <c r="L16" i="1"/>
  <c r="Q26" i="4"/>
  <c r="L6" i="1"/>
  <c r="H4" i="1"/>
  <c r="L119" i="1"/>
  <c r="L66" i="1"/>
  <c r="P59" i="18"/>
  <c r="I179" i="19"/>
  <c r="Q160" i="18"/>
  <c r="O273" i="18"/>
  <c r="P273" i="18" s="1"/>
  <c r="O106" i="18"/>
  <c r="Q106" i="18" s="1"/>
  <c r="I209" i="19"/>
  <c r="L209" i="19" s="1"/>
  <c r="H241" i="19"/>
  <c r="H187" i="19"/>
  <c r="I187" i="19" s="1"/>
  <c r="L187" i="19" s="1"/>
  <c r="I168" i="19"/>
  <c r="H69" i="19"/>
  <c r="I69" i="19" s="1"/>
  <c r="L69" i="19" s="1"/>
  <c r="I128" i="19"/>
  <c r="L128" i="19" s="1"/>
  <c r="H58" i="19"/>
  <c r="I58" i="19" s="1"/>
  <c r="L58" i="19" s="1"/>
  <c r="H199" i="19"/>
  <c r="I199" i="19" s="1"/>
  <c r="L199" i="19" s="1"/>
  <c r="I206" i="19"/>
  <c r="L206" i="19" s="1"/>
  <c r="J162" i="18"/>
  <c r="O162" i="18"/>
  <c r="I228" i="19"/>
  <c r="M49" i="18"/>
  <c r="O49" i="18"/>
  <c r="O186" i="18"/>
  <c r="P186" i="18" s="1"/>
  <c r="M186" i="18"/>
  <c r="I241" i="19"/>
  <c r="L241" i="19" s="1"/>
  <c r="O204" i="18"/>
  <c r="P204" i="18" s="1"/>
  <c r="Q97" i="18"/>
  <c r="J260" i="18"/>
  <c r="P44" i="18"/>
  <c r="I137" i="19"/>
  <c r="L137" i="19" s="1"/>
  <c r="I184" i="19"/>
  <c r="O32" i="18"/>
  <c r="Q32" i="18" s="1"/>
  <c r="O231" i="18"/>
  <c r="Q231" i="18" s="1"/>
  <c r="O38" i="18"/>
  <c r="I160" i="19"/>
  <c r="L160" i="19" s="1"/>
  <c r="O146" i="18"/>
  <c r="O33" i="18"/>
  <c r="O81" i="18"/>
  <c r="J81" i="18"/>
  <c r="O125" i="18"/>
  <c r="O127" i="18"/>
  <c r="P127" i="18" s="1"/>
  <c r="J234" i="18"/>
  <c r="O234" i="18"/>
  <c r="I93" i="19"/>
  <c r="L93" i="19" s="1"/>
  <c r="Q246" i="18"/>
  <c r="P106" i="18"/>
  <c r="Q242" i="18"/>
  <c r="O207" i="18"/>
  <c r="P207" i="18" s="1"/>
  <c r="J114" i="18"/>
  <c r="O114" i="18"/>
  <c r="P114" i="18" s="1"/>
  <c r="M37" i="18"/>
  <c r="O37" i="18"/>
  <c r="O239" i="18"/>
  <c r="P239" i="18" s="1"/>
  <c r="J239" i="18"/>
  <c r="J78" i="18"/>
  <c r="O78" i="18"/>
  <c r="M95" i="18"/>
  <c r="I83" i="19"/>
  <c r="I104" i="19"/>
  <c r="L104" i="19" s="1"/>
  <c r="G160" i="18"/>
  <c r="P212" i="18"/>
  <c r="I166" i="19"/>
  <c r="L166" i="19" s="1"/>
  <c r="H131" i="19"/>
  <c r="I131" i="19" s="1"/>
  <c r="L131" i="19" s="1"/>
  <c r="P217" i="18"/>
  <c r="Q218" i="18"/>
  <c r="J69" i="18"/>
  <c r="O69" i="18"/>
  <c r="J92" i="18"/>
  <c r="O92" i="18"/>
  <c r="J61" i="18"/>
  <c r="O61" i="18"/>
  <c r="Q170" i="18"/>
  <c r="H115" i="19"/>
  <c r="I115" i="19" s="1"/>
  <c r="I253" i="19"/>
  <c r="L253" i="19" s="1"/>
  <c r="Q137" i="18"/>
  <c r="O40" i="18"/>
  <c r="P40" i="18" s="1"/>
  <c r="J40" i="18"/>
  <c r="O158" i="18"/>
  <c r="P158" i="18" s="1"/>
  <c r="J158" i="18"/>
  <c r="Q204" i="18"/>
  <c r="I75" i="19"/>
  <c r="L75" i="19" s="1"/>
  <c r="I229" i="19"/>
  <c r="L229" i="19" s="1"/>
  <c r="I218" i="19"/>
  <c r="L218" i="19" s="1"/>
  <c r="H177" i="19"/>
  <c r="I177" i="19" s="1"/>
  <c r="L177" i="19" s="1"/>
  <c r="I100" i="19"/>
  <c r="L100" i="19" s="1"/>
  <c r="Q65" i="18"/>
  <c r="I217" i="19"/>
  <c r="P30" i="18"/>
  <c r="Q71" i="18"/>
  <c r="M71" i="18"/>
  <c r="Q120" i="18"/>
  <c r="I225" i="19"/>
  <c r="L225" i="19" s="1"/>
  <c r="I49" i="19"/>
  <c r="L49" i="19" s="1"/>
  <c r="I221" i="19"/>
  <c r="L221" i="19" s="1"/>
  <c r="O47" i="18"/>
  <c r="P46" i="18"/>
  <c r="Q130" i="18"/>
  <c r="P35" i="18"/>
  <c r="Q133" i="18"/>
  <c r="O77" i="18"/>
  <c r="Q77" i="18" s="1"/>
  <c r="H84" i="19"/>
  <c r="I84" i="19" s="1"/>
  <c r="I237" i="19"/>
  <c r="L237" i="19" s="1"/>
  <c r="Q70" i="18"/>
  <c r="O182" i="18"/>
  <c r="P182" i="18" s="1"/>
  <c r="P172" i="18"/>
  <c r="I211" i="19"/>
  <c r="Q95" i="18"/>
  <c r="Q56" i="18"/>
  <c r="I191" i="19"/>
  <c r="L191" i="19" s="1"/>
  <c r="I181" i="19"/>
  <c r="L181" i="19" s="1"/>
  <c r="I143" i="19"/>
  <c r="L143" i="19" s="1"/>
  <c r="Q158" i="18"/>
  <c r="Q123" i="18"/>
  <c r="Q271" i="18"/>
  <c r="I172" i="19"/>
  <c r="L172" i="19" s="1"/>
  <c r="O169" i="18"/>
  <c r="J169" i="18"/>
  <c r="O90" i="18"/>
  <c r="O189" i="18"/>
  <c r="M189" i="18"/>
  <c r="Q273" i="18"/>
  <c r="Q265" i="18"/>
  <c r="Q252" i="18"/>
  <c r="J227" i="18"/>
  <c r="O227" i="18"/>
  <c r="J72" i="18"/>
  <c r="O72" i="18"/>
  <c r="P72" i="18" s="1"/>
  <c r="T3" i="18" a="1"/>
  <c r="T3" i="18" s="1"/>
  <c r="Q188" i="18"/>
  <c r="J202" i="18"/>
  <c r="O202" i="18"/>
  <c r="Q156" i="18"/>
  <c r="Q201" i="18"/>
  <c r="O232" i="18"/>
  <c r="O54" i="18"/>
  <c r="J67" i="18"/>
  <c r="O67" i="18"/>
  <c r="M122" i="18"/>
  <c r="O122" i="18"/>
  <c r="G239" i="18"/>
  <c r="J85" i="18"/>
  <c r="O85" i="18"/>
  <c r="F24" i="18"/>
  <c r="E19" i="18" s="1"/>
  <c r="H15" i="18" s="1"/>
  <c r="I235" i="19"/>
  <c r="P139" i="18"/>
  <c r="Q144" i="18"/>
  <c r="O107" i="18"/>
  <c r="Q107" i="18" s="1"/>
  <c r="J80" i="18"/>
  <c r="O80" i="18"/>
  <c r="H220" i="19"/>
  <c r="I220" i="19" s="1"/>
  <c r="L220" i="19" s="1"/>
  <c r="J259" i="18"/>
  <c r="O259" i="18"/>
  <c r="J190" i="18"/>
  <c r="O190" i="18"/>
  <c r="O199" i="18"/>
  <c r="P199" i="18" s="1"/>
  <c r="M241" i="18"/>
  <c r="O241" i="18"/>
  <c r="P241" i="18" s="1"/>
  <c r="M222" i="18"/>
  <c r="O222" i="18"/>
  <c r="Q226" i="18"/>
  <c r="P226" i="18"/>
  <c r="P51" i="18"/>
  <c r="Q51" i="18"/>
  <c r="Q210" i="18"/>
  <c r="P210" i="18"/>
  <c r="M216" i="18"/>
  <c r="O216" i="18"/>
  <c r="Q27" i="18"/>
  <c r="P27" i="18"/>
  <c r="G105" i="18"/>
  <c r="O197" i="18"/>
  <c r="Q150" i="18"/>
  <c r="P150" i="18"/>
  <c r="J205" i="18"/>
  <c r="O205" i="18"/>
  <c r="P66" i="18"/>
  <c r="Q66" i="18"/>
  <c r="P250" i="18"/>
  <c r="Q250" i="18"/>
  <c r="J258" i="18"/>
  <c r="O258" i="18"/>
  <c r="Q86" i="18"/>
  <c r="Q102" i="18"/>
  <c r="P102" i="18"/>
  <c r="M187" i="18"/>
  <c r="O187" i="18"/>
  <c r="O41" i="18"/>
  <c r="J41" i="18"/>
  <c r="M87" i="18"/>
  <c r="O87" i="18"/>
  <c r="J191" i="18"/>
  <c r="O191" i="18"/>
  <c r="P191" i="18" s="1"/>
  <c r="M173" i="18"/>
  <c r="O173" i="18"/>
  <c r="O261" i="18"/>
  <c r="M261" i="18"/>
  <c r="O219" i="18"/>
  <c r="J219" i="18"/>
  <c r="J152" i="18"/>
  <c r="O152" i="18"/>
  <c r="Q28" i="18"/>
  <c r="P28" i="18"/>
  <c r="M73" i="18"/>
  <c r="O73" i="18"/>
  <c r="G114" i="18"/>
  <c r="Q114" i="18"/>
  <c r="J43" i="18"/>
  <c r="O43" i="18"/>
  <c r="M195" i="18"/>
  <c r="O195" i="18"/>
  <c r="M175" i="18"/>
  <c r="O175" i="18"/>
  <c r="J224" i="18"/>
  <c r="O224" i="18"/>
  <c r="Q124" i="18"/>
  <c r="G124" i="18"/>
  <c r="P93" i="18"/>
  <c r="Q93" i="18"/>
  <c r="J132" i="18"/>
  <c r="O132" i="18"/>
  <c r="M223" i="18"/>
  <c r="O223" i="18"/>
  <c r="P223" i="18" s="1"/>
  <c r="M128" i="18"/>
  <c r="O128" i="18"/>
  <c r="Q186" i="18"/>
  <c r="G186" i="18"/>
  <c r="O194" i="18"/>
  <c r="J194" i="18"/>
  <c r="Q165" i="18"/>
  <c r="G165" i="18"/>
  <c r="J236" i="18"/>
  <c r="O236" i="18"/>
  <c r="O215" i="18"/>
  <c r="J215" i="18"/>
  <c r="M153" i="18"/>
  <c r="O153" i="18"/>
  <c r="J159" i="18"/>
  <c r="O159" i="18"/>
  <c r="P159" i="18" s="1"/>
  <c r="Q26" i="18"/>
  <c r="J185" i="18"/>
  <c r="O185" i="18"/>
  <c r="J94" i="18"/>
  <c r="O94" i="18"/>
  <c r="I24" i="18"/>
  <c r="O52" i="18"/>
  <c r="M52" i="18"/>
  <c r="P36" i="18"/>
  <c r="Q36" i="18"/>
  <c r="O58" i="18"/>
  <c r="Q116" i="18"/>
  <c r="O149" i="18"/>
  <c r="M149" i="18"/>
  <c r="M167" i="18"/>
  <c r="O167" i="18"/>
  <c r="Q211" i="18"/>
  <c r="P211" i="18"/>
  <c r="O206" i="18"/>
  <c r="J206" i="18"/>
  <c r="M99" i="18"/>
  <c r="O99" i="18"/>
  <c r="J39" i="18"/>
  <c r="O39" i="18"/>
  <c r="M112" i="18"/>
  <c r="O112" i="18"/>
  <c r="J274" i="18"/>
  <c r="O274" i="18"/>
  <c r="G199" i="18"/>
  <c r="Q199" i="18"/>
  <c r="O249" i="18"/>
  <c r="P249" i="18" s="1"/>
  <c r="M249" i="18"/>
  <c r="O171" i="18"/>
  <c r="M171" i="18"/>
  <c r="O247" i="18"/>
  <c r="M247" i="18"/>
  <c r="O264" i="18"/>
  <c r="J264" i="18"/>
  <c r="O262" i="18"/>
  <c r="J262" i="18"/>
  <c r="J179" i="18"/>
  <c r="O179" i="18"/>
  <c r="V29" i="4"/>
  <c r="V27" i="4"/>
  <c r="V67" i="4"/>
  <c r="V154" i="4"/>
  <c r="V160" i="4"/>
  <c r="V37" i="4"/>
  <c r="V261" i="4"/>
  <c r="V96" i="4"/>
  <c r="V97" i="4"/>
  <c r="V179" i="4"/>
  <c r="V184" i="4"/>
  <c r="V106" i="4"/>
  <c r="V126" i="4"/>
  <c r="V115" i="4"/>
  <c r="V189" i="4"/>
  <c r="V80" i="4"/>
  <c r="V194" i="4"/>
  <c r="V151" i="4"/>
  <c r="V228" i="4"/>
  <c r="V82" i="4"/>
  <c r="V139" i="4"/>
  <c r="V81" i="4"/>
  <c r="V98" i="4"/>
  <c r="V225" i="4"/>
  <c r="V85" i="4"/>
  <c r="V233" i="4"/>
  <c r="V76" i="4"/>
  <c r="V152" i="4"/>
  <c r="V231" i="4"/>
  <c r="V241" i="4"/>
  <c r="V140" i="4"/>
  <c r="V49" i="4"/>
  <c r="V137" i="4"/>
  <c r="V150" i="4"/>
  <c r="V142" i="4"/>
  <c r="V204" i="4"/>
  <c r="V158" i="4"/>
  <c r="V169" i="4"/>
  <c r="V213" i="4"/>
  <c r="V176" i="4"/>
  <c r="V182" i="4"/>
  <c r="V109" i="4"/>
  <c r="V185" i="4"/>
  <c r="V79" i="4"/>
  <c r="V191" i="4"/>
  <c r="V192" i="4"/>
  <c r="V123" i="4"/>
  <c r="V188" i="4"/>
  <c r="V135" i="4"/>
  <c r="V214" i="4"/>
  <c r="V41" i="4"/>
  <c r="V43" i="4"/>
  <c r="V153" i="4"/>
  <c r="V170" i="4"/>
  <c r="V101" i="4"/>
  <c r="V69" i="4"/>
  <c r="V113" i="4"/>
  <c r="V217" i="4"/>
  <c r="V252" i="4"/>
  <c r="V77" i="4"/>
  <c r="V91" i="4"/>
  <c r="V199" i="4"/>
  <c r="V131" i="4"/>
  <c r="V136" i="4"/>
  <c r="V45" i="4"/>
  <c r="V156" i="4"/>
  <c r="V31" i="4"/>
  <c r="V84" i="4"/>
  <c r="V266" i="4"/>
  <c r="V206" i="4"/>
  <c r="V88" i="4"/>
  <c r="V268" i="4"/>
  <c r="V218" i="4"/>
  <c r="V103" i="4"/>
  <c r="V273" i="4"/>
  <c r="V196" i="4"/>
  <c r="V245" i="4"/>
  <c r="V198" i="4"/>
  <c r="V193" i="4"/>
  <c r="V121" i="4"/>
  <c r="V133" i="4"/>
  <c r="V180" i="4"/>
  <c r="V64" i="4"/>
  <c r="V50" i="4"/>
  <c r="V146" i="4"/>
  <c r="V209" i="4"/>
  <c r="V271" i="4"/>
  <c r="V149" i="4"/>
  <c r="V224" i="4"/>
  <c r="V207" i="4"/>
  <c r="V200" i="4"/>
  <c r="V99" i="4"/>
  <c r="V174" i="4"/>
  <c r="V46" i="4"/>
  <c r="V32" i="4"/>
  <c r="V40" i="4"/>
  <c r="V251" i="4"/>
  <c r="V145" i="4"/>
  <c r="V143" i="4"/>
  <c r="V44" i="4"/>
  <c r="V263" i="4"/>
  <c r="V167" i="4"/>
  <c r="V94" i="4"/>
  <c r="V93" i="4"/>
  <c r="V183" i="4"/>
  <c r="V222" i="4"/>
  <c r="V234" i="4"/>
  <c r="V246" i="4"/>
  <c r="V248" i="4"/>
  <c r="V124" i="4"/>
  <c r="V277" i="4"/>
  <c r="V215" i="4"/>
  <c r="V274" i="4"/>
  <c r="V92" i="4"/>
  <c r="V47" i="4"/>
  <c r="V60" i="4"/>
  <c r="V39" i="4"/>
  <c r="V56" i="4"/>
  <c r="V75" i="4"/>
  <c r="V144" i="4"/>
  <c r="V172" i="4"/>
  <c r="V89" i="4"/>
  <c r="V51" i="4"/>
  <c r="V62" i="4"/>
  <c r="V71" i="4"/>
  <c r="V53" i="4"/>
  <c r="V250" i="4"/>
  <c r="V61" i="4"/>
  <c r="V249" i="4"/>
  <c r="V68" i="4"/>
  <c r="V83" i="4"/>
  <c r="V161" i="4"/>
  <c r="V267" i="4"/>
  <c r="V265" i="4"/>
  <c r="V73" i="4"/>
  <c r="V216" i="4"/>
  <c r="V221" i="4"/>
  <c r="V229" i="4"/>
  <c r="V187" i="4"/>
  <c r="V232" i="4"/>
  <c r="V129" i="4"/>
  <c r="V275" i="4"/>
  <c r="V112" i="4"/>
  <c r="V219" i="4"/>
  <c r="V117" i="4"/>
  <c r="V210" i="4"/>
  <c r="V28" i="4"/>
  <c r="V42" i="4"/>
  <c r="V247" i="4"/>
  <c r="V36" i="4"/>
  <c r="V72" i="4"/>
  <c r="V138" i="4"/>
  <c r="V237" i="4"/>
  <c r="V86" i="4"/>
  <c r="V63" i="4"/>
  <c r="V125" i="4"/>
  <c r="V262" i="4"/>
  <c r="V141" i="4"/>
  <c r="V130" i="4"/>
  <c r="V52" i="4"/>
  <c r="V134" i="4"/>
  <c r="V147" i="4"/>
  <c r="V166" i="4"/>
  <c r="V35" i="4"/>
  <c r="V269" i="4"/>
  <c r="V173" i="4"/>
  <c r="V57" i="4"/>
  <c r="V220" i="4"/>
  <c r="V100" i="4"/>
  <c r="V226" i="4"/>
  <c r="V59" i="4"/>
  <c r="V236" i="4"/>
  <c r="V235" i="4"/>
  <c r="V107" i="4"/>
  <c r="V278" i="4"/>
  <c r="V165" i="4"/>
  <c r="V190" i="4"/>
  <c r="V258" i="4"/>
  <c r="V203" i="4"/>
  <c r="V104" i="4"/>
  <c r="V243" i="4"/>
  <c r="V128" i="4"/>
  <c r="V171" i="4"/>
  <c r="V164" i="4"/>
  <c r="V111" i="4"/>
  <c r="V264" i="4"/>
  <c r="V48" i="4"/>
  <c r="V197" i="4"/>
  <c r="V159" i="4"/>
  <c r="V38" i="4"/>
  <c r="V33" i="4"/>
  <c r="V54" i="4"/>
  <c r="V132" i="4"/>
  <c r="V201" i="4"/>
  <c r="V157" i="4"/>
  <c r="V202" i="4"/>
  <c r="V211" i="4"/>
  <c r="V175" i="4"/>
  <c r="V90" i="4"/>
  <c r="V272" i="4"/>
  <c r="V227" i="4"/>
  <c r="V181" i="4"/>
  <c r="V120" i="4"/>
  <c r="V78" i="4"/>
  <c r="V118" i="4"/>
  <c r="V110" i="4"/>
  <c r="V276" i="4"/>
  <c r="V155" i="4"/>
  <c r="V114" i="4"/>
  <c r="V205" i="4"/>
  <c r="V256" i="4"/>
  <c r="V212" i="4"/>
  <c r="V58" i="4"/>
  <c r="V239" i="4"/>
  <c r="V87" i="4"/>
  <c r="V30" i="4"/>
  <c r="V74" i="4"/>
  <c r="V163" i="4"/>
  <c r="V230" i="4"/>
  <c r="V127" i="4"/>
  <c r="V260" i="4"/>
  <c r="V26" i="4"/>
  <c r="V65" i="4"/>
  <c r="V108" i="4"/>
  <c r="V116" i="4"/>
  <c r="V177" i="4"/>
  <c r="V253" i="4"/>
  <c r="V102" i="4"/>
  <c r="V255" i="4"/>
  <c r="V254" i="4"/>
  <c r="V70" i="4"/>
  <c r="V244" i="4"/>
  <c r="V55" i="4"/>
  <c r="V122" i="4"/>
  <c r="V257" i="4"/>
  <c r="V240" i="4"/>
  <c r="V208" i="4"/>
  <c r="V186" i="4"/>
  <c r="V168" i="4"/>
  <c r="V242" i="4"/>
  <c r="V178" i="4"/>
  <c r="V148" i="4"/>
  <c r="V270" i="4"/>
  <c r="V119" i="4"/>
  <c r="V223" i="4"/>
  <c r="V34" i="4"/>
  <c r="V95" i="4"/>
  <c r="V195" i="4"/>
  <c r="V259" i="4"/>
  <c r="V162" i="4"/>
  <c r="V238" i="4"/>
  <c r="V66" i="4"/>
  <c r="V105" i="4"/>
  <c r="E17" i="4"/>
  <c r="J111" i="18"/>
  <c r="O111" i="18"/>
  <c r="T6" i="18" a="1"/>
  <c r="T6" i="18" s="1"/>
  <c r="P48" i="18"/>
  <c r="Q48" i="18"/>
  <c r="J203" i="18"/>
  <c r="O203" i="18"/>
  <c r="J255" i="18"/>
  <c r="O255" i="18"/>
  <c r="J225" i="18"/>
  <c r="O225" i="18"/>
  <c r="J168" i="18"/>
  <c r="O168" i="18"/>
  <c r="M104" i="18"/>
  <c r="O104" i="18"/>
  <c r="J109" i="18"/>
  <c r="O109" i="18"/>
  <c r="O176" i="18"/>
  <c r="M176" i="18"/>
  <c r="O230" i="18"/>
  <c r="I2" i="25" a="1"/>
  <c r="I2" i="25" s="1"/>
  <c r="E4" i="19"/>
  <c r="H37" i="19"/>
  <c r="I37" i="19" s="1"/>
  <c r="L37" i="19" s="1"/>
  <c r="Q191" i="18"/>
  <c r="I139" i="19"/>
  <c r="L139" i="19" s="1"/>
  <c r="O135" i="18"/>
  <c r="J135" i="18"/>
  <c r="J151" i="18"/>
  <c r="O151" i="18"/>
  <c r="O200" i="18"/>
  <c r="J200" i="18"/>
  <c r="O143" i="18"/>
  <c r="M143" i="18"/>
  <c r="O42" i="18"/>
  <c r="M42" i="18"/>
  <c r="O88" i="18"/>
  <c r="J88" i="18"/>
  <c r="M263" i="18"/>
  <c r="O263" i="18"/>
  <c r="P32" i="18"/>
  <c r="Q272" i="18"/>
  <c r="Q269" i="18"/>
  <c r="P269" i="18"/>
  <c r="P254" i="18"/>
  <c r="Q254" i="18"/>
  <c r="O98" i="18"/>
  <c r="J98" i="18"/>
  <c r="O140" i="18"/>
  <c r="J140" i="18"/>
  <c r="V100" i="18"/>
  <c r="I74" i="19"/>
  <c r="O161" i="18"/>
  <c r="J161" i="18"/>
  <c r="J235" i="18"/>
  <c r="O235" i="18"/>
  <c r="O183" i="18"/>
  <c r="J183" i="18"/>
  <c r="Q47" i="18"/>
  <c r="P47" i="18"/>
  <c r="P129" i="18"/>
  <c r="Q129" i="18"/>
  <c r="J84" i="18"/>
  <c r="O84" i="18"/>
  <c r="M248" i="18"/>
  <c r="O248" i="18"/>
  <c r="O60" i="18"/>
  <c r="J60" i="18"/>
  <c r="M79" i="18"/>
  <c r="O79" i="18"/>
  <c r="G177" i="18"/>
  <c r="Q177" i="18"/>
  <c r="M34" i="18"/>
  <c r="O34" i="18"/>
  <c r="M154" i="18"/>
  <c r="O154" i="18"/>
  <c r="M208" i="18"/>
  <c r="O208" i="18"/>
  <c r="Q148" i="18"/>
  <c r="P148" i="18"/>
  <c r="O251" i="18"/>
  <c r="M251" i="18"/>
  <c r="M221" i="18"/>
  <c r="O221" i="18"/>
  <c r="M253" i="18"/>
  <c r="O253" i="18"/>
  <c r="V227" i="18"/>
  <c r="I247" i="19"/>
  <c r="L247" i="19" s="1"/>
  <c r="P256" i="18"/>
  <c r="Q256" i="18"/>
  <c r="O233" i="18"/>
  <c r="J233" i="18"/>
  <c r="J193" i="18"/>
  <c r="O193" i="18"/>
  <c r="H246" i="19"/>
  <c r="I246" i="19" s="1"/>
  <c r="L246" i="19" s="1"/>
  <c r="P157" i="18"/>
  <c r="Q157" i="18"/>
  <c r="P38" i="18"/>
  <c r="Q38" i="18"/>
  <c r="Q209" i="18"/>
  <c r="G209" i="18"/>
  <c r="M101" i="18"/>
  <c r="O101" i="18"/>
  <c r="O268" i="18"/>
  <c r="J268" i="18"/>
  <c r="O68" i="18"/>
  <c r="J68" i="18"/>
  <c r="J266" i="18"/>
  <c r="O266" i="18"/>
  <c r="J117" i="18"/>
  <c r="O117" i="18"/>
  <c r="J240" i="18"/>
  <c r="O240" i="18"/>
  <c r="J257" i="18"/>
  <c r="O257" i="18"/>
  <c r="Q270" i="18"/>
  <c r="P270" i="18"/>
  <c r="M238" i="18"/>
  <c r="O238" i="18"/>
  <c r="Q267" i="18"/>
  <c r="G267" i="18"/>
  <c r="O243" i="18"/>
  <c r="J243" i="18"/>
  <c r="M198" i="18"/>
  <c r="O198" i="18"/>
  <c r="M166" i="18"/>
  <c r="O166" i="18"/>
  <c r="L121" i="19"/>
  <c r="L8" i="19"/>
  <c r="L140" i="19"/>
  <c r="L152" i="19"/>
  <c r="L16" i="19"/>
  <c r="L211" i="19"/>
  <c r="O181" i="18"/>
  <c r="J181" i="18"/>
  <c r="I7" i="19"/>
  <c r="L83" i="19"/>
  <c r="L50" i="19"/>
  <c r="G4" i="19"/>
  <c r="L56" i="19"/>
  <c r="L114" i="19"/>
  <c r="L10" i="19"/>
  <c r="L122" i="19"/>
  <c r="L80" i="19"/>
  <c r="L115" i="19"/>
  <c r="L155" i="19"/>
  <c r="L219" i="19"/>
  <c r="L144" i="19"/>
  <c r="L90" i="19"/>
  <c r="T4" i="18" a="1"/>
  <c r="T4" i="18" s="1"/>
  <c r="T8" i="18" a="1"/>
  <c r="T8" i="18" s="1"/>
  <c r="T11" i="18" a="1"/>
  <c r="T11" i="18" s="1"/>
  <c r="T7" i="18" a="1"/>
  <c r="T7" i="18" s="1"/>
  <c r="T9" i="18" a="1"/>
  <c r="T9" i="18" s="1"/>
  <c r="G72" i="18"/>
  <c r="T5" i="18" a="1"/>
  <c r="T5" i="18" s="1"/>
  <c r="T10" i="18" a="1"/>
  <c r="T10" i="18" s="1"/>
  <c r="V137" i="18"/>
  <c r="P174" i="18"/>
  <c r="Q174" i="18"/>
  <c r="V36" i="18"/>
  <c r="P244" i="18"/>
  <c r="Q244" i="18"/>
  <c r="L118" i="19"/>
  <c r="L31" i="19"/>
  <c r="L147" i="19"/>
  <c r="L63" i="19"/>
  <c r="V32" i="18"/>
  <c r="L18" i="19"/>
  <c r="O50" i="18"/>
  <c r="M50" i="18"/>
  <c r="V259" i="18"/>
  <c r="J113" i="18"/>
  <c r="O113" i="18"/>
  <c r="L156" i="19"/>
  <c r="L188" i="19"/>
  <c r="L124" i="19"/>
  <c r="L184" i="19"/>
  <c r="L224" i="19"/>
  <c r="L62" i="19"/>
  <c r="L107" i="19"/>
  <c r="O145" i="18"/>
  <c r="J145" i="18"/>
  <c r="V145" i="18"/>
  <c r="L217" i="19"/>
  <c r="V125" i="18"/>
  <c r="P45" i="18"/>
  <c r="Q45" i="18"/>
  <c r="P126" i="18"/>
  <c r="Q126" i="18"/>
  <c r="V128" i="18"/>
  <c r="L201" i="19"/>
  <c r="L179" i="19"/>
  <c r="L193" i="19"/>
  <c r="V47" i="18"/>
  <c r="L36" i="19"/>
  <c r="L163" i="19"/>
  <c r="L195" i="19"/>
  <c r="L227" i="19"/>
  <c r="L200" i="19"/>
  <c r="L79" i="19"/>
  <c r="L108" i="19"/>
  <c r="O82" i="18"/>
  <c r="M82" i="18"/>
  <c r="L129" i="19"/>
  <c r="L125" i="19"/>
  <c r="L24" i="18"/>
  <c r="G3" i="25"/>
  <c r="I3" i="25" s="1"/>
  <c r="P214" i="18"/>
  <c r="Q214" i="18"/>
  <c r="V189" i="18"/>
  <c r="L82" i="19"/>
  <c r="L13" i="19"/>
  <c r="L105" i="19"/>
  <c r="L232" i="19"/>
  <c r="Q100" i="18"/>
  <c r="P100" i="18"/>
  <c r="P53" i="18"/>
  <c r="Q53" i="18"/>
  <c r="V144" i="18"/>
  <c r="L66" i="19"/>
  <c r="L30" i="19"/>
  <c r="V139" i="18"/>
  <c r="L39" i="19"/>
  <c r="V48" i="18"/>
  <c r="L52" i="19"/>
  <c r="O91" i="18"/>
  <c r="M91" i="18"/>
  <c r="L95" i="19"/>
  <c r="L164" i="19"/>
  <c r="L196" i="19"/>
  <c r="L228" i="19"/>
  <c r="L134" i="19"/>
  <c r="L240" i="19"/>
  <c r="M141" i="18"/>
  <c r="O141" i="18"/>
  <c r="L94" i="19"/>
  <c r="O62" i="18"/>
  <c r="J62" i="18"/>
  <c r="V161" i="18"/>
  <c r="V30" i="18"/>
  <c r="J245" i="18"/>
  <c r="O245" i="18"/>
  <c r="P180" i="18"/>
  <c r="Q180" i="18"/>
  <c r="L204" i="19"/>
  <c r="L65" i="19"/>
  <c r="L71" i="19"/>
  <c r="H6" i="19"/>
  <c r="F4" i="19"/>
  <c r="J115" i="18"/>
  <c r="O115" i="18"/>
  <c r="L171" i="19"/>
  <c r="L203" i="19"/>
  <c r="L235" i="19"/>
  <c r="L176" i="19"/>
  <c r="L216" i="19"/>
  <c r="L243" i="19"/>
  <c r="V238" i="18"/>
  <c r="L96" i="19"/>
  <c r="L42" i="19"/>
  <c r="L127" i="19"/>
  <c r="V82" i="18"/>
  <c r="P260" i="18"/>
  <c r="Q260" i="18"/>
  <c r="P196" i="18"/>
  <c r="Q196" i="18"/>
  <c r="O213" i="18"/>
  <c r="J213" i="18"/>
  <c r="L55" i="19"/>
  <c r="L236" i="19"/>
  <c r="L192" i="19"/>
  <c r="I1" i="25" a="1"/>
  <c r="I1" i="25" s="1"/>
  <c r="L24" i="19"/>
  <c r="L103" i="19"/>
  <c r="J147" i="18"/>
  <c r="O147" i="18"/>
  <c r="L84" i="19"/>
  <c r="Q228" i="18"/>
  <c r="P228" i="18"/>
  <c r="L85" i="19"/>
  <c r="L21" i="19"/>
  <c r="L97" i="19"/>
  <c r="L109" i="19"/>
  <c r="L148" i="19"/>
  <c r="L180" i="19"/>
  <c r="L212" i="19"/>
  <c r="L254" i="19"/>
  <c r="V212" i="18"/>
  <c r="L168" i="19"/>
  <c r="L208" i="19"/>
  <c r="J110" i="18"/>
  <c r="O110" i="18"/>
  <c r="O138" i="18"/>
  <c r="M138" i="18"/>
  <c r="M57" i="18"/>
  <c r="O57" i="18"/>
  <c r="V173" i="18"/>
  <c r="P118" i="18"/>
  <c r="Q118" i="18"/>
  <c r="V168" i="18"/>
  <c r="L161" i="19"/>
  <c r="P103" i="18"/>
  <c r="Q103" i="18"/>
  <c r="Y111" i="28" l="1"/>
  <c r="Z111" i="28"/>
  <c r="AA111" i="28"/>
  <c r="AB111" i="28"/>
  <c r="Y257" i="28"/>
  <c r="Z257" i="28"/>
  <c r="AA257" i="28"/>
  <c r="AB257" i="28"/>
  <c r="Y71" i="28"/>
  <c r="Z71" i="28"/>
  <c r="AA71" i="28"/>
  <c r="AB71" i="28"/>
  <c r="Y153" i="28"/>
  <c r="Z153" i="28"/>
  <c r="AA153" i="28"/>
  <c r="AB153" i="28"/>
  <c r="Y217" i="28"/>
  <c r="Z217" i="28"/>
  <c r="AA217" i="28"/>
  <c r="AB217" i="28"/>
  <c r="Y205" i="28"/>
  <c r="Z205" i="28"/>
  <c r="AA205" i="28"/>
  <c r="AB205" i="28"/>
  <c r="Y163" i="28"/>
  <c r="Z163" i="28"/>
  <c r="AA163" i="28"/>
  <c r="AB163" i="28"/>
  <c r="Y203" i="28"/>
  <c r="Z203" i="28"/>
  <c r="AA203" i="28"/>
  <c r="AB203" i="28"/>
  <c r="Y119" i="28"/>
  <c r="Z119" i="28"/>
  <c r="AA119" i="28"/>
  <c r="AB119" i="28"/>
  <c r="Y165" i="28"/>
  <c r="Z165" i="28"/>
  <c r="AA165" i="28"/>
  <c r="AB165" i="28"/>
  <c r="AA166" i="28"/>
  <c r="AB166" i="28"/>
  <c r="Y166" i="28"/>
  <c r="Z166" i="28"/>
  <c r="Y41" i="28"/>
  <c r="Z41" i="28"/>
  <c r="AA41" i="28"/>
  <c r="AB41" i="28"/>
  <c r="AA92" i="28"/>
  <c r="AB92" i="28"/>
  <c r="Y92" i="28"/>
  <c r="Z92" i="28"/>
  <c r="Y93" i="28"/>
  <c r="Z93" i="28"/>
  <c r="AA93" i="28"/>
  <c r="AB93" i="28"/>
  <c r="AA154" i="28"/>
  <c r="AB154" i="28"/>
  <c r="Y154" i="28"/>
  <c r="Z154" i="28"/>
  <c r="Y155" i="28"/>
  <c r="Z155" i="28"/>
  <c r="AA155" i="28"/>
  <c r="AB155" i="28"/>
  <c r="Y69" i="28"/>
  <c r="Z69" i="28"/>
  <c r="AA69" i="28"/>
  <c r="AB69" i="28"/>
  <c r="Y87" i="28"/>
  <c r="Z87" i="28"/>
  <c r="AA87" i="28"/>
  <c r="AB87" i="28"/>
  <c r="Y95" i="28"/>
  <c r="Z95" i="28"/>
  <c r="AA95" i="28"/>
  <c r="AB95" i="28"/>
  <c r="AA32" i="28"/>
  <c r="AB32" i="28"/>
  <c r="Y32" i="28"/>
  <c r="Z32" i="28"/>
  <c r="Y137" i="28"/>
  <c r="Z137" i="28"/>
  <c r="AA137" i="28"/>
  <c r="AB137" i="28"/>
  <c r="Y73" i="28"/>
  <c r="Z73" i="28"/>
  <c r="AA73" i="28"/>
  <c r="AB73" i="28"/>
  <c r="AA140" i="28"/>
  <c r="AB140" i="28"/>
  <c r="Y140" i="28"/>
  <c r="Z140" i="28"/>
  <c r="Y211" i="28"/>
  <c r="Z211" i="28"/>
  <c r="AA211" i="28"/>
  <c r="AB211" i="28"/>
  <c r="Y254" i="28"/>
  <c r="Z254" i="28"/>
  <c r="AB254" i="28"/>
  <c r="AA254" i="28"/>
  <c r="AA54" i="28"/>
  <c r="AB54" i="28"/>
  <c r="Y54" i="28"/>
  <c r="Z54" i="28"/>
  <c r="Y113" i="28"/>
  <c r="Z113" i="28"/>
  <c r="AA113" i="28"/>
  <c r="AB113" i="28"/>
  <c r="Y214" i="28"/>
  <c r="AA214" i="28"/>
  <c r="Z214" i="28"/>
  <c r="AB214" i="28"/>
  <c r="Y181" i="28"/>
  <c r="Z181" i="28"/>
  <c r="AA181" i="28"/>
  <c r="AB181" i="28"/>
  <c r="Y201" i="28"/>
  <c r="Z201" i="28"/>
  <c r="AA201" i="28"/>
  <c r="AB201" i="28"/>
  <c r="AA162" i="28"/>
  <c r="AB162" i="28"/>
  <c r="Y162" i="28"/>
  <c r="Z162" i="28"/>
  <c r="AA68" i="28"/>
  <c r="AB68" i="28"/>
  <c r="Y68" i="28"/>
  <c r="Z68" i="28"/>
  <c r="AA108" i="28"/>
  <c r="AB108" i="28"/>
  <c r="Y108" i="28"/>
  <c r="Z108" i="28"/>
  <c r="AA72" i="28"/>
  <c r="AB72" i="28"/>
  <c r="Y72" i="28"/>
  <c r="Z72" i="28"/>
  <c r="Y191" i="28"/>
  <c r="Z191" i="28"/>
  <c r="AA191" i="28"/>
  <c r="AB191" i="28"/>
  <c r="Y99" i="28"/>
  <c r="Z99" i="28"/>
  <c r="AA99" i="28"/>
  <c r="AB99" i="28"/>
  <c r="Y197" i="28"/>
  <c r="Z197" i="28"/>
  <c r="AA197" i="28"/>
  <c r="AB197" i="28"/>
  <c r="AA36" i="28"/>
  <c r="AB36" i="28"/>
  <c r="Y36" i="28"/>
  <c r="Z36" i="28"/>
  <c r="AA78" i="28"/>
  <c r="AB78" i="28"/>
  <c r="Y78" i="28"/>
  <c r="Z78" i="28"/>
  <c r="AA52" i="28"/>
  <c r="AB52" i="28"/>
  <c r="Y52" i="28"/>
  <c r="Z52" i="28"/>
  <c r="AA258" i="28"/>
  <c r="Y258" i="28"/>
  <c r="Z258" i="28"/>
  <c r="AB258" i="28"/>
  <c r="Y241" i="28"/>
  <c r="Z241" i="28"/>
  <c r="AA241" i="28"/>
  <c r="AB241" i="28"/>
  <c r="Y265" i="28"/>
  <c r="Z265" i="28"/>
  <c r="AA265" i="28"/>
  <c r="AB265" i="28"/>
  <c r="Y131" i="28"/>
  <c r="Z131" i="28"/>
  <c r="AA131" i="28"/>
  <c r="AB131" i="28"/>
  <c r="Y231" i="28"/>
  <c r="Z231" i="28"/>
  <c r="AA231" i="28"/>
  <c r="AB231" i="28"/>
  <c r="AA216" i="28"/>
  <c r="Y216" i="28"/>
  <c r="Z216" i="28"/>
  <c r="AB216" i="28"/>
  <c r="Y246" i="28"/>
  <c r="Z246" i="28"/>
  <c r="AB246" i="28"/>
  <c r="AA246" i="28"/>
  <c r="Y25" i="28"/>
  <c r="Z25" i="28"/>
  <c r="AA25" i="28"/>
  <c r="AB25" i="28"/>
  <c r="AA260" i="28"/>
  <c r="Y260" i="28"/>
  <c r="Z260" i="28"/>
  <c r="AB260" i="28"/>
  <c r="Y195" i="28"/>
  <c r="Z195" i="28"/>
  <c r="AA195" i="28"/>
  <c r="AB195" i="28"/>
  <c r="AA50" i="28"/>
  <c r="AB50" i="28"/>
  <c r="Y50" i="28"/>
  <c r="Z50" i="28"/>
  <c r="AA116" i="28"/>
  <c r="AB116" i="28"/>
  <c r="Y116" i="28"/>
  <c r="Z116" i="28"/>
  <c r="AA80" i="28"/>
  <c r="AB80" i="28"/>
  <c r="Y80" i="28"/>
  <c r="Z80" i="28"/>
  <c r="Y262" i="28"/>
  <c r="Z262" i="28"/>
  <c r="AB262" i="28"/>
  <c r="AA262" i="28"/>
  <c r="Y115" i="28"/>
  <c r="Z115" i="28"/>
  <c r="AA115" i="28"/>
  <c r="AB115" i="28"/>
  <c r="AA48" i="28"/>
  <c r="AB48" i="28"/>
  <c r="Y48" i="28"/>
  <c r="Z48" i="28"/>
  <c r="Y59" i="28"/>
  <c r="Z59" i="28"/>
  <c r="AA59" i="28"/>
  <c r="AB59" i="28"/>
  <c r="Y149" i="28"/>
  <c r="Z149" i="28"/>
  <c r="AA149" i="28"/>
  <c r="AB149" i="28"/>
  <c r="AA252" i="28"/>
  <c r="Y252" i="28"/>
  <c r="Z252" i="28"/>
  <c r="AB252" i="28"/>
  <c r="Y268" i="28"/>
  <c r="Z268" i="28"/>
  <c r="AA268" i="28"/>
  <c r="AB268" i="28"/>
  <c r="Y97" i="28"/>
  <c r="Z97" i="28"/>
  <c r="AA97" i="28"/>
  <c r="AB97" i="28"/>
  <c r="Y219" i="28"/>
  <c r="Z219" i="28"/>
  <c r="AA219" i="28"/>
  <c r="AB219" i="28"/>
  <c r="AA58" i="28"/>
  <c r="AB58" i="28"/>
  <c r="Y58" i="28"/>
  <c r="Z58" i="28"/>
  <c r="AA186" i="28"/>
  <c r="AB186" i="28"/>
  <c r="Y186" i="28"/>
  <c r="Z186" i="28"/>
  <c r="Y23" i="28"/>
  <c r="Z23" i="28"/>
  <c r="AA23" i="28"/>
  <c r="AB23" i="28"/>
  <c r="AA128" i="28"/>
  <c r="AB128" i="28"/>
  <c r="Y128" i="28"/>
  <c r="Z128" i="28"/>
  <c r="AA218" i="28"/>
  <c r="Y218" i="28"/>
  <c r="Z218" i="28"/>
  <c r="AB218" i="28"/>
  <c r="AA20" i="28"/>
  <c r="AB20" i="28"/>
  <c r="Y20" i="28"/>
  <c r="Z20" i="28"/>
  <c r="AA30" i="28"/>
  <c r="AB30" i="28"/>
  <c r="Y30" i="28"/>
  <c r="Z30" i="28"/>
  <c r="AA90" i="28"/>
  <c r="AB90" i="28"/>
  <c r="Y90" i="28"/>
  <c r="Z90" i="28"/>
  <c r="Y192" i="28"/>
  <c r="Z192" i="28"/>
  <c r="AB192" i="28"/>
  <c r="AA192" i="28"/>
  <c r="AA62" i="28"/>
  <c r="AB62" i="28"/>
  <c r="Y62" i="28"/>
  <c r="Z62" i="28"/>
  <c r="AA264" i="28"/>
  <c r="Y264" i="28"/>
  <c r="Z264" i="28"/>
  <c r="AB264" i="28"/>
  <c r="Y147" i="28"/>
  <c r="Z147" i="28"/>
  <c r="AA147" i="28"/>
  <c r="AB147" i="28"/>
  <c r="Y143" i="28"/>
  <c r="Z143" i="28"/>
  <c r="AA143" i="28"/>
  <c r="AB143" i="28"/>
  <c r="AA88" i="28"/>
  <c r="AB88" i="28"/>
  <c r="Y88" i="28"/>
  <c r="Z88" i="28"/>
  <c r="Y253" i="28"/>
  <c r="Z253" i="28"/>
  <c r="AA253" i="28"/>
  <c r="AB253" i="28"/>
  <c r="AA160" i="28"/>
  <c r="AB160" i="28"/>
  <c r="Y160" i="28"/>
  <c r="Z160" i="28"/>
  <c r="AA98" i="28"/>
  <c r="AB98" i="28"/>
  <c r="Y98" i="28"/>
  <c r="Z98" i="28"/>
  <c r="AA110" i="28"/>
  <c r="AB110" i="28"/>
  <c r="Y110" i="28"/>
  <c r="Z110" i="28"/>
  <c r="AA42" i="28"/>
  <c r="AB42" i="28"/>
  <c r="Y42" i="28"/>
  <c r="Z42" i="28"/>
  <c r="Y85" i="28"/>
  <c r="Z85" i="28"/>
  <c r="AA85" i="28"/>
  <c r="AB85" i="28"/>
  <c r="AA24" i="28"/>
  <c r="AB24" i="28"/>
  <c r="Y24" i="28"/>
  <c r="Z24" i="28"/>
  <c r="Y67" i="28"/>
  <c r="Z67" i="28"/>
  <c r="AA67" i="28"/>
  <c r="AB67" i="28"/>
  <c r="Y248" i="28"/>
  <c r="Z248" i="28"/>
  <c r="AA248" i="28"/>
  <c r="AB248" i="28"/>
  <c r="AA242" i="28"/>
  <c r="Y242" i="28"/>
  <c r="Z242" i="28"/>
  <c r="AB242" i="28"/>
  <c r="Y35" i="28"/>
  <c r="Z35" i="28"/>
  <c r="AA35" i="28"/>
  <c r="AB35" i="28"/>
  <c r="Y91" i="28"/>
  <c r="Z91" i="28"/>
  <c r="AA91" i="28"/>
  <c r="AB91" i="28"/>
  <c r="AA188" i="28"/>
  <c r="AB188" i="28"/>
  <c r="Y188" i="28"/>
  <c r="Z188" i="28"/>
  <c r="Y266" i="28"/>
  <c r="AA266" i="28"/>
  <c r="Z266" i="28"/>
  <c r="AB266" i="28"/>
  <c r="AA224" i="28"/>
  <c r="Y224" i="28"/>
  <c r="Z224" i="28"/>
  <c r="AB224" i="28"/>
  <c r="Y249" i="28"/>
  <c r="Z249" i="28"/>
  <c r="AA249" i="28"/>
  <c r="AB249" i="28"/>
  <c r="Y125" i="28"/>
  <c r="Z125" i="28"/>
  <c r="AA125" i="28"/>
  <c r="AB125" i="28"/>
  <c r="AA144" i="28"/>
  <c r="AB144" i="28"/>
  <c r="Y144" i="28"/>
  <c r="Z144" i="28"/>
  <c r="AA34" i="28"/>
  <c r="AB34" i="28"/>
  <c r="Y34" i="28"/>
  <c r="Z34" i="28"/>
  <c r="AA96" i="28"/>
  <c r="AB96" i="28"/>
  <c r="Y96" i="28"/>
  <c r="Z96" i="28"/>
  <c r="Y233" i="28"/>
  <c r="Z233" i="28"/>
  <c r="AA233" i="28"/>
  <c r="AB233" i="28"/>
  <c r="Y101" i="28"/>
  <c r="Z101" i="28"/>
  <c r="AA101" i="28"/>
  <c r="AB101" i="28"/>
  <c r="Y220" i="28"/>
  <c r="Z220" i="28"/>
  <c r="AB220" i="28"/>
  <c r="AA220" i="28"/>
  <c r="AA100" i="28"/>
  <c r="AB100" i="28"/>
  <c r="Y100" i="28"/>
  <c r="Z100" i="28"/>
  <c r="Y263" i="28"/>
  <c r="Z263" i="28"/>
  <c r="AA263" i="28"/>
  <c r="AB263" i="28"/>
  <c r="Y230" i="28"/>
  <c r="Z230" i="28"/>
  <c r="AA230" i="28"/>
  <c r="AB230" i="28"/>
  <c r="Y47" i="28"/>
  <c r="Z47" i="28"/>
  <c r="AA47" i="28"/>
  <c r="AB47" i="28"/>
  <c r="Y63" i="28"/>
  <c r="Z63" i="28"/>
  <c r="AA63" i="28"/>
  <c r="AB63" i="28"/>
  <c r="AA94" i="28"/>
  <c r="AB94" i="28"/>
  <c r="Y94" i="28"/>
  <c r="Z94" i="28"/>
  <c r="Y161" i="28"/>
  <c r="Z161" i="28"/>
  <c r="AA161" i="28"/>
  <c r="AB161" i="28"/>
  <c r="Y21" i="28"/>
  <c r="Z21" i="28"/>
  <c r="AA21" i="28"/>
  <c r="AB21" i="28"/>
  <c r="Y202" i="28"/>
  <c r="AA202" i="28"/>
  <c r="Z202" i="28"/>
  <c r="AB202" i="28"/>
  <c r="Y177" i="28"/>
  <c r="Z177" i="28"/>
  <c r="AA177" i="28"/>
  <c r="AB177" i="28"/>
  <c r="Y237" i="28"/>
  <c r="Z237" i="28"/>
  <c r="AA237" i="28"/>
  <c r="AB237" i="28"/>
  <c r="Y141" i="28"/>
  <c r="Z141" i="28"/>
  <c r="AA141" i="28"/>
  <c r="AB141" i="28"/>
  <c r="Y129" i="28"/>
  <c r="Z129" i="28"/>
  <c r="AA129" i="28"/>
  <c r="AB129" i="28"/>
  <c r="Y167" i="28"/>
  <c r="Z167" i="28"/>
  <c r="AA167" i="28"/>
  <c r="AB167" i="28"/>
  <c r="AA74" i="28"/>
  <c r="AB74" i="28"/>
  <c r="Y74" i="28"/>
  <c r="Z74" i="28"/>
  <c r="AA136" i="28"/>
  <c r="AB136" i="28"/>
  <c r="Y136" i="28"/>
  <c r="Z136" i="28"/>
  <c r="AA134" i="28"/>
  <c r="AB134" i="28"/>
  <c r="Y134" i="28"/>
  <c r="Z134" i="28"/>
  <c r="Y190" i="28"/>
  <c r="AA190" i="28"/>
  <c r="Z190" i="28"/>
  <c r="AB190" i="28"/>
  <c r="Y139" i="28"/>
  <c r="Z139" i="28"/>
  <c r="AA139" i="28"/>
  <c r="AB139" i="28"/>
  <c r="AA184" i="28"/>
  <c r="AB184" i="28"/>
  <c r="Y184" i="28"/>
  <c r="Z184" i="28"/>
  <c r="AA146" i="28"/>
  <c r="AB146" i="28"/>
  <c r="Y146" i="28"/>
  <c r="Z146" i="28"/>
  <c r="Y49" i="28"/>
  <c r="Z49" i="28"/>
  <c r="AA49" i="28"/>
  <c r="AB49" i="28"/>
  <c r="AA118" i="28"/>
  <c r="AB118" i="28"/>
  <c r="Y118" i="28"/>
  <c r="Z118" i="28"/>
  <c r="Y179" i="28"/>
  <c r="Z179" i="28"/>
  <c r="AA179" i="28"/>
  <c r="AB179" i="28"/>
  <c r="Y33" i="28"/>
  <c r="Z33" i="28"/>
  <c r="AA33" i="28"/>
  <c r="AB33" i="28"/>
  <c r="AA232" i="28"/>
  <c r="Y232" i="28"/>
  <c r="Z232" i="28"/>
  <c r="AB232" i="28"/>
  <c r="Y210" i="28"/>
  <c r="Z210" i="28"/>
  <c r="AA210" i="28"/>
  <c r="AB210" i="28"/>
  <c r="AA200" i="28"/>
  <c r="Y200" i="28"/>
  <c r="Z200" i="28"/>
  <c r="AB200" i="28"/>
  <c r="Y183" i="28"/>
  <c r="Z183" i="28"/>
  <c r="AA183" i="28"/>
  <c r="AB183" i="28"/>
  <c r="AA178" i="28"/>
  <c r="AB178" i="28"/>
  <c r="Y178" i="28"/>
  <c r="Z178" i="28"/>
  <c r="AA60" i="28"/>
  <c r="AB60" i="28"/>
  <c r="Y60" i="28"/>
  <c r="Z60" i="28"/>
  <c r="Y43" i="28"/>
  <c r="Z43" i="28"/>
  <c r="AA43" i="28"/>
  <c r="AB43" i="28"/>
  <c r="Y121" i="28"/>
  <c r="Z121" i="28"/>
  <c r="AA121" i="28"/>
  <c r="AB121" i="28"/>
  <c r="AA208" i="28"/>
  <c r="Y208" i="28"/>
  <c r="Z208" i="28"/>
  <c r="AB208" i="28"/>
  <c r="Y225" i="28"/>
  <c r="Z225" i="28"/>
  <c r="AA225" i="28"/>
  <c r="AB225" i="28"/>
  <c r="Y81" i="28"/>
  <c r="Z81" i="28"/>
  <c r="AA81" i="28"/>
  <c r="AB81" i="28"/>
  <c r="Y123" i="28"/>
  <c r="Z123" i="28"/>
  <c r="AA123" i="28"/>
  <c r="AB123" i="28"/>
  <c r="Y221" i="28"/>
  <c r="Z221" i="28"/>
  <c r="AA221" i="28"/>
  <c r="AB221" i="28"/>
  <c r="AA102" i="28"/>
  <c r="AB102" i="28"/>
  <c r="Y102" i="28"/>
  <c r="Z102" i="28"/>
  <c r="Y223" i="28"/>
  <c r="Z223" i="28"/>
  <c r="AA223" i="28"/>
  <c r="AB223" i="28"/>
  <c r="Y243" i="28"/>
  <c r="Z243" i="28"/>
  <c r="AA243" i="28"/>
  <c r="AB243" i="28"/>
  <c r="AA132" i="28"/>
  <c r="AB132" i="28"/>
  <c r="Y132" i="28"/>
  <c r="Z132" i="28"/>
  <c r="Y39" i="28"/>
  <c r="Z39" i="28"/>
  <c r="AA39" i="28"/>
  <c r="AB39" i="28"/>
  <c r="AA182" i="28"/>
  <c r="AB182" i="28"/>
  <c r="Y182" i="28"/>
  <c r="Z182" i="28"/>
  <c r="Y222" i="28"/>
  <c r="AA222" i="28"/>
  <c r="Z222" i="28"/>
  <c r="AB222" i="28"/>
  <c r="Y83" i="28"/>
  <c r="Z83" i="28"/>
  <c r="AA83" i="28"/>
  <c r="AB83" i="28"/>
  <c r="AA240" i="28"/>
  <c r="Y240" i="28"/>
  <c r="Z240" i="28"/>
  <c r="AB240" i="28"/>
  <c r="AA86" i="28"/>
  <c r="AB86" i="28"/>
  <c r="Y86" i="28"/>
  <c r="Z86" i="28"/>
  <c r="Y159" i="28"/>
  <c r="Z159" i="28"/>
  <c r="AA159" i="28"/>
  <c r="AB159" i="28"/>
  <c r="AA106" i="28"/>
  <c r="AB106" i="28"/>
  <c r="Y106" i="28"/>
  <c r="Z106" i="28"/>
  <c r="AA76" i="28"/>
  <c r="AB76" i="28"/>
  <c r="Y76" i="28"/>
  <c r="Z76" i="28"/>
  <c r="Y213" i="28"/>
  <c r="Z213" i="28"/>
  <c r="AA213" i="28"/>
  <c r="AB213" i="28"/>
  <c r="Y157" i="28"/>
  <c r="Z157" i="28"/>
  <c r="AA157" i="28"/>
  <c r="AB157" i="28"/>
  <c r="Y185" i="28"/>
  <c r="Z185" i="28"/>
  <c r="AA185" i="28"/>
  <c r="AB185" i="28"/>
  <c r="AA126" i="28"/>
  <c r="AB126" i="28"/>
  <c r="Y126" i="28"/>
  <c r="Z126" i="28"/>
  <c r="AA120" i="28"/>
  <c r="AB120" i="28"/>
  <c r="Y120" i="28"/>
  <c r="Z120" i="28"/>
  <c r="Y209" i="28"/>
  <c r="Z209" i="28"/>
  <c r="AA209" i="28"/>
  <c r="AB209" i="28"/>
  <c r="Y207" i="28"/>
  <c r="Z207" i="28"/>
  <c r="AA207" i="28"/>
  <c r="AB207" i="28"/>
  <c r="AA26" i="28"/>
  <c r="AB26" i="28"/>
  <c r="Y26" i="28"/>
  <c r="Z26" i="28"/>
  <c r="Y45" i="28"/>
  <c r="Z45" i="28"/>
  <c r="AA45" i="28"/>
  <c r="AB45" i="28"/>
  <c r="AA40" i="28"/>
  <c r="AB40" i="28"/>
  <c r="Y40" i="28"/>
  <c r="Z40" i="28"/>
  <c r="AA236" i="28"/>
  <c r="Y236" i="28"/>
  <c r="Z236" i="28"/>
  <c r="AB236" i="28"/>
  <c r="Y175" i="28"/>
  <c r="Z175" i="28"/>
  <c r="AA175" i="28"/>
  <c r="AB175" i="28"/>
  <c r="Y193" i="28"/>
  <c r="Z193" i="28"/>
  <c r="AA193" i="28"/>
  <c r="AB193" i="28"/>
  <c r="Y51" i="28"/>
  <c r="Z51" i="28"/>
  <c r="AA51" i="28"/>
  <c r="AB51" i="28"/>
  <c r="Y234" i="28"/>
  <c r="AA234" i="28"/>
  <c r="Z234" i="28"/>
  <c r="AB234" i="28"/>
  <c r="AA226" i="28"/>
  <c r="Y226" i="28"/>
  <c r="Z226" i="28"/>
  <c r="AB226" i="28"/>
  <c r="Y103" i="28"/>
  <c r="Z103" i="28"/>
  <c r="AA103" i="28"/>
  <c r="AB103" i="28"/>
  <c r="Y199" i="28"/>
  <c r="Z199" i="28"/>
  <c r="AA199" i="28"/>
  <c r="AB199" i="28"/>
  <c r="Y267" i="28"/>
  <c r="Z267" i="28"/>
  <c r="AA267" i="28"/>
  <c r="AB267" i="28"/>
  <c r="Y244" i="28"/>
  <c r="AA244" i="28"/>
  <c r="Z244" i="28"/>
  <c r="AB244" i="28"/>
  <c r="AA198" i="28"/>
  <c r="Y198" i="28"/>
  <c r="Z198" i="28"/>
  <c r="AB198" i="28"/>
  <c r="Y173" i="28"/>
  <c r="Z173" i="28"/>
  <c r="AA173" i="28"/>
  <c r="AB173" i="28"/>
  <c r="AA124" i="28"/>
  <c r="AB124" i="28"/>
  <c r="Y124" i="28"/>
  <c r="Z124" i="28"/>
  <c r="Y255" i="28"/>
  <c r="Z255" i="28"/>
  <c r="AA255" i="28"/>
  <c r="AB255" i="28"/>
  <c r="AA56" i="28"/>
  <c r="AB56" i="28"/>
  <c r="Y56" i="28"/>
  <c r="Z56" i="28"/>
  <c r="Y133" i="28"/>
  <c r="Z133" i="28"/>
  <c r="AA133" i="28"/>
  <c r="AB133" i="28"/>
  <c r="Y37" i="28"/>
  <c r="Z37" i="28"/>
  <c r="AA37" i="28"/>
  <c r="AB37" i="28"/>
  <c r="AA66" i="28"/>
  <c r="AB66" i="28"/>
  <c r="Y66" i="28"/>
  <c r="Z66" i="28"/>
  <c r="Y261" i="28"/>
  <c r="Z261" i="28"/>
  <c r="AA261" i="28"/>
  <c r="AB261" i="28"/>
  <c r="AA82" i="28"/>
  <c r="AB82" i="28"/>
  <c r="Y82" i="28"/>
  <c r="Z82" i="28"/>
  <c r="AA64" i="28"/>
  <c r="AB64" i="28"/>
  <c r="Y64" i="28"/>
  <c r="Z64" i="28"/>
  <c r="Y31" i="28"/>
  <c r="Z31" i="28"/>
  <c r="AA31" i="28"/>
  <c r="AB31" i="28"/>
  <c r="Y61" i="28"/>
  <c r="Z61" i="28"/>
  <c r="AA61" i="28"/>
  <c r="AB61" i="28"/>
  <c r="Y55" i="28"/>
  <c r="Z55" i="28"/>
  <c r="AA55" i="28"/>
  <c r="AB55" i="28"/>
  <c r="AA122" i="28"/>
  <c r="AB122" i="28"/>
  <c r="Y122" i="28"/>
  <c r="Z122" i="28"/>
  <c r="Y204" i="28"/>
  <c r="Z204" i="28"/>
  <c r="AB204" i="28"/>
  <c r="AA204" i="28"/>
  <c r="AA174" i="28"/>
  <c r="AB174" i="28"/>
  <c r="Y174" i="28"/>
  <c r="Z174" i="28"/>
  <c r="AA164" i="28"/>
  <c r="AB164" i="28"/>
  <c r="Y164" i="28"/>
  <c r="Z164" i="28"/>
  <c r="AA114" i="28"/>
  <c r="AB114" i="28"/>
  <c r="Y114" i="28"/>
  <c r="Z114" i="28"/>
  <c r="Y238" i="28"/>
  <c r="Z238" i="28"/>
  <c r="AB238" i="28"/>
  <c r="AA238" i="28"/>
  <c r="Y235" i="28"/>
  <c r="Z235" i="28"/>
  <c r="AA235" i="28"/>
  <c r="AB235" i="28"/>
  <c r="Y151" i="28"/>
  <c r="Z151" i="28"/>
  <c r="AA151" i="28"/>
  <c r="AB151" i="28"/>
  <c r="AA180" i="28"/>
  <c r="AB180" i="28"/>
  <c r="Y180" i="28"/>
  <c r="Z180" i="28"/>
  <c r="AA112" i="28"/>
  <c r="AB112" i="28"/>
  <c r="Y112" i="28"/>
  <c r="Z112" i="28"/>
  <c r="Y109" i="28"/>
  <c r="Z109" i="28"/>
  <c r="AA109" i="28"/>
  <c r="AB109" i="28"/>
  <c r="AA28" i="28"/>
  <c r="AB28" i="28"/>
  <c r="Y28" i="28"/>
  <c r="Z28" i="28"/>
  <c r="Y187" i="28"/>
  <c r="Z187" i="28"/>
  <c r="AA187" i="28"/>
  <c r="AB187" i="28"/>
  <c r="AA176" i="28"/>
  <c r="AB176" i="28"/>
  <c r="Y176" i="28"/>
  <c r="Z176" i="28"/>
  <c r="Y227" i="28"/>
  <c r="Z227" i="28"/>
  <c r="AA227" i="28"/>
  <c r="AB227" i="28"/>
  <c r="AA44" i="28"/>
  <c r="AB44" i="28"/>
  <c r="Y44" i="28"/>
  <c r="Z44" i="28"/>
  <c r="AA84" i="28"/>
  <c r="AB84" i="28"/>
  <c r="Y84" i="28"/>
  <c r="Z84" i="28"/>
  <c r="Y196" i="28"/>
  <c r="Z196" i="28"/>
  <c r="AB196" i="28"/>
  <c r="AA196" i="28"/>
  <c r="AA104" i="28"/>
  <c r="AB104" i="28"/>
  <c r="Y104" i="28"/>
  <c r="Z104" i="28"/>
  <c r="AA70" i="28"/>
  <c r="AB70" i="28"/>
  <c r="Y70" i="28"/>
  <c r="Z70" i="28"/>
  <c r="Y57" i="28"/>
  <c r="Z57" i="28"/>
  <c r="AA57" i="28"/>
  <c r="AB57" i="28"/>
  <c r="AA152" i="28"/>
  <c r="AB152" i="28"/>
  <c r="Y152" i="28"/>
  <c r="Z152" i="28"/>
  <c r="AA158" i="28"/>
  <c r="AB158" i="28"/>
  <c r="Y158" i="28"/>
  <c r="Z158" i="28"/>
  <c r="Y105" i="28"/>
  <c r="Z105" i="28"/>
  <c r="AA105" i="28"/>
  <c r="AB105" i="28"/>
  <c r="AA150" i="28"/>
  <c r="AB150" i="28"/>
  <c r="Y150" i="28"/>
  <c r="Z150" i="28"/>
  <c r="AA46" i="28"/>
  <c r="AB46" i="28"/>
  <c r="Y46" i="28"/>
  <c r="Z46" i="28"/>
  <c r="Y256" i="28"/>
  <c r="AA256" i="28"/>
  <c r="Z256" i="28"/>
  <c r="AB256" i="28"/>
  <c r="AA172" i="28"/>
  <c r="AB172" i="28"/>
  <c r="Y172" i="28"/>
  <c r="Z172" i="28"/>
  <c r="Y107" i="28"/>
  <c r="Z107" i="28"/>
  <c r="AA107" i="28"/>
  <c r="AB107" i="28"/>
  <c r="Y229" i="28"/>
  <c r="Z229" i="28"/>
  <c r="AA229" i="28"/>
  <c r="AB229" i="28"/>
  <c r="AA148" i="28"/>
  <c r="AB148" i="28"/>
  <c r="Y148" i="28"/>
  <c r="Z148" i="28"/>
  <c r="Y79" i="28"/>
  <c r="Z79" i="28"/>
  <c r="AA79" i="28"/>
  <c r="AB79" i="28"/>
  <c r="Y127" i="28"/>
  <c r="Z127" i="28"/>
  <c r="AA127" i="28"/>
  <c r="AB127" i="28"/>
  <c r="Y29" i="28"/>
  <c r="Z29" i="28"/>
  <c r="AA29" i="28"/>
  <c r="AB29" i="28"/>
  <c r="Y247" i="28"/>
  <c r="Z247" i="28"/>
  <c r="AA247" i="28"/>
  <c r="AB247" i="28"/>
  <c r="Y145" i="28"/>
  <c r="Z145" i="28"/>
  <c r="AA145" i="28"/>
  <c r="AB145" i="28"/>
  <c r="Y135" i="28"/>
  <c r="Z135" i="28"/>
  <c r="AA135" i="28"/>
  <c r="AB135" i="28"/>
  <c r="AA142" i="28"/>
  <c r="AB142" i="28"/>
  <c r="Y142" i="28"/>
  <c r="Z142" i="28"/>
  <c r="AA138" i="28"/>
  <c r="AB138" i="28"/>
  <c r="Y138" i="28"/>
  <c r="Z138" i="28"/>
  <c r="AA170" i="28"/>
  <c r="AB170" i="28"/>
  <c r="Y170" i="28"/>
  <c r="Z170" i="28"/>
  <c r="Y65" i="28"/>
  <c r="Z65" i="28"/>
  <c r="AA65" i="28"/>
  <c r="AB65" i="28"/>
  <c r="Y228" i="28"/>
  <c r="Z228" i="28"/>
  <c r="AB228" i="28"/>
  <c r="AA228" i="28"/>
  <c r="Y245" i="28"/>
  <c r="Z245" i="28"/>
  <c r="AA245" i="28"/>
  <c r="AB245" i="28"/>
  <c r="Y27" i="28"/>
  <c r="Z27" i="28"/>
  <c r="AA27" i="28"/>
  <c r="AB27" i="28"/>
  <c r="Y89" i="28"/>
  <c r="Z89" i="28"/>
  <c r="AA89" i="28"/>
  <c r="AB89" i="28"/>
  <c r="Y77" i="28"/>
  <c r="Z77" i="28"/>
  <c r="AA77" i="28"/>
  <c r="AB77" i="28"/>
  <c r="Y215" i="28"/>
  <c r="Z215" i="28"/>
  <c r="AA215" i="28"/>
  <c r="AB215" i="28"/>
  <c r="AA130" i="28"/>
  <c r="AB130" i="28"/>
  <c r="Y130" i="28"/>
  <c r="Z130" i="28"/>
  <c r="Y259" i="28"/>
  <c r="Z259" i="28"/>
  <c r="AA259" i="28"/>
  <c r="AB259" i="28"/>
  <c r="Y212" i="28"/>
  <c r="Z212" i="28"/>
  <c r="AB212" i="28"/>
  <c r="AA212" i="28"/>
  <c r="Y117" i="28"/>
  <c r="Z117" i="28"/>
  <c r="AA117" i="28"/>
  <c r="AB117" i="28"/>
  <c r="AA206" i="28"/>
  <c r="Y206" i="28"/>
  <c r="Z206" i="28"/>
  <c r="AB206" i="28"/>
  <c r="Y75" i="28"/>
  <c r="Z75" i="28"/>
  <c r="AA75" i="28"/>
  <c r="AB75" i="28"/>
  <c r="Y189" i="28"/>
  <c r="Z189" i="28"/>
  <c r="AB189" i="28"/>
  <c r="AA189" i="28"/>
  <c r="AA250" i="28"/>
  <c r="Y250" i="28"/>
  <c r="Z250" i="28"/>
  <c r="AB250" i="28"/>
  <c r="AA22" i="28"/>
  <c r="AB22" i="28"/>
  <c r="Y22" i="28"/>
  <c r="Z22" i="28"/>
  <c r="Y194" i="28"/>
  <c r="AA194" i="28"/>
  <c r="Z194" i="28"/>
  <c r="AB194" i="28"/>
  <c r="AA38" i="28"/>
  <c r="AB38" i="28"/>
  <c r="Y38" i="28"/>
  <c r="Z38" i="28"/>
  <c r="AA156" i="28"/>
  <c r="AB156" i="28"/>
  <c r="Y156" i="28"/>
  <c r="Z156" i="28"/>
  <c r="Y251" i="28"/>
  <c r="Z251" i="28"/>
  <c r="AA251" i="28"/>
  <c r="AB251" i="28"/>
  <c r="AA168" i="28"/>
  <c r="AB168" i="28"/>
  <c r="Y168" i="28"/>
  <c r="Z168" i="28"/>
  <c r="Y169" i="28"/>
  <c r="Z169" i="28"/>
  <c r="AA169" i="28"/>
  <c r="AB169" i="28"/>
  <c r="Y239" i="28"/>
  <c r="Z239" i="28"/>
  <c r="AA239" i="28"/>
  <c r="AB239" i="28"/>
  <c r="Y171" i="28"/>
  <c r="Z171" i="28"/>
  <c r="AA171" i="28"/>
  <c r="AB171" i="28"/>
  <c r="Y53" i="28"/>
  <c r="Z53" i="28"/>
  <c r="AA53" i="28"/>
  <c r="AB53" i="28"/>
  <c r="O16" i="28"/>
  <c r="Q19" i="28"/>
  <c r="P24" i="4"/>
  <c r="N7" i="1" a="1"/>
  <c r="N7" i="1" s="1"/>
  <c r="N13" i="1" a="1"/>
  <c r="N13" i="1" s="1"/>
  <c r="N18" i="1" a="1"/>
  <c r="N18" i="1" s="1"/>
  <c r="N24" i="1" a="1"/>
  <c r="N24" i="1" s="1"/>
  <c r="N37" i="1" a="1"/>
  <c r="N37" i="1" s="1"/>
  <c r="N43" i="1" a="1"/>
  <c r="N43" i="1" s="1"/>
  <c r="N50" i="1" a="1"/>
  <c r="N50" i="1" s="1"/>
  <c r="N56" i="1" a="1"/>
  <c r="N56" i="1" s="1"/>
  <c r="N69" i="1" a="1"/>
  <c r="N69" i="1" s="1"/>
  <c r="N75" i="1" a="1"/>
  <c r="N75" i="1" s="1"/>
  <c r="N82" i="1" a="1"/>
  <c r="N82" i="1" s="1"/>
  <c r="N88" i="1" a="1"/>
  <c r="N88" i="1" s="1"/>
  <c r="N101" i="1" a="1"/>
  <c r="N101" i="1" s="1"/>
  <c r="N107" i="1" a="1"/>
  <c r="N107" i="1" s="1"/>
  <c r="N114" i="1" a="1"/>
  <c r="N114" i="1" s="1"/>
  <c r="N120" i="1" a="1"/>
  <c r="N120" i="1" s="1"/>
  <c r="N133" i="1" a="1"/>
  <c r="N133" i="1" s="1"/>
  <c r="N139" i="1" a="1"/>
  <c r="N139" i="1" s="1"/>
  <c r="N146" i="1" a="1"/>
  <c r="N146" i="1" s="1"/>
  <c r="N152" i="1" a="1"/>
  <c r="N152" i="1" s="1"/>
  <c r="N165" i="1" a="1"/>
  <c r="N165" i="1" s="1"/>
  <c r="N171" i="1" a="1"/>
  <c r="N171" i="1" s="1"/>
  <c r="N178" i="1" a="1"/>
  <c r="N178" i="1" s="1"/>
  <c r="N184" i="1" a="1"/>
  <c r="N184" i="1" s="1"/>
  <c r="N197" i="1" a="1"/>
  <c r="N197" i="1" s="1"/>
  <c r="N203" i="1" a="1"/>
  <c r="N203" i="1" s="1"/>
  <c r="N210" i="1" a="1"/>
  <c r="N210" i="1" s="1"/>
  <c r="N216" i="1" a="1"/>
  <c r="N216" i="1" s="1"/>
  <c r="N229" i="1" a="1"/>
  <c r="N229" i="1" s="1"/>
  <c r="N235" i="1" a="1"/>
  <c r="N235" i="1" s="1"/>
  <c r="N242" i="1" a="1"/>
  <c r="N242" i="1" s="1"/>
  <c r="N248" i="1" a="1"/>
  <c r="N248" i="1" s="1"/>
  <c r="N256" i="1" a="1"/>
  <c r="N256" i="1" s="1"/>
  <c r="N62" i="1" a="1"/>
  <c r="N62" i="1" s="1"/>
  <c r="N119" i="1" a="1"/>
  <c r="N119" i="1" s="1"/>
  <c r="N183" i="1" a="1"/>
  <c r="N183" i="1" s="1"/>
  <c r="N241" i="1" a="1"/>
  <c r="N241" i="1" s="1"/>
  <c r="N8" i="1" a="1"/>
  <c r="N8" i="1" s="1"/>
  <c r="N25" i="1" a="1"/>
  <c r="N25" i="1" s="1"/>
  <c r="N31" i="1" a="1"/>
  <c r="N31" i="1" s="1"/>
  <c r="N38" i="1" a="1"/>
  <c r="N38" i="1" s="1"/>
  <c r="N44" i="1" a="1"/>
  <c r="N44" i="1" s="1"/>
  <c r="N57" i="1" a="1"/>
  <c r="N57" i="1" s="1"/>
  <c r="N63" i="1" a="1"/>
  <c r="N63" i="1" s="1"/>
  <c r="N70" i="1" a="1"/>
  <c r="N70" i="1" s="1"/>
  <c r="N76" i="1" a="1"/>
  <c r="N76" i="1" s="1"/>
  <c r="N89" i="1" a="1"/>
  <c r="N89" i="1" s="1"/>
  <c r="N95" i="1" a="1"/>
  <c r="N95" i="1" s="1"/>
  <c r="N102" i="1" a="1"/>
  <c r="N102" i="1" s="1"/>
  <c r="N108" i="1" a="1"/>
  <c r="N108" i="1" s="1"/>
  <c r="N121" i="1" a="1"/>
  <c r="N121" i="1" s="1"/>
  <c r="N127" i="1" a="1"/>
  <c r="N127" i="1" s="1"/>
  <c r="N134" i="1" a="1"/>
  <c r="N134" i="1" s="1"/>
  <c r="N140" i="1" a="1"/>
  <c r="N140" i="1" s="1"/>
  <c r="N153" i="1" a="1"/>
  <c r="N153" i="1" s="1"/>
  <c r="N159" i="1" a="1"/>
  <c r="N159" i="1" s="1"/>
  <c r="N166" i="1" a="1"/>
  <c r="N166" i="1" s="1"/>
  <c r="N172" i="1" a="1"/>
  <c r="N172" i="1" s="1"/>
  <c r="N185" i="1" a="1"/>
  <c r="N185" i="1" s="1"/>
  <c r="N191" i="1" a="1"/>
  <c r="N191" i="1" s="1"/>
  <c r="N198" i="1" a="1"/>
  <c r="N198" i="1" s="1"/>
  <c r="N204" i="1" a="1"/>
  <c r="N204" i="1" s="1"/>
  <c r="N217" i="1" a="1"/>
  <c r="N217" i="1" s="1"/>
  <c r="N223" i="1" a="1"/>
  <c r="N223" i="1" s="1"/>
  <c r="N230" i="1" a="1"/>
  <c r="N230" i="1" s="1"/>
  <c r="N236" i="1" a="1"/>
  <c r="N236" i="1" s="1"/>
  <c r="N249" i="1" a="1"/>
  <c r="N249" i="1" s="1"/>
  <c r="N257" i="1" a="1"/>
  <c r="N257" i="1" s="1"/>
  <c r="N237" i="1" a="1"/>
  <c r="N237" i="1" s="1"/>
  <c r="N250" i="1" a="1"/>
  <c r="N250" i="1" s="1"/>
  <c r="N251" i="1" a="1"/>
  <c r="N251" i="1" s="1"/>
  <c r="N232" i="1" a="1"/>
  <c r="N232" i="1" s="1"/>
  <c r="N208" i="1" a="1"/>
  <c r="N208" i="1" s="1"/>
  <c r="N12" i="1" a="1"/>
  <c r="N12" i="1" s="1"/>
  <c r="N68" i="1" a="1"/>
  <c r="N68" i="1" s="1"/>
  <c r="N126" i="1" a="1"/>
  <c r="N126" i="1" s="1"/>
  <c r="N190" i="1" a="1"/>
  <c r="N190" i="1" s="1"/>
  <c r="N247" i="1" a="1"/>
  <c r="N247" i="1" s="1"/>
  <c r="N9" i="1" a="1"/>
  <c r="N9" i="1" s="1"/>
  <c r="N14" i="1" a="1"/>
  <c r="N14" i="1" s="1"/>
  <c r="N19" i="1" a="1"/>
  <c r="N19" i="1" s="1"/>
  <c r="N26" i="1" a="1"/>
  <c r="N26" i="1" s="1"/>
  <c r="N32" i="1" a="1"/>
  <c r="N32" i="1" s="1"/>
  <c r="N45" i="1" a="1"/>
  <c r="N45" i="1" s="1"/>
  <c r="N51" i="1" a="1"/>
  <c r="N51" i="1" s="1"/>
  <c r="N58" i="1" a="1"/>
  <c r="N58" i="1" s="1"/>
  <c r="N64" i="1" a="1"/>
  <c r="N64" i="1" s="1"/>
  <c r="N77" i="1" a="1"/>
  <c r="N77" i="1" s="1"/>
  <c r="N83" i="1" a="1"/>
  <c r="N83" i="1" s="1"/>
  <c r="N90" i="1" a="1"/>
  <c r="N90" i="1" s="1"/>
  <c r="N96" i="1" a="1"/>
  <c r="N96" i="1" s="1"/>
  <c r="N109" i="1" a="1"/>
  <c r="N109" i="1" s="1"/>
  <c r="N115" i="1" a="1"/>
  <c r="N115" i="1" s="1"/>
  <c r="N122" i="1" a="1"/>
  <c r="N122" i="1" s="1"/>
  <c r="N128" i="1" a="1"/>
  <c r="N128" i="1" s="1"/>
  <c r="N141" i="1" a="1"/>
  <c r="N141" i="1" s="1"/>
  <c r="N147" i="1" a="1"/>
  <c r="N147" i="1" s="1"/>
  <c r="N154" i="1" a="1"/>
  <c r="N154" i="1" s="1"/>
  <c r="N160" i="1" a="1"/>
  <c r="N160" i="1" s="1"/>
  <c r="N173" i="1" a="1"/>
  <c r="N173" i="1" s="1"/>
  <c r="N179" i="1" a="1"/>
  <c r="N179" i="1" s="1"/>
  <c r="N186" i="1" a="1"/>
  <c r="N186" i="1" s="1"/>
  <c r="N192" i="1" a="1"/>
  <c r="N192" i="1" s="1"/>
  <c r="N205" i="1" a="1"/>
  <c r="N205" i="1" s="1"/>
  <c r="N211" i="1" a="1"/>
  <c r="N211" i="1" s="1"/>
  <c r="N218" i="1" a="1"/>
  <c r="N218" i="1" s="1"/>
  <c r="N224" i="1" a="1"/>
  <c r="N224" i="1" s="1"/>
  <c r="N243" i="1" a="1"/>
  <c r="N243" i="1" s="1"/>
  <c r="N258" i="1" a="1"/>
  <c r="N258" i="1" s="1"/>
  <c r="N6" i="1" a="1"/>
  <c r="N6" i="1" s="1"/>
  <c r="N226" i="1" a="1"/>
  <c r="N226" i="1" s="1"/>
  <c r="N202" i="1" a="1"/>
  <c r="N202" i="1" s="1"/>
  <c r="N254" i="1" a="1"/>
  <c r="N254" i="1" s="1"/>
  <c r="N55" i="1" a="1"/>
  <c r="N55" i="1" s="1"/>
  <c r="N100" i="1" a="1"/>
  <c r="N100" i="1" s="1"/>
  <c r="N158" i="1" a="1"/>
  <c r="N158" i="1" s="1"/>
  <c r="N222" i="1" a="1"/>
  <c r="N222" i="1" s="1"/>
  <c r="N20" i="1" a="1"/>
  <c r="N20" i="1" s="1"/>
  <c r="N33" i="1" a="1"/>
  <c r="N33" i="1" s="1"/>
  <c r="N39" i="1" a="1"/>
  <c r="N39" i="1" s="1"/>
  <c r="N46" i="1" a="1"/>
  <c r="N46" i="1" s="1"/>
  <c r="N52" i="1" a="1"/>
  <c r="N52" i="1" s="1"/>
  <c r="N65" i="1" a="1"/>
  <c r="N65" i="1" s="1"/>
  <c r="N71" i="1" a="1"/>
  <c r="N71" i="1" s="1"/>
  <c r="N78" i="1" a="1"/>
  <c r="N78" i="1" s="1"/>
  <c r="N84" i="1" a="1"/>
  <c r="N84" i="1" s="1"/>
  <c r="N97" i="1" a="1"/>
  <c r="N97" i="1" s="1"/>
  <c r="N103" i="1" a="1"/>
  <c r="N103" i="1" s="1"/>
  <c r="N110" i="1" a="1"/>
  <c r="N110" i="1" s="1"/>
  <c r="N116" i="1" a="1"/>
  <c r="N116" i="1" s="1"/>
  <c r="N129" i="1" a="1"/>
  <c r="N129" i="1" s="1"/>
  <c r="N135" i="1" a="1"/>
  <c r="N135" i="1" s="1"/>
  <c r="N142" i="1" a="1"/>
  <c r="N142" i="1" s="1"/>
  <c r="N148" i="1" a="1"/>
  <c r="N148" i="1" s="1"/>
  <c r="N161" i="1" a="1"/>
  <c r="N161" i="1" s="1"/>
  <c r="N167" i="1" a="1"/>
  <c r="N167" i="1" s="1"/>
  <c r="N174" i="1" a="1"/>
  <c r="N174" i="1" s="1"/>
  <c r="N180" i="1" a="1"/>
  <c r="N180" i="1" s="1"/>
  <c r="N193" i="1" a="1"/>
  <c r="N193" i="1" s="1"/>
  <c r="N199" i="1" a="1"/>
  <c r="N199" i="1" s="1"/>
  <c r="N206" i="1" a="1"/>
  <c r="N206" i="1" s="1"/>
  <c r="N212" i="1" a="1"/>
  <c r="N212" i="1" s="1"/>
  <c r="N225" i="1" a="1"/>
  <c r="N225" i="1" s="1"/>
  <c r="N231" i="1" a="1"/>
  <c r="N231" i="1" s="1"/>
  <c r="N238" i="1" a="1"/>
  <c r="N238" i="1" s="1"/>
  <c r="N244" i="1" a="1"/>
  <c r="N244" i="1" s="1"/>
  <c r="N219" i="1" a="1"/>
  <c r="N219" i="1" s="1"/>
  <c r="N252" i="1" a="1"/>
  <c r="N252" i="1" s="1"/>
  <c r="N227" i="1" a="1"/>
  <c r="N227" i="1" s="1"/>
  <c r="N30" i="1" a="1"/>
  <c r="N30" i="1" s="1"/>
  <c r="N94" i="1" a="1"/>
  <c r="N94" i="1" s="1"/>
  <c r="N151" i="1" a="1"/>
  <c r="N151" i="1" s="1"/>
  <c r="N209" i="1" a="1"/>
  <c r="N209" i="1" s="1"/>
  <c r="N10" i="1" a="1"/>
  <c r="N10" i="1" s="1"/>
  <c r="N15" i="1" a="1"/>
  <c r="N15" i="1" s="1"/>
  <c r="N21" i="1" a="1"/>
  <c r="N21" i="1" s="1"/>
  <c r="N27" i="1" a="1"/>
  <c r="N27" i="1" s="1"/>
  <c r="N34" i="1" a="1"/>
  <c r="N34" i="1" s="1"/>
  <c r="N40" i="1" a="1"/>
  <c r="N40" i="1" s="1"/>
  <c r="N53" i="1" a="1"/>
  <c r="N53" i="1" s="1"/>
  <c r="N59" i="1" a="1"/>
  <c r="N59" i="1" s="1"/>
  <c r="N66" i="1" a="1"/>
  <c r="N66" i="1" s="1"/>
  <c r="N72" i="1" a="1"/>
  <c r="N72" i="1" s="1"/>
  <c r="N85" i="1" a="1"/>
  <c r="N85" i="1" s="1"/>
  <c r="N91" i="1" a="1"/>
  <c r="N91" i="1" s="1"/>
  <c r="N98" i="1" a="1"/>
  <c r="N98" i="1" s="1"/>
  <c r="N104" i="1" a="1"/>
  <c r="N104" i="1" s="1"/>
  <c r="N117" i="1" a="1"/>
  <c r="N117" i="1" s="1"/>
  <c r="N123" i="1" a="1"/>
  <c r="N123" i="1" s="1"/>
  <c r="N130" i="1" a="1"/>
  <c r="N130" i="1" s="1"/>
  <c r="N136" i="1" a="1"/>
  <c r="N136" i="1" s="1"/>
  <c r="N149" i="1" a="1"/>
  <c r="N149" i="1" s="1"/>
  <c r="N155" i="1" a="1"/>
  <c r="N155" i="1" s="1"/>
  <c r="N162" i="1" a="1"/>
  <c r="N162" i="1" s="1"/>
  <c r="N168" i="1" a="1"/>
  <c r="N168" i="1" s="1"/>
  <c r="N181" i="1" a="1"/>
  <c r="N181" i="1" s="1"/>
  <c r="N187" i="1" a="1"/>
  <c r="N187" i="1" s="1"/>
  <c r="N194" i="1" a="1"/>
  <c r="N194" i="1" s="1"/>
  <c r="N200" i="1" a="1"/>
  <c r="N200" i="1" s="1"/>
  <c r="N213" i="1" a="1"/>
  <c r="N213" i="1" s="1"/>
  <c r="N245" i="1" a="1"/>
  <c r="N245" i="1" s="1"/>
  <c r="N221" i="1" a="1"/>
  <c r="N221" i="1" s="1"/>
  <c r="N23" i="1" a="1"/>
  <c r="N23" i="1" s="1"/>
  <c r="N81" i="1" a="1"/>
  <c r="N81" i="1" s="1"/>
  <c r="N145" i="1" a="1"/>
  <c r="N145" i="1" s="1"/>
  <c r="N196" i="1" a="1"/>
  <c r="N196" i="1" s="1"/>
  <c r="N255" i="1" a="1"/>
  <c r="N255" i="1" s="1"/>
  <c r="N16" i="1" a="1"/>
  <c r="N16" i="1" s="1"/>
  <c r="N22" i="1" a="1"/>
  <c r="N22" i="1" s="1"/>
  <c r="N28" i="1" a="1"/>
  <c r="N28" i="1" s="1"/>
  <c r="N41" i="1" a="1"/>
  <c r="N41" i="1" s="1"/>
  <c r="N47" i="1" a="1"/>
  <c r="N47" i="1" s="1"/>
  <c r="N54" i="1" a="1"/>
  <c r="N54" i="1" s="1"/>
  <c r="N60" i="1" a="1"/>
  <c r="N60" i="1" s="1"/>
  <c r="N73" i="1" a="1"/>
  <c r="N73" i="1" s="1"/>
  <c r="N79" i="1" a="1"/>
  <c r="N79" i="1" s="1"/>
  <c r="N86" i="1" a="1"/>
  <c r="N86" i="1" s="1"/>
  <c r="N92" i="1" a="1"/>
  <c r="N92" i="1" s="1"/>
  <c r="N105" i="1" a="1"/>
  <c r="N105" i="1" s="1"/>
  <c r="N111" i="1" a="1"/>
  <c r="N111" i="1" s="1"/>
  <c r="N118" i="1" a="1"/>
  <c r="N118" i="1" s="1"/>
  <c r="N124" i="1" a="1"/>
  <c r="N124" i="1" s="1"/>
  <c r="N137" i="1" a="1"/>
  <c r="N137" i="1" s="1"/>
  <c r="N143" i="1" a="1"/>
  <c r="N143" i="1" s="1"/>
  <c r="N150" i="1" a="1"/>
  <c r="N150" i="1" s="1"/>
  <c r="N156" i="1" a="1"/>
  <c r="N156" i="1" s="1"/>
  <c r="N169" i="1" a="1"/>
  <c r="N169" i="1" s="1"/>
  <c r="N175" i="1" a="1"/>
  <c r="N175" i="1" s="1"/>
  <c r="N182" i="1" a="1"/>
  <c r="N182" i="1" s="1"/>
  <c r="N188" i="1" a="1"/>
  <c r="N188" i="1" s="1"/>
  <c r="N201" i="1" a="1"/>
  <c r="N201" i="1" s="1"/>
  <c r="N207" i="1" a="1"/>
  <c r="N207" i="1" s="1"/>
  <c r="N214" i="1" a="1"/>
  <c r="N214" i="1" s="1"/>
  <c r="N220" i="1" a="1"/>
  <c r="N220" i="1" s="1"/>
  <c r="N233" i="1" a="1"/>
  <c r="N233" i="1" s="1"/>
  <c r="N239" i="1" a="1"/>
  <c r="N239" i="1" s="1"/>
  <c r="N246" i="1" a="1"/>
  <c r="N246" i="1" s="1"/>
  <c r="N253" i="1" a="1"/>
  <c r="N253" i="1" s="1"/>
  <c r="N131" i="1" a="1"/>
  <c r="N131" i="1" s="1"/>
  <c r="N144" i="1" a="1"/>
  <c r="N144" i="1" s="1"/>
  <c r="N163" i="1" a="1"/>
  <c r="N163" i="1" s="1"/>
  <c r="N176" i="1" a="1"/>
  <c r="N176" i="1" s="1"/>
  <c r="N195" i="1" a="1"/>
  <c r="N195" i="1" s="1"/>
  <c r="N240" i="1" a="1"/>
  <c r="N240" i="1" s="1"/>
  <c r="N49" i="1" a="1"/>
  <c r="N49" i="1" s="1"/>
  <c r="N113" i="1" a="1"/>
  <c r="N113" i="1" s="1"/>
  <c r="N177" i="1" a="1"/>
  <c r="N177" i="1" s="1"/>
  <c r="N228" i="1" a="1"/>
  <c r="N228" i="1" s="1"/>
  <c r="N11" i="1" a="1"/>
  <c r="N11" i="1" s="1"/>
  <c r="N17" i="1" a="1"/>
  <c r="N17" i="1" s="1"/>
  <c r="N29" i="1" a="1"/>
  <c r="N29" i="1" s="1"/>
  <c r="N35" i="1" a="1"/>
  <c r="N35" i="1" s="1"/>
  <c r="N42" i="1" a="1"/>
  <c r="N42" i="1" s="1"/>
  <c r="N48" i="1" a="1"/>
  <c r="N48" i="1" s="1"/>
  <c r="N61" i="1" a="1"/>
  <c r="N61" i="1" s="1"/>
  <c r="N67" i="1" a="1"/>
  <c r="N67" i="1" s="1"/>
  <c r="N74" i="1" a="1"/>
  <c r="N74" i="1" s="1"/>
  <c r="N80" i="1" a="1"/>
  <c r="N80" i="1" s="1"/>
  <c r="N93" i="1" a="1"/>
  <c r="N93" i="1" s="1"/>
  <c r="N99" i="1" a="1"/>
  <c r="N99" i="1" s="1"/>
  <c r="N106" i="1" a="1"/>
  <c r="N106" i="1" s="1"/>
  <c r="N112" i="1" a="1"/>
  <c r="N112" i="1" s="1"/>
  <c r="N125" i="1" a="1"/>
  <c r="N125" i="1" s="1"/>
  <c r="N138" i="1" a="1"/>
  <c r="N138" i="1" s="1"/>
  <c r="N157" i="1" a="1"/>
  <c r="N157" i="1" s="1"/>
  <c r="N170" i="1" a="1"/>
  <c r="N170" i="1" s="1"/>
  <c r="N189" i="1" a="1"/>
  <c r="N189" i="1" s="1"/>
  <c r="N234" i="1" a="1"/>
  <c r="N234" i="1" s="1"/>
  <c r="N36" i="1" a="1"/>
  <c r="N36" i="1" s="1"/>
  <c r="N87" i="1" a="1"/>
  <c r="N87" i="1" s="1"/>
  <c r="N132" i="1" a="1"/>
  <c r="N132" i="1" s="1"/>
  <c r="N164" i="1" a="1"/>
  <c r="N164" i="1" s="1"/>
  <c r="N215" i="1" a="1"/>
  <c r="N215" i="1" s="1"/>
  <c r="M7" i="1" a="1"/>
  <c r="M7" i="1" s="1"/>
  <c r="M15" i="1" a="1"/>
  <c r="M15" i="1" s="1"/>
  <c r="M23" i="1" a="1"/>
  <c r="M23" i="1" s="1"/>
  <c r="M31" i="1" a="1"/>
  <c r="M31" i="1" s="1"/>
  <c r="M39" i="1" a="1"/>
  <c r="M39" i="1" s="1"/>
  <c r="M47" i="1" a="1"/>
  <c r="M47" i="1" s="1"/>
  <c r="M55" i="1" a="1"/>
  <c r="M55" i="1" s="1"/>
  <c r="M63" i="1" a="1"/>
  <c r="M63" i="1" s="1"/>
  <c r="M71" i="1" a="1"/>
  <c r="M71" i="1" s="1"/>
  <c r="M79" i="1" a="1"/>
  <c r="M79" i="1" s="1"/>
  <c r="M87" i="1" a="1"/>
  <c r="M87" i="1" s="1"/>
  <c r="M95" i="1" a="1"/>
  <c r="M95" i="1" s="1"/>
  <c r="M103" i="1" a="1"/>
  <c r="M103" i="1" s="1"/>
  <c r="M111" i="1" a="1"/>
  <c r="M111" i="1" s="1"/>
  <c r="M119" i="1" a="1"/>
  <c r="M119" i="1" s="1"/>
  <c r="M127" i="1" a="1"/>
  <c r="M127" i="1" s="1"/>
  <c r="M135" i="1" a="1"/>
  <c r="M135" i="1" s="1"/>
  <c r="M143" i="1" a="1"/>
  <c r="M143" i="1" s="1"/>
  <c r="M151" i="1" a="1"/>
  <c r="M151" i="1" s="1"/>
  <c r="M159" i="1" a="1"/>
  <c r="M159" i="1" s="1"/>
  <c r="M167" i="1" a="1"/>
  <c r="M167" i="1" s="1"/>
  <c r="M175" i="1" a="1"/>
  <c r="M175" i="1" s="1"/>
  <c r="M183" i="1" a="1"/>
  <c r="M183" i="1" s="1"/>
  <c r="M191" i="1" a="1"/>
  <c r="M191" i="1" s="1"/>
  <c r="M199" i="1" a="1"/>
  <c r="M199" i="1" s="1"/>
  <c r="M207" i="1" a="1"/>
  <c r="M207" i="1" s="1"/>
  <c r="M215" i="1" a="1"/>
  <c r="M215" i="1" s="1"/>
  <c r="M10" i="1" a="1"/>
  <c r="M10" i="1" s="1"/>
  <c r="M18" i="1" a="1"/>
  <c r="M18" i="1" s="1"/>
  <c r="M26" i="1" a="1"/>
  <c r="M26" i="1" s="1"/>
  <c r="M34" i="1" a="1"/>
  <c r="M34" i="1" s="1"/>
  <c r="M42" i="1" a="1"/>
  <c r="M42" i="1" s="1"/>
  <c r="M50" i="1" a="1"/>
  <c r="M50" i="1" s="1"/>
  <c r="M58" i="1" a="1"/>
  <c r="M58" i="1" s="1"/>
  <c r="M66" i="1" a="1"/>
  <c r="M66" i="1" s="1"/>
  <c r="M74" i="1" a="1"/>
  <c r="M74" i="1" s="1"/>
  <c r="M82" i="1" a="1"/>
  <c r="M82" i="1" s="1"/>
  <c r="M90" i="1" a="1"/>
  <c r="M90" i="1" s="1"/>
  <c r="M98" i="1" a="1"/>
  <c r="M98" i="1" s="1"/>
  <c r="M106" i="1" a="1"/>
  <c r="M106" i="1" s="1"/>
  <c r="M114" i="1" a="1"/>
  <c r="M114" i="1" s="1"/>
  <c r="M122" i="1" a="1"/>
  <c r="M122" i="1" s="1"/>
  <c r="M130" i="1" a="1"/>
  <c r="M130" i="1" s="1"/>
  <c r="M138" i="1" a="1"/>
  <c r="M138" i="1" s="1"/>
  <c r="M146" i="1" a="1"/>
  <c r="M146" i="1" s="1"/>
  <c r="M154" i="1" a="1"/>
  <c r="M154" i="1" s="1"/>
  <c r="M162" i="1" a="1"/>
  <c r="M162" i="1" s="1"/>
  <c r="M170" i="1" a="1"/>
  <c r="M170" i="1" s="1"/>
  <c r="M178" i="1" a="1"/>
  <c r="M178" i="1" s="1"/>
  <c r="M186" i="1" a="1"/>
  <c r="M186" i="1" s="1"/>
  <c r="M194" i="1" a="1"/>
  <c r="M194" i="1" s="1"/>
  <c r="M202" i="1" a="1"/>
  <c r="M202" i="1" s="1"/>
  <c r="M210" i="1" a="1"/>
  <c r="M210" i="1" s="1"/>
  <c r="M218" i="1" a="1"/>
  <c r="M218" i="1" s="1"/>
  <c r="M13" i="1" a="1"/>
  <c r="M13" i="1" s="1"/>
  <c r="M21" i="1" a="1"/>
  <c r="M21" i="1" s="1"/>
  <c r="M29" i="1" a="1"/>
  <c r="M29" i="1" s="1"/>
  <c r="M37" i="1" a="1"/>
  <c r="M37" i="1" s="1"/>
  <c r="M45" i="1" a="1"/>
  <c r="M45" i="1" s="1"/>
  <c r="M53" i="1" a="1"/>
  <c r="M53" i="1" s="1"/>
  <c r="M61" i="1" a="1"/>
  <c r="M61" i="1" s="1"/>
  <c r="M69" i="1" a="1"/>
  <c r="M69" i="1" s="1"/>
  <c r="M77" i="1" a="1"/>
  <c r="M77" i="1" s="1"/>
  <c r="M85" i="1" a="1"/>
  <c r="M85" i="1" s="1"/>
  <c r="M93" i="1" a="1"/>
  <c r="M93" i="1" s="1"/>
  <c r="M101" i="1" a="1"/>
  <c r="M101" i="1" s="1"/>
  <c r="M109" i="1" a="1"/>
  <c r="M109" i="1" s="1"/>
  <c r="M117" i="1" a="1"/>
  <c r="M117" i="1" s="1"/>
  <c r="M125" i="1" a="1"/>
  <c r="M125" i="1" s="1"/>
  <c r="M133" i="1" a="1"/>
  <c r="M133" i="1" s="1"/>
  <c r="M141" i="1" a="1"/>
  <c r="M141" i="1" s="1"/>
  <c r="M149" i="1" a="1"/>
  <c r="M149" i="1" s="1"/>
  <c r="M157" i="1" a="1"/>
  <c r="M157" i="1" s="1"/>
  <c r="M165" i="1" a="1"/>
  <c r="M165" i="1" s="1"/>
  <c r="M173" i="1" a="1"/>
  <c r="M173" i="1" s="1"/>
  <c r="M181" i="1" a="1"/>
  <c r="M181" i="1" s="1"/>
  <c r="M189" i="1" a="1"/>
  <c r="M189" i="1" s="1"/>
  <c r="M197" i="1" a="1"/>
  <c r="M197" i="1" s="1"/>
  <c r="M205" i="1" a="1"/>
  <c r="M205" i="1" s="1"/>
  <c r="M213" i="1" a="1"/>
  <c r="M213" i="1" s="1"/>
  <c r="M221" i="1" a="1"/>
  <c r="M221" i="1" s="1"/>
  <c r="M8" i="1" a="1"/>
  <c r="M8" i="1" s="1"/>
  <c r="M16" i="1" a="1"/>
  <c r="M16" i="1" s="1"/>
  <c r="M24" i="1" a="1"/>
  <c r="M24" i="1" s="1"/>
  <c r="M32" i="1" a="1"/>
  <c r="M32" i="1" s="1"/>
  <c r="M40" i="1" a="1"/>
  <c r="M40" i="1" s="1"/>
  <c r="M48" i="1" a="1"/>
  <c r="M48" i="1" s="1"/>
  <c r="M56" i="1" a="1"/>
  <c r="M56" i="1" s="1"/>
  <c r="M64" i="1" a="1"/>
  <c r="M64" i="1" s="1"/>
  <c r="M72" i="1" a="1"/>
  <c r="M72" i="1" s="1"/>
  <c r="M80" i="1" a="1"/>
  <c r="M80" i="1" s="1"/>
  <c r="M88" i="1" a="1"/>
  <c r="M88" i="1" s="1"/>
  <c r="M96" i="1" a="1"/>
  <c r="M96" i="1" s="1"/>
  <c r="M104" i="1" a="1"/>
  <c r="M104" i="1" s="1"/>
  <c r="M112" i="1" a="1"/>
  <c r="M112" i="1" s="1"/>
  <c r="M120" i="1" a="1"/>
  <c r="M120" i="1" s="1"/>
  <c r="M128" i="1" a="1"/>
  <c r="M128" i="1" s="1"/>
  <c r="M136" i="1" a="1"/>
  <c r="M136" i="1" s="1"/>
  <c r="M144" i="1" a="1"/>
  <c r="M144" i="1" s="1"/>
  <c r="M152" i="1" a="1"/>
  <c r="M152" i="1" s="1"/>
  <c r="M160" i="1" a="1"/>
  <c r="M160" i="1" s="1"/>
  <c r="M168" i="1" a="1"/>
  <c r="M168" i="1" s="1"/>
  <c r="M176" i="1" a="1"/>
  <c r="M176" i="1" s="1"/>
  <c r="M184" i="1" a="1"/>
  <c r="M184" i="1" s="1"/>
  <c r="M11" i="1" a="1"/>
  <c r="M11" i="1" s="1"/>
  <c r="M19" i="1" a="1"/>
  <c r="M19" i="1" s="1"/>
  <c r="M27" i="1" a="1"/>
  <c r="M27" i="1" s="1"/>
  <c r="M35" i="1" a="1"/>
  <c r="M35" i="1" s="1"/>
  <c r="M43" i="1" a="1"/>
  <c r="M43" i="1" s="1"/>
  <c r="M51" i="1" a="1"/>
  <c r="M51" i="1" s="1"/>
  <c r="M59" i="1" a="1"/>
  <c r="M59" i="1" s="1"/>
  <c r="M67" i="1" a="1"/>
  <c r="M67" i="1" s="1"/>
  <c r="M75" i="1" a="1"/>
  <c r="M75" i="1" s="1"/>
  <c r="M83" i="1" a="1"/>
  <c r="M83" i="1" s="1"/>
  <c r="M91" i="1" a="1"/>
  <c r="M91" i="1" s="1"/>
  <c r="M99" i="1" a="1"/>
  <c r="M99" i="1" s="1"/>
  <c r="M107" i="1" a="1"/>
  <c r="M107" i="1" s="1"/>
  <c r="M115" i="1" a="1"/>
  <c r="M115" i="1" s="1"/>
  <c r="M123" i="1" a="1"/>
  <c r="M123" i="1" s="1"/>
  <c r="M131" i="1" a="1"/>
  <c r="M131" i="1" s="1"/>
  <c r="M139" i="1" a="1"/>
  <c r="M139" i="1" s="1"/>
  <c r="M147" i="1" a="1"/>
  <c r="M147" i="1" s="1"/>
  <c r="M155" i="1" a="1"/>
  <c r="M155" i="1" s="1"/>
  <c r="M163" i="1" a="1"/>
  <c r="M163" i="1" s="1"/>
  <c r="M171" i="1" a="1"/>
  <c r="M171" i="1" s="1"/>
  <c r="M179" i="1" a="1"/>
  <c r="M179" i="1" s="1"/>
  <c r="M187" i="1" a="1"/>
  <c r="M187" i="1" s="1"/>
  <c r="M195" i="1" a="1"/>
  <c r="M195" i="1" s="1"/>
  <c r="M203" i="1" a="1"/>
  <c r="M203" i="1" s="1"/>
  <c r="M211" i="1" a="1"/>
  <c r="M211" i="1" s="1"/>
  <c r="M9" i="1" a="1"/>
  <c r="M9" i="1" s="1"/>
  <c r="M17" i="1" a="1"/>
  <c r="M17" i="1" s="1"/>
  <c r="M25" i="1" a="1"/>
  <c r="M25" i="1" s="1"/>
  <c r="M33" i="1" a="1"/>
  <c r="M33" i="1" s="1"/>
  <c r="M41" i="1" a="1"/>
  <c r="M41" i="1" s="1"/>
  <c r="M49" i="1" a="1"/>
  <c r="M49" i="1" s="1"/>
  <c r="M57" i="1" a="1"/>
  <c r="M57" i="1" s="1"/>
  <c r="M65" i="1" a="1"/>
  <c r="M65" i="1" s="1"/>
  <c r="M73" i="1" a="1"/>
  <c r="M73" i="1" s="1"/>
  <c r="M81" i="1" a="1"/>
  <c r="M81" i="1" s="1"/>
  <c r="M89" i="1" a="1"/>
  <c r="M89" i="1" s="1"/>
  <c r="M97" i="1" a="1"/>
  <c r="M97" i="1" s="1"/>
  <c r="M105" i="1" a="1"/>
  <c r="M105" i="1" s="1"/>
  <c r="M113" i="1" a="1"/>
  <c r="M113" i="1" s="1"/>
  <c r="M121" i="1" a="1"/>
  <c r="M121" i="1" s="1"/>
  <c r="M129" i="1" a="1"/>
  <c r="M129" i="1" s="1"/>
  <c r="M137" i="1" a="1"/>
  <c r="M137" i="1" s="1"/>
  <c r="M145" i="1" a="1"/>
  <c r="M145" i="1" s="1"/>
  <c r="M153" i="1" a="1"/>
  <c r="M153" i="1" s="1"/>
  <c r="M161" i="1" a="1"/>
  <c r="M161" i="1" s="1"/>
  <c r="M169" i="1" a="1"/>
  <c r="M169" i="1" s="1"/>
  <c r="M177" i="1" a="1"/>
  <c r="M177" i="1" s="1"/>
  <c r="M185" i="1" a="1"/>
  <c r="M185" i="1" s="1"/>
  <c r="M193" i="1" a="1"/>
  <c r="M193" i="1" s="1"/>
  <c r="M201" i="1" a="1"/>
  <c r="M201" i="1" s="1"/>
  <c r="M209" i="1" a="1"/>
  <c r="M209" i="1" s="1"/>
  <c r="M217" i="1" a="1"/>
  <c r="M217" i="1" s="1"/>
  <c r="M12" i="1" a="1"/>
  <c r="M12" i="1" s="1"/>
  <c r="M20" i="1" a="1"/>
  <c r="M20" i="1" s="1"/>
  <c r="M28" i="1" a="1"/>
  <c r="M28" i="1" s="1"/>
  <c r="M36" i="1" a="1"/>
  <c r="M36" i="1" s="1"/>
  <c r="M44" i="1" a="1"/>
  <c r="M44" i="1" s="1"/>
  <c r="M52" i="1" a="1"/>
  <c r="M52" i="1" s="1"/>
  <c r="M60" i="1" a="1"/>
  <c r="M60" i="1" s="1"/>
  <c r="M68" i="1" a="1"/>
  <c r="M68" i="1" s="1"/>
  <c r="M76" i="1" a="1"/>
  <c r="M76" i="1" s="1"/>
  <c r="M84" i="1" a="1"/>
  <c r="M84" i="1" s="1"/>
  <c r="M92" i="1" a="1"/>
  <c r="M92" i="1" s="1"/>
  <c r="M100" i="1" a="1"/>
  <c r="M100" i="1" s="1"/>
  <c r="M108" i="1" a="1"/>
  <c r="M108" i="1" s="1"/>
  <c r="M116" i="1" a="1"/>
  <c r="M116" i="1" s="1"/>
  <c r="M124" i="1" a="1"/>
  <c r="M124" i="1" s="1"/>
  <c r="M132" i="1" a="1"/>
  <c r="M132" i="1" s="1"/>
  <c r="M140" i="1" a="1"/>
  <c r="M140" i="1" s="1"/>
  <c r="M148" i="1" a="1"/>
  <c r="M148" i="1" s="1"/>
  <c r="M156" i="1" a="1"/>
  <c r="M156" i="1" s="1"/>
  <c r="M164" i="1" a="1"/>
  <c r="M164" i="1" s="1"/>
  <c r="M172" i="1" a="1"/>
  <c r="M172" i="1" s="1"/>
  <c r="M180" i="1" a="1"/>
  <c r="M180" i="1" s="1"/>
  <c r="M188" i="1" a="1"/>
  <c r="M188" i="1" s="1"/>
  <c r="M196" i="1" a="1"/>
  <c r="M196" i="1" s="1"/>
  <c r="M204" i="1" a="1"/>
  <c r="M204" i="1" s="1"/>
  <c r="M212" i="1" a="1"/>
  <c r="M212" i="1" s="1"/>
  <c r="M220" i="1" a="1"/>
  <c r="M220" i="1" s="1"/>
  <c r="M228" i="1" a="1"/>
  <c r="M228" i="1" s="1"/>
  <c r="M30" i="1" a="1"/>
  <c r="M30" i="1" s="1"/>
  <c r="M94" i="1" a="1"/>
  <c r="M94" i="1" s="1"/>
  <c r="M158" i="1" a="1"/>
  <c r="M158" i="1" s="1"/>
  <c r="M223" i="1" a="1"/>
  <c r="M223" i="1" s="1"/>
  <c r="M226" i="1" a="1"/>
  <c r="M226" i="1" s="1"/>
  <c r="M229" i="1" a="1"/>
  <c r="M229" i="1" s="1"/>
  <c r="M232" i="1" a="1"/>
  <c r="M232" i="1" s="1"/>
  <c r="M235" i="1" a="1"/>
  <c r="M235" i="1" s="1"/>
  <c r="M243" i="1" a="1"/>
  <c r="M243" i="1" s="1"/>
  <c r="M251" i="1" a="1"/>
  <c r="M251" i="1" s="1"/>
  <c r="M54" i="1" a="1"/>
  <c r="M54" i="1" s="1"/>
  <c r="M118" i="1" a="1"/>
  <c r="M118" i="1" s="1"/>
  <c r="M182" i="1" a="1"/>
  <c r="M182" i="1" s="1"/>
  <c r="M214" i="1" a="1"/>
  <c r="M214" i="1" s="1"/>
  <c r="M238" i="1" a="1"/>
  <c r="M238" i="1" s="1"/>
  <c r="M246" i="1" a="1"/>
  <c r="M246" i="1" s="1"/>
  <c r="M254" i="1" a="1"/>
  <c r="M254" i="1" s="1"/>
  <c r="M14" i="1" a="1"/>
  <c r="M14" i="1" s="1"/>
  <c r="M78" i="1" a="1"/>
  <c r="M78" i="1" s="1"/>
  <c r="M142" i="1" a="1"/>
  <c r="M142" i="1" s="1"/>
  <c r="M206" i="1" a="1"/>
  <c r="M206" i="1" s="1"/>
  <c r="M216" i="1" a="1"/>
  <c r="M216" i="1" s="1"/>
  <c r="M241" i="1" a="1"/>
  <c r="M241" i="1" s="1"/>
  <c r="M249" i="1" a="1"/>
  <c r="M249" i="1" s="1"/>
  <c r="M257" i="1" a="1"/>
  <c r="M257" i="1" s="1"/>
  <c r="M38" i="1" a="1"/>
  <c r="M38" i="1" s="1"/>
  <c r="M102" i="1" a="1"/>
  <c r="M102" i="1" s="1"/>
  <c r="M166" i="1" a="1"/>
  <c r="M166" i="1" s="1"/>
  <c r="M208" i="1" a="1"/>
  <c r="M208" i="1" s="1"/>
  <c r="M224" i="1" a="1"/>
  <c r="M224" i="1" s="1"/>
  <c r="M227" i="1" a="1"/>
  <c r="M227" i="1" s="1"/>
  <c r="M230" i="1" a="1"/>
  <c r="M230" i="1" s="1"/>
  <c r="M233" i="1" a="1"/>
  <c r="M233" i="1" s="1"/>
  <c r="M236" i="1" a="1"/>
  <c r="M236" i="1" s="1"/>
  <c r="M244" i="1" a="1"/>
  <c r="M244" i="1" s="1"/>
  <c r="M252" i="1" a="1"/>
  <c r="M252" i="1" s="1"/>
  <c r="M62" i="1" a="1"/>
  <c r="M62" i="1" s="1"/>
  <c r="M126" i="1" a="1"/>
  <c r="M126" i="1" s="1"/>
  <c r="M198" i="1" a="1"/>
  <c r="M198" i="1" s="1"/>
  <c r="M239" i="1" a="1"/>
  <c r="M239" i="1" s="1"/>
  <c r="M247" i="1" a="1"/>
  <c r="M247" i="1" s="1"/>
  <c r="M255" i="1" a="1"/>
  <c r="M255" i="1" s="1"/>
  <c r="M6" i="1" a="1"/>
  <c r="M6" i="1" s="1"/>
  <c r="M22" i="1" a="1"/>
  <c r="M22" i="1" s="1"/>
  <c r="M86" i="1" a="1"/>
  <c r="M86" i="1" s="1"/>
  <c r="M150" i="1" a="1"/>
  <c r="M150" i="1" s="1"/>
  <c r="M200" i="1" a="1"/>
  <c r="M200" i="1" s="1"/>
  <c r="M231" i="1" a="1"/>
  <c r="M231" i="1" s="1"/>
  <c r="M234" i="1" a="1"/>
  <c r="M234" i="1" s="1"/>
  <c r="M242" i="1" a="1"/>
  <c r="M242" i="1" s="1"/>
  <c r="M250" i="1" a="1"/>
  <c r="M250" i="1" s="1"/>
  <c r="M258" i="1" a="1"/>
  <c r="M258" i="1" s="1"/>
  <c r="M46" i="1" a="1"/>
  <c r="M46" i="1" s="1"/>
  <c r="M110" i="1" a="1"/>
  <c r="M110" i="1" s="1"/>
  <c r="M174" i="1" a="1"/>
  <c r="M174" i="1" s="1"/>
  <c r="M190" i="1" a="1"/>
  <c r="M190" i="1" s="1"/>
  <c r="M222" i="1" a="1"/>
  <c r="M222" i="1" s="1"/>
  <c r="M225" i="1" a="1"/>
  <c r="M225" i="1" s="1"/>
  <c r="M237" i="1" a="1"/>
  <c r="M237" i="1" s="1"/>
  <c r="M245" i="1" a="1"/>
  <c r="M245" i="1" s="1"/>
  <c r="M253" i="1" a="1"/>
  <c r="M253" i="1" s="1"/>
  <c r="M192" i="1" a="1"/>
  <c r="M192" i="1" s="1"/>
  <c r="M256" i="1" a="1"/>
  <c r="M256" i="1" s="1"/>
  <c r="M70" i="1" a="1"/>
  <c r="M70" i="1" s="1"/>
  <c r="M240" i="1" a="1"/>
  <c r="M240" i="1" s="1"/>
  <c r="M219" i="1" a="1"/>
  <c r="M219" i="1" s="1"/>
  <c r="M134" i="1" a="1"/>
  <c r="M134" i="1" s="1"/>
  <c r="M248" i="1" a="1"/>
  <c r="M248" i="1" s="1"/>
  <c r="P231" i="18"/>
  <c r="P78" i="18"/>
  <c r="Q78" i="18"/>
  <c r="P125" i="18"/>
  <c r="Q125" i="18"/>
  <c r="Q72" i="18"/>
  <c r="Q182" i="18"/>
  <c r="Q239" i="18"/>
  <c r="P61" i="18"/>
  <c r="Q61" i="18"/>
  <c r="Q207" i="18"/>
  <c r="P81" i="18"/>
  <c r="Q81" i="18"/>
  <c r="Q49" i="18"/>
  <c r="P49" i="18"/>
  <c r="P92" i="18"/>
  <c r="Q92" i="18"/>
  <c r="Q33" i="18"/>
  <c r="P33" i="18"/>
  <c r="P37" i="18"/>
  <c r="Q37" i="18"/>
  <c r="Q146" i="18"/>
  <c r="P146" i="18"/>
  <c r="V71" i="18"/>
  <c r="Q127" i="18"/>
  <c r="Q40" i="18"/>
  <c r="Q69" i="18"/>
  <c r="P69" i="18"/>
  <c r="P234" i="18"/>
  <c r="Q234" i="18"/>
  <c r="Q162" i="18"/>
  <c r="P162" i="18"/>
  <c r="V231" i="18"/>
  <c r="V151" i="18"/>
  <c r="V76" i="18"/>
  <c r="V222" i="18"/>
  <c r="V66" i="18"/>
  <c r="V241" i="18"/>
  <c r="V62" i="18"/>
  <c r="V28" i="18"/>
  <c r="V38" i="18"/>
  <c r="V105" i="18"/>
  <c r="V83" i="18"/>
  <c r="V101" i="18"/>
  <c r="V272" i="18"/>
  <c r="V97" i="18"/>
  <c r="V75" i="18"/>
  <c r="V254" i="18"/>
  <c r="V186" i="18"/>
  <c r="V110" i="18"/>
  <c r="V266" i="18"/>
  <c r="V123" i="18"/>
  <c r="V69" i="18"/>
  <c r="V218" i="18"/>
  <c r="V191" i="18"/>
  <c r="V49" i="18"/>
  <c r="V262" i="18"/>
  <c r="V158" i="18"/>
  <c r="V162" i="18"/>
  <c r="V98" i="18"/>
  <c r="V253" i="18"/>
  <c r="V208" i="18"/>
  <c r="V202" i="18"/>
  <c r="V43" i="18"/>
  <c r="V156" i="18"/>
  <c r="V118" i="18"/>
  <c r="V248" i="18"/>
  <c r="V122" i="18"/>
  <c r="V39" i="18"/>
  <c r="V226" i="18"/>
  <c r="V206" i="18"/>
  <c r="V235" i="18"/>
  <c r="V273" i="18"/>
  <c r="V149" i="18"/>
  <c r="V252" i="18"/>
  <c r="V136" i="18"/>
  <c r="V138" i="18"/>
  <c r="V93" i="18"/>
  <c r="V148" i="18"/>
  <c r="V224" i="18"/>
  <c r="V242" i="18"/>
  <c r="V67" i="18"/>
  <c r="V35" i="18"/>
  <c r="V65" i="18"/>
  <c r="V140" i="18"/>
  <c r="V239" i="18"/>
  <c r="V178" i="18"/>
  <c r="V268" i="18"/>
  <c r="V263" i="18"/>
  <c r="V95" i="18"/>
  <c r="V232" i="18"/>
  <c r="V108" i="18"/>
  <c r="V258" i="18"/>
  <c r="V213" i="18"/>
  <c r="V169" i="18"/>
  <c r="V197" i="18"/>
  <c r="V211" i="18"/>
  <c r="V55" i="18"/>
  <c r="V40" i="18"/>
  <c r="V249" i="18"/>
  <c r="V153" i="18"/>
  <c r="V203" i="18"/>
  <c r="V73" i="18"/>
  <c r="V274" i="18"/>
  <c r="V59" i="18"/>
  <c r="V174" i="18"/>
  <c r="V170" i="18"/>
  <c r="V141" i="18"/>
  <c r="V182" i="18"/>
  <c r="V240" i="18"/>
  <c r="V198" i="18"/>
  <c r="V87" i="18"/>
  <c r="V185" i="18"/>
  <c r="V216" i="18"/>
  <c r="V269" i="18"/>
  <c r="V243" i="18"/>
  <c r="V188" i="18"/>
  <c r="V256" i="18"/>
  <c r="V60" i="18"/>
  <c r="V255" i="18"/>
  <c r="V33" i="18"/>
  <c r="V230" i="18"/>
  <c r="V183" i="18"/>
  <c r="V29" i="18"/>
  <c r="V85" i="18"/>
  <c r="V152" i="18"/>
  <c r="V130" i="18"/>
  <c r="V175" i="18"/>
  <c r="V265" i="18"/>
  <c r="V237" i="18"/>
  <c r="V214" i="18"/>
  <c r="V27" i="18"/>
  <c r="V77" i="18"/>
  <c r="V70" i="18"/>
  <c r="V57" i="18"/>
  <c r="V200" i="18"/>
  <c r="V221" i="18"/>
  <c r="V129" i="18"/>
  <c r="V115" i="18"/>
  <c r="V61" i="18"/>
  <c r="V192" i="18"/>
  <c r="V146" i="18"/>
  <c r="V215" i="18"/>
  <c r="V217" i="18"/>
  <c r="V119" i="18"/>
  <c r="V267" i="18"/>
  <c r="V247" i="18"/>
  <c r="V74" i="18"/>
  <c r="V111" i="18"/>
  <c r="V176" i="18"/>
  <c r="V181" i="18"/>
  <c r="V201" i="18"/>
  <c r="V167" i="18"/>
  <c r="V117" i="18"/>
  <c r="V193" i="18"/>
  <c r="V116" i="18"/>
  <c r="V120" i="18"/>
  <c r="V109" i="18"/>
  <c r="V225" i="18"/>
  <c r="V78" i="18"/>
  <c r="V245" i="18"/>
  <c r="V244" i="18"/>
  <c r="V26" i="18"/>
  <c r="V190" i="18"/>
  <c r="V133" i="18"/>
  <c r="V209" i="18"/>
  <c r="V207" i="18"/>
  <c r="V44" i="18"/>
  <c r="V89" i="18"/>
  <c r="V131" i="18"/>
  <c r="V81" i="18"/>
  <c r="V166" i="18"/>
  <c r="V164" i="18"/>
  <c r="V41" i="18"/>
  <c r="V196" i="18"/>
  <c r="V233" i="18"/>
  <c r="V34" i="18"/>
  <c r="P77" i="18"/>
  <c r="V124" i="18"/>
  <c r="V63" i="18"/>
  <c r="V143" i="18"/>
  <c r="V154" i="18"/>
  <c r="Q249" i="18"/>
  <c r="Q223" i="18"/>
  <c r="V51" i="18"/>
  <c r="V94" i="18"/>
  <c r="V180" i="18"/>
  <c r="V68" i="18"/>
  <c r="Q159" i="18"/>
  <c r="V58" i="18"/>
  <c r="V102" i="18"/>
  <c r="V112" i="18"/>
  <c r="V91" i="18"/>
  <c r="V92" i="18"/>
  <c r="V37" i="18"/>
  <c r="V199" i="18"/>
  <c r="V210" i="18"/>
  <c r="V204" i="18"/>
  <c r="V135" i="18"/>
  <c r="V79" i="18"/>
  <c r="P107" i="18"/>
  <c r="V72" i="18"/>
  <c r="V31" i="18"/>
  <c r="V165" i="18"/>
  <c r="V64" i="18"/>
  <c r="V80" i="18"/>
  <c r="V150" i="18"/>
  <c r="V172" i="18"/>
  <c r="V177" i="18"/>
  <c r="V127" i="18"/>
  <c r="V160" i="18"/>
  <c r="V134" i="18"/>
  <c r="P67" i="18"/>
  <c r="Q67" i="18"/>
  <c r="V264" i="18"/>
  <c r="V106" i="18"/>
  <c r="V88" i="18"/>
  <c r="V54" i="18"/>
  <c r="V104" i="18"/>
  <c r="V250" i="18"/>
  <c r="V84" i="18"/>
  <c r="V184" i="18"/>
  <c r="V52" i="18"/>
  <c r="V147" i="18"/>
  <c r="V126" i="18"/>
  <c r="V96" i="18"/>
  <c r="V194" i="18"/>
  <c r="V236" i="18"/>
  <c r="V234" i="18"/>
  <c r="V228" i="18"/>
  <c r="V195" i="18"/>
  <c r="V103" i="18"/>
  <c r="V229" i="18"/>
  <c r="V114" i="18"/>
  <c r="V270" i="18"/>
  <c r="V159" i="18"/>
  <c r="V132" i="18"/>
  <c r="V121" i="18"/>
  <c r="V45" i="18"/>
  <c r="V53" i="18"/>
  <c r="V163" i="18"/>
  <c r="V86" i="18"/>
  <c r="V171" i="18"/>
  <c r="V223" i="18"/>
  <c r="V90" i="18"/>
  <c r="V261" i="18"/>
  <c r="P80" i="18"/>
  <c r="Q80" i="18"/>
  <c r="Q85" i="18"/>
  <c r="P85" i="18"/>
  <c r="Q54" i="18"/>
  <c r="P54" i="18"/>
  <c r="P232" i="18"/>
  <c r="Q232" i="18"/>
  <c r="Q189" i="18"/>
  <c r="P189" i="18"/>
  <c r="V251" i="18"/>
  <c r="V179" i="18"/>
  <c r="V46" i="18"/>
  <c r="V107" i="18"/>
  <c r="V42" i="18"/>
  <c r="V157" i="18"/>
  <c r="V113" i="18"/>
  <c r="V99" i="18"/>
  <c r="V246" i="18"/>
  <c r="P227" i="18"/>
  <c r="Q227" i="18"/>
  <c r="Q90" i="18"/>
  <c r="P90" i="18"/>
  <c r="V220" i="18"/>
  <c r="V187" i="18"/>
  <c r="V50" i="18"/>
  <c r="V257" i="18"/>
  <c r="V205" i="18"/>
  <c r="V56" i="18"/>
  <c r="V219" i="18"/>
  <c r="V142" i="18"/>
  <c r="V260" i="18"/>
  <c r="V271" i="18"/>
  <c r="V155" i="18"/>
  <c r="Q122" i="18"/>
  <c r="P122" i="18"/>
  <c r="P202" i="18"/>
  <c r="Q202" i="18"/>
  <c r="Q169" i="18"/>
  <c r="P169" i="18"/>
  <c r="P205" i="18"/>
  <c r="Q205" i="18"/>
  <c r="P258" i="18"/>
  <c r="Q258" i="18"/>
  <c r="P216" i="18"/>
  <c r="Q216" i="18"/>
  <c r="P222" i="18"/>
  <c r="Q222" i="18"/>
  <c r="P190" i="18"/>
  <c r="Q190" i="18"/>
  <c r="P259" i="18"/>
  <c r="Q259" i="18"/>
  <c r="P197" i="18"/>
  <c r="Q197" i="18"/>
  <c r="Q241" i="18"/>
  <c r="Q112" i="18"/>
  <c r="P112" i="18"/>
  <c r="P236" i="18"/>
  <c r="Q236" i="18"/>
  <c r="P128" i="18"/>
  <c r="Q128" i="18"/>
  <c r="P43" i="18"/>
  <c r="Q43" i="18"/>
  <c r="P152" i="18"/>
  <c r="Q152" i="18"/>
  <c r="P262" i="18"/>
  <c r="Q262" i="18"/>
  <c r="Q39" i="18"/>
  <c r="P39" i="18"/>
  <c r="Q167" i="18"/>
  <c r="P167" i="18"/>
  <c r="Q224" i="18"/>
  <c r="P224" i="18"/>
  <c r="P87" i="18"/>
  <c r="Q87" i="18"/>
  <c r="P264" i="18"/>
  <c r="Q264" i="18"/>
  <c r="P52" i="18"/>
  <c r="Q52" i="18"/>
  <c r="P219" i="18"/>
  <c r="Q219" i="18"/>
  <c r="P99" i="18"/>
  <c r="Q99" i="18"/>
  <c r="Q153" i="18"/>
  <c r="P153" i="18"/>
  <c r="P132" i="18"/>
  <c r="Q132" i="18"/>
  <c r="P175" i="18"/>
  <c r="Q175" i="18"/>
  <c r="Q73" i="18"/>
  <c r="P73" i="18"/>
  <c r="Q247" i="18"/>
  <c r="P247" i="18"/>
  <c r="P149" i="18"/>
  <c r="Q149" i="18"/>
  <c r="Q94" i="18"/>
  <c r="P94" i="18"/>
  <c r="P194" i="18"/>
  <c r="Q194" i="18"/>
  <c r="Q261" i="18"/>
  <c r="P261" i="18"/>
  <c r="P41" i="18"/>
  <c r="Q41" i="18"/>
  <c r="Q179" i="18"/>
  <c r="P179" i="18"/>
  <c r="Q274" i="18"/>
  <c r="P274" i="18"/>
  <c r="P195" i="18"/>
  <c r="Q195" i="18"/>
  <c r="P173" i="18"/>
  <c r="Q173" i="18"/>
  <c r="P187" i="18"/>
  <c r="Q187" i="18"/>
  <c r="P171" i="18"/>
  <c r="Q171" i="18"/>
  <c r="Q206" i="18"/>
  <c r="P206" i="18"/>
  <c r="P58" i="18"/>
  <c r="Q58" i="18"/>
  <c r="P185" i="18"/>
  <c r="Q185" i="18"/>
  <c r="Q215" i="18"/>
  <c r="P215" i="18"/>
  <c r="Q193" i="18"/>
  <c r="P193" i="18"/>
  <c r="Q151" i="18"/>
  <c r="P151" i="18"/>
  <c r="P168" i="18"/>
  <c r="Q168" i="18"/>
  <c r="Q198" i="18"/>
  <c r="P198" i="18"/>
  <c r="Q266" i="18"/>
  <c r="P266" i="18"/>
  <c r="Q253" i="18"/>
  <c r="P253" i="18"/>
  <c r="P208" i="18"/>
  <c r="Q208" i="18"/>
  <c r="Q79" i="18"/>
  <c r="P79" i="18"/>
  <c r="P88" i="18"/>
  <c r="Q88" i="18"/>
  <c r="Q230" i="18"/>
  <c r="P230" i="18"/>
  <c r="P161" i="18"/>
  <c r="Q161" i="18"/>
  <c r="Q225" i="18"/>
  <c r="P225" i="18"/>
  <c r="P257" i="18"/>
  <c r="Q257" i="18"/>
  <c r="Q233" i="18"/>
  <c r="P233" i="18"/>
  <c r="P221" i="18"/>
  <c r="Q221" i="18"/>
  <c r="Q154" i="18"/>
  <c r="P154" i="18"/>
  <c r="Q42" i="18"/>
  <c r="P42" i="18"/>
  <c r="Q135" i="18"/>
  <c r="P135" i="18"/>
  <c r="P176" i="18"/>
  <c r="Q176" i="18"/>
  <c r="P243" i="18"/>
  <c r="Q243" i="18"/>
  <c r="Q68" i="18"/>
  <c r="P68" i="18"/>
  <c r="Q60" i="18"/>
  <c r="P60" i="18"/>
  <c r="Q140" i="18"/>
  <c r="P140" i="18"/>
  <c r="P109" i="18"/>
  <c r="Q109" i="18"/>
  <c r="Q255" i="18"/>
  <c r="P255" i="18"/>
  <c r="P240" i="18"/>
  <c r="Q240" i="18"/>
  <c r="P34" i="18"/>
  <c r="Q34" i="18"/>
  <c r="P248" i="18"/>
  <c r="Q248" i="18"/>
  <c r="Q143" i="18"/>
  <c r="P143" i="18"/>
  <c r="P111" i="18"/>
  <c r="Q111" i="18"/>
  <c r="Q268" i="18"/>
  <c r="P268" i="18"/>
  <c r="P251" i="18"/>
  <c r="Q251" i="18"/>
  <c r="P183" i="18"/>
  <c r="Q183" i="18"/>
  <c r="Q98" i="18"/>
  <c r="P98" i="18"/>
  <c r="P263" i="18"/>
  <c r="Q263" i="18"/>
  <c r="Q104" i="18"/>
  <c r="P104" i="18"/>
  <c r="Q203" i="18"/>
  <c r="P203" i="18"/>
  <c r="G24" i="18"/>
  <c r="P166" i="18"/>
  <c r="Q166" i="18"/>
  <c r="P238" i="18"/>
  <c r="Q238" i="18"/>
  <c r="P117" i="18"/>
  <c r="Q117" i="18"/>
  <c r="P101" i="18"/>
  <c r="Q101" i="18"/>
  <c r="P84" i="18"/>
  <c r="Q84" i="18"/>
  <c r="P235" i="18"/>
  <c r="Q235" i="18"/>
  <c r="P200" i="18"/>
  <c r="Q200" i="18"/>
  <c r="P138" i="18"/>
  <c r="Q138" i="18"/>
  <c r="P115" i="18"/>
  <c r="Q115" i="18"/>
  <c r="M24" i="18"/>
  <c r="P181" i="18"/>
  <c r="Q181" i="18"/>
  <c r="Q110" i="18"/>
  <c r="P110" i="18"/>
  <c r="Q50" i="18"/>
  <c r="P50" i="18"/>
  <c r="O24" i="18"/>
  <c r="P91" i="18"/>
  <c r="Q91" i="18"/>
  <c r="Q113" i="18"/>
  <c r="P113" i="18"/>
  <c r="Q213" i="18"/>
  <c r="P213" i="18"/>
  <c r="I6" i="19"/>
  <c r="H4" i="19"/>
  <c r="Q57" i="18"/>
  <c r="P57" i="18"/>
  <c r="Q141" i="18"/>
  <c r="P141" i="18"/>
  <c r="P147" i="18"/>
  <c r="Q147" i="18"/>
  <c r="Q245" i="18"/>
  <c r="P245" i="18"/>
  <c r="J24" i="18"/>
  <c r="P82" i="18"/>
  <c r="Q82" i="18"/>
  <c r="Q145" i="18"/>
  <c r="P145" i="18"/>
  <c r="L7" i="19"/>
  <c r="P62" i="18"/>
  <c r="Q62" i="18"/>
  <c r="S19" i="28" l="1"/>
  <c r="S17" i="28" s="1"/>
  <c r="S16" i="28" s="1"/>
  <c r="Q18" i="28"/>
  <c r="Q17" i="28"/>
  <c r="T19" i="28"/>
  <c r="O240" i="1"/>
  <c r="O245" i="1"/>
  <c r="O250" i="1"/>
  <c r="S3" i="4"/>
  <c r="O6" i="1"/>
  <c r="O247" i="1"/>
  <c r="O233" i="1"/>
  <c r="O257" i="1"/>
  <c r="O254" i="1"/>
  <c r="O251" i="1"/>
  <c r="O94" i="1"/>
  <c r="O180" i="1"/>
  <c r="O116" i="1"/>
  <c r="O52" i="1"/>
  <c r="O201" i="1"/>
  <c r="O137" i="1"/>
  <c r="O73" i="1"/>
  <c r="O9" i="1"/>
  <c r="O155" i="1"/>
  <c r="O91" i="1"/>
  <c r="O27" i="1"/>
  <c r="O144" i="1"/>
  <c r="O80" i="1"/>
  <c r="O16" i="1"/>
  <c r="O173" i="1"/>
  <c r="O109" i="1"/>
  <c r="O45" i="1"/>
  <c r="O194" i="1"/>
  <c r="O130" i="1"/>
  <c r="O66" i="1"/>
  <c r="O215" i="1"/>
  <c r="O151" i="1"/>
  <c r="O87" i="1"/>
  <c r="O23" i="1"/>
  <c r="O237" i="1"/>
  <c r="O242" i="1"/>
  <c r="O239" i="1"/>
  <c r="O230" i="1"/>
  <c r="O249" i="1"/>
  <c r="O246" i="1"/>
  <c r="O243" i="1"/>
  <c r="O30" i="1"/>
  <c r="O172" i="1"/>
  <c r="O108" i="1"/>
  <c r="O44" i="1"/>
  <c r="O193" i="1"/>
  <c r="O129" i="1"/>
  <c r="O65" i="1"/>
  <c r="O211" i="1"/>
  <c r="O147" i="1"/>
  <c r="O83" i="1"/>
  <c r="O19" i="1"/>
  <c r="O136" i="1"/>
  <c r="O72" i="1"/>
  <c r="O8" i="1"/>
  <c r="O165" i="1"/>
  <c r="O101" i="1"/>
  <c r="O37" i="1"/>
  <c r="O186" i="1"/>
  <c r="O122" i="1"/>
  <c r="O58" i="1"/>
  <c r="O207" i="1"/>
  <c r="O143" i="1"/>
  <c r="O79" i="1"/>
  <c r="O15" i="1"/>
  <c r="O219" i="1"/>
  <c r="O70" i="1"/>
  <c r="O225" i="1"/>
  <c r="O234" i="1"/>
  <c r="O198" i="1"/>
  <c r="O227" i="1"/>
  <c r="O241" i="1"/>
  <c r="O238" i="1"/>
  <c r="O235" i="1"/>
  <c r="O228" i="1"/>
  <c r="O164" i="1"/>
  <c r="O100" i="1"/>
  <c r="O36" i="1"/>
  <c r="O185" i="1"/>
  <c r="O121" i="1"/>
  <c r="O57" i="1"/>
  <c r="O203" i="1"/>
  <c r="O139" i="1"/>
  <c r="O75" i="1"/>
  <c r="O11" i="1"/>
  <c r="O128" i="1"/>
  <c r="O64" i="1"/>
  <c r="O221" i="1"/>
  <c r="O157" i="1"/>
  <c r="O93" i="1"/>
  <c r="O29" i="1"/>
  <c r="O178" i="1"/>
  <c r="O114" i="1"/>
  <c r="O50" i="1"/>
  <c r="O199" i="1"/>
  <c r="O135" i="1"/>
  <c r="O71" i="1"/>
  <c r="O7" i="1"/>
  <c r="O222" i="1"/>
  <c r="O231" i="1"/>
  <c r="O126" i="1"/>
  <c r="O224" i="1"/>
  <c r="O216" i="1"/>
  <c r="O214" i="1"/>
  <c r="O232" i="1"/>
  <c r="O220" i="1"/>
  <c r="O156" i="1"/>
  <c r="O92" i="1"/>
  <c r="O28" i="1"/>
  <c r="O177" i="1"/>
  <c r="O113" i="1"/>
  <c r="O49" i="1"/>
  <c r="O195" i="1"/>
  <c r="O131" i="1"/>
  <c r="O67" i="1"/>
  <c r="O184" i="1"/>
  <c r="O120" i="1"/>
  <c r="O56" i="1"/>
  <c r="O213" i="1"/>
  <c r="O149" i="1"/>
  <c r="O85" i="1"/>
  <c r="O21" i="1"/>
  <c r="O170" i="1"/>
  <c r="O106" i="1"/>
  <c r="O42" i="1"/>
  <c r="O191" i="1"/>
  <c r="O127" i="1"/>
  <c r="O63" i="1"/>
  <c r="O190" i="1"/>
  <c r="O200" i="1"/>
  <c r="O62" i="1"/>
  <c r="O208" i="1"/>
  <c r="O206" i="1"/>
  <c r="O182" i="1"/>
  <c r="S11" i="4"/>
  <c r="O229" i="1"/>
  <c r="O212" i="1"/>
  <c r="O148" i="1"/>
  <c r="O84" i="1"/>
  <c r="O20" i="1"/>
  <c r="O169" i="1"/>
  <c r="O105" i="1"/>
  <c r="O41" i="1"/>
  <c r="O187" i="1"/>
  <c r="O123" i="1"/>
  <c r="O59" i="1"/>
  <c r="O176" i="1"/>
  <c r="O112" i="1"/>
  <c r="O48" i="1"/>
  <c r="O205" i="1"/>
  <c r="O141" i="1"/>
  <c r="O77" i="1"/>
  <c r="O13" i="1"/>
  <c r="O162" i="1"/>
  <c r="O98" i="1"/>
  <c r="O34" i="1"/>
  <c r="O183" i="1"/>
  <c r="O119" i="1"/>
  <c r="O55" i="1"/>
  <c r="O174" i="1"/>
  <c r="O150" i="1"/>
  <c r="O252" i="1"/>
  <c r="O166" i="1"/>
  <c r="O142" i="1"/>
  <c r="O118" i="1"/>
  <c r="O226" i="1"/>
  <c r="O204" i="1"/>
  <c r="O140" i="1"/>
  <c r="O76" i="1"/>
  <c r="S4" i="4"/>
  <c r="O12" i="1"/>
  <c r="O161" i="1"/>
  <c r="O97" i="1"/>
  <c r="O33" i="1"/>
  <c r="S10" i="4"/>
  <c r="O179" i="1"/>
  <c r="O115" i="1"/>
  <c r="O51" i="1"/>
  <c r="O168" i="1"/>
  <c r="O104" i="1"/>
  <c r="S7" i="4"/>
  <c r="O40" i="1"/>
  <c r="O197" i="1"/>
  <c r="O133" i="1"/>
  <c r="O69" i="1"/>
  <c r="O218" i="1"/>
  <c r="O154" i="1"/>
  <c r="O90" i="1"/>
  <c r="O26" i="1"/>
  <c r="O175" i="1"/>
  <c r="O111" i="1"/>
  <c r="O47" i="1"/>
  <c r="O134" i="1"/>
  <c r="O256" i="1"/>
  <c r="S9" i="4"/>
  <c r="O110" i="1"/>
  <c r="O86" i="1"/>
  <c r="O244" i="1"/>
  <c r="O102" i="1"/>
  <c r="O78" i="1"/>
  <c r="O54" i="1"/>
  <c r="O223" i="1"/>
  <c r="O196" i="1"/>
  <c r="O132" i="1"/>
  <c r="O68" i="1"/>
  <c r="O217" i="1"/>
  <c r="O153" i="1"/>
  <c r="O89" i="1"/>
  <c r="S6" i="4"/>
  <c r="O25" i="1"/>
  <c r="O171" i="1"/>
  <c r="O107" i="1"/>
  <c r="O43" i="1"/>
  <c r="O160" i="1"/>
  <c r="O96" i="1"/>
  <c r="O32" i="1"/>
  <c r="O189" i="1"/>
  <c r="O125" i="1"/>
  <c r="S8" i="4"/>
  <c r="O61" i="1"/>
  <c r="O210" i="1"/>
  <c r="O146" i="1"/>
  <c r="O82" i="1"/>
  <c r="S5" i="4"/>
  <c r="O18" i="1"/>
  <c r="O167" i="1"/>
  <c r="O103" i="1"/>
  <c r="O39" i="1"/>
  <c r="O248" i="1"/>
  <c r="O192" i="1"/>
  <c r="O253" i="1"/>
  <c r="O46" i="1"/>
  <c r="O258" i="1"/>
  <c r="O22" i="1"/>
  <c r="O255" i="1"/>
  <c r="O236" i="1"/>
  <c r="O38" i="1"/>
  <c r="O14" i="1"/>
  <c r="O158" i="1"/>
  <c r="O188" i="1"/>
  <c r="O124" i="1"/>
  <c r="O60" i="1"/>
  <c r="O209" i="1"/>
  <c r="O145" i="1"/>
  <c r="O81" i="1"/>
  <c r="O17" i="1"/>
  <c r="O163" i="1"/>
  <c r="O99" i="1"/>
  <c r="O35" i="1"/>
  <c r="O152" i="1"/>
  <c r="O88" i="1"/>
  <c r="O24" i="1"/>
  <c r="O181" i="1"/>
  <c r="O117" i="1"/>
  <c r="O53" i="1"/>
  <c r="O202" i="1"/>
  <c r="O138" i="1"/>
  <c r="O74" i="1"/>
  <c r="O10" i="1"/>
  <c r="O159" i="1"/>
  <c r="O95" i="1"/>
  <c r="O31" i="1"/>
  <c r="V24" i="18"/>
  <c r="Q22" i="18"/>
  <c r="P24" i="18"/>
  <c r="Q23" i="18"/>
  <c r="L6" i="19"/>
  <c r="W19" i="28" l="1"/>
  <c r="T17" i="28"/>
  <c r="P7" i="1" a="1"/>
  <c r="P7" i="1" s="1"/>
  <c r="P71" i="1" a="1"/>
  <c r="P71" i="1" s="1"/>
  <c r="P133" i="1" a="1"/>
  <c r="P133" i="1" s="1"/>
  <c r="P194" i="1" a="1"/>
  <c r="P194" i="1" s="1"/>
  <c r="P255" i="1" a="1"/>
  <c r="P255" i="1" s="1"/>
  <c r="P8" i="1" a="1"/>
  <c r="P8" i="1" s="1"/>
  <c r="P72" i="1" a="1"/>
  <c r="P72" i="1" s="1"/>
  <c r="P134" i="1" a="1"/>
  <c r="P134" i="1" s="1"/>
  <c r="P202" i="1" a="1"/>
  <c r="P202" i="1" s="1"/>
  <c r="P9" i="1" a="1"/>
  <c r="P9" i="1" s="1"/>
  <c r="P73" i="1" a="1"/>
  <c r="P73" i="1" s="1"/>
  <c r="P143" i="1" a="1"/>
  <c r="P143" i="1" s="1"/>
  <c r="P203" i="1" a="1"/>
  <c r="P203" i="1" s="1"/>
  <c r="P50" i="1" a="1"/>
  <c r="P50" i="1" s="1"/>
  <c r="P113" i="1" a="1"/>
  <c r="P113" i="1" s="1"/>
  <c r="P174" i="1" a="1"/>
  <c r="P174" i="1" s="1"/>
  <c r="P243" i="1" a="1"/>
  <c r="P243" i="1" s="1"/>
  <c r="P67" i="1" a="1"/>
  <c r="P67" i="1" s="1"/>
  <c r="P130" i="1" a="1"/>
  <c r="P130" i="1" s="1"/>
  <c r="P197" i="1" a="1"/>
  <c r="P197" i="1" s="1"/>
  <c r="P68" i="1" a="1"/>
  <c r="P68" i="1" s="1"/>
  <c r="P69" i="1" a="1"/>
  <c r="P69" i="1" s="1"/>
  <c r="P132" i="1" a="1"/>
  <c r="P132" i="1" s="1"/>
  <c r="P199" i="1" a="1"/>
  <c r="P199" i="1" s="1"/>
  <c r="P70" i="1" a="1"/>
  <c r="P70" i="1" s="1"/>
  <c r="P78" i="1" a="1"/>
  <c r="P78" i="1" s="1"/>
  <c r="P138" i="1" a="1"/>
  <c r="P138" i="1" s="1"/>
  <c r="P200" i="1" a="1"/>
  <c r="P200" i="1" s="1"/>
  <c r="P15" i="1" a="1"/>
  <c r="P15" i="1" s="1"/>
  <c r="P79" i="1" a="1"/>
  <c r="P79" i="1" s="1"/>
  <c r="P141" i="1" a="1"/>
  <c r="P141" i="1" s="1"/>
  <c r="P201" i="1" a="1"/>
  <c r="P201" i="1" s="1"/>
  <c r="P16" i="1" a="1"/>
  <c r="P16" i="1" s="1"/>
  <c r="P80" i="1" a="1"/>
  <c r="P80" i="1" s="1"/>
  <c r="P142" i="1" a="1"/>
  <c r="P142" i="1" s="1"/>
  <c r="P210" i="1" a="1"/>
  <c r="P210" i="1" s="1"/>
  <c r="P17" i="1" a="1"/>
  <c r="P17" i="1" s="1"/>
  <c r="P81" i="1" a="1"/>
  <c r="P81" i="1" s="1"/>
  <c r="P151" i="1" a="1"/>
  <c r="P151" i="1" s="1"/>
  <c r="P211" i="1" a="1"/>
  <c r="P211" i="1" s="1"/>
  <c r="P58" i="1" a="1"/>
  <c r="P58" i="1" s="1"/>
  <c r="P121" i="1" a="1"/>
  <c r="P121" i="1" s="1"/>
  <c r="P182" i="1" a="1"/>
  <c r="P182" i="1" s="1"/>
  <c r="P251" i="1" a="1"/>
  <c r="P251" i="1" s="1"/>
  <c r="P11" i="1" a="1"/>
  <c r="P11" i="1" s="1"/>
  <c r="P75" i="1" a="1"/>
  <c r="P75" i="1" s="1"/>
  <c r="P137" i="1" a="1"/>
  <c r="P137" i="1" s="1"/>
  <c r="P205" i="1" a="1"/>
  <c r="P205" i="1" s="1"/>
  <c r="P12" i="1" a="1"/>
  <c r="P12" i="1" s="1"/>
  <c r="P76" i="1" a="1"/>
  <c r="P76" i="1" s="1"/>
  <c r="P13" i="1" a="1"/>
  <c r="P13" i="1" s="1"/>
  <c r="P77" i="1" a="1"/>
  <c r="P77" i="1" s="1"/>
  <c r="P139" i="1" a="1"/>
  <c r="P139" i="1" s="1"/>
  <c r="P207" i="1" a="1"/>
  <c r="P207" i="1" s="1"/>
  <c r="P131" i="1" a="1"/>
  <c r="P131" i="1" s="1"/>
  <c r="P163" i="1" a="1"/>
  <c r="P163" i="1" s="1"/>
  <c r="P168" i="1" a="1"/>
  <c r="P168" i="1" s="1"/>
  <c r="P231" i="1" a="1"/>
  <c r="P231" i="1" s="1"/>
  <c r="P176" i="1" a="1"/>
  <c r="P176" i="1" s="1"/>
  <c r="P85" i="1" a="1"/>
  <c r="P85" i="1" s="1"/>
  <c r="P215" i="1" a="1"/>
  <c r="P215" i="1" s="1"/>
  <c r="P161" i="1" a="1"/>
  <c r="P161" i="1" s="1"/>
  <c r="P198" i="1" a="1"/>
  <c r="P198" i="1" s="1"/>
  <c r="P184" i="1" a="1"/>
  <c r="P184" i="1" s="1"/>
  <c r="P23" i="1" a="1"/>
  <c r="P23" i="1" s="1"/>
  <c r="P87" i="1" a="1"/>
  <c r="P87" i="1" s="1"/>
  <c r="P149" i="1" a="1"/>
  <c r="P149" i="1" s="1"/>
  <c r="P209" i="1" a="1"/>
  <c r="P209" i="1" s="1"/>
  <c r="P24" i="1" a="1"/>
  <c r="P24" i="1" s="1"/>
  <c r="P88" i="1" a="1"/>
  <c r="P88" i="1" s="1"/>
  <c r="P150" i="1" a="1"/>
  <c r="P150" i="1" s="1"/>
  <c r="P218" i="1" a="1"/>
  <c r="P218" i="1" s="1"/>
  <c r="P25" i="1" a="1"/>
  <c r="P25" i="1" s="1"/>
  <c r="P89" i="1" a="1"/>
  <c r="P89" i="1" s="1"/>
  <c r="P159" i="1" a="1"/>
  <c r="P159" i="1" s="1"/>
  <c r="P219" i="1" a="1"/>
  <c r="P219" i="1" s="1"/>
  <c r="P66" i="1" a="1"/>
  <c r="P66" i="1" s="1"/>
  <c r="P129" i="1" a="1"/>
  <c r="P129" i="1" s="1"/>
  <c r="P190" i="1" a="1"/>
  <c r="P190" i="1" s="1"/>
  <c r="P258" i="1" a="1"/>
  <c r="P258" i="1" s="1"/>
  <c r="P19" i="1" a="1"/>
  <c r="P19" i="1" s="1"/>
  <c r="P83" i="1" a="1"/>
  <c r="P83" i="1" s="1"/>
  <c r="P145" i="1" a="1"/>
  <c r="P145" i="1" s="1"/>
  <c r="P213" i="1" a="1"/>
  <c r="P213" i="1" s="1"/>
  <c r="P20" i="1" a="1"/>
  <c r="P20" i="1" s="1"/>
  <c r="P84" i="1" a="1"/>
  <c r="P84" i="1" s="1"/>
  <c r="P21" i="1" a="1"/>
  <c r="P21" i="1" s="1"/>
  <c r="P147" i="1" a="1"/>
  <c r="P147" i="1" s="1"/>
  <c r="P62" i="1" a="1"/>
  <c r="P62" i="1" s="1"/>
  <c r="P193" i="1" a="1"/>
  <c r="P193" i="1" s="1"/>
  <c r="P101" i="1" a="1"/>
  <c r="P101" i="1" s="1"/>
  <c r="P31" i="1" a="1"/>
  <c r="P31" i="1" s="1"/>
  <c r="P95" i="1" a="1"/>
  <c r="P95" i="1" s="1"/>
  <c r="P157" i="1" a="1"/>
  <c r="P157" i="1" s="1"/>
  <c r="P217" i="1" a="1"/>
  <c r="P217" i="1" s="1"/>
  <c r="P32" i="1" a="1"/>
  <c r="P32" i="1" s="1"/>
  <c r="P96" i="1" a="1"/>
  <c r="P96" i="1" s="1"/>
  <c r="P158" i="1" a="1"/>
  <c r="P158" i="1" s="1"/>
  <c r="P226" i="1" a="1"/>
  <c r="P226" i="1" s="1"/>
  <c r="P33" i="1" a="1"/>
  <c r="P33" i="1" s="1"/>
  <c r="P104" i="1" a="1"/>
  <c r="P104" i="1" s="1"/>
  <c r="P165" i="1" a="1"/>
  <c r="P165" i="1" s="1"/>
  <c r="P227" i="1" a="1"/>
  <c r="P227" i="1" s="1"/>
  <c r="P10" i="1" a="1"/>
  <c r="P10" i="1" s="1"/>
  <c r="P74" i="1" a="1"/>
  <c r="P74" i="1" s="1"/>
  <c r="P136" i="1" a="1"/>
  <c r="P136" i="1" s="1"/>
  <c r="P204" i="1" a="1"/>
  <c r="P204" i="1" s="1"/>
  <c r="P27" i="1" a="1"/>
  <c r="P27" i="1" s="1"/>
  <c r="P91" i="1" a="1"/>
  <c r="P91" i="1" s="1"/>
  <c r="P153" i="1" a="1"/>
  <c r="P153" i="1" s="1"/>
  <c r="P221" i="1" a="1"/>
  <c r="P221" i="1" s="1"/>
  <c r="P28" i="1" a="1"/>
  <c r="P28" i="1" s="1"/>
  <c r="P92" i="1" a="1"/>
  <c r="P92" i="1" s="1"/>
  <c r="P29" i="1" a="1"/>
  <c r="P29" i="1" s="1"/>
  <c r="P93" i="1" a="1"/>
  <c r="P93" i="1" s="1"/>
  <c r="P155" i="1" a="1"/>
  <c r="P155" i="1" s="1"/>
  <c r="P223" i="1" a="1"/>
  <c r="P223" i="1" s="1"/>
  <c r="P125" i="1" a="1"/>
  <c r="P125" i="1" s="1"/>
  <c r="P192" i="1" a="1"/>
  <c r="P192" i="1" s="1"/>
  <c r="P224" i="1" a="1"/>
  <c r="P224" i="1" s="1"/>
  <c r="P229" i="1" a="1"/>
  <c r="P229" i="1" s="1"/>
  <c r="P46" i="1" a="1"/>
  <c r="P46" i="1" s="1"/>
  <c r="P237" i="1" a="1"/>
  <c r="P237" i="1" s="1"/>
  <c r="P38" i="1" a="1"/>
  <c r="P38" i="1" s="1"/>
  <c r="P162" i="1" a="1"/>
  <c r="P162" i="1" s="1"/>
  <c r="P156" i="1" a="1"/>
  <c r="P156" i="1" s="1"/>
  <c r="P254" i="1" a="1"/>
  <c r="P254" i="1" s="1"/>
  <c r="P109" i="1" a="1"/>
  <c r="P109" i="1" s="1"/>
  <c r="P39" i="1" a="1"/>
  <c r="P39" i="1" s="1"/>
  <c r="P102" i="1" a="1"/>
  <c r="P102" i="1" s="1"/>
  <c r="P164" i="1" a="1"/>
  <c r="P164" i="1" s="1"/>
  <c r="P225" i="1" a="1"/>
  <c r="P225" i="1" s="1"/>
  <c r="P40" i="1" a="1"/>
  <c r="P40" i="1" s="1"/>
  <c r="P103" i="1" a="1"/>
  <c r="P103" i="1" s="1"/>
  <c r="P172" i="1" a="1"/>
  <c r="P172" i="1" s="1"/>
  <c r="P233" i="1" a="1"/>
  <c r="P233" i="1" s="1"/>
  <c r="P41" i="1" a="1"/>
  <c r="P41" i="1" s="1"/>
  <c r="P112" i="1" a="1"/>
  <c r="P112" i="1" s="1"/>
  <c r="P173" i="1" a="1"/>
  <c r="P173" i="1" s="1"/>
  <c r="P234" i="1" a="1"/>
  <c r="P234" i="1" s="1"/>
  <c r="P18" i="1" a="1"/>
  <c r="P18" i="1" s="1"/>
  <c r="P82" i="1" a="1"/>
  <c r="P82" i="1" s="1"/>
  <c r="P144" i="1" a="1"/>
  <c r="P144" i="1" s="1"/>
  <c r="P212" i="1" a="1"/>
  <c r="P212" i="1" s="1"/>
  <c r="P35" i="1" a="1"/>
  <c r="P35" i="1" s="1"/>
  <c r="P98" i="1" a="1"/>
  <c r="P98" i="1" s="1"/>
  <c r="P167" i="1" a="1"/>
  <c r="P167" i="1" s="1"/>
  <c r="P236" i="1" a="1"/>
  <c r="P236" i="1" s="1"/>
  <c r="P36" i="1" a="1"/>
  <c r="P36" i="1" s="1"/>
  <c r="P99" i="1" a="1"/>
  <c r="P99" i="1" s="1"/>
  <c r="P37" i="1" a="1"/>
  <c r="P37" i="1" s="1"/>
  <c r="P100" i="1" a="1"/>
  <c r="P100" i="1" s="1"/>
  <c r="P230" i="1" a="1"/>
  <c r="P230" i="1" s="1"/>
  <c r="P222" i="1" a="1"/>
  <c r="P222" i="1" s="1"/>
  <c r="P30" i="1" a="1"/>
  <c r="P30" i="1" s="1"/>
  <c r="P117" i="1" a="1"/>
  <c r="P117" i="1" s="1"/>
  <c r="P47" i="1" a="1"/>
  <c r="P47" i="1" s="1"/>
  <c r="P110" i="1" a="1"/>
  <c r="P110" i="1" s="1"/>
  <c r="P171" i="1" a="1"/>
  <c r="P171" i="1" s="1"/>
  <c r="P232" i="1" a="1"/>
  <c r="P232" i="1" s="1"/>
  <c r="P48" i="1" a="1"/>
  <c r="P48" i="1" s="1"/>
  <c r="P111" i="1" a="1"/>
  <c r="P111" i="1" s="1"/>
  <c r="P180" i="1" a="1"/>
  <c r="P180" i="1" s="1"/>
  <c r="P241" i="1" a="1"/>
  <c r="P241" i="1" s="1"/>
  <c r="P49" i="1" a="1"/>
  <c r="P49" i="1" s="1"/>
  <c r="P120" i="1" a="1"/>
  <c r="P120" i="1" s="1"/>
  <c r="P181" i="1" a="1"/>
  <c r="P181" i="1" s="1"/>
  <c r="P242" i="1" a="1"/>
  <c r="P242" i="1" s="1"/>
  <c r="P26" i="1" a="1"/>
  <c r="P26" i="1" s="1"/>
  <c r="P90" i="1" a="1"/>
  <c r="P90" i="1" s="1"/>
  <c r="P152" i="1" a="1"/>
  <c r="P152" i="1" s="1"/>
  <c r="P220" i="1" a="1"/>
  <c r="P220" i="1" s="1"/>
  <c r="P43" i="1" a="1"/>
  <c r="P43" i="1" s="1"/>
  <c r="P106" i="1" a="1"/>
  <c r="P106" i="1" s="1"/>
  <c r="P175" i="1" a="1"/>
  <c r="P175" i="1" s="1"/>
  <c r="P244" i="1" a="1"/>
  <c r="P244" i="1" s="1"/>
  <c r="P44" i="1" a="1"/>
  <c r="P44" i="1" s="1"/>
  <c r="P107" i="1" a="1"/>
  <c r="P107" i="1" s="1"/>
  <c r="P45" i="1" a="1"/>
  <c r="P45" i="1" s="1"/>
  <c r="P108" i="1" a="1"/>
  <c r="P108" i="1" s="1"/>
  <c r="P169" i="1" a="1"/>
  <c r="P169" i="1" s="1"/>
  <c r="P238" i="1" a="1"/>
  <c r="P238" i="1" s="1"/>
  <c r="P186" i="1" a="1"/>
  <c r="P186" i="1" s="1"/>
  <c r="P94" i="1" a="1"/>
  <c r="P94" i="1" s="1"/>
  <c r="P148" i="1" a="1"/>
  <c r="P148" i="1" s="1"/>
  <c r="P245" i="1" a="1"/>
  <c r="P245" i="1" s="1"/>
  <c r="P54" i="1" a="1"/>
  <c r="P54" i="1" s="1"/>
  <c r="P53" i="1" a="1"/>
  <c r="P53" i="1" s="1"/>
  <c r="P177" i="1" a="1"/>
  <c r="P177" i="1" s="1"/>
  <c r="P216" i="1" a="1"/>
  <c r="P216" i="1" s="1"/>
  <c r="P22" i="1" a="1"/>
  <c r="P22" i="1" s="1"/>
  <c r="P55" i="1" a="1"/>
  <c r="P55" i="1" s="1"/>
  <c r="P118" i="1" a="1"/>
  <c r="P118" i="1" s="1"/>
  <c r="P179" i="1" a="1"/>
  <c r="P179" i="1" s="1"/>
  <c r="P240" i="1" a="1"/>
  <c r="P240" i="1" s="1"/>
  <c r="P56" i="1" a="1"/>
  <c r="P56" i="1" s="1"/>
  <c r="P119" i="1" a="1"/>
  <c r="P119" i="1" s="1"/>
  <c r="P188" i="1" a="1"/>
  <c r="P188" i="1" s="1"/>
  <c r="P249" i="1" a="1"/>
  <c r="P249" i="1" s="1"/>
  <c r="P57" i="1" a="1"/>
  <c r="P57" i="1" s="1"/>
  <c r="P128" i="1" a="1"/>
  <c r="P128" i="1" s="1"/>
  <c r="P189" i="1" a="1"/>
  <c r="P189" i="1" s="1"/>
  <c r="P250" i="1" a="1"/>
  <c r="P250" i="1" s="1"/>
  <c r="P34" i="1" a="1"/>
  <c r="P34" i="1" s="1"/>
  <c r="P97" i="1" a="1"/>
  <c r="P97" i="1" s="1"/>
  <c r="P160" i="1" a="1"/>
  <c r="P160" i="1" s="1"/>
  <c r="P228" i="1" a="1"/>
  <c r="P228" i="1" s="1"/>
  <c r="P51" i="1" a="1"/>
  <c r="P51" i="1" s="1"/>
  <c r="P114" i="1" a="1"/>
  <c r="P114" i="1" s="1"/>
  <c r="P183" i="1" a="1"/>
  <c r="P183" i="1" s="1"/>
  <c r="P252" i="1" a="1"/>
  <c r="P252" i="1" s="1"/>
  <c r="P52" i="1" a="1"/>
  <c r="P52" i="1" s="1"/>
  <c r="P115" i="1" a="1"/>
  <c r="P115" i="1" s="1"/>
  <c r="P116" i="1" a="1"/>
  <c r="P116" i="1" s="1"/>
  <c r="P246" i="1" a="1"/>
  <c r="P246" i="1" s="1"/>
  <c r="P63" i="1" a="1"/>
  <c r="P63" i="1" s="1"/>
  <c r="P126" i="1" a="1"/>
  <c r="P126" i="1" s="1"/>
  <c r="P187" i="1" a="1"/>
  <c r="P187" i="1" s="1"/>
  <c r="P248" i="1" a="1"/>
  <c r="P248" i="1" s="1"/>
  <c r="P64" i="1" a="1"/>
  <c r="P64" i="1" s="1"/>
  <c r="P127" i="1" a="1"/>
  <c r="P127" i="1" s="1"/>
  <c r="P195" i="1" a="1"/>
  <c r="P195" i="1" s="1"/>
  <c r="P256" i="1" a="1"/>
  <c r="P256" i="1" s="1"/>
  <c r="P65" i="1" a="1"/>
  <c r="P65" i="1" s="1"/>
  <c r="P135" i="1" a="1"/>
  <c r="P135" i="1" s="1"/>
  <c r="P196" i="1" a="1"/>
  <c r="P196" i="1" s="1"/>
  <c r="P257" i="1" a="1"/>
  <c r="P257" i="1" s="1"/>
  <c r="P42" i="1" a="1"/>
  <c r="P42" i="1" s="1"/>
  <c r="P105" i="1" a="1"/>
  <c r="P105" i="1" s="1"/>
  <c r="P166" i="1" a="1"/>
  <c r="P166" i="1" s="1"/>
  <c r="P235" i="1" a="1"/>
  <c r="P235" i="1" s="1"/>
  <c r="P59" i="1" a="1"/>
  <c r="P59" i="1" s="1"/>
  <c r="P122" i="1" a="1"/>
  <c r="P122" i="1" s="1"/>
  <c r="P191" i="1" a="1"/>
  <c r="P191" i="1" s="1"/>
  <c r="P60" i="1" a="1"/>
  <c r="P60" i="1" s="1"/>
  <c r="P123" i="1" a="1"/>
  <c r="P123" i="1" s="1"/>
  <c r="P61" i="1" a="1"/>
  <c r="P61" i="1" s="1"/>
  <c r="P124" i="1" a="1"/>
  <c r="P124" i="1" s="1"/>
  <c r="P185" i="1" a="1"/>
  <c r="P185" i="1" s="1"/>
  <c r="P253" i="1" a="1"/>
  <c r="P253" i="1" s="1"/>
  <c r="P247" i="1" a="1"/>
  <c r="P247" i="1" s="1"/>
  <c r="P14" i="1" a="1"/>
  <c r="P14" i="1" s="1"/>
  <c r="P86" i="1" a="1"/>
  <c r="P86" i="1" s="1"/>
  <c r="P170" i="1" a="1"/>
  <c r="P170" i="1" s="1"/>
  <c r="P208" i="1" a="1"/>
  <c r="P208" i="1" s="1"/>
  <c r="P154" i="1" a="1"/>
  <c r="P154" i="1" s="1"/>
  <c r="P239" i="1" a="1"/>
  <c r="P239" i="1" s="1"/>
  <c r="P6" i="1" a="1"/>
  <c r="P6" i="1" s="1"/>
  <c r="P206" i="1" a="1"/>
  <c r="P206" i="1" s="1"/>
  <c r="P140" i="1" a="1"/>
  <c r="P140" i="1" s="1"/>
  <c r="P178" i="1" a="1"/>
  <c r="P178" i="1" s="1"/>
  <c r="P146" i="1" a="1"/>
  <c r="P146" i="1" s="1"/>
  <c r="P214" i="1" a="1"/>
  <c r="P214" i="1" s="1"/>
  <c r="N8" i="19" a="1"/>
  <c r="N8" i="19" s="1"/>
  <c r="N21" i="19" a="1"/>
  <c r="N21" i="19" s="1"/>
  <c r="N27" i="19" a="1"/>
  <c r="N27" i="19" s="1"/>
  <c r="N34" i="19" a="1"/>
  <c r="N34" i="19" s="1"/>
  <c r="N40" i="19" a="1"/>
  <c r="N40" i="19" s="1"/>
  <c r="N53" i="19" a="1"/>
  <c r="N53" i="19" s="1"/>
  <c r="N59" i="19" a="1"/>
  <c r="N59" i="19" s="1"/>
  <c r="N66" i="19" a="1"/>
  <c r="N66" i="19" s="1"/>
  <c r="N72" i="19" a="1"/>
  <c r="N72" i="19" s="1"/>
  <c r="N85" i="19" a="1"/>
  <c r="N85" i="19" s="1"/>
  <c r="N91" i="19" a="1"/>
  <c r="N91" i="19" s="1"/>
  <c r="N98" i="19" a="1"/>
  <c r="N98" i="19" s="1"/>
  <c r="N104" i="19" a="1"/>
  <c r="N104" i="19" s="1"/>
  <c r="N117" i="19" a="1"/>
  <c r="N117" i="19" s="1"/>
  <c r="N123" i="19" a="1"/>
  <c r="N123" i="19" s="1"/>
  <c r="N130" i="19" a="1"/>
  <c r="N130" i="19" s="1"/>
  <c r="N136" i="19" a="1"/>
  <c r="N136" i="19" s="1"/>
  <c r="N149" i="19" a="1"/>
  <c r="N149" i="19" s="1"/>
  <c r="N155" i="19" a="1"/>
  <c r="N155" i="19" s="1"/>
  <c r="N162" i="19" a="1"/>
  <c r="N162" i="19" s="1"/>
  <c r="N168" i="19" a="1"/>
  <c r="N168" i="19" s="1"/>
  <c r="N181" i="19" a="1"/>
  <c r="N181" i="19" s="1"/>
  <c r="N187" i="19" a="1"/>
  <c r="N187" i="19" s="1"/>
  <c r="N194" i="19" a="1"/>
  <c r="N194" i="19" s="1"/>
  <c r="N200" i="19" a="1"/>
  <c r="N200" i="19" s="1"/>
  <c r="N213" i="19" a="1"/>
  <c r="N213" i="19" s="1"/>
  <c r="N219" i="19" a="1"/>
  <c r="N219" i="19" s="1"/>
  <c r="N226" i="19" a="1"/>
  <c r="N226" i="19" s="1"/>
  <c r="N232" i="19" a="1"/>
  <c r="N232" i="19" s="1"/>
  <c r="N245" i="19" a="1"/>
  <c r="N245" i="19" s="1"/>
  <c r="N251" i="19" a="1"/>
  <c r="N251" i="19" s="1"/>
  <c r="N208" i="19" a="1"/>
  <c r="N208" i="19" s="1"/>
  <c r="N227" i="19" a="1"/>
  <c r="N227" i="19" s="1"/>
  <c r="N240" i="19" a="1"/>
  <c r="N240" i="19" s="1"/>
  <c r="N238" i="19" a="1"/>
  <c r="N238" i="19" s="1"/>
  <c r="N9" i="19" a="1"/>
  <c r="N9" i="19" s="1"/>
  <c r="N15" i="19" a="1"/>
  <c r="N15" i="19" s="1"/>
  <c r="N22" i="19" a="1"/>
  <c r="N22" i="19" s="1"/>
  <c r="N28" i="19" a="1"/>
  <c r="N28" i="19" s="1"/>
  <c r="N41" i="19" a="1"/>
  <c r="N41" i="19" s="1"/>
  <c r="N47" i="19" a="1"/>
  <c r="N47" i="19" s="1"/>
  <c r="N54" i="19" a="1"/>
  <c r="N54" i="19" s="1"/>
  <c r="N60" i="19" a="1"/>
  <c r="N60" i="19" s="1"/>
  <c r="N73" i="19" a="1"/>
  <c r="N73" i="19" s="1"/>
  <c r="N79" i="19" a="1"/>
  <c r="N79" i="19" s="1"/>
  <c r="N86" i="19" a="1"/>
  <c r="N86" i="19" s="1"/>
  <c r="N92" i="19" a="1"/>
  <c r="N92" i="19" s="1"/>
  <c r="N105" i="19" a="1"/>
  <c r="N105" i="19" s="1"/>
  <c r="N111" i="19" a="1"/>
  <c r="N111" i="19" s="1"/>
  <c r="N118" i="19" a="1"/>
  <c r="N118" i="19" s="1"/>
  <c r="N124" i="19" a="1"/>
  <c r="N124" i="19" s="1"/>
  <c r="N137" i="19" a="1"/>
  <c r="N137" i="19" s="1"/>
  <c r="N143" i="19" a="1"/>
  <c r="N143" i="19" s="1"/>
  <c r="N150" i="19" a="1"/>
  <c r="N150" i="19" s="1"/>
  <c r="N156" i="19" a="1"/>
  <c r="N156" i="19" s="1"/>
  <c r="N169" i="19" a="1"/>
  <c r="N169" i="19" s="1"/>
  <c r="N175" i="19" a="1"/>
  <c r="N175" i="19" s="1"/>
  <c r="N182" i="19" a="1"/>
  <c r="N182" i="19" s="1"/>
  <c r="N188" i="19" a="1"/>
  <c r="N188" i="19" s="1"/>
  <c r="N201" i="19" a="1"/>
  <c r="N201" i="19" s="1"/>
  <c r="N207" i="19" a="1"/>
  <c r="N207" i="19" s="1"/>
  <c r="N214" i="19" a="1"/>
  <c r="N214" i="19" s="1"/>
  <c r="N220" i="19" a="1"/>
  <c r="N220" i="19" s="1"/>
  <c r="N233" i="19" a="1"/>
  <c r="N233" i="19" s="1"/>
  <c r="N239" i="19" a="1"/>
  <c r="N239" i="19" s="1"/>
  <c r="N246" i="19" a="1"/>
  <c r="N246" i="19" s="1"/>
  <c r="N252" i="19" a="1"/>
  <c r="N252" i="19" s="1"/>
  <c r="N144" i="19" a="1"/>
  <c r="N144" i="19" s="1"/>
  <c r="N157" i="19" a="1"/>
  <c r="N157" i="19" s="1"/>
  <c r="N163" i="19" a="1"/>
  <c r="N163" i="19" s="1"/>
  <c r="N170" i="19" a="1"/>
  <c r="N170" i="19" s="1"/>
  <c r="N176" i="19" a="1"/>
  <c r="N176" i="19" s="1"/>
  <c r="N189" i="19" a="1"/>
  <c r="N189" i="19" s="1"/>
  <c r="N195" i="19" a="1"/>
  <c r="N195" i="19" s="1"/>
  <c r="N202" i="19" a="1"/>
  <c r="N202" i="19" s="1"/>
  <c r="N221" i="19" a="1"/>
  <c r="N221" i="19" s="1"/>
  <c r="N234" i="19" a="1"/>
  <c r="N234" i="19" s="1"/>
  <c r="N253" i="19" a="1"/>
  <c r="N253" i="19" s="1"/>
  <c r="N10" i="19" a="1"/>
  <c r="N10" i="19" s="1"/>
  <c r="N16" i="19" a="1"/>
  <c r="N16" i="19" s="1"/>
  <c r="N29" i="19" a="1"/>
  <c r="N29" i="19" s="1"/>
  <c r="N35" i="19" a="1"/>
  <c r="N35" i="19" s="1"/>
  <c r="N42" i="19" a="1"/>
  <c r="N42" i="19" s="1"/>
  <c r="N48" i="19" a="1"/>
  <c r="N48" i="19" s="1"/>
  <c r="N61" i="19" a="1"/>
  <c r="N61" i="19" s="1"/>
  <c r="N67" i="19" a="1"/>
  <c r="N67" i="19" s="1"/>
  <c r="N74" i="19" a="1"/>
  <c r="N74" i="19" s="1"/>
  <c r="N80" i="19" a="1"/>
  <c r="N80" i="19" s="1"/>
  <c r="N93" i="19" a="1"/>
  <c r="N93" i="19" s="1"/>
  <c r="N99" i="19" a="1"/>
  <c r="N99" i="19" s="1"/>
  <c r="N106" i="19" a="1"/>
  <c r="N106" i="19" s="1"/>
  <c r="N112" i="19" a="1"/>
  <c r="N112" i="19" s="1"/>
  <c r="N125" i="19" a="1"/>
  <c r="N125" i="19" s="1"/>
  <c r="N131" i="19" a="1"/>
  <c r="N131" i="19" s="1"/>
  <c r="N138" i="19" a="1"/>
  <c r="N138" i="19" s="1"/>
  <c r="N17" i="19" a="1"/>
  <c r="N17" i="19" s="1"/>
  <c r="N23" i="19" a="1"/>
  <c r="N23" i="19" s="1"/>
  <c r="N30" i="19" a="1"/>
  <c r="N30" i="19" s="1"/>
  <c r="N36" i="19" a="1"/>
  <c r="N36" i="19" s="1"/>
  <c r="N49" i="19" a="1"/>
  <c r="N49" i="19" s="1"/>
  <c r="N55" i="19" a="1"/>
  <c r="N55" i="19" s="1"/>
  <c r="N62" i="19" a="1"/>
  <c r="N62" i="19" s="1"/>
  <c r="N68" i="19" a="1"/>
  <c r="N68" i="19" s="1"/>
  <c r="N81" i="19" a="1"/>
  <c r="N81" i="19" s="1"/>
  <c r="N87" i="19" a="1"/>
  <c r="N87" i="19" s="1"/>
  <c r="N94" i="19" a="1"/>
  <c r="N94" i="19" s="1"/>
  <c r="N100" i="19" a="1"/>
  <c r="N100" i="19" s="1"/>
  <c r="N113" i="19" a="1"/>
  <c r="N113" i="19" s="1"/>
  <c r="N119" i="19" a="1"/>
  <c r="N119" i="19" s="1"/>
  <c r="N126" i="19" a="1"/>
  <c r="N126" i="19" s="1"/>
  <c r="N132" i="19" a="1"/>
  <c r="N132" i="19" s="1"/>
  <c r="N145" i="19" a="1"/>
  <c r="N145" i="19" s="1"/>
  <c r="N151" i="19" a="1"/>
  <c r="N151" i="19" s="1"/>
  <c r="N158" i="19" a="1"/>
  <c r="N158" i="19" s="1"/>
  <c r="N164" i="19" a="1"/>
  <c r="N164" i="19" s="1"/>
  <c r="N177" i="19" a="1"/>
  <c r="N177" i="19" s="1"/>
  <c r="N183" i="19" a="1"/>
  <c r="N183" i="19" s="1"/>
  <c r="N190" i="19" a="1"/>
  <c r="N190" i="19" s="1"/>
  <c r="N196" i="19" a="1"/>
  <c r="N196" i="19" s="1"/>
  <c r="N209" i="19" a="1"/>
  <c r="N209" i="19" s="1"/>
  <c r="N215" i="19" a="1"/>
  <c r="N215" i="19" s="1"/>
  <c r="N222" i="19" a="1"/>
  <c r="N222" i="19" s="1"/>
  <c r="N228" i="19" a="1"/>
  <c r="N228" i="19" s="1"/>
  <c r="N241" i="19" a="1"/>
  <c r="N241" i="19" s="1"/>
  <c r="N247" i="19" a="1"/>
  <c r="N247" i="19" s="1"/>
  <c r="N254" i="19" a="1"/>
  <c r="N254" i="19" s="1"/>
  <c r="N140" i="19" a="1"/>
  <c r="N140" i="19" s="1"/>
  <c r="N172" i="19" a="1"/>
  <c r="N172" i="19" s="1"/>
  <c r="N191" i="19" a="1"/>
  <c r="N191" i="19" s="1"/>
  <c r="N217" i="19" a="1"/>
  <c r="N217" i="19" s="1"/>
  <c r="N236" i="19" a="1"/>
  <c r="N236" i="19" s="1"/>
  <c r="N52" i="19" a="1"/>
  <c r="N52" i="19" s="1"/>
  <c r="N84" i="19" a="1"/>
  <c r="N84" i="19" s="1"/>
  <c r="N116" i="19" a="1"/>
  <c r="N116" i="19" s="1"/>
  <c r="N148" i="19" a="1"/>
  <c r="N148" i="19" s="1"/>
  <c r="N193" i="19" a="1"/>
  <c r="N193" i="19" s="1"/>
  <c r="N212" i="19" a="1"/>
  <c r="N212" i="19" s="1"/>
  <c r="N11" i="19" a="1"/>
  <c r="N11" i="19" s="1"/>
  <c r="N18" i="19" a="1"/>
  <c r="N18" i="19" s="1"/>
  <c r="N24" i="19" a="1"/>
  <c r="N24" i="19" s="1"/>
  <c r="N37" i="19" a="1"/>
  <c r="N37" i="19" s="1"/>
  <c r="N43" i="19" a="1"/>
  <c r="N43" i="19" s="1"/>
  <c r="N50" i="19" a="1"/>
  <c r="N50" i="19" s="1"/>
  <c r="N56" i="19" a="1"/>
  <c r="N56" i="19" s="1"/>
  <c r="N69" i="19" a="1"/>
  <c r="N69" i="19" s="1"/>
  <c r="N75" i="19" a="1"/>
  <c r="N75" i="19" s="1"/>
  <c r="N82" i="19" a="1"/>
  <c r="N82" i="19" s="1"/>
  <c r="N88" i="19" a="1"/>
  <c r="N88" i="19" s="1"/>
  <c r="N101" i="19" a="1"/>
  <c r="N101" i="19" s="1"/>
  <c r="N107" i="19" a="1"/>
  <c r="N107" i="19" s="1"/>
  <c r="N114" i="19" a="1"/>
  <c r="N114" i="19" s="1"/>
  <c r="N120" i="19" a="1"/>
  <c r="N120" i="19" s="1"/>
  <c r="N133" i="19" a="1"/>
  <c r="N133" i="19" s="1"/>
  <c r="N139" i="19" a="1"/>
  <c r="N139" i="19" s="1"/>
  <c r="N146" i="19" a="1"/>
  <c r="N146" i="19" s="1"/>
  <c r="N152" i="19" a="1"/>
  <c r="N152" i="19" s="1"/>
  <c r="N165" i="19" a="1"/>
  <c r="N165" i="19" s="1"/>
  <c r="N171" i="19" a="1"/>
  <c r="N171" i="19" s="1"/>
  <c r="N178" i="19" a="1"/>
  <c r="N178" i="19" s="1"/>
  <c r="N184" i="19" a="1"/>
  <c r="N184" i="19" s="1"/>
  <c r="N197" i="19" a="1"/>
  <c r="N197" i="19" s="1"/>
  <c r="N203" i="19" a="1"/>
  <c r="N203" i="19" s="1"/>
  <c r="N210" i="19" a="1"/>
  <c r="N210" i="19" s="1"/>
  <c r="N216" i="19" a="1"/>
  <c r="N216" i="19" s="1"/>
  <c r="N229" i="19" a="1"/>
  <c r="N229" i="19" s="1"/>
  <c r="N235" i="19" a="1"/>
  <c r="N235" i="19" s="1"/>
  <c r="N242" i="19" a="1"/>
  <c r="N242" i="19" s="1"/>
  <c r="N248" i="19" a="1"/>
  <c r="N248" i="19" s="1"/>
  <c r="N153" i="19" a="1"/>
  <c r="N153" i="19" s="1"/>
  <c r="N166" i="19" a="1"/>
  <c r="N166" i="19" s="1"/>
  <c r="N198" i="19" a="1"/>
  <c r="N198" i="19" s="1"/>
  <c r="N223" i="19" a="1"/>
  <c r="N223" i="19" s="1"/>
  <c r="N249" i="19" a="1"/>
  <c r="N249" i="19" s="1"/>
  <c r="N65" i="19" a="1"/>
  <c r="N65" i="19" s="1"/>
  <c r="N97" i="19" a="1"/>
  <c r="N97" i="19" s="1"/>
  <c r="N129" i="19" a="1"/>
  <c r="N129" i="19" s="1"/>
  <c r="N161" i="19" a="1"/>
  <c r="N161" i="19" s="1"/>
  <c r="N174" i="19" a="1"/>
  <c r="N174" i="19" s="1"/>
  <c r="N206" i="19" a="1"/>
  <c r="N206" i="19" s="1"/>
  <c r="N244" i="19" a="1"/>
  <c r="N244" i="19" s="1"/>
  <c r="N12" i="19" a="1"/>
  <c r="N12" i="19" s="1"/>
  <c r="N25" i="19" a="1"/>
  <c r="N25" i="19" s="1"/>
  <c r="N31" i="19" a="1"/>
  <c r="N31" i="19" s="1"/>
  <c r="N38" i="19" a="1"/>
  <c r="N38" i="19" s="1"/>
  <c r="N44" i="19" a="1"/>
  <c r="N44" i="19" s="1"/>
  <c r="N57" i="19" a="1"/>
  <c r="N57" i="19" s="1"/>
  <c r="N63" i="19" a="1"/>
  <c r="N63" i="19" s="1"/>
  <c r="N70" i="19" a="1"/>
  <c r="N70" i="19" s="1"/>
  <c r="N76" i="19" a="1"/>
  <c r="N76" i="19" s="1"/>
  <c r="N89" i="19" a="1"/>
  <c r="N89" i="19" s="1"/>
  <c r="N95" i="19" a="1"/>
  <c r="N95" i="19" s="1"/>
  <c r="N102" i="19" a="1"/>
  <c r="N102" i="19" s="1"/>
  <c r="N108" i="19" a="1"/>
  <c r="N108" i="19" s="1"/>
  <c r="N121" i="19" a="1"/>
  <c r="N121" i="19" s="1"/>
  <c r="N127" i="19" a="1"/>
  <c r="N127" i="19" s="1"/>
  <c r="N134" i="19" a="1"/>
  <c r="N134" i="19" s="1"/>
  <c r="N159" i="19" a="1"/>
  <c r="N159" i="19" s="1"/>
  <c r="N185" i="19" a="1"/>
  <c r="N185" i="19" s="1"/>
  <c r="N204" i="19" a="1"/>
  <c r="N204" i="19" s="1"/>
  <c r="N230" i="19" a="1"/>
  <c r="N230" i="19" s="1"/>
  <c r="N6" i="19" a="1"/>
  <c r="N6" i="19" s="1"/>
  <c r="N71" i="19" a="1"/>
  <c r="N71" i="19" s="1"/>
  <c r="N103" i="19" a="1"/>
  <c r="N103" i="19" s="1"/>
  <c r="N135" i="19" a="1"/>
  <c r="N135" i="19" s="1"/>
  <c r="N167" i="19" a="1"/>
  <c r="N167" i="19" s="1"/>
  <c r="N199" i="19" a="1"/>
  <c r="N199" i="19" s="1"/>
  <c r="N231" i="19" a="1"/>
  <c r="N231" i="19" s="1"/>
  <c r="N13" i="19" a="1"/>
  <c r="N13" i="19" s="1"/>
  <c r="N19" i="19" a="1"/>
  <c r="N19" i="19" s="1"/>
  <c r="N26" i="19" a="1"/>
  <c r="N26" i="19" s="1"/>
  <c r="N32" i="19" a="1"/>
  <c r="N32" i="19" s="1"/>
  <c r="N45" i="19" a="1"/>
  <c r="N45" i="19" s="1"/>
  <c r="N51" i="19" a="1"/>
  <c r="N51" i="19" s="1"/>
  <c r="N58" i="19" a="1"/>
  <c r="N58" i="19" s="1"/>
  <c r="N64" i="19" a="1"/>
  <c r="N64" i="19" s="1"/>
  <c r="N77" i="19" a="1"/>
  <c r="N77" i="19" s="1"/>
  <c r="N83" i="19" a="1"/>
  <c r="N83" i="19" s="1"/>
  <c r="N90" i="19" a="1"/>
  <c r="N90" i="19" s="1"/>
  <c r="N96" i="19" a="1"/>
  <c r="N96" i="19" s="1"/>
  <c r="N109" i="19" a="1"/>
  <c r="N109" i="19" s="1"/>
  <c r="N115" i="19" a="1"/>
  <c r="N115" i="19" s="1"/>
  <c r="N122" i="19" a="1"/>
  <c r="N122" i="19" s="1"/>
  <c r="N128" i="19" a="1"/>
  <c r="N128" i="19" s="1"/>
  <c r="N141" i="19" a="1"/>
  <c r="N141" i="19" s="1"/>
  <c r="N147" i="19" a="1"/>
  <c r="N147" i="19" s="1"/>
  <c r="N154" i="19" a="1"/>
  <c r="N154" i="19" s="1"/>
  <c r="N160" i="19" a="1"/>
  <c r="N160" i="19" s="1"/>
  <c r="N173" i="19" a="1"/>
  <c r="N173" i="19" s="1"/>
  <c r="N179" i="19" a="1"/>
  <c r="N179" i="19" s="1"/>
  <c r="N186" i="19" a="1"/>
  <c r="N186" i="19" s="1"/>
  <c r="N192" i="19" a="1"/>
  <c r="N192" i="19" s="1"/>
  <c r="N205" i="19" a="1"/>
  <c r="N205" i="19" s="1"/>
  <c r="N211" i="19" a="1"/>
  <c r="N211" i="19" s="1"/>
  <c r="N218" i="19" a="1"/>
  <c r="N218" i="19" s="1"/>
  <c r="N224" i="19" a="1"/>
  <c r="N224" i="19" s="1"/>
  <c r="N237" i="19" a="1"/>
  <c r="N237" i="19" s="1"/>
  <c r="N243" i="19" a="1"/>
  <c r="N243" i="19" s="1"/>
  <c r="N250" i="19" a="1"/>
  <c r="N250" i="19" s="1"/>
  <c r="N7" i="19" a="1"/>
  <c r="N7" i="19" s="1"/>
  <c r="N14" i="19" a="1"/>
  <c r="N14" i="19" s="1"/>
  <c r="N20" i="19" a="1"/>
  <c r="N20" i="19" s="1"/>
  <c r="N33" i="19" a="1"/>
  <c r="N33" i="19" s="1"/>
  <c r="N39" i="19" a="1"/>
  <c r="N39" i="19" s="1"/>
  <c r="N46" i="19" a="1"/>
  <c r="N46" i="19" s="1"/>
  <c r="N78" i="19" a="1"/>
  <c r="N78" i="19" s="1"/>
  <c r="N110" i="19" a="1"/>
  <c r="N110" i="19" s="1"/>
  <c r="N142" i="19" a="1"/>
  <c r="N142" i="19" s="1"/>
  <c r="N180" i="19" a="1"/>
  <c r="N180" i="19" s="1"/>
  <c r="N225" i="19" a="1"/>
  <c r="N225" i="19" s="1"/>
  <c r="M11" i="19" a="1"/>
  <c r="M11" i="19" s="1"/>
  <c r="M19" i="19" a="1"/>
  <c r="M19" i="19" s="1"/>
  <c r="M27" i="19" a="1"/>
  <c r="M27" i="19" s="1"/>
  <c r="M35" i="19" a="1"/>
  <c r="M35" i="19" s="1"/>
  <c r="M14" i="19" a="1"/>
  <c r="M14" i="19" s="1"/>
  <c r="M22" i="19" a="1"/>
  <c r="M22" i="19" s="1"/>
  <c r="M30" i="19" a="1"/>
  <c r="M30" i="19" s="1"/>
  <c r="M38" i="19" a="1"/>
  <c r="M38" i="19" s="1"/>
  <c r="M46" i="19" a="1"/>
  <c r="M46" i="19" s="1"/>
  <c r="M54" i="19" a="1"/>
  <c r="M54" i="19" s="1"/>
  <c r="M62" i="19" a="1"/>
  <c r="M62" i="19" s="1"/>
  <c r="M70" i="19" a="1"/>
  <c r="M70" i="19" s="1"/>
  <c r="M78" i="19" a="1"/>
  <c r="M78" i="19" s="1"/>
  <c r="M86" i="19" a="1"/>
  <c r="M86" i="19" s="1"/>
  <c r="M94" i="19" a="1"/>
  <c r="M94" i="19" s="1"/>
  <c r="M102" i="19" a="1"/>
  <c r="M102" i="19" s="1"/>
  <c r="M7" i="19" a="1"/>
  <c r="M7" i="19" s="1"/>
  <c r="M9" i="19" a="1"/>
  <c r="M9" i="19" s="1"/>
  <c r="M17" i="19" a="1"/>
  <c r="M17" i="19" s="1"/>
  <c r="M12" i="19" a="1"/>
  <c r="M12" i="19" s="1"/>
  <c r="M20" i="19" a="1"/>
  <c r="M20" i="19" s="1"/>
  <c r="M28" i="19" a="1"/>
  <c r="M28" i="19" s="1"/>
  <c r="M36" i="19" a="1"/>
  <c r="M36" i="19" s="1"/>
  <c r="M44" i="19" a="1"/>
  <c r="M44" i="19" s="1"/>
  <c r="M52" i="19" a="1"/>
  <c r="M52" i="19" s="1"/>
  <c r="M60" i="19" a="1"/>
  <c r="M60" i="19" s="1"/>
  <c r="M68" i="19" a="1"/>
  <c r="M68" i="19" s="1"/>
  <c r="M76" i="19" a="1"/>
  <c r="M76" i="19" s="1"/>
  <c r="M84" i="19" a="1"/>
  <c r="M84" i="19" s="1"/>
  <c r="M92" i="19" a="1"/>
  <c r="M92" i="19" s="1"/>
  <c r="M100" i="19" a="1"/>
  <c r="M100" i="19" s="1"/>
  <c r="M108" i="19" a="1"/>
  <c r="M108" i="19" s="1"/>
  <c r="M116" i="19" a="1"/>
  <c r="M116" i="19" s="1"/>
  <c r="M124" i="19" a="1"/>
  <c r="M124" i="19" s="1"/>
  <c r="M15" i="19" a="1"/>
  <c r="M15" i="19" s="1"/>
  <c r="M23" i="19" a="1"/>
  <c r="M23" i="19" s="1"/>
  <c r="M31" i="19" a="1"/>
  <c r="M31" i="19" s="1"/>
  <c r="M39" i="19" a="1"/>
  <c r="M39" i="19" s="1"/>
  <c r="M47" i="19" a="1"/>
  <c r="M47" i="19" s="1"/>
  <c r="M55" i="19" a="1"/>
  <c r="M55" i="19" s="1"/>
  <c r="M63" i="19" a="1"/>
  <c r="M63" i="19" s="1"/>
  <c r="M10" i="19" a="1"/>
  <c r="M10" i="19" s="1"/>
  <c r="M18" i="19" a="1"/>
  <c r="M18" i="19" s="1"/>
  <c r="M26" i="19" a="1"/>
  <c r="M26" i="19" s="1"/>
  <c r="M34" i="19" a="1"/>
  <c r="M34" i="19" s="1"/>
  <c r="M42" i="19" a="1"/>
  <c r="M42" i="19" s="1"/>
  <c r="M50" i="19" a="1"/>
  <c r="M50" i="19" s="1"/>
  <c r="M58" i="19" a="1"/>
  <c r="M58" i="19" s="1"/>
  <c r="M66" i="19" a="1"/>
  <c r="M66" i="19" s="1"/>
  <c r="M74" i="19" a="1"/>
  <c r="M74" i="19" s="1"/>
  <c r="M82" i="19" a="1"/>
  <c r="M82" i="19" s="1"/>
  <c r="M90" i="19" a="1"/>
  <c r="M90" i="19" s="1"/>
  <c r="M98" i="19" a="1"/>
  <c r="M98" i="19" s="1"/>
  <c r="M106" i="19" a="1"/>
  <c r="M106" i="19" s="1"/>
  <c r="M8" i="19" a="1"/>
  <c r="M8" i="19" s="1"/>
  <c r="M33" i="19" a="1"/>
  <c r="M33" i="19" s="1"/>
  <c r="M45" i="19" a="1"/>
  <c r="M45" i="19" s="1"/>
  <c r="M61" i="19" a="1"/>
  <c r="M61" i="19" s="1"/>
  <c r="M87" i="19" a="1"/>
  <c r="M87" i="19" s="1"/>
  <c r="M91" i="19" a="1"/>
  <c r="M91" i="19" s="1"/>
  <c r="M104" i="19" a="1"/>
  <c r="M104" i="19" s="1"/>
  <c r="M111" i="19" a="1"/>
  <c r="M111" i="19" s="1"/>
  <c r="M114" i="19" a="1"/>
  <c r="M114" i="19" s="1"/>
  <c r="M117" i="19" a="1"/>
  <c r="M117" i="19" s="1"/>
  <c r="M120" i="19" a="1"/>
  <c r="M120" i="19" s="1"/>
  <c r="M123" i="19" a="1"/>
  <c r="M123" i="19" s="1"/>
  <c r="M126" i="19" a="1"/>
  <c r="M126" i="19" s="1"/>
  <c r="M134" i="19" a="1"/>
  <c r="M134" i="19" s="1"/>
  <c r="M142" i="19" a="1"/>
  <c r="M142" i="19" s="1"/>
  <c r="M150" i="19" a="1"/>
  <c r="M150" i="19" s="1"/>
  <c r="M158" i="19" a="1"/>
  <c r="M158" i="19" s="1"/>
  <c r="M166" i="19" a="1"/>
  <c r="M166" i="19" s="1"/>
  <c r="M174" i="19" a="1"/>
  <c r="M174" i="19" s="1"/>
  <c r="M182" i="19" a="1"/>
  <c r="M182" i="19" s="1"/>
  <c r="M190" i="19" a="1"/>
  <c r="M190" i="19" s="1"/>
  <c r="M198" i="19" a="1"/>
  <c r="M198" i="19" s="1"/>
  <c r="M206" i="19" a="1"/>
  <c r="M206" i="19" s="1"/>
  <c r="M40" i="19" a="1"/>
  <c r="M40" i="19" s="1"/>
  <c r="M56" i="19" a="1"/>
  <c r="M56" i="19" s="1"/>
  <c r="M79" i="19" a="1"/>
  <c r="M79" i="19" s="1"/>
  <c r="M83" i="19" a="1"/>
  <c r="M83" i="19" s="1"/>
  <c r="M96" i="19" a="1"/>
  <c r="M96" i="19" s="1"/>
  <c r="M129" i="19" a="1"/>
  <c r="M129" i="19" s="1"/>
  <c r="M137" i="19" a="1"/>
  <c r="M137" i="19" s="1"/>
  <c r="M145" i="19" a="1"/>
  <c r="M145" i="19" s="1"/>
  <c r="M153" i="19" a="1"/>
  <c r="M153" i="19" s="1"/>
  <c r="M161" i="19" a="1"/>
  <c r="M161" i="19" s="1"/>
  <c r="M169" i="19" a="1"/>
  <c r="M169" i="19" s="1"/>
  <c r="M177" i="19" a="1"/>
  <c r="M177" i="19" s="1"/>
  <c r="M185" i="19" a="1"/>
  <c r="M185" i="19" s="1"/>
  <c r="M193" i="19" a="1"/>
  <c r="M193" i="19" s="1"/>
  <c r="M201" i="19" a="1"/>
  <c r="M201" i="19" s="1"/>
  <c r="M209" i="19" a="1"/>
  <c r="M209" i="19" s="1"/>
  <c r="M217" i="19" a="1"/>
  <c r="M217" i="19" s="1"/>
  <c r="M225" i="19" a="1"/>
  <c r="M225" i="19" s="1"/>
  <c r="M21" i="19" a="1"/>
  <c r="M21" i="19" s="1"/>
  <c r="M51" i="19" a="1"/>
  <c r="M51" i="19" s="1"/>
  <c r="M71" i="19" a="1"/>
  <c r="M71" i="19" s="1"/>
  <c r="M75" i="19" a="1"/>
  <c r="M75" i="19" s="1"/>
  <c r="M88" i="19" a="1"/>
  <c r="M88" i="19" s="1"/>
  <c r="M101" i="19" a="1"/>
  <c r="M101" i="19" s="1"/>
  <c r="M105" i="19" a="1"/>
  <c r="M105" i="19" s="1"/>
  <c r="M132" i="19" a="1"/>
  <c r="M132" i="19" s="1"/>
  <c r="M140" i="19" a="1"/>
  <c r="M140" i="19" s="1"/>
  <c r="M148" i="19" a="1"/>
  <c r="M148" i="19" s="1"/>
  <c r="M156" i="19" a="1"/>
  <c r="M156" i="19" s="1"/>
  <c r="M164" i="19" a="1"/>
  <c r="M164" i="19" s="1"/>
  <c r="M172" i="19" a="1"/>
  <c r="M172" i="19" s="1"/>
  <c r="M180" i="19" a="1"/>
  <c r="M180" i="19" s="1"/>
  <c r="M188" i="19" a="1"/>
  <c r="M188" i="19" s="1"/>
  <c r="M196" i="19" a="1"/>
  <c r="M196" i="19" s="1"/>
  <c r="M204" i="19" a="1"/>
  <c r="M204" i="19" s="1"/>
  <c r="M212" i="19" a="1"/>
  <c r="M212" i="19" s="1"/>
  <c r="M220" i="19" a="1"/>
  <c r="M220" i="19" s="1"/>
  <c r="M228" i="19" a="1"/>
  <c r="M228" i="19" s="1"/>
  <c r="M236" i="19" a="1"/>
  <c r="M236" i="19" s="1"/>
  <c r="M244" i="19" a="1"/>
  <c r="M244" i="19" s="1"/>
  <c r="M252" i="19" a="1"/>
  <c r="M252" i="19" s="1"/>
  <c r="M13" i="19" a="1"/>
  <c r="M13" i="19" s="1"/>
  <c r="M29" i="19" a="1"/>
  <c r="M29" i="19" s="1"/>
  <c r="M41" i="19" a="1"/>
  <c r="M41" i="19" s="1"/>
  <c r="M57" i="19" a="1"/>
  <c r="M57" i="19" s="1"/>
  <c r="M67" i="19" a="1"/>
  <c r="M67" i="19" s="1"/>
  <c r="M80" i="19" a="1"/>
  <c r="M80" i="19" s="1"/>
  <c r="M93" i="19" a="1"/>
  <c r="M93" i="19" s="1"/>
  <c r="M97" i="19" a="1"/>
  <c r="M97" i="19" s="1"/>
  <c r="M109" i="19" a="1"/>
  <c r="M109" i="19" s="1"/>
  <c r="M112" i="19" a="1"/>
  <c r="M112" i="19" s="1"/>
  <c r="M115" i="19" a="1"/>
  <c r="M115" i="19" s="1"/>
  <c r="M118" i="19" a="1"/>
  <c r="M118" i="19" s="1"/>
  <c r="M121" i="19" a="1"/>
  <c r="M121" i="19" s="1"/>
  <c r="M127" i="19" a="1"/>
  <c r="M127" i="19" s="1"/>
  <c r="M135" i="19" a="1"/>
  <c r="M135" i="19" s="1"/>
  <c r="M143" i="19" a="1"/>
  <c r="M143" i="19" s="1"/>
  <c r="M151" i="19" a="1"/>
  <c r="M151" i="19" s="1"/>
  <c r="M159" i="19" a="1"/>
  <c r="M159" i="19" s="1"/>
  <c r="M167" i="19" a="1"/>
  <c r="M167" i="19" s="1"/>
  <c r="M175" i="19" a="1"/>
  <c r="M175" i="19" s="1"/>
  <c r="M183" i="19" a="1"/>
  <c r="M183" i="19" s="1"/>
  <c r="M191" i="19" a="1"/>
  <c r="M191" i="19" s="1"/>
  <c r="M199" i="19" a="1"/>
  <c r="M199" i="19" s="1"/>
  <c r="M207" i="19" a="1"/>
  <c r="M207" i="19" s="1"/>
  <c r="M215" i="19" a="1"/>
  <c r="M215" i="19" s="1"/>
  <c r="M223" i="19" a="1"/>
  <c r="M223" i="19" s="1"/>
  <c r="M37" i="19" a="1"/>
  <c r="M37" i="19" s="1"/>
  <c r="M53" i="19" a="1"/>
  <c r="M53" i="19" s="1"/>
  <c r="M72" i="19" a="1"/>
  <c r="M72" i="19" s="1"/>
  <c r="M85" i="19" a="1"/>
  <c r="M85" i="19" s="1"/>
  <c r="M89" i="19" a="1"/>
  <c r="M89" i="19" s="1"/>
  <c r="M130" i="19" a="1"/>
  <c r="M130" i="19" s="1"/>
  <c r="M138" i="19" a="1"/>
  <c r="M138" i="19" s="1"/>
  <c r="M146" i="19" a="1"/>
  <c r="M146" i="19" s="1"/>
  <c r="M154" i="19" a="1"/>
  <c r="M154" i="19" s="1"/>
  <c r="M162" i="19" a="1"/>
  <c r="M162" i="19" s="1"/>
  <c r="M170" i="19" a="1"/>
  <c r="M170" i="19" s="1"/>
  <c r="M178" i="19" a="1"/>
  <c r="M178" i="19" s="1"/>
  <c r="M186" i="19" a="1"/>
  <c r="M186" i="19" s="1"/>
  <c r="M194" i="19" a="1"/>
  <c r="M194" i="19" s="1"/>
  <c r="M202" i="19" a="1"/>
  <c r="M202" i="19" s="1"/>
  <c r="M210" i="19" a="1"/>
  <c r="M210" i="19" s="1"/>
  <c r="M218" i="19" a="1"/>
  <c r="M218" i="19" s="1"/>
  <c r="M226" i="19" a="1"/>
  <c r="M226" i="19" s="1"/>
  <c r="M16" i="19" a="1"/>
  <c r="M16" i="19" s="1"/>
  <c r="M24" i="19" a="1"/>
  <c r="M24" i="19" s="1"/>
  <c r="M43" i="19" a="1"/>
  <c r="M43" i="19" s="1"/>
  <c r="M59" i="19" a="1"/>
  <c r="M59" i="19" s="1"/>
  <c r="M69" i="19" a="1"/>
  <c r="M69" i="19" s="1"/>
  <c r="M73" i="19" a="1"/>
  <c r="M73" i="19" s="1"/>
  <c r="M103" i="19" a="1"/>
  <c r="M103" i="19" s="1"/>
  <c r="M107" i="19" a="1"/>
  <c r="M107" i="19" s="1"/>
  <c r="M110" i="19" a="1"/>
  <c r="M110" i="19" s="1"/>
  <c r="M113" i="19" a="1"/>
  <c r="M113" i="19" s="1"/>
  <c r="M128" i="19" a="1"/>
  <c r="M128" i="19" s="1"/>
  <c r="M136" i="19" a="1"/>
  <c r="M136" i="19" s="1"/>
  <c r="M144" i="19" a="1"/>
  <c r="M144" i="19" s="1"/>
  <c r="M152" i="19" a="1"/>
  <c r="M152" i="19" s="1"/>
  <c r="M160" i="19" a="1"/>
  <c r="M160" i="19" s="1"/>
  <c r="M25" i="19" a="1"/>
  <c r="M25" i="19" s="1"/>
  <c r="M32" i="19" a="1"/>
  <c r="M32" i="19" s="1"/>
  <c r="M49" i="19" a="1"/>
  <c r="M49" i="19" s="1"/>
  <c r="M65" i="19" a="1"/>
  <c r="M65" i="19" s="1"/>
  <c r="M95" i="19" a="1"/>
  <c r="M95" i="19" s="1"/>
  <c r="M99" i="19" a="1"/>
  <c r="M99" i="19" s="1"/>
  <c r="M131" i="19" a="1"/>
  <c r="M131" i="19" s="1"/>
  <c r="M139" i="19" a="1"/>
  <c r="M139" i="19" s="1"/>
  <c r="M147" i="19" a="1"/>
  <c r="M147" i="19" s="1"/>
  <c r="M155" i="19" a="1"/>
  <c r="M155" i="19" s="1"/>
  <c r="M163" i="19" a="1"/>
  <c r="M163" i="19" s="1"/>
  <c r="M171" i="19" a="1"/>
  <c r="M171" i="19" s="1"/>
  <c r="M179" i="19" a="1"/>
  <c r="M179" i="19" s="1"/>
  <c r="M187" i="19" a="1"/>
  <c r="M187" i="19" s="1"/>
  <c r="M195" i="19" a="1"/>
  <c r="M195" i="19" s="1"/>
  <c r="M203" i="19" a="1"/>
  <c r="M203" i="19" s="1"/>
  <c r="M211" i="19" a="1"/>
  <c r="M211" i="19" s="1"/>
  <c r="M219" i="19" a="1"/>
  <c r="M219" i="19" s="1"/>
  <c r="M227" i="19" a="1"/>
  <c r="M227" i="19" s="1"/>
  <c r="M235" i="19" a="1"/>
  <c r="M235" i="19" s="1"/>
  <c r="M243" i="19" a="1"/>
  <c r="M243" i="19" s="1"/>
  <c r="M251" i="19" a="1"/>
  <c r="M251" i="19" s="1"/>
  <c r="M48" i="19" a="1"/>
  <c r="M48" i="19" s="1"/>
  <c r="M192" i="19" a="1"/>
  <c r="M192" i="19" s="1"/>
  <c r="M233" i="19" a="1"/>
  <c r="M233" i="19" s="1"/>
  <c r="M240" i="19" a="1"/>
  <c r="M240" i="19" s="1"/>
  <c r="M254" i="19" a="1"/>
  <c r="M254" i="19" s="1"/>
  <c r="M119" i="19" a="1"/>
  <c r="M119" i="19" s="1"/>
  <c r="M141" i="19" a="1"/>
  <c r="M141" i="19" s="1"/>
  <c r="M173" i="19" a="1"/>
  <c r="M173" i="19" s="1"/>
  <c r="M205" i="19" a="1"/>
  <c r="M205" i="19" s="1"/>
  <c r="M213" i="19" a="1"/>
  <c r="M213" i="19" s="1"/>
  <c r="M230" i="19" a="1"/>
  <c r="M230" i="19" s="1"/>
  <c r="M237" i="19" a="1"/>
  <c r="M237" i="19" s="1"/>
  <c r="M122" i="19" a="1"/>
  <c r="M122" i="19" s="1"/>
  <c r="M184" i="19" a="1"/>
  <c r="M184" i="19" s="1"/>
  <c r="M221" i="19" a="1"/>
  <c r="M221" i="19" s="1"/>
  <c r="M234" i="19" a="1"/>
  <c r="M234" i="19" s="1"/>
  <c r="M241" i="19" a="1"/>
  <c r="M241" i="19" s="1"/>
  <c r="M248" i="19" a="1"/>
  <c r="M248" i="19" s="1"/>
  <c r="M64" i="19" a="1"/>
  <c r="M64" i="19" s="1"/>
  <c r="M125" i="19" a="1"/>
  <c r="M125" i="19" s="1"/>
  <c r="M165" i="19" a="1"/>
  <c r="M165" i="19" s="1"/>
  <c r="M197" i="19" a="1"/>
  <c r="M197" i="19" s="1"/>
  <c r="M214" i="19" a="1"/>
  <c r="M214" i="19" s="1"/>
  <c r="M231" i="19" a="1"/>
  <c r="M231" i="19" s="1"/>
  <c r="M238" i="19" a="1"/>
  <c r="M238" i="19" s="1"/>
  <c r="M245" i="19" a="1"/>
  <c r="M245" i="19" s="1"/>
  <c r="M149" i="19" a="1"/>
  <c r="M149" i="19" s="1"/>
  <c r="M176" i="19" a="1"/>
  <c r="M176" i="19" s="1"/>
  <c r="M208" i="19" a="1"/>
  <c r="M208" i="19" s="1"/>
  <c r="M222" i="19" a="1"/>
  <c r="M222" i="19" s="1"/>
  <c r="M242" i="19" a="1"/>
  <c r="M242" i="19" s="1"/>
  <c r="M249" i="19" a="1"/>
  <c r="M249" i="19" s="1"/>
  <c r="M189" i="19" a="1"/>
  <c r="M189" i="19" s="1"/>
  <c r="M216" i="19" a="1"/>
  <c r="M216" i="19" s="1"/>
  <c r="M239" i="19" a="1"/>
  <c r="M239" i="19" s="1"/>
  <c r="M246" i="19" a="1"/>
  <c r="M246" i="19" s="1"/>
  <c r="M253" i="19" a="1"/>
  <c r="M253" i="19" s="1"/>
  <c r="M77" i="19" a="1"/>
  <c r="M77" i="19" s="1"/>
  <c r="M133" i="19" a="1"/>
  <c r="M133" i="19" s="1"/>
  <c r="M168" i="19" a="1"/>
  <c r="M168" i="19" s="1"/>
  <c r="M200" i="19" a="1"/>
  <c r="M200" i="19" s="1"/>
  <c r="M224" i="19" a="1"/>
  <c r="M224" i="19" s="1"/>
  <c r="M232" i="19" a="1"/>
  <c r="M232" i="19" s="1"/>
  <c r="M250" i="19" a="1"/>
  <c r="M250" i="19" s="1"/>
  <c r="M81" i="19" a="1"/>
  <c r="M81" i="19" s="1"/>
  <c r="M247" i="19" a="1"/>
  <c r="M247" i="19" s="1"/>
  <c r="M157" i="19" a="1"/>
  <c r="M157" i="19" s="1"/>
  <c r="M229" i="19" a="1"/>
  <c r="M229" i="19" s="1"/>
  <c r="M181" i="19" a="1"/>
  <c r="M181" i="19" s="1"/>
  <c r="M6" i="19" a="1"/>
  <c r="M6" i="19" s="1"/>
  <c r="W17" i="28" l="1"/>
  <c r="Z19" i="28"/>
  <c r="Z17" i="28" s="1"/>
  <c r="AA19" i="28"/>
  <c r="AA17" i="28" s="1"/>
  <c r="AB19" i="28"/>
  <c r="AB17" i="28" s="1"/>
  <c r="Y19" i="28"/>
  <c r="Y17" i="28" s="1"/>
  <c r="Q115" i="1"/>
  <c r="R115" i="1"/>
  <c r="R105" i="1"/>
  <c r="Q105" i="1"/>
  <c r="Q86" i="1"/>
  <c r="R86" i="1"/>
  <c r="R257" i="1"/>
  <c r="Q257" i="1"/>
  <c r="R239" i="1"/>
  <c r="Q239" i="1"/>
  <c r="Q61" i="1"/>
  <c r="R61" i="1"/>
  <c r="R177" i="1"/>
  <c r="Q177" i="1"/>
  <c r="R43" i="1"/>
  <c r="Q43" i="1"/>
  <c r="R47" i="1"/>
  <c r="Q47" i="1"/>
  <c r="R36" i="1"/>
  <c r="Q36" i="1"/>
  <c r="R40" i="1"/>
  <c r="Q40" i="1"/>
  <c r="R214" i="1"/>
  <c r="Q214" i="1"/>
  <c r="R97" i="1"/>
  <c r="Q97" i="1"/>
  <c r="Q169" i="1"/>
  <c r="R169" i="1"/>
  <c r="R49" i="1"/>
  <c r="Q49" i="1"/>
  <c r="Q208" i="1"/>
  <c r="R208" i="1"/>
  <c r="Q178" i="1"/>
  <c r="R178" i="1"/>
  <c r="R250" i="1"/>
  <c r="Q250" i="1"/>
  <c r="Q240" i="1"/>
  <c r="R240" i="1"/>
  <c r="R54" i="1"/>
  <c r="Q54" i="1"/>
  <c r="R127" i="1"/>
  <c r="Q127" i="1"/>
  <c r="R60" i="1"/>
  <c r="Q60" i="1"/>
  <c r="R252" i="1"/>
  <c r="Q252" i="1"/>
  <c r="R119" i="1"/>
  <c r="Q119" i="1"/>
  <c r="Q248" i="1"/>
  <c r="R248" i="1"/>
  <c r="R206" i="1"/>
  <c r="Q206" i="1"/>
  <c r="R247" i="1"/>
  <c r="Q247" i="1"/>
  <c r="Q122" i="1"/>
  <c r="R122" i="1"/>
  <c r="R126" i="1"/>
  <c r="Q126" i="1"/>
  <c r="R6" i="1"/>
  <c r="Q6" i="1"/>
  <c r="R253" i="1"/>
  <c r="Q253" i="1"/>
  <c r="Q59" i="1"/>
  <c r="R59" i="1"/>
  <c r="R65" i="1"/>
  <c r="Q65" i="1"/>
  <c r="R63" i="1"/>
  <c r="Q63" i="1"/>
  <c r="Q51" i="1"/>
  <c r="R51" i="1"/>
  <c r="R57" i="1"/>
  <c r="Q57" i="1"/>
  <c r="R55" i="1"/>
  <c r="Q55" i="1"/>
  <c r="R94" i="1"/>
  <c r="Q94" i="1"/>
  <c r="R244" i="1"/>
  <c r="Q244" i="1"/>
  <c r="Q242" i="1"/>
  <c r="R242" i="1"/>
  <c r="R232" i="1"/>
  <c r="Q232" i="1"/>
  <c r="R100" i="1"/>
  <c r="Q100" i="1"/>
  <c r="R212" i="1"/>
  <c r="Q212" i="1"/>
  <c r="R233" i="1"/>
  <c r="Q233" i="1"/>
  <c r="Q109" i="1"/>
  <c r="R109" i="1"/>
  <c r="R224" i="1"/>
  <c r="Q224" i="1"/>
  <c r="R28" i="1"/>
  <c r="Q28" i="1"/>
  <c r="R10" i="1"/>
  <c r="Q10" i="1"/>
  <c r="Q32" i="1"/>
  <c r="R32" i="1"/>
  <c r="R147" i="1"/>
  <c r="Q147" i="1"/>
  <c r="R258" i="1"/>
  <c r="Q258" i="1"/>
  <c r="R218" i="1"/>
  <c r="Q218" i="1"/>
  <c r="Q184" i="1"/>
  <c r="R184" i="1"/>
  <c r="Q163" i="1"/>
  <c r="R163" i="1"/>
  <c r="R205" i="1"/>
  <c r="Q205" i="1"/>
  <c r="R211" i="1"/>
  <c r="Q211" i="1"/>
  <c r="R201" i="1"/>
  <c r="Q201" i="1"/>
  <c r="Q199" i="1"/>
  <c r="R199" i="1"/>
  <c r="Q174" i="1"/>
  <c r="R174" i="1"/>
  <c r="R134" i="1"/>
  <c r="Q134" i="1"/>
  <c r="R185" i="1"/>
  <c r="Q185" i="1"/>
  <c r="R235" i="1"/>
  <c r="Q235" i="1"/>
  <c r="Q256" i="1"/>
  <c r="R256" i="1"/>
  <c r="R246" i="1"/>
  <c r="Q246" i="1"/>
  <c r="R228" i="1"/>
  <c r="Q228" i="1"/>
  <c r="R249" i="1"/>
  <c r="Q249" i="1"/>
  <c r="R22" i="1"/>
  <c r="Q22" i="1"/>
  <c r="R186" i="1"/>
  <c r="Q186" i="1"/>
  <c r="R175" i="1"/>
  <c r="Q175" i="1"/>
  <c r="R181" i="1"/>
  <c r="Q181" i="1"/>
  <c r="Q171" i="1"/>
  <c r="R171" i="1"/>
  <c r="R37" i="1"/>
  <c r="Q37" i="1"/>
  <c r="R144" i="1"/>
  <c r="Q144" i="1"/>
  <c r="R172" i="1"/>
  <c r="Q172" i="1"/>
  <c r="R254" i="1"/>
  <c r="Q254" i="1"/>
  <c r="R192" i="1"/>
  <c r="Q192" i="1"/>
  <c r="R221" i="1"/>
  <c r="Q221" i="1"/>
  <c r="Q227" i="1"/>
  <c r="R227" i="1"/>
  <c r="R217" i="1"/>
  <c r="Q217" i="1"/>
  <c r="R21" i="1"/>
  <c r="Q21" i="1"/>
  <c r="R190" i="1"/>
  <c r="Q190" i="1"/>
  <c r="R150" i="1"/>
  <c r="Q150" i="1"/>
  <c r="R198" i="1"/>
  <c r="Q198" i="1"/>
  <c r="R131" i="1"/>
  <c r="Q131" i="1"/>
  <c r="R137" i="1"/>
  <c r="Q137" i="1"/>
  <c r="R151" i="1"/>
  <c r="Q151" i="1"/>
  <c r="R141" i="1"/>
  <c r="Q141" i="1"/>
  <c r="R132" i="1"/>
  <c r="Q132" i="1"/>
  <c r="Q113" i="1"/>
  <c r="R113" i="1"/>
  <c r="R72" i="1"/>
  <c r="Q72" i="1"/>
  <c r="R154" i="1"/>
  <c r="Q154" i="1"/>
  <c r="R124" i="1"/>
  <c r="Q124" i="1"/>
  <c r="R166" i="1"/>
  <c r="Q166" i="1"/>
  <c r="R195" i="1"/>
  <c r="Q195" i="1"/>
  <c r="R116" i="1"/>
  <c r="Q116" i="1"/>
  <c r="R160" i="1"/>
  <c r="Q160" i="1"/>
  <c r="R188" i="1"/>
  <c r="Q188" i="1"/>
  <c r="Q216" i="1"/>
  <c r="R216" i="1"/>
  <c r="R238" i="1"/>
  <c r="Q238" i="1"/>
  <c r="Q106" i="1"/>
  <c r="R106" i="1"/>
  <c r="R120" i="1"/>
  <c r="Q120" i="1"/>
  <c r="R110" i="1"/>
  <c r="Q110" i="1"/>
  <c r="R99" i="1"/>
  <c r="Q99" i="1"/>
  <c r="R82" i="1"/>
  <c r="Q82" i="1"/>
  <c r="R103" i="1"/>
  <c r="Q103" i="1"/>
  <c r="R156" i="1"/>
  <c r="Q156" i="1"/>
  <c r="R125" i="1"/>
  <c r="Q125" i="1"/>
  <c r="R153" i="1"/>
  <c r="Q153" i="1"/>
  <c r="R165" i="1"/>
  <c r="Q165" i="1"/>
  <c r="R157" i="1"/>
  <c r="Q157" i="1"/>
  <c r="R84" i="1"/>
  <c r="Q84" i="1"/>
  <c r="R129" i="1"/>
  <c r="Q129" i="1"/>
  <c r="R88" i="1"/>
  <c r="Q88" i="1"/>
  <c r="R161" i="1"/>
  <c r="Q161" i="1"/>
  <c r="R207" i="1"/>
  <c r="Q207" i="1"/>
  <c r="Q75" i="1"/>
  <c r="R75" i="1"/>
  <c r="R81" i="1"/>
  <c r="Q81" i="1"/>
  <c r="R79" i="1"/>
  <c r="Q79" i="1"/>
  <c r="R69" i="1"/>
  <c r="Q69" i="1"/>
  <c r="R50" i="1"/>
  <c r="Q50" i="1"/>
  <c r="Q8" i="1"/>
  <c r="R8" i="1"/>
  <c r="R162" i="1"/>
  <c r="Q162" i="1"/>
  <c r="R223" i="1"/>
  <c r="Q223" i="1"/>
  <c r="Q91" i="1"/>
  <c r="R91" i="1"/>
  <c r="R104" i="1"/>
  <c r="Q104" i="1"/>
  <c r="R95" i="1"/>
  <c r="Q95" i="1"/>
  <c r="R20" i="1"/>
  <c r="Q20" i="1"/>
  <c r="R66" i="1"/>
  <c r="Q66" i="1"/>
  <c r="Q24" i="1"/>
  <c r="R24" i="1"/>
  <c r="R215" i="1"/>
  <c r="Q215" i="1"/>
  <c r="R139" i="1"/>
  <c r="Q139" i="1"/>
  <c r="R11" i="1"/>
  <c r="Q11" i="1"/>
  <c r="R17" i="1"/>
  <c r="Q17" i="1"/>
  <c r="R15" i="1"/>
  <c r="Q15" i="1"/>
  <c r="Q68" i="1"/>
  <c r="R68" i="1"/>
  <c r="Q203" i="1"/>
  <c r="R203" i="1"/>
  <c r="R255" i="1"/>
  <c r="Q255" i="1"/>
  <c r="R18" i="1"/>
  <c r="Q18" i="1"/>
  <c r="Q146" i="1"/>
  <c r="R146" i="1"/>
  <c r="R170" i="1"/>
  <c r="Q170" i="1"/>
  <c r="R123" i="1"/>
  <c r="Q123" i="1"/>
  <c r="R42" i="1"/>
  <c r="Q42" i="1"/>
  <c r="Q64" i="1"/>
  <c r="R64" i="1"/>
  <c r="R52" i="1"/>
  <c r="Q52" i="1"/>
  <c r="R34" i="1"/>
  <c r="Q34" i="1"/>
  <c r="R56" i="1"/>
  <c r="Q56" i="1"/>
  <c r="R53" i="1"/>
  <c r="Q53" i="1"/>
  <c r="Q108" i="1"/>
  <c r="R108" i="1"/>
  <c r="R220" i="1"/>
  <c r="Q220" i="1"/>
  <c r="R241" i="1"/>
  <c r="Q241" i="1"/>
  <c r="R117" i="1"/>
  <c r="Q117" i="1"/>
  <c r="Q236" i="1"/>
  <c r="R236" i="1"/>
  <c r="R234" i="1"/>
  <c r="Q234" i="1"/>
  <c r="R225" i="1"/>
  <c r="Q225" i="1"/>
  <c r="Q38" i="1"/>
  <c r="R38" i="1"/>
  <c r="R155" i="1"/>
  <c r="Q155" i="1"/>
  <c r="R27" i="1"/>
  <c r="Q27" i="1"/>
  <c r="Q33" i="1"/>
  <c r="R33" i="1"/>
  <c r="R31" i="1"/>
  <c r="Q31" i="1"/>
  <c r="R213" i="1"/>
  <c r="Q213" i="1"/>
  <c r="R219" i="1"/>
  <c r="Q219" i="1"/>
  <c r="R209" i="1"/>
  <c r="Q209" i="1"/>
  <c r="R85" i="1"/>
  <c r="Q85" i="1"/>
  <c r="R77" i="1"/>
  <c r="Q77" i="1"/>
  <c r="R251" i="1"/>
  <c r="Q251" i="1"/>
  <c r="R210" i="1"/>
  <c r="Q210" i="1"/>
  <c r="R200" i="1"/>
  <c r="Q200" i="1"/>
  <c r="Q197" i="1"/>
  <c r="R197" i="1"/>
  <c r="Q143" i="1"/>
  <c r="R143" i="1"/>
  <c r="Q194" i="1"/>
  <c r="R194" i="1"/>
  <c r="R152" i="1"/>
  <c r="Q152" i="1"/>
  <c r="R30" i="1"/>
  <c r="Q30" i="1"/>
  <c r="R167" i="1"/>
  <c r="Q167" i="1"/>
  <c r="R173" i="1"/>
  <c r="Q173" i="1"/>
  <c r="R164" i="1"/>
  <c r="Q164" i="1"/>
  <c r="R237" i="1"/>
  <c r="Q237" i="1"/>
  <c r="R93" i="1"/>
  <c r="Q93" i="1"/>
  <c r="R204" i="1"/>
  <c r="Q204" i="1"/>
  <c r="R226" i="1"/>
  <c r="Q226" i="1"/>
  <c r="R101" i="1"/>
  <c r="Q101" i="1"/>
  <c r="Q145" i="1"/>
  <c r="R145" i="1"/>
  <c r="R159" i="1"/>
  <c r="Q159" i="1"/>
  <c r="R149" i="1"/>
  <c r="Q149" i="1"/>
  <c r="R176" i="1"/>
  <c r="Q176" i="1"/>
  <c r="R13" i="1"/>
  <c r="Q13" i="1"/>
  <c r="R182" i="1"/>
  <c r="Q182" i="1"/>
  <c r="R142" i="1"/>
  <c r="Q142" i="1"/>
  <c r="R138" i="1"/>
  <c r="Q138" i="1"/>
  <c r="R130" i="1"/>
  <c r="Q130" i="1"/>
  <c r="R73" i="1"/>
  <c r="Q73" i="1"/>
  <c r="R133" i="1"/>
  <c r="Q133" i="1"/>
  <c r="R45" i="1"/>
  <c r="Q45" i="1"/>
  <c r="Q180" i="1"/>
  <c r="R180" i="1"/>
  <c r="Q140" i="1"/>
  <c r="R140" i="1"/>
  <c r="R14" i="1"/>
  <c r="Q14" i="1"/>
  <c r="R191" i="1"/>
  <c r="Q191" i="1"/>
  <c r="R196" i="1"/>
  <c r="Q196" i="1"/>
  <c r="R187" i="1"/>
  <c r="Q187" i="1"/>
  <c r="Q183" i="1"/>
  <c r="R183" i="1"/>
  <c r="R189" i="1"/>
  <c r="Q189" i="1"/>
  <c r="R179" i="1"/>
  <c r="Q179" i="1"/>
  <c r="R245" i="1"/>
  <c r="Q245" i="1"/>
  <c r="R107" i="1"/>
  <c r="Q107" i="1"/>
  <c r="R90" i="1"/>
  <c r="Q90" i="1"/>
  <c r="Q111" i="1"/>
  <c r="R111" i="1"/>
  <c r="R222" i="1"/>
  <c r="Q222" i="1"/>
  <c r="R98" i="1"/>
  <c r="Q98" i="1"/>
  <c r="R112" i="1"/>
  <c r="Q112" i="1"/>
  <c r="R102" i="1"/>
  <c r="Q102" i="1"/>
  <c r="R46" i="1"/>
  <c r="Q46" i="1"/>
  <c r="R29" i="1"/>
  <c r="Q29" i="1"/>
  <c r="R136" i="1"/>
  <c r="Q136" i="1"/>
  <c r="Q158" i="1"/>
  <c r="R158" i="1"/>
  <c r="R193" i="1"/>
  <c r="Q193" i="1"/>
  <c r="R83" i="1"/>
  <c r="Q83" i="1"/>
  <c r="Q89" i="1"/>
  <c r="R89" i="1"/>
  <c r="R87" i="1"/>
  <c r="Q87" i="1"/>
  <c r="R231" i="1"/>
  <c r="Q231" i="1"/>
  <c r="R76" i="1"/>
  <c r="Q76" i="1"/>
  <c r="R121" i="1"/>
  <c r="Q121" i="1"/>
  <c r="Q80" i="1"/>
  <c r="R80" i="1"/>
  <c r="R78" i="1"/>
  <c r="Q78" i="1"/>
  <c r="R67" i="1"/>
  <c r="Q67" i="1"/>
  <c r="R9" i="1"/>
  <c r="Q9" i="1"/>
  <c r="R71" i="1"/>
  <c r="Q71" i="1"/>
  <c r="R135" i="1"/>
  <c r="Q135" i="1"/>
  <c r="R114" i="1"/>
  <c r="Q114" i="1"/>
  <c r="R128" i="1"/>
  <c r="Q128" i="1"/>
  <c r="Q118" i="1"/>
  <c r="R118" i="1"/>
  <c r="R148" i="1"/>
  <c r="Q148" i="1"/>
  <c r="R44" i="1"/>
  <c r="Q44" i="1"/>
  <c r="R26" i="1"/>
  <c r="Q26" i="1"/>
  <c r="Q48" i="1"/>
  <c r="R48" i="1"/>
  <c r="R230" i="1"/>
  <c r="Q230" i="1"/>
  <c r="R35" i="1"/>
  <c r="Q35" i="1"/>
  <c r="R41" i="1"/>
  <c r="Q41" i="1"/>
  <c r="Q39" i="1"/>
  <c r="R39" i="1"/>
  <c r="R229" i="1"/>
  <c r="Q229" i="1"/>
  <c r="Q92" i="1"/>
  <c r="R92" i="1"/>
  <c r="R74" i="1"/>
  <c r="Q74" i="1"/>
  <c r="Q96" i="1"/>
  <c r="R96" i="1"/>
  <c r="R62" i="1"/>
  <c r="Q62" i="1"/>
  <c r="Q19" i="1"/>
  <c r="R19" i="1"/>
  <c r="R25" i="1"/>
  <c r="Q25" i="1"/>
  <c r="R23" i="1"/>
  <c r="Q23" i="1"/>
  <c r="R168" i="1"/>
  <c r="Q168" i="1"/>
  <c r="R12" i="1"/>
  <c r="Q12" i="1"/>
  <c r="R58" i="1"/>
  <c r="Q58" i="1"/>
  <c r="R16" i="1"/>
  <c r="Q16" i="1"/>
  <c r="R70" i="1"/>
  <c r="Q70" i="1"/>
  <c r="R243" i="1"/>
  <c r="Q243" i="1"/>
  <c r="R202" i="1"/>
  <c r="Q202" i="1"/>
  <c r="R7" i="1"/>
  <c r="Q7" i="1"/>
  <c r="O247" i="19"/>
  <c r="O238" i="19"/>
  <c r="O248" i="19"/>
  <c r="O230" i="19"/>
  <c r="O254" i="19"/>
  <c r="O227" i="19"/>
  <c r="O163" i="19"/>
  <c r="O49" i="19"/>
  <c r="O113" i="19"/>
  <c r="O24" i="19"/>
  <c r="O178" i="19"/>
  <c r="O85" i="19"/>
  <c r="O191" i="19"/>
  <c r="O127" i="19"/>
  <c r="O80" i="19"/>
  <c r="O196" i="19"/>
  <c r="O132" i="19"/>
  <c r="U11" i="18"/>
  <c r="O225" i="19"/>
  <c r="O161" i="19"/>
  <c r="O56" i="19"/>
  <c r="O158" i="19"/>
  <c r="O114" i="19"/>
  <c r="O8" i="19"/>
  <c r="O50" i="19"/>
  <c r="O47" i="19"/>
  <c r="O108" i="19"/>
  <c r="O44" i="19"/>
  <c r="O102" i="19"/>
  <c r="O38" i="19"/>
  <c r="O81" i="19"/>
  <c r="O250" i="19"/>
  <c r="O231" i="19"/>
  <c r="O241" i="19"/>
  <c r="O213" i="19"/>
  <c r="O240" i="19"/>
  <c r="O219" i="19"/>
  <c r="O155" i="19"/>
  <c r="O32" i="19"/>
  <c r="O110" i="19"/>
  <c r="O16" i="19"/>
  <c r="O170" i="19"/>
  <c r="O72" i="19"/>
  <c r="O183" i="19"/>
  <c r="O121" i="19"/>
  <c r="O67" i="19"/>
  <c r="O252" i="19"/>
  <c r="O188" i="19"/>
  <c r="O105" i="19"/>
  <c r="O217" i="19"/>
  <c r="O153" i="19"/>
  <c r="U7" i="18"/>
  <c r="O40" i="19"/>
  <c r="O150" i="19"/>
  <c r="O111" i="19"/>
  <c r="O106" i="19"/>
  <c r="O42" i="19"/>
  <c r="O39" i="19"/>
  <c r="O100" i="19"/>
  <c r="O36" i="19"/>
  <c r="O94" i="19"/>
  <c r="O30" i="19"/>
  <c r="O229" i="19"/>
  <c r="O232" i="19"/>
  <c r="O249" i="19"/>
  <c r="O214" i="19"/>
  <c r="O234" i="19"/>
  <c r="O205" i="19"/>
  <c r="O233" i="19"/>
  <c r="O211" i="19"/>
  <c r="O147" i="19"/>
  <c r="U6" i="18"/>
  <c r="O25" i="19"/>
  <c r="O107" i="19"/>
  <c r="O226" i="19"/>
  <c r="O162" i="19"/>
  <c r="O53" i="19"/>
  <c r="U10" i="18"/>
  <c r="O175" i="19"/>
  <c r="O118" i="19"/>
  <c r="O57" i="19"/>
  <c r="O244" i="19"/>
  <c r="O180" i="19"/>
  <c r="O101" i="19"/>
  <c r="O209" i="19"/>
  <c r="O145" i="19"/>
  <c r="O206" i="19"/>
  <c r="O142" i="19"/>
  <c r="O104" i="19"/>
  <c r="O98" i="19"/>
  <c r="O34" i="19"/>
  <c r="O31" i="19"/>
  <c r="O92" i="19"/>
  <c r="O28" i="19"/>
  <c r="O86" i="19"/>
  <c r="O22" i="19"/>
  <c r="U3" i="18"/>
  <c r="O6" i="19"/>
  <c r="O157" i="19"/>
  <c r="O224" i="19"/>
  <c r="O253" i="19"/>
  <c r="O242" i="19"/>
  <c r="O197" i="19"/>
  <c r="O221" i="19"/>
  <c r="O173" i="19"/>
  <c r="O192" i="19"/>
  <c r="O203" i="19"/>
  <c r="O139" i="19"/>
  <c r="O160" i="19"/>
  <c r="O103" i="19"/>
  <c r="O218" i="19"/>
  <c r="O154" i="19"/>
  <c r="O37" i="19"/>
  <c r="O167" i="19"/>
  <c r="O115" i="19"/>
  <c r="O41" i="19"/>
  <c r="O236" i="19"/>
  <c r="O172" i="19"/>
  <c r="O88" i="19"/>
  <c r="O201" i="19"/>
  <c r="O137" i="19"/>
  <c r="O198" i="19"/>
  <c r="O134" i="19"/>
  <c r="O91" i="19"/>
  <c r="O90" i="19"/>
  <c r="O26" i="19"/>
  <c r="O23" i="19"/>
  <c r="O84" i="19"/>
  <c r="O20" i="19"/>
  <c r="O78" i="19"/>
  <c r="O14" i="19"/>
  <c r="O181" i="19"/>
  <c r="O200" i="19"/>
  <c r="O246" i="19"/>
  <c r="O222" i="19"/>
  <c r="O165" i="19"/>
  <c r="O184" i="19"/>
  <c r="O141" i="19"/>
  <c r="O48" i="19"/>
  <c r="O195" i="19"/>
  <c r="O131" i="19"/>
  <c r="O152" i="19"/>
  <c r="O73" i="19"/>
  <c r="O210" i="19"/>
  <c r="O146" i="19"/>
  <c r="O223" i="19"/>
  <c r="O159" i="19"/>
  <c r="O112" i="19"/>
  <c r="O29" i="19"/>
  <c r="O228" i="19"/>
  <c r="O164" i="19"/>
  <c r="O75" i="19"/>
  <c r="O193" i="19"/>
  <c r="O129" i="19"/>
  <c r="O190" i="19"/>
  <c r="O126" i="19"/>
  <c r="O87" i="19"/>
  <c r="O82" i="19"/>
  <c r="U5" i="18"/>
  <c r="O18" i="19"/>
  <c r="O15" i="19"/>
  <c r="O76" i="19"/>
  <c r="U4" i="18"/>
  <c r="O12" i="19"/>
  <c r="O70" i="19"/>
  <c r="O35" i="19"/>
  <c r="O168" i="19"/>
  <c r="O239" i="19"/>
  <c r="O208" i="19"/>
  <c r="O125" i="19"/>
  <c r="O122" i="19"/>
  <c r="O119" i="19"/>
  <c r="O251" i="19"/>
  <c r="O187" i="19"/>
  <c r="O99" i="19"/>
  <c r="O144" i="19"/>
  <c r="O69" i="19"/>
  <c r="O202" i="19"/>
  <c r="O138" i="19"/>
  <c r="O215" i="19"/>
  <c r="O151" i="19"/>
  <c r="U9" i="18"/>
  <c r="O109" i="19"/>
  <c r="O13" i="19"/>
  <c r="O220" i="19"/>
  <c r="O156" i="19"/>
  <c r="O71" i="19"/>
  <c r="O185" i="19"/>
  <c r="O96" i="19"/>
  <c r="O182" i="19"/>
  <c r="O123" i="19"/>
  <c r="O61" i="19"/>
  <c r="O74" i="19"/>
  <c r="O10" i="19"/>
  <c r="O68" i="19"/>
  <c r="O17" i="19"/>
  <c r="O62" i="19"/>
  <c r="O27" i="19"/>
  <c r="O133" i="19"/>
  <c r="O216" i="19"/>
  <c r="O176" i="19"/>
  <c r="O64" i="19"/>
  <c r="O243" i="19"/>
  <c r="O179" i="19"/>
  <c r="O95" i="19"/>
  <c r="O136" i="19"/>
  <c r="O59" i="19"/>
  <c r="O194" i="19"/>
  <c r="O130" i="19"/>
  <c r="O207" i="19"/>
  <c r="O143" i="19"/>
  <c r="O97" i="19"/>
  <c r="O212" i="19"/>
  <c r="O148" i="19"/>
  <c r="O51" i="19"/>
  <c r="O177" i="19"/>
  <c r="O83" i="19"/>
  <c r="O174" i="19"/>
  <c r="O120" i="19"/>
  <c r="O45" i="19"/>
  <c r="O66" i="19"/>
  <c r="O63" i="19"/>
  <c r="O124" i="19"/>
  <c r="U8" i="18"/>
  <c r="O60" i="19"/>
  <c r="O9" i="19"/>
  <c r="O54" i="19"/>
  <c r="O19" i="19"/>
  <c r="O77" i="19"/>
  <c r="O189" i="19"/>
  <c r="O149" i="19"/>
  <c r="O245" i="19"/>
  <c r="O237" i="19"/>
  <c r="O235" i="19"/>
  <c r="O171" i="19"/>
  <c r="O65" i="19"/>
  <c r="O128" i="19"/>
  <c r="O43" i="19"/>
  <c r="O186" i="19"/>
  <c r="O89" i="19"/>
  <c r="O199" i="19"/>
  <c r="O135" i="19"/>
  <c r="O93" i="19"/>
  <c r="O204" i="19"/>
  <c r="O140" i="19"/>
  <c r="O21" i="19"/>
  <c r="O169" i="19"/>
  <c r="O79" i="19"/>
  <c r="O166" i="19"/>
  <c r="O117" i="19"/>
  <c r="O33" i="19"/>
  <c r="O58" i="19"/>
  <c r="O55" i="19"/>
  <c r="O116" i="19"/>
  <c r="O52" i="19"/>
  <c r="O7" i="19"/>
  <c r="O46" i="19"/>
  <c r="O11" i="19"/>
  <c r="S89" i="1" l="1"/>
  <c r="J89" i="1"/>
  <c r="K89" i="1" s="1"/>
  <c r="S197" i="1"/>
  <c r="J197" i="1"/>
  <c r="K197" i="1" s="1"/>
  <c r="J236" i="1"/>
  <c r="K236" i="1" s="1"/>
  <c r="S236" i="1"/>
  <c r="S203" i="1"/>
  <c r="J203" i="1"/>
  <c r="K203" i="1" s="1"/>
  <c r="J242" i="1"/>
  <c r="K242" i="1" s="1"/>
  <c r="S242" i="1"/>
  <c r="S59" i="1"/>
  <c r="J59" i="1"/>
  <c r="K59" i="1" s="1"/>
  <c r="J208" i="1"/>
  <c r="K208" i="1" s="1"/>
  <c r="S208" i="1"/>
  <c r="J58" i="1"/>
  <c r="K58" i="1" s="1"/>
  <c r="S58" i="1"/>
  <c r="S74" i="1"/>
  <c r="J74" i="1"/>
  <c r="K74" i="1" s="1"/>
  <c r="J26" i="1"/>
  <c r="K26" i="1" s="1"/>
  <c r="S26" i="1"/>
  <c r="J9" i="1"/>
  <c r="K9" i="1" s="1"/>
  <c r="S9" i="1"/>
  <c r="S112" i="1"/>
  <c r="J112" i="1"/>
  <c r="K112" i="1" s="1"/>
  <c r="S189" i="1"/>
  <c r="J189" i="1"/>
  <c r="K189" i="1" s="1"/>
  <c r="S45" i="1"/>
  <c r="J45" i="1"/>
  <c r="K45" i="1" s="1"/>
  <c r="J176" i="1"/>
  <c r="K176" i="1" s="1"/>
  <c r="S176" i="1"/>
  <c r="S237" i="1"/>
  <c r="J237" i="1"/>
  <c r="K237" i="1" s="1"/>
  <c r="J213" i="1"/>
  <c r="K213" i="1" s="1"/>
  <c r="S213" i="1"/>
  <c r="S52" i="1"/>
  <c r="J52" i="1"/>
  <c r="K52" i="1" s="1"/>
  <c r="S66" i="1"/>
  <c r="J66" i="1"/>
  <c r="K66" i="1" s="1"/>
  <c r="S50" i="1"/>
  <c r="J50" i="1"/>
  <c r="K50" i="1" s="1"/>
  <c r="S129" i="1"/>
  <c r="J129" i="1"/>
  <c r="K129" i="1" s="1"/>
  <c r="S82" i="1"/>
  <c r="J82" i="1"/>
  <c r="K82" i="1" s="1"/>
  <c r="J160" i="1"/>
  <c r="K160" i="1" s="1"/>
  <c r="S160" i="1"/>
  <c r="S132" i="1"/>
  <c r="J132" i="1"/>
  <c r="K132" i="1" s="1"/>
  <c r="S21" i="1"/>
  <c r="J21" i="1"/>
  <c r="K21" i="1" s="1"/>
  <c r="S37" i="1"/>
  <c r="J37" i="1"/>
  <c r="K37" i="1" s="1"/>
  <c r="J246" i="1"/>
  <c r="K246" i="1" s="1"/>
  <c r="S246" i="1"/>
  <c r="J211" i="1"/>
  <c r="K211" i="1" s="1"/>
  <c r="S211" i="1"/>
  <c r="S10" i="1"/>
  <c r="J10" i="1"/>
  <c r="K10" i="1" s="1"/>
  <c r="S119" i="1"/>
  <c r="J119" i="1"/>
  <c r="K119" i="1" s="1"/>
  <c r="S257" i="1"/>
  <c r="J257" i="1"/>
  <c r="K257" i="1" s="1"/>
  <c r="S19" i="1"/>
  <c r="J19" i="1"/>
  <c r="K19" i="1" s="1"/>
  <c r="S92" i="1"/>
  <c r="J92" i="1"/>
  <c r="K92" i="1" s="1"/>
  <c r="S183" i="1"/>
  <c r="J183" i="1"/>
  <c r="K183" i="1" s="1"/>
  <c r="J38" i="1"/>
  <c r="K38" i="1" s="1"/>
  <c r="S38" i="1"/>
  <c r="S64" i="1"/>
  <c r="J64" i="1"/>
  <c r="K64" i="1" s="1"/>
  <c r="J146" i="1"/>
  <c r="K146" i="1" s="1"/>
  <c r="S146" i="1"/>
  <c r="S68" i="1"/>
  <c r="J68" i="1"/>
  <c r="K68" i="1" s="1"/>
  <c r="S171" i="1"/>
  <c r="J171" i="1"/>
  <c r="K171" i="1" s="1"/>
  <c r="S256" i="1"/>
  <c r="J256" i="1"/>
  <c r="K256" i="1" s="1"/>
  <c r="S174" i="1"/>
  <c r="J174" i="1"/>
  <c r="K174" i="1" s="1"/>
  <c r="S51" i="1"/>
  <c r="J51" i="1"/>
  <c r="K51" i="1" s="1"/>
  <c r="S240" i="1"/>
  <c r="J240" i="1"/>
  <c r="K240" i="1" s="1"/>
  <c r="J86" i="1"/>
  <c r="K86" i="1" s="1"/>
  <c r="S86" i="1"/>
  <c r="J108" i="1"/>
  <c r="K108" i="1" s="1"/>
  <c r="S108" i="1"/>
  <c r="J91" i="1"/>
  <c r="K91" i="1" s="1"/>
  <c r="S91" i="1"/>
  <c r="S75" i="1"/>
  <c r="J75" i="1"/>
  <c r="K75" i="1" s="1"/>
  <c r="J106" i="1"/>
  <c r="K106" i="1" s="1"/>
  <c r="S106" i="1"/>
  <c r="S122" i="1"/>
  <c r="J122" i="1"/>
  <c r="K122" i="1" s="1"/>
  <c r="J202" i="1"/>
  <c r="K202" i="1" s="1"/>
  <c r="S202" i="1"/>
  <c r="J25" i="1"/>
  <c r="K25" i="1" s="1"/>
  <c r="T6" i="4"/>
  <c r="S25" i="1"/>
  <c r="J41" i="1"/>
  <c r="K41" i="1" s="1"/>
  <c r="S41" i="1"/>
  <c r="S128" i="1"/>
  <c r="J128" i="1"/>
  <c r="K128" i="1" s="1"/>
  <c r="J121" i="1"/>
  <c r="K121" i="1" s="1"/>
  <c r="S121" i="1"/>
  <c r="S136" i="1"/>
  <c r="J136" i="1"/>
  <c r="K136" i="1" s="1"/>
  <c r="S90" i="1"/>
  <c r="J90" i="1"/>
  <c r="K90" i="1" s="1"/>
  <c r="S191" i="1"/>
  <c r="J191" i="1"/>
  <c r="K191" i="1" s="1"/>
  <c r="S138" i="1"/>
  <c r="J138" i="1"/>
  <c r="K138" i="1" s="1"/>
  <c r="S101" i="1"/>
  <c r="J101" i="1"/>
  <c r="K101" i="1" s="1"/>
  <c r="S30" i="1"/>
  <c r="J30" i="1"/>
  <c r="K30" i="1" s="1"/>
  <c r="J77" i="1"/>
  <c r="K77" i="1" s="1"/>
  <c r="S77" i="1"/>
  <c r="S155" i="1"/>
  <c r="J155" i="1"/>
  <c r="K155" i="1" s="1"/>
  <c r="S170" i="1"/>
  <c r="J170" i="1"/>
  <c r="K170" i="1" s="1"/>
  <c r="J11" i="1"/>
  <c r="K11" i="1" s="1"/>
  <c r="S11" i="1"/>
  <c r="J153" i="1"/>
  <c r="K153" i="1" s="1"/>
  <c r="S153" i="1"/>
  <c r="J124" i="1"/>
  <c r="K124" i="1" s="1"/>
  <c r="S124" i="1"/>
  <c r="S131" i="1"/>
  <c r="J131" i="1"/>
  <c r="K131" i="1" s="1"/>
  <c r="S192" i="1"/>
  <c r="J192" i="1"/>
  <c r="K192" i="1" s="1"/>
  <c r="S186" i="1"/>
  <c r="J186" i="1"/>
  <c r="K186" i="1" s="1"/>
  <c r="J134" i="1"/>
  <c r="K134" i="1" s="1"/>
  <c r="S134" i="1"/>
  <c r="S218" i="1"/>
  <c r="J218" i="1"/>
  <c r="K218" i="1" s="1"/>
  <c r="S233" i="1"/>
  <c r="J233" i="1"/>
  <c r="K233" i="1" s="1"/>
  <c r="S57" i="1"/>
  <c r="J57" i="1"/>
  <c r="K57" i="1" s="1"/>
  <c r="S54" i="1"/>
  <c r="J54" i="1"/>
  <c r="K54" i="1" s="1"/>
  <c r="J214" i="1"/>
  <c r="K214" i="1" s="1"/>
  <c r="S214" i="1"/>
  <c r="J43" i="1"/>
  <c r="K43" i="1" s="1"/>
  <c r="S43" i="1"/>
  <c r="S243" i="1"/>
  <c r="J243" i="1"/>
  <c r="K243" i="1" s="1"/>
  <c r="J12" i="1"/>
  <c r="K12" i="1" s="1"/>
  <c r="S12" i="1"/>
  <c r="T4" i="4"/>
  <c r="J35" i="1"/>
  <c r="K35" i="1" s="1"/>
  <c r="S35" i="1"/>
  <c r="S44" i="1"/>
  <c r="J44" i="1"/>
  <c r="K44" i="1" s="1"/>
  <c r="S114" i="1"/>
  <c r="J114" i="1"/>
  <c r="K114" i="1" s="1"/>
  <c r="S67" i="1"/>
  <c r="J67" i="1"/>
  <c r="K67" i="1" s="1"/>
  <c r="S76" i="1"/>
  <c r="J76" i="1"/>
  <c r="K76" i="1" s="1"/>
  <c r="J83" i="1"/>
  <c r="K83" i="1" s="1"/>
  <c r="S83" i="1"/>
  <c r="J29" i="1"/>
  <c r="K29" i="1" s="1"/>
  <c r="S29" i="1"/>
  <c r="S98" i="1"/>
  <c r="J98" i="1"/>
  <c r="K98" i="1" s="1"/>
  <c r="J107" i="1"/>
  <c r="K107" i="1" s="1"/>
  <c r="S107" i="1"/>
  <c r="J14" i="1"/>
  <c r="K14" i="1" s="1"/>
  <c r="S14" i="1"/>
  <c r="J133" i="1"/>
  <c r="K133" i="1" s="1"/>
  <c r="S133" i="1"/>
  <c r="S142" i="1"/>
  <c r="J142" i="1"/>
  <c r="K142" i="1" s="1"/>
  <c r="S149" i="1"/>
  <c r="J149" i="1"/>
  <c r="K149" i="1" s="1"/>
  <c r="S226" i="1"/>
  <c r="J226" i="1"/>
  <c r="K226" i="1" s="1"/>
  <c r="S164" i="1"/>
  <c r="J164" i="1"/>
  <c r="K164" i="1" s="1"/>
  <c r="S152" i="1"/>
  <c r="J152" i="1"/>
  <c r="K152" i="1" s="1"/>
  <c r="S200" i="1"/>
  <c r="J200" i="1"/>
  <c r="K200" i="1" s="1"/>
  <c r="J85" i="1"/>
  <c r="K85" i="1" s="1"/>
  <c r="S85" i="1"/>
  <c r="J31" i="1"/>
  <c r="K31" i="1" s="1"/>
  <c r="S31" i="1"/>
  <c r="S117" i="1"/>
  <c r="J117" i="1"/>
  <c r="K117" i="1" s="1"/>
  <c r="S53" i="1"/>
  <c r="J53" i="1"/>
  <c r="K53" i="1" s="1"/>
  <c r="S139" i="1"/>
  <c r="J139" i="1"/>
  <c r="K139" i="1" s="1"/>
  <c r="S20" i="1"/>
  <c r="J20" i="1"/>
  <c r="K20" i="1" s="1"/>
  <c r="S223" i="1"/>
  <c r="J223" i="1"/>
  <c r="K223" i="1" s="1"/>
  <c r="S69" i="1"/>
  <c r="J69" i="1"/>
  <c r="K69" i="1" s="1"/>
  <c r="J207" i="1"/>
  <c r="K207" i="1" s="1"/>
  <c r="S207" i="1"/>
  <c r="S84" i="1"/>
  <c r="J84" i="1"/>
  <c r="K84" i="1" s="1"/>
  <c r="J125" i="1"/>
  <c r="K125" i="1" s="1"/>
  <c r="S125" i="1"/>
  <c r="S99" i="1"/>
  <c r="J99" i="1"/>
  <c r="K99" i="1" s="1"/>
  <c r="S238" i="1"/>
  <c r="J238" i="1"/>
  <c r="K238" i="1" s="1"/>
  <c r="J116" i="1"/>
  <c r="K116" i="1" s="1"/>
  <c r="S116" i="1"/>
  <c r="S154" i="1"/>
  <c r="J154" i="1"/>
  <c r="K154" i="1" s="1"/>
  <c r="S141" i="1"/>
  <c r="J141" i="1"/>
  <c r="K141" i="1" s="1"/>
  <c r="S198" i="1"/>
  <c r="J198" i="1"/>
  <c r="K198" i="1" s="1"/>
  <c r="J217" i="1"/>
  <c r="K217" i="1" s="1"/>
  <c r="S217" i="1"/>
  <c r="S254" i="1"/>
  <c r="J254" i="1"/>
  <c r="K254" i="1" s="1"/>
  <c r="S22" i="1"/>
  <c r="J22" i="1"/>
  <c r="K22" i="1" s="1"/>
  <c r="J205" i="1"/>
  <c r="K205" i="1" s="1"/>
  <c r="S205" i="1"/>
  <c r="J258" i="1"/>
  <c r="K258" i="1" s="1"/>
  <c r="S258" i="1"/>
  <c r="S28" i="1"/>
  <c r="J28" i="1"/>
  <c r="K28" i="1" s="1"/>
  <c r="J212" i="1"/>
  <c r="K212" i="1" s="1"/>
  <c r="S212" i="1"/>
  <c r="J244" i="1"/>
  <c r="K244" i="1" s="1"/>
  <c r="S244" i="1"/>
  <c r="S253" i="1"/>
  <c r="J253" i="1"/>
  <c r="K253" i="1" s="1"/>
  <c r="J247" i="1"/>
  <c r="K247" i="1" s="1"/>
  <c r="S247" i="1"/>
  <c r="S252" i="1"/>
  <c r="J252" i="1"/>
  <c r="K252" i="1" s="1"/>
  <c r="J49" i="1"/>
  <c r="K49" i="1" s="1"/>
  <c r="S49" i="1"/>
  <c r="J40" i="1"/>
  <c r="K40" i="1" s="1"/>
  <c r="T7" i="4"/>
  <c r="S40" i="1"/>
  <c r="S177" i="1"/>
  <c r="J177" i="1"/>
  <c r="K177" i="1" s="1"/>
  <c r="S194" i="1"/>
  <c r="J194" i="1"/>
  <c r="K194" i="1" s="1"/>
  <c r="S216" i="1"/>
  <c r="J216" i="1"/>
  <c r="K216" i="1" s="1"/>
  <c r="S227" i="1"/>
  <c r="J227" i="1"/>
  <c r="K227" i="1" s="1"/>
  <c r="S199" i="1"/>
  <c r="J199" i="1"/>
  <c r="K199" i="1" s="1"/>
  <c r="S163" i="1"/>
  <c r="J163" i="1"/>
  <c r="K163" i="1" s="1"/>
  <c r="J169" i="1"/>
  <c r="K169" i="1" s="1"/>
  <c r="S169" i="1"/>
  <c r="T8" i="4"/>
  <c r="S61" i="1"/>
  <c r="J61" i="1"/>
  <c r="K61" i="1" s="1"/>
  <c r="S140" i="1"/>
  <c r="J140" i="1"/>
  <c r="K140" i="1" s="1"/>
  <c r="S70" i="1"/>
  <c r="J70" i="1"/>
  <c r="K70" i="1" s="1"/>
  <c r="J168" i="1"/>
  <c r="K168" i="1" s="1"/>
  <c r="S168" i="1"/>
  <c r="S62" i="1"/>
  <c r="J62" i="1"/>
  <c r="K62" i="1" s="1"/>
  <c r="S229" i="1"/>
  <c r="J229" i="1"/>
  <c r="K229" i="1" s="1"/>
  <c r="T11" i="4"/>
  <c r="S230" i="1"/>
  <c r="J230" i="1"/>
  <c r="K230" i="1" s="1"/>
  <c r="S148" i="1"/>
  <c r="J148" i="1"/>
  <c r="K148" i="1" s="1"/>
  <c r="S135" i="1"/>
  <c r="J135" i="1"/>
  <c r="K135" i="1" s="1"/>
  <c r="J78" i="1"/>
  <c r="K78" i="1" s="1"/>
  <c r="S78" i="1"/>
  <c r="S231" i="1"/>
  <c r="J231" i="1"/>
  <c r="K231" i="1" s="1"/>
  <c r="J193" i="1"/>
  <c r="K193" i="1" s="1"/>
  <c r="S193" i="1"/>
  <c r="S46" i="1"/>
  <c r="J46" i="1"/>
  <c r="K46" i="1" s="1"/>
  <c r="J222" i="1"/>
  <c r="K222" i="1" s="1"/>
  <c r="S222" i="1"/>
  <c r="S245" i="1"/>
  <c r="J245" i="1"/>
  <c r="K245" i="1" s="1"/>
  <c r="J187" i="1"/>
  <c r="K187" i="1" s="1"/>
  <c r="S187" i="1"/>
  <c r="S73" i="1"/>
  <c r="J73" i="1"/>
  <c r="K73" i="1" s="1"/>
  <c r="S182" i="1"/>
  <c r="J182" i="1"/>
  <c r="K182" i="1" s="1"/>
  <c r="J159" i="1"/>
  <c r="K159" i="1" s="1"/>
  <c r="S159" i="1"/>
  <c r="S204" i="1"/>
  <c r="J204" i="1"/>
  <c r="K204" i="1" s="1"/>
  <c r="S173" i="1"/>
  <c r="J173" i="1"/>
  <c r="K173" i="1" s="1"/>
  <c r="S210" i="1"/>
  <c r="J210" i="1"/>
  <c r="K210" i="1" s="1"/>
  <c r="J209" i="1"/>
  <c r="K209" i="1" s="1"/>
  <c r="S209" i="1"/>
  <c r="J225" i="1"/>
  <c r="K225" i="1" s="1"/>
  <c r="S225" i="1"/>
  <c r="S241" i="1"/>
  <c r="J241" i="1"/>
  <c r="K241" i="1" s="1"/>
  <c r="S56" i="1"/>
  <c r="J56" i="1"/>
  <c r="K56" i="1" s="1"/>
  <c r="S42" i="1"/>
  <c r="J42" i="1"/>
  <c r="K42" i="1" s="1"/>
  <c r="J18" i="1"/>
  <c r="K18" i="1" s="1"/>
  <c r="S18" i="1"/>
  <c r="T5" i="4"/>
  <c r="S15" i="1"/>
  <c r="J15" i="1"/>
  <c r="K15" i="1" s="1"/>
  <c r="J215" i="1"/>
  <c r="K215" i="1" s="1"/>
  <c r="S215" i="1"/>
  <c r="S95" i="1"/>
  <c r="J95" i="1"/>
  <c r="K95" i="1" s="1"/>
  <c r="S162" i="1"/>
  <c r="J162" i="1"/>
  <c r="K162" i="1" s="1"/>
  <c r="J79" i="1"/>
  <c r="K79" i="1" s="1"/>
  <c r="S79" i="1"/>
  <c r="J161" i="1"/>
  <c r="K161" i="1" s="1"/>
  <c r="S161" i="1"/>
  <c r="J157" i="1"/>
  <c r="K157" i="1" s="1"/>
  <c r="S157" i="1"/>
  <c r="J156" i="1"/>
  <c r="K156" i="1" s="1"/>
  <c r="S156" i="1"/>
  <c r="T9" i="4"/>
  <c r="S110" i="1"/>
  <c r="J110" i="1"/>
  <c r="K110" i="1" s="1"/>
  <c r="J195" i="1"/>
  <c r="K195" i="1" s="1"/>
  <c r="S195" i="1"/>
  <c r="J72" i="1"/>
  <c r="K72" i="1" s="1"/>
  <c r="S72" i="1"/>
  <c r="S151" i="1"/>
  <c r="J151" i="1"/>
  <c r="K151" i="1" s="1"/>
  <c r="S150" i="1"/>
  <c r="J150" i="1"/>
  <c r="K150" i="1" s="1"/>
  <c r="J172" i="1"/>
  <c r="K172" i="1" s="1"/>
  <c r="S172" i="1"/>
  <c r="J181" i="1"/>
  <c r="K181" i="1" s="1"/>
  <c r="S181" i="1"/>
  <c r="J249" i="1"/>
  <c r="K249" i="1" s="1"/>
  <c r="S249" i="1"/>
  <c r="S235" i="1"/>
  <c r="J235" i="1"/>
  <c r="K235" i="1" s="1"/>
  <c r="S147" i="1"/>
  <c r="J147" i="1"/>
  <c r="K147" i="1" s="1"/>
  <c r="J224" i="1"/>
  <c r="K224" i="1" s="1"/>
  <c r="S224" i="1"/>
  <c r="J100" i="1"/>
  <c r="K100" i="1" s="1"/>
  <c r="S100" i="1"/>
  <c r="S94" i="1"/>
  <c r="J94" i="1"/>
  <c r="K94" i="1" s="1"/>
  <c r="J63" i="1"/>
  <c r="K63" i="1" s="1"/>
  <c r="S63" i="1"/>
  <c r="S6" i="1"/>
  <c r="T3" i="4"/>
  <c r="R28" i="4" s="1"/>
  <c r="J6" i="1"/>
  <c r="K6" i="1" s="1"/>
  <c r="J206" i="1"/>
  <c r="K206" i="1" s="1"/>
  <c r="S206" i="1"/>
  <c r="J60" i="1"/>
  <c r="K60" i="1" s="1"/>
  <c r="S60" i="1"/>
  <c r="S250" i="1"/>
  <c r="J250" i="1"/>
  <c r="K250" i="1" s="1"/>
  <c r="J36" i="1"/>
  <c r="K36" i="1" s="1"/>
  <c r="S36" i="1"/>
  <c r="S105" i="1"/>
  <c r="J105" i="1"/>
  <c r="K105" i="1" s="1"/>
  <c r="J33" i="1"/>
  <c r="K33" i="1" s="1"/>
  <c r="S33" i="1"/>
  <c r="S96" i="1"/>
  <c r="J96" i="1"/>
  <c r="K96" i="1" s="1"/>
  <c r="J39" i="1"/>
  <c r="K39" i="1" s="1"/>
  <c r="S39" i="1"/>
  <c r="J48" i="1"/>
  <c r="K48" i="1" s="1"/>
  <c r="S48" i="1"/>
  <c r="S118" i="1"/>
  <c r="J118" i="1"/>
  <c r="K118" i="1" s="1"/>
  <c r="S80" i="1"/>
  <c r="J80" i="1"/>
  <c r="K80" i="1" s="1"/>
  <c r="J158" i="1"/>
  <c r="K158" i="1" s="1"/>
  <c r="S158" i="1"/>
  <c r="J111" i="1"/>
  <c r="K111" i="1" s="1"/>
  <c r="S111" i="1"/>
  <c r="S180" i="1"/>
  <c r="J180" i="1"/>
  <c r="K180" i="1" s="1"/>
  <c r="J145" i="1"/>
  <c r="K145" i="1" s="1"/>
  <c r="S145" i="1"/>
  <c r="S143" i="1"/>
  <c r="J143" i="1"/>
  <c r="K143" i="1" s="1"/>
  <c r="J24" i="1"/>
  <c r="K24" i="1" s="1"/>
  <c r="S24" i="1"/>
  <c r="S8" i="1"/>
  <c r="J8" i="1"/>
  <c r="K8" i="1" s="1"/>
  <c r="S113" i="1"/>
  <c r="J113" i="1"/>
  <c r="K113" i="1" s="1"/>
  <c r="J184" i="1"/>
  <c r="K184" i="1" s="1"/>
  <c r="S184" i="1"/>
  <c r="S32" i="1"/>
  <c r="J32" i="1"/>
  <c r="K32" i="1" s="1"/>
  <c r="S109" i="1"/>
  <c r="J109" i="1"/>
  <c r="K109" i="1" s="1"/>
  <c r="S248" i="1"/>
  <c r="J248" i="1"/>
  <c r="K248" i="1" s="1"/>
  <c r="S178" i="1"/>
  <c r="J178" i="1"/>
  <c r="K178" i="1" s="1"/>
  <c r="S115" i="1"/>
  <c r="J115" i="1"/>
  <c r="K115" i="1" s="1"/>
  <c r="S7" i="1"/>
  <c r="J7" i="1"/>
  <c r="K7" i="1" s="1"/>
  <c r="S16" i="1"/>
  <c r="J16" i="1"/>
  <c r="K16" i="1" s="1"/>
  <c r="S23" i="1"/>
  <c r="J23" i="1"/>
  <c r="K23" i="1" s="1"/>
  <c r="S71" i="1"/>
  <c r="J71" i="1"/>
  <c r="K71" i="1" s="1"/>
  <c r="J87" i="1"/>
  <c r="K87" i="1" s="1"/>
  <c r="S87" i="1"/>
  <c r="S102" i="1"/>
  <c r="J102" i="1"/>
  <c r="K102" i="1" s="1"/>
  <c r="S179" i="1"/>
  <c r="J179" i="1"/>
  <c r="K179" i="1" s="1"/>
  <c r="T10" i="4"/>
  <c r="S196" i="1"/>
  <c r="J196" i="1"/>
  <c r="K196" i="1" s="1"/>
  <c r="S130" i="1"/>
  <c r="J130" i="1"/>
  <c r="K130" i="1" s="1"/>
  <c r="S13" i="1"/>
  <c r="J13" i="1"/>
  <c r="K13" i="1" s="1"/>
  <c r="J93" i="1"/>
  <c r="K93" i="1" s="1"/>
  <c r="S93" i="1"/>
  <c r="S167" i="1"/>
  <c r="J167" i="1"/>
  <c r="K167" i="1" s="1"/>
  <c r="J251" i="1"/>
  <c r="K251" i="1" s="1"/>
  <c r="S251" i="1"/>
  <c r="S219" i="1"/>
  <c r="J219" i="1"/>
  <c r="K219" i="1" s="1"/>
  <c r="S27" i="1"/>
  <c r="J27" i="1"/>
  <c r="K27" i="1" s="1"/>
  <c r="S234" i="1"/>
  <c r="J234" i="1"/>
  <c r="K234" i="1" s="1"/>
  <c r="J220" i="1"/>
  <c r="K220" i="1" s="1"/>
  <c r="S220" i="1"/>
  <c r="J34" i="1"/>
  <c r="K34" i="1" s="1"/>
  <c r="S34" i="1"/>
  <c r="S123" i="1"/>
  <c r="J123" i="1"/>
  <c r="K123" i="1" s="1"/>
  <c r="J255" i="1"/>
  <c r="K255" i="1" s="1"/>
  <c r="S255" i="1"/>
  <c r="S17" i="1"/>
  <c r="J17" i="1"/>
  <c r="K17" i="1" s="1"/>
  <c r="S104" i="1"/>
  <c r="J104" i="1"/>
  <c r="K104" i="1" s="1"/>
  <c r="S81" i="1"/>
  <c r="J81" i="1"/>
  <c r="K81" i="1" s="1"/>
  <c r="S88" i="1"/>
  <c r="J88" i="1"/>
  <c r="K88" i="1" s="1"/>
  <c r="J165" i="1"/>
  <c r="K165" i="1" s="1"/>
  <c r="S165" i="1"/>
  <c r="S103" i="1"/>
  <c r="J103" i="1"/>
  <c r="K103" i="1" s="1"/>
  <c r="J120" i="1"/>
  <c r="K120" i="1" s="1"/>
  <c r="S120" i="1"/>
  <c r="J188" i="1"/>
  <c r="K188" i="1" s="1"/>
  <c r="S188" i="1"/>
  <c r="S166" i="1"/>
  <c r="J166" i="1"/>
  <c r="K166" i="1" s="1"/>
  <c r="J137" i="1"/>
  <c r="K137" i="1" s="1"/>
  <c r="S137" i="1"/>
  <c r="J190" i="1"/>
  <c r="K190" i="1" s="1"/>
  <c r="S190" i="1"/>
  <c r="J221" i="1"/>
  <c r="K221" i="1" s="1"/>
  <c r="S221" i="1"/>
  <c r="S144" i="1"/>
  <c r="J144" i="1"/>
  <c r="K144" i="1" s="1"/>
  <c r="S175" i="1"/>
  <c r="J175" i="1"/>
  <c r="K175" i="1" s="1"/>
  <c r="S228" i="1"/>
  <c r="J228" i="1"/>
  <c r="K228" i="1" s="1"/>
  <c r="S185" i="1"/>
  <c r="J185" i="1"/>
  <c r="K185" i="1" s="1"/>
  <c r="S201" i="1"/>
  <c r="J201" i="1"/>
  <c r="K201" i="1" s="1"/>
  <c r="S232" i="1"/>
  <c r="J232" i="1"/>
  <c r="K232" i="1" s="1"/>
  <c r="S55" i="1"/>
  <c r="J55" i="1"/>
  <c r="K55" i="1" s="1"/>
  <c r="J65" i="1"/>
  <c r="K65" i="1" s="1"/>
  <c r="S65" i="1"/>
  <c r="J126" i="1"/>
  <c r="K126" i="1" s="1"/>
  <c r="S126" i="1"/>
  <c r="J127" i="1"/>
  <c r="K127" i="1" s="1"/>
  <c r="S127" i="1"/>
  <c r="S97" i="1"/>
  <c r="J97" i="1"/>
  <c r="K97" i="1" s="1"/>
  <c r="S47" i="1"/>
  <c r="J47" i="1"/>
  <c r="K47" i="1" s="1"/>
  <c r="S239" i="1"/>
  <c r="J239" i="1"/>
  <c r="K239" i="1" s="1"/>
  <c r="P40" i="19" a="1"/>
  <c r="P40" i="19" s="1"/>
  <c r="P72" i="19" a="1"/>
  <c r="P72" i="19" s="1"/>
  <c r="P7" i="19" a="1"/>
  <c r="P7" i="19" s="1"/>
  <c r="P14" i="19" a="1"/>
  <c r="P14" i="19" s="1"/>
  <c r="P44" i="19" a="1"/>
  <c r="P44" i="19" s="1"/>
  <c r="P19" i="19" a="1"/>
  <c r="P19" i="19" s="1"/>
  <c r="P51" i="19" a="1"/>
  <c r="P51" i="19" s="1"/>
  <c r="P104" i="19" a="1"/>
  <c r="P104" i="19" s="1"/>
  <c r="P136" i="19" a="1"/>
  <c r="P136" i="19" s="1"/>
  <c r="P86" i="19" a="1"/>
  <c r="P86" i="19" s="1"/>
  <c r="P118" i="19" a="1"/>
  <c r="P118" i="19" s="1"/>
  <c r="P150" i="19" a="1"/>
  <c r="P150" i="19" s="1"/>
  <c r="P153" i="19" a="1"/>
  <c r="P153" i="19" s="1"/>
  <c r="P197" i="19" a="1"/>
  <c r="P197" i="19" s="1"/>
  <c r="P229" i="19" a="1"/>
  <c r="P229" i="19" s="1"/>
  <c r="P179" i="19" a="1"/>
  <c r="P179" i="19" s="1"/>
  <c r="P211" i="19" a="1"/>
  <c r="P211" i="19" s="1"/>
  <c r="P243" i="19" a="1"/>
  <c r="P243" i="19" s="1"/>
  <c r="P194" i="19" a="1"/>
  <c r="P194" i="19" s="1"/>
  <c r="P226" i="19" a="1"/>
  <c r="P226" i="19" s="1"/>
  <c r="P83" i="19" a="1"/>
  <c r="P83" i="19" s="1"/>
  <c r="P169" i="19" a="1"/>
  <c r="P169" i="19" s="1"/>
  <c r="P201" i="19" a="1"/>
  <c r="P201" i="19" s="1"/>
  <c r="P233" i="19" a="1"/>
  <c r="P233" i="19" s="1"/>
  <c r="P116" i="19" a="1"/>
  <c r="P116" i="19" s="1"/>
  <c r="P167" i="19" a="1"/>
  <c r="P167" i="19" s="1"/>
  <c r="P199" i="19" a="1"/>
  <c r="P199" i="19" s="1"/>
  <c r="P182" i="19" a="1"/>
  <c r="P182" i="19" s="1"/>
  <c r="P214" i="19" a="1"/>
  <c r="P214" i="19" s="1"/>
  <c r="P190" i="19" a="1"/>
  <c r="P190" i="19" s="1"/>
  <c r="P16" i="19" a="1"/>
  <c r="P16" i="19" s="1"/>
  <c r="P17" i="19" a="1"/>
  <c r="P17" i="19" s="1"/>
  <c r="P49" i="19" a="1"/>
  <c r="P49" i="19" s="1"/>
  <c r="P81" i="19" a="1"/>
  <c r="P81" i="19" s="1"/>
  <c r="P47" i="19" a="1"/>
  <c r="P47" i="19" s="1"/>
  <c r="P38" i="19" a="1"/>
  <c r="P38" i="19" s="1"/>
  <c r="P29" i="19" a="1"/>
  <c r="P29" i="19" s="1"/>
  <c r="P61" i="19" a="1"/>
  <c r="P61" i="19" s="1"/>
  <c r="P50" i="19" a="1"/>
  <c r="P50" i="19" s="1"/>
  <c r="P42" i="19" a="1"/>
  <c r="P42" i="19" s="1"/>
  <c r="P103" i="19" a="1"/>
  <c r="P103" i="19" s="1"/>
  <c r="P135" i="19" a="1"/>
  <c r="P135" i="19" s="1"/>
  <c r="P93" i="19" a="1"/>
  <c r="P93" i="19" s="1"/>
  <c r="P125" i="19" a="1"/>
  <c r="P125" i="19" s="1"/>
  <c r="P157" i="19" a="1"/>
  <c r="P157" i="19" s="1"/>
  <c r="P107" i="19" a="1"/>
  <c r="P107" i="19" s="1"/>
  <c r="P139" i="19" a="1"/>
  <c r="P139" i="19" s="1"/>
  <c r="P98" i="19" a="1"/>
  <c r="P98" i="19" s="1"/>
  <c r="P130" i="19" a="1"/>
  <c r="P130" i="19" s="1"/>
  <c r="P162" i="19" a="1"/>
  <c r="P162" i="19" s="1"/>
  <c r="P132" i="19" a="1"/>
  <c r="P132" i="19" s="1"/>
  <c r="P180" i="19" a="1"/>
  <c r="P180" i="19" s="1"/>
  <c r="P212" i="19" a="1"/>
  <c r="P212" i="19" s="1"/>
  <c r="P244" i="19" a="1"/>
  <c r="P244" i="19" s="1"/>
  <c r="P137" i="19" a="1"/>
  <c r="P137" i="19" s="1"/>
  <c r="P97" i="19" a="1"/>
  <c r="P97" i="19" s="1"/>
  <c r="P184" i="19" a="1"/>
  <c r="P184" i="19" s="1"/>
  <c r="P89" i="19" a="1"/>
  <c r="P89" i="19" s="1"/>
  <c r="P230" i="19" a="1"/>
  <c r="P230" i="19" s="1"/>
  <c r="P240" i="19" a="1"/>
  <c r="P240" i="19" s="1"/>
  <c r="P216" i="19" a="1"/>
  <c r="P216" i="19" s="1"/>
  <c r="P206" i="19" a="1"/>
  <c r="P206" i="19" s="1"/>
  <c r="P224" i="19" a="1"/>
  <c r="P224" i="19" s="1"/>
  <c r="P12" i="19" a="1"/>
  <c r="P12" i="19" s="1"/>
  <c r="P48" i="19" a="1"/>
  <c r="P48" i="19" s="1"/>
  <c r="P11" i="19" a="1"/>
  <c r="P11" i="19" s="1"/>
  <c r="P20" i="19" a="1"/>
  <c r="P20" i="19" s="1"/>
  <c r="P52" i="19" a="1"/>
  <c r="P52" i="19" s="1"/>
  <c r="P27" i="19" a="1"/>
  <c r="P27" i="19" s="1"/>
  <c r="P59" i="19" a="1"/>
  <c r="P59" i="19" s="1"/>
  <c r="P70" i="19" a="1"/>
  <c r="P70" i="19" s="1"/>
  <c r="P112" i="19" a="1"/>
  <c r="P112" i="19" s="1"/>
  <c r="P144" i="19" a="1"/>
  <c r="P144" i="19" s="1"/>
  <c r="P66" i="19" a="1"/>
  <c r="P66" i="19" s="1"/>
  <c r="P94" i="19" a="1"/>
  <c r="P94" i="19" s="1"/>
  <c r="P126" i="19" a="1"/>
  <c r="P126" i="19" s="1"/>
  <c r="P158" i="19" a="1"/>
  <c r="P158" i="19" s="1"/>
  <c r="P173" i="19" a="1"/>
  <c r="P173" i="19" s="1"/>
  <c r="P205" i="19" a="1"/>
  <c r="P205" i="19" s="1"/>
  <c r="P237" i="19" a="1"/>
  <c r="P237" i="19" s="1"/>
  <c r="P187" i="19" a="1"/>
  <c r="P187" i="19" s="1"/>
  <c r="P219" i="19" a="1"/>
  <c r="P219" i="19" s="1"/>
  <c r="P251" i="19" a="1"/>
  <c r="P251" i="19" s="1"/>
  <c r="P170" i="19" a="1"/>
  <c r="P170" i="19" s="1"/>
  <c r="P202" i="19" a="1"/>
  <c r="P202" i="19" s="1"/>
  <c r="P234" i="19" a="1"/>
  <c r="P234" i="19" s="1"/>
  <c r="P177" i="19" a="1"/>
  <c r="P177" i="19" s="1"/>
  <c r="P209" i="19" a="1"/>
  <c r="P209" i="19" s="1"/>
  <c r="P241" i="19" a="1"/>
  <c r="P241" i="19" s="1"/>
  <c r="P147" i="19" a="1"/>
  <c r="P147" i="19" s="1"/>
  <c r="P175" i="19" a="1"/>
  <c r="P175" i="19" s="1"/>
  <c r="P207" i="19" a="1"/>
  <c r="P207" i="19" s="1"/>
  <c r="P222" i="19" a="1"/>
  <c r="P222" i="19" s="1"/>
  <c r="P232" i="19" a="1"/>
  <c r="P232" i="19" s="1"/>
  <c r="P238" i="19" a="1"/>
  <c r="P238" i="19" s="1"/>
  <c r="P25" i="19" a="1"/>
  <c r="P25" i="19" s="1"/>
  <c r="P57" i="19" a="1"/>
  <c r="P57" i="19" s="1"/>
  <c r="P23" i="19" a="1"/>
  <c r="P23" i="19" s="1"/>
  <c r="P55" i="19" a="1"/>
  <c r="P55" i="19" s="1"/>
  <c r="P15" i="19" a="1"/>
  <c r="P15" i="19" s="1"/>
  <c r="P46" i="19" a="1"/>
  <c r="P46" i="19" s="1"/>
  <c r="P37" i="19" a="1"/>
  <c r="P37" i="19" s="1"/>
  <c r="P69" i="19" a="1"/>
  <c r="P69" i="19" s="1"/>
  <c r="P79" i="19" a="1"/>
  <c r="P79" i="19" s="1"/>
  <c r="P111" i="19" a="1"/>
  <c r="P111" i="19" s="1"/>
  <c r="P143" i="19" a="1"/>
  <c r="P143" i="19" s="1"/>
  <c r="P101" i="19" a="1"/>
  <c r="P101" i="19" s="1"/>
  <c r="P133" i="19" a="1"/>
  <c r="P133" i="19" s="1"/>
  <c r="P165" i="19" a="1"/>
  <c r="P165" i="19" s="1"/>
  <c r="P84" i="19" a="1"/>
  <c r="P84" i="19" s="1"/>
  <c r="P115" i="19" a="1"/>
  <c r="P115" i="19" s="1"/>
  <c r="P106" i="19" a="1"/>
  <c r="P106" i="19" s="1"/>
  <c r="P138" i="19" a="1"/>
  <c r="P138" i="19" s="1"/>
  <c r="P151" i="19" a="1"/>
  <c r="P151" i="19" s="1"/>
  <c r="P188" i="19" a="1"/>
  <c r="P188" i="19" s="1"/>
  <c r="P220" i="19" a="1"/>
  <c r="P220" i="19" s="1"/>
  <c r="P156" i="19" a="1"/>
  <c r="P156" i="19" s="1"/>
  <c r="P18" i="19" a="1"/>
  <c r="P18" i="19" s="1"/>
  <c r="P129" i="19" a="1"/>
  <c r="P129" i="19" s="1"/>
  <c r="P192" i="19" a="1"/>
  <c r="P192" i="19" s="1"/>
  <c r="P121" i="19" a="1"/>
  <c r="P121" i="19" s="1"/>
  <c r="P254" i="19" a="1"/>
  <c r="P254" i="19" s="1"/>
  <c r="P248" i="19" a="1"/>
  <c r="P248" i="19" s="1"/>
  <c r="P24" i="19" a="1"/>
  <c r="P24" i="19" s="1"/>
  <c r="P56" i="19" a="1"/>
  <c r="P56" i="19" s="1"/>
  <c r="P28" i="19" a="1"/>
  <c r="P28" i="19" s="1"/>
  <c r="P60" i="19" a="1"/>
  <c r="P60" i="19" s="1"/>
  <c r="P35" i="19" a="1"/>
  <c r="P35" i="19" s="1"/>
  <c r="P67" i="19" a="1"/>
  <c r="P67" i="19" s="1"/>
  <c r="P88" i="19" a="1"/>
  <c r="P88" i="19" s="1"/>
  <c r="P120" i="19" a="1"/>
  <c r="P120" i="19" s="1"/>
  <c r="P152" i="19" a="1"/>
  <c r="P152" i="19" s="1"/>
  <c r="P82" i="19" a="1"/>
  <c r="P82" i="19" s="1"/>
  <c r="P102" i="19" a="1"/>
  <c r="P102" i="19" s="1"/>
  <c r="P134" i="19" a="1"/>
  <c r="P134" i="19" s="1"/>
  <c r="P166" i="19" a="1"/>
  <c r="P166" i="19" s="1"/>
  <c r="P113" i="19" a="1"/>
  <c r="P113" i="19" s="1"/>
  <c r="P181" i="19" a="1"/>
  <c r="P181" i="19" s="1"/>
  <c r="P213" i="19" a="1"/>
  <c r="P213" i="19" s="1"/>
  <c r="P245" i="19" a="1"/>
  <c r="P245" i="19" s="1"/>
  <c r="P74" i="19" a="1"/>
  <c r="P74" i="19" s="1"/>
  <c r="P160" i="19" a="1"/>
  <c r="P160" i="19" s="1"/>
  <c r="P195" i="19" a="1"/>
  <c r="P195" i="19" s="1"/>
  <c r="P227" i="19" a="1"/>
  <c r="P227" i="19" s="1"/>
  <c r="P76" i="19" a="1"/>
  <c r="P76" i="19" s="1"/>
  <c r="P178" i="19" a="1"/>
  <c r="P178" i="19" s="1"/>
  <c r="P210" i="19" a="1"/>
  <c r="P210" i="19" s="1"/>
  <c r="P242" i="19" a="1"/>
  <c r="P242" i="19" s="1"/>
  <c r="P185" i="19" a="1"/>
  <c r="P185" i="19" s="1"/>
  <c r="P217" i="19" a="1"/>
  <c r="P217" i="19" s="1"/>
  <c r="P249" i="19" a="1"/>
  <c r="P249" i="19" s="1"/>
  <c r="P183" i="19" a="1"/>
  <c r="P183" i="19" s="1"/>
  <c r="P215" i="19" a="1"/>
  <c r="P215" i="19" s="1"/>
  <c r="P247" i="19" a="1"/>
  <c r="P247" i="19" s="1"/>
  <c r="P239" i="19" a="1"/>
  <c r="P239" i="19" s="1"/>
  <c r="P252" i="19" a="1"/>
  <c r="P252" i="19" s="1"/>
  <c r="P33" i="19" a="1"/>
  <c r="P33" i="19" s="1"/>
  <c r="P65" i="19" a="1"/>
  <c r="P65" i="19" s="1"/>
  <c r="P31" i="19" a="1"/>
  <c r="P31" i="19" s="1"/>
  <c r="P63" i="19" a="1"/>
  <c r="P63" i="19" s="1"/>
  <c r="P22" i="19" a="1"/>
  <c r="P22" i="19" s="1"/>
  <c r="P54" i="19" a="1"/>
  <c r="P54" i="19" s="1"/>
  <c r="P45" i="19" a="1"/>
  <c r="P45" i="19" s="1"/>
  <c r="P77" i="19" a="1"/>
  <c r="P77" i="19" s="1"/>
  <c r="P87" i="19" a="1"/>
  <c r="P87" i="19" s="1"/>
  <c r="P119" i="19" a="1"/>
  <c r="P119" i="19" s="1"/>
  <c r="P34" i="19" a="1"/>
  <c r="P34" i="19" s="1"/>
  <c r="P26" i="19" a="1"/>
  <c r="P26" i="19" s="1"/>
  <c r="P109" i="19" a="1"/>
  <c r="P109" i="19" s="1"/>
  <c r="P141" i="19" a="1"/>
  <c r="P141" i="19" s="1"/>
  <c r="P91" i="19" a="1"/>
  <c r="P91" i="19" s="1"/>
  <c r="P123" i="19" a="1"/>
  <c r="P123" i="19" s="1"/>
  <c r="P80" i="19" a="1"/>
  <c r="P80" i="19" s="1"/>
  <c r="P114" i="19" a="1"/>
  <c r="P114" i="19" s="1"/>
  <c r="P146" i="19" a="1"/>
  <c r="P146" i="19" s="1"/>
  <c r="P196" i="19" a="1"/>
  <c r="P196" i="19" s="1"/>
  <c r="P228" i="19" a="1"/>
  <c r="P228" i="19" s="1"/>
  <c r="P92" i="19" a="1"/>
  <c r="P92" i="19" s="1"/>
  <c r="P78" i="19" a="1"/>
  <c r="P78" i="19" s="1"/>
  <c r="P168" i="19" a="1"/>
  <c r="P168" i="19" s="1"/>
  <c r="P200" i="19" a="1"/>
  <c r="P200" i="19" s="1"/>
  <c r="P159" i="19" a="1"/>
  <c r="P159" i="19" s="1"/>
  <c r="P148" i="19" a="1"/>
  <c r="P148" i="19" s="1"/>
  <c r="P231" i="19" a="1"/>
  <c r="P231" i="19" s="1"/>
  <c r="P6" i="19" a="1"/>
  <c r="P6" i="19" s="1"/>
  <c r="P198" i="19" a="1"/>
  <c r="P198" i="19" s="1"/>
  <c r="P32" i="19" a="1"/>
  <c r="P32" i="19" s="1"/>
  <c r="P64" i="19" a="1"/>
  <c r="P64" i="19" s="1"/>
  <c r="P10" i="19" a="1"/>
  <c r="P10" i="19" s="1"/>
  <c r="P36" i="19" a="1"/>
  <c r="P36" i="19" s="1"/>
  <c r="P68" i="19" a="1"/>
  <c r="P68" i="19" s="1"/>
  <c r="P43" i="19" a="1"/>
  <c r="P43" i="19" s="1"/>
  <c r="P75" i="19" a="1"/>
  <c r="P75" i="19" s="1"/>
  <c r="P96" i="19" a="1"/>
  <c r="P96" i="19" s="1"/>
  <c r="P128" i="19" a="1"/>
  <c r="P128" i="19" s="1"/>
  <c r="P110" i="19" a="1"/>
  <c r="P110" i="19" s="1"/>
  <c r="P142" i="19" a="1"/>
  <c r="P142" i="19" s="1"/>
  <c r="P145" i="19" a="1"/>
  <c r="P145" i="19" s="1"/>
  <c r="P189" i="19" a="1"/>
  <c r="P189" i="19" s="1"/>
  <c r="P221" i="19" a="1"/>
  <c r="P221" i="19" s="1"/>
  <c r="P253" i="19" a="1"/>
  <c r="P253" i="19" s="1"/>
  <c r="P171" i="19" a="1"/>
  <c r="P171" i="19" s="1"/>
  <c r="P203" i="19" a="1"/>
  <c r="P203" i="19" s="1"/>
  <c r="P235" i="19" a="1"/>
  <c r="P235" i="19" s="1"/>
  <c r="P186" i="19" a="1"/>
  <c r="P186" i="19" s="1"/>
  <c r="P218" i="19" a="1"/>
  <c r="P218" i="19" s="1"/>
  <c r="P250" i="19" a="1"/>
  <c r="P250" i="19" s="1"/>
  <c r="P164" i="19" a="1"/>
  <c r="P164" i="19" s="1"/>
  <c r="P193" i="19" a="1"/>
  <c r="P193" i="19" s="1"/>
  <c r="P225" i="19" a="1"/>
  <c r="P225" i="19" s="1"/>
  <c r="P161" i="19" a="1"/>
  <c r="P161" i="19" s="1"/>
  <c r="P191" i="19" a="1"/>
  <c r="P191" i="19" s="1"/>
  <c r="P108" i="19" a="1"/>
  <c r="P108" i="19" s="1"/>
  <c r="P174" i="19" a="1"/>
  <c r="P174" i="19" s="1"/>
  <c r="P246" i="19" a="1"/>
  <c r="P246" i="19" s="1"/>
  <c r="P155" i="19" a="1"/>
  <c r="P155" i="19" s="1"/>
  <c r="P140" i="19" a="1"/>
  <c r="P140" i="19" s="1"/>
  <c r="P223" i="19" a="1"/>
  <c r="P223" i="19" s="1"/>
  <c r="P8" i="19" a="1"/>
  <c r="P8" i="19" s="1"/>
  <c r="P41" i="19" a="1"/>
  <c r="P41" i="19" s="1"/>
  <c r="P73" i="19" a="1"/>
  <c r="P73" i="19" s="1"/>
  <c r="P39" i="19" a="1"/>
  <c r="P39" i="19" s="1"/>
  <c r="P71" i="19" a="1"/>
  <c r="P71" i="19" s="1"/>
  <c r="P30" i="19" a="1"/>
  <c r="P30" i="19" s="1"/>
  <c r="P62" i="19" a="1"/>
  <c r="P62" i="19" s="1"/>
  <c r="P21" i="19" a="1"/>
  <c r="P21" i="19" s="1"/>
  <c r="P53" i="19" a="1"/>
  <c r="P53" i="19" s="1"/>
  <c r="P85" i="19" a="1"/>
  <c r="P85" i="19" s="1"/>
  <c r="P13" i="19" a="1"/>
  <c r="P13" i="19" s="1"/>
  <c r="P95" i="19" a="1"/>
  <c r="P95" i="19" s="1"/>
  <c r="P127" i="19" a="1"/>
  <c r="P127" i="19" s="1"/>
  <c r="P117" i="19" a="1"/>
  <c r="P117" i="19" s="1"/>
  <c r="P149" i="19" a="1"/>
  <c r="P149" i="19" s="1"/>
  <c r="P9" i="19" a="1"/>
  <c r="P9" i="19" s="1"/>
  <c r="P99" i="19" a="1"/>
  <c r="P99" i="19" s="1"/>
  <c r="P131" i="19" a="1"/>
  <c r="P131" i="19" s="1"/>
  <c r="P90" i="19" a="1"/>
  <c r="P90" i="19" s="1"/>
  <c r="P122" i="19" a="1"/>
  <c r="P122" i="19" s="1"/>
  <c r="P154" i="19" a="1"/>
  <c r="P154" i="19" s="1"/>
  <c r="P100" i="19" a="1"/>
  <c r="P100" i="19" s="1"/>
  <c r="P172" i="19" a="1"/>
  <c r="P172" i="19" s="1"/>
  <c r="P204" i="19" a="1"/>
  <c r="P204" i="19" s="1"/>
  <c r="P236" i="19" a="1"/>
  <c r="P236" i="19" s="1"/>
  <c r="P105" i="19" a="1"/>
  <c r="P105" i="19" s="1"/>
  <c r="P124" i="19" a="1"/>
  <c r="P124" i="19" s="1"/>
  <c r="P58" i="19" a="1"/>
  <c r="P58" i="19" s="1"/>
  <c r="P176" i="19" a="1"/>
  <c r="P176" i="19" s="1"/>
  <c r="P208" i="19" a="1"/>
  <c r="P208" i="19" s="1"/>
  <c r="P163" i="19" a="1"/>
  <c r="P163" i="19" s="1"/>
  <c r="K4" i="1" l="1"/>
  <c r="R39" i="4"/>
  <c r="S39" i="4" s="1"/>
  <c r="R38" i="4"/>
  <c r="S38" i="4" s="1"/>
  <c r="R41" i="4"/>
  <c r="S41" i="4" s="1"/>
  <c r="R42" i="4"/>
  <c r="S42" i="4" s="1"/>
  <c r="R44" i="4"/>
  <c r="S44" i="4" s="1"/>
  <c r="R40" i="4"/>
  <c r="S40" i="4" s="1"/>
  <c r="R43" i="4"/>
  <c r="S43" i="4" s="1"/>
  <c r="R36" i="4"/>
  <c r="S36" i="4" s="1"/>
  <c r="R33" i="4"/>
  <c r="S33" i="4" s="1"/>
  <c r="R35" i="4"/>
  <c r="S35" i="4" s="1"/>
  <c r="R32" i="4"/>
  <c r="S32" i="4" s="1"/>
  <c r="R34" i="4"/>
  <c r="S34" i="4" s="1"/>
  <c r="R37" i="4"/>
  <c r="S37" i="4" s="1"/>
  <c r="R48" i="4"/>
  <c r="S48" i="4" s="1"/>
  <c r="R47" i="4"/>
  <c r="S47" i="4" s="1"/>
  <c r="R50" i="4"/>
  <c r="S50" i="4" s="1"/>
  <c r="R45" i="4"/>
  <c r="S45" i="4" s="1"/>
  <c r="R54" i="4"/>
  <c r="S54" i="4" s="1"/>
  <c r="R52" i="4"/>
  <c r="S52" i="4" s="1"/>
  <c r="R53" i="4"/>
  <c r="S53" i="4" s="1"/>
  <c r="R51" i="4"/>
  <c r="S51" i="4" s="1"/>
  <c r="R49" i="4"/>
  <c r="S49" i="4" s="1"/>
  <c r="R58" i="4"/>
  <c r="S58" i="4" s="1"/>
  <c r="R59" i="4"/>
  <c r="S59" i="4" s="1"/>
  <c r="R57" i="4"/>
  <c r="S57" i="4" s="1"/>
  <c r="R55" i="4"/>
  <c r="S55" i="4" s="1"/>
  <c r="R46" i="4"/>
  <c r="S46" i="4" s="1"/>
  <c r="R56" i="4"/>
  <c r="S56" i="4" s="1"/>
  <c r="R29" i="4"/>
  <c r="S29" i="4" s="1"/>
  <c r="R31" i="4"/>
  <c r="S31" i="4" s="1"/>
  <c r="R26" i="4"/>
  <c r="S26" i="4" s="1"/>
  <c r="R30" i="4"/>
  <c r="S30" i="4" s="1"/>
  <c r="R27" i="4"/>
  <c r="S27" i="4" s="1"/>
  <c r="S28" i="4"/>
  <c r="R189" i="4"/>
  <c r="S189" i="4" s="1"/>
  <c r="R186" i="4"/>
  <c r="S186" i="4" s="1"/>
  <c r="R136" i="4"/>
  <c r="S136" i="4" s="1"/>
  <c r="R153" i="4"/>
  <c r="S153" i="4" s="1"/>
  <c r="R147" i="4"/>
  <c r="S147" i="4" s="1"/>
  <c r="R159" i="4"/>
  <c r="S159" i="4" s="1"/>
  <c r="R170" i="4"/>
  <c r="S170" i="4" s="1"/>
  <c r="R148" i="4"/>
  <c r="S148" i="4" s="1"/>
  <c r="R182" i="4"/>
  <c r="S182" i="4" s="1"/>
  <c r="R162" i="4"/>
  <c r="S162" i="4" s="1"/>
  <c r="R180" i="4"/>
  <c r="S180" i="4" s="1"/>
  <c r="R142" i="4"/>
  <c r="S142" i="4" s="1"/>
  <c r="R178" i="4"/>
  <c r="S178" i="4" s="1"/>
  <c r="R155" i="4"/>
  <c r="S155" i="4" s="1"/>
  <c r="R165" i="4"/>
  <c r="S165" i="4" s="1"/>
  <c r="R192" i="4"/>
  <c r="S192" i="4" s="1"/>
  <c r="R132" i="4"/>
  <c r="S132" i="4" s="1"/>
  <c r="R134" i="4"/>
  <c r="S134" i="4" s="1"/>
  <c r="R161" i="4"/>
  <c r="S161" i="4" s="1"/>
  <c r="R179" i="4"/>
  <c r="S179" i="4" s="1"/>
  <c r="R183" i="4"/>
  <c r="S183" i="4" s="1"/>
  <c r="R151" i="4"/>
  <c r="S151" i="4" s="1"/>
  <c r="R157" i="4"/>
  <c r="S157" i="4" s="1"/>
  <c r="R158" i="4"/>
  <c r="S158" i="4" s="1"/>
  <c r="R196" i="4"/>
  <c r="S196" i="4" s="1"/>
  <c r="R130" i="4"/>
  <c r="S130" i="4" s="1"/>
  <c r="R194" i="4"/>
  <c r="S194" i="4" s="1"/>
  <c r="R173" i="4"/>
  <c r="S173" i="4" s="1"/>
  <c r="R191" i="4"/>
  <c r="S191" i="4" s="1"/>
  <c r="R150" i="4"/>
  <c r="S150" i="4" s="1"/>
  <c r="R172" i="4"/>
  <c r="S172" i="4" s="1"/>
  <c r="R174" i="4"/>
  <c r="S174" i="4" s="1"/>
  <c r="R177" i="4"/>
  <c r="S177" i="4" s="1"/>
  <c r="R187" i="4"/>
  <c r="S187" i="4" s="1"/>
  <c r="R149" i="4"/>
  <c r="S149" i="4" s="1"/>
  <c r="R143" i="4"/>
  <c r="S143" i="4" s="1"/>
  <c r="R141" i="4"/>
  <c r="S141" i="4" s="1"/>
  <c r="R133" i="4"/>
  <c r="S133" i="4" s="1"/>
  <c r="R135" i="4"/>
  <c r="S135" i="4" s="1"/>
  <c r="R164" i="4"/>
  <c r="S164" i="4" s="1"/>
  <c r="R190" i="4"/>
  <c r="S190" i="4" s="1"/>
  <c r="R163" i="4"/>
  <c r="S163" i="4" s="1"/>
  <c r="R198" i="4"/>
  <c r="S198" i="4" s="1"/>
  <c r="R171" i="4"/>
  <c r="S171" i="4" s="1"/>
  <c r="R140" i="4"/>
  <c r="S140" i="4" s="1"/>
  <c r="R156" i="4"/>
  <c r="S156" i="4" s="1"/>
  <c r="R145" i="4"/>
  <c r="S145" i="4" s="1"/>
  <c r="R160" i="4"/>
  <c r="S160" i="4" s="1"/>
  <c r="R166" i="4"/>
  <c r="S166" i="4" s="1"/>
  <c r="R184" i="4"/>
  <c r="S184" i="4" s="1"/>
  <c r="R185" i="4"/>
  <c r="S185" i="4" s="1"/>
  <c r="R146" i="4"/>
  <c r="S146" i="4" s="1"/>
  <c r="R152" i="4"/>
  <c r="S152" i="4" s="1"/>
  <c r="R188" i="4"/>
  <c r="S188" i="4" s="1"/>
  <c r="R169" i="4"/>
  <c r="S169" i="4" s="1"/>
  <c r="R139" i="4"/>
  <c r="S139" i="4" s="1"/>
  <c r="R144" i="4"/>
  <c r="S144" i="4" s="1"/>
  <c r="R154" i="4"/>
  <c r="S154" i="4" s="1"/>
  <c r="R175" i="4"/>
  <c r="S175" i="4" s="1"/>
  <c r="R131" i="4"/>
  <c r="S131" i="4" s="1"/>
  <c r="R138" i="4"/>
  <c r="S138" i="4" s="1"/>
  <c r="R193" i="4"/>
  <c r="S193" i="4" s="1"/>
  <c r="R167" i="4"/>
  <c r="S167" i="4" s="1"/>
  <c r="R181" i="4"/>
  <c r="S181" i="4" s="1"/>
  <c r="R137" i="4"/>
  <c r="S137" i="4" s="1"/>
  <c r="R176" i="4"/>
  <c r="S176" i="4" s="1"/>
  <c r="R195" i="4"/>
  <c r="S195" i="4" s="1"/>
  <c r="R168" i="4"/>
  <c r="S168" i="4" s="1"/>
  <c r="R197" i="4"/>
  <c r="S197" i="4" s="1"/>
  <c r="R122" i="4"/>
  <c r="S122" i="4" s="1"/>
  <c r="R94" i="4"/>
  <c r="S94" i="4" s="1"/>
  <c r="R103" i="4"/>
  <c r="S103" i="4" s="1"/>
  <c r="R107" i="4"/>
  <c r="S107" i="4" s="1"/>
  <c r="R123" i="4"/>
  <c r="S123" i="4" s="1"/>
  <c r="R89" i="4"/>
  <c r="S89" i="4" s="1"/>
  <c r="R82" i="4"/>
  <c r="S82" i="4" s="1"/>
  <c r="R100" i="4"/>
  <c r="S100" i="4" s="1"/>
  <c r="R91" i="4"/>
  <c r="S91" i="4" s="1"/>
  <c r="R96" i="4"/>
  <c r="S96" i="4" s="1"/>
  <c r="R118" i="4"/>
  <c r="S118" i="4" s="1"/>
  <c r="R104" i="4"/>
  <c r="S104" i="4" s="1"/>
  <c r="R84" i="4"/>
  <c r="S84" i="4" s="1"/>
  <c r="R113" i="4"/>
  <c r="S113" i="4" s="1"/>
  <c r="R121" i="4"/>
  <c r="S121" i="4" s="1"/>
  <c r="R108" i="4"/>
  <c r="S108" i="4" s="1"/>
  <c r="R87" i="4"/>
  <c r="S87" i="4" s="1"/>
  <c r="R119" i="4"/>
  <c r="S119" i="4" s="1"/>
  <c r="R102" i="4"/>
  <c r="S102" i="4" s="1"/>
  <c r="R106" i="4"/>
  <c r="S106" i="4" s="1"/>
  <c r="R128" i="4"/>
  <c r="S128" i="4" s="1"/>
  <c r="R112" i="4"/>
  <c r="S112" i="4" s="1"/>
  <c r="R126" i="4"/>
  <c r="S126" i="4" s="1"/>
  <c r="R93" i="4"/>
  <c r="S93" i="4" s="1"/>
  <c r="R125" i="4"/>
  <c r="S125" i="4" s="1"/>
  <c r="R127" i="4"/>
  <c r="S127" i="4" s="1"/>
  <c r="R97" i="4"/>
  <c r="S97" i="4" s="1"/>
  <c r="R92" i="4"/>
  <c r="S92" i="4" s="1"/>
  <c r="R83" i="4"/>
  <c r="S83" i="4" s="1"/>
  <c r="R109" i="4"/>
  <c r="S109" i="4" s="1"/>
  <c r="R98" i="4"/>
  <c r="S98" i="4" s="1"/>
  <c r="R99" i="4"/>
  <c r="S99" i="4" s="1"/>
  <c r="R95" i="4"/>
  <c r="S95" i="4" s="1"/>
  <c r="R116" i="4"/>
  <c r="S116" i="4" s="1"/>
  <c r="R105" i="4"/>
  <c r="S105" i="4" s="1"/>
  <c r="R120" i="4"/>
  <c r="S120" i="4" s="1"/>
  <c r="R86" i="4"/>
  <c r="S86" i="4" s="1"/>
  <c r="R88" i="4"/>
  <c r="S88" i="4" s="1"/>
  <c r="R85" i="4"/>
  <c r="S85" i="4" s="1"/>
  <c r="R117" i="4"/>
  <c r="S117" i="4" s="1"/>
  <c r="R114" i="4"/>
  <c r="S114" i="4" s="1"/>
  <c r="R90" i="4"/>
  <c r="S90" i="4" s="1"/>
  <c r="R110" i="4"/>
  <c r="S110" i="4" s="1"/>
  <c r="R81" i="4"/>
  <c r="S81" i="4" s="1"/>
  <c r="R111" i="4"/>
  <c r="S111" i="4" s="1"/>
  <c r="R115" i="4"/>
  <c r="S115" i="4" s="1"/>
  <c r="R101" i="4"/>
  <c r="S101" i="4" s="1"/>
  <c r="R124" i="4"/>
  <c r="S124" i="4" s="1"/>
  <c r="R129" i="4"/>
  <c r="S129" i="4" s="1"/>
  <c r="R215" i="4"/>
  <c r="S215" i="4" s="1"/>
  <c r="R230" i="4"/>
  <c r="S230" i="4" s="1"/>
  <c r="R225" i="4"/>
  <c r="S225" i="4" s="1"/>
  <c r="R213" i="4"/>
  <c r="S213" i="4" s="1"/>
  <c r="R238" i="4"/>
  <c r="S238" i="4" s="1"/>
  <c r="R206" i="4"/>
  <c r="S206" i="4" s="1"/>
  <c r="R243" i="4"/>
  <c r="S243" i="4" s="1"/>
  <c r="R203" i="4"/>
  <c r="S203" i="4" s="1"/>
  <c r="R247" i="4"/>
  <c r="S247" i="4" s="1"/>
  <c r="R220" i="4"/>
  <c r="S220" i="4" s="1"/>
  <c r="R221" i="4"/>
  <c r="S221" i="4" s="1"/>
  <c r="R239" i="4"/>
  <c r="S239" i="4" s="1"/>
  <c r="R246" i="4"/>
  <c r="S246" i="4" s="1"/>
  <c r="R199" i="4"/>
  <c r="S199" i="4" s="1"/>
  <c r="R219" i="4"/>
  <c r="S219" i="4" s="1"/>
  <c r="R233" i="4"/>
  <c r="S233" i="4" s="1"/>
  <c r="R222" i="4"/>
  <c r="S222" i="4" s="1"/>
  <c r="R241" i="4"/>
  <c r="S241" i="4" s="1"/>
  <c r="R210" i="4"/>
  <c r="S210" i="4" s="1"/>
  <c r="R201" i="4"/>
  <c r="S201" i="4" s="1"/>
  <c r="R204" i="4"/>
  <c r="S204" i="4" s="1"/>
  <c r="R217" i="4"/>
  <c r="S217" i="4" s="1"/>
  <c r="R223" i="4"/>
  <c r="S223" i="4" s="1"/>
  <c r="R245" i="4"/>
  <c r="S245" i="4" s="1"/>
  <c r="R227" i="4"/>
  <c r="S227" i="4" s="1"/>
  <c r="R231" i="4"/>
  <c r="S231" i="4" s="1"/>
  <c r="R235" i="4"/>
  <c r="S235" i="4" s="1"/>
  <c r="R218" i="4"/>
  <c r="S218" i="4" s="1"/>
  <c r="R236" i="4"/>
  <c r="S236" i="4" s="1"/>
  <c r="R205" i="4"/>
  <c r="S205" i="4" s="1"/>
  <c r="R214" i="4"/>
  <c r="S214" i="4" s="1"/>
  <c r="R212" i="4"/>
  <c r="S212" i="4" s="1"/>
  <c r="R200" i="4"/>
  <c r="S200" i="4" s="1"/>
  <c r="R248" i="4"/>
  <c r="S248" i="4" s="1"/>
  <c r="R224" i="4"/>
  <c r="S224" i="4" s="1"/>
  <c r="R209" i="4"/>
  <c r="S209" i="4" s="1"/>
  <c r="R228" i="4"/>
  <c r="S228" i="4" s="1"/>
  <c r="R234" i="4"/>
  <c r="S234" i="4" s="1"/>
  <c r="R216" i="4"/>
  <c r="S216" i="4" s="1"/>
  <c r="R229" i="4"/>
  <c r="S229" i="4" s="1"/>
  <c r="R226" i="4"/>
  <c r="S226" i="4" s="1"/>
  <c r="R244" i="4"/>
  <c r="S244" i="4" s="1"/>
  <c r="R240" i="4"/>
  <c r="S240" i="4" s="1"/>
  <c r="R237" i="4"/>
  <c r="S237" i="4" s="1"/>
  <c r="R242" i="4"/>
  <c r="S242" i="4" s="1"/>
  <c r="R211" i="4"/>
  <c r="S211" i="4" s="1"/>
  <c r="R232" i="4"/>
  <c r="S232" i="4" s="1"/>
  <c r="R208" i="4"/>
  <c r="S208" i="4" s="1"/>
  <c r="R207" i="4"/>
  <c r="S207" i="4" s="1"/>
  <c r="R202" i="4"/>
  <c r="S202" i="4" s="1"/>
  <c r="R60" i="4"/>
  <c r="S60" i="4" s="1"/>
  <c r="R67" i="4"/>
  <c r="S67" i="4" s="1"/>
  <c r="R75" i="4"/>
  <c r="S75" i="4" s="1"/>
  <c r="R79" i="4"/>
  <c r="S79" i="4" s="1"/>
  <c r="R62" i="4"/>
  <c r="S62" i="4" s="1"/>
  <c r="R69" i="4"/>
  <c r="S69" i="4" s="1"/>
  <c r="R63" i="4"/>
  <c r="S63" i="4" s="1"/>
  <c r="R77" i="4"/>
  <c r="S77" i="4" s="1"/>
  <c r="R76" i="4"/>
  <c r="S76" i="4" s="1"/>
  <c r="R72" i="4"/>
  <c r="S72" i="4" s="1"/>
  <c r="R61" i="4"/>
  <c r="S61" i="4" s="1"/>
  <c r="R70" i="4"/>
  <c r="S70" i="4" s="1"/>
  <c r="R78" i="4"/>
  <c r="S78" i="4" s="1"/>
  <c r="R64" i="4"/>
  <c r="S64" i="4" s="1"/>
  <c r="R65" i="4"/>
  <c r="S65" i="4" s="1"/>
  <c r="R66" i="4"/>
  <c r="S66" i="4" s="1"/>
  <c r="R80" i="4"/>
  <c r="S80" i="4" s="1"/>
  <c r="R68" i="4"/>
  <c r="S68" i="4" s="1"/>
  <c r="R73" i="4"/>
  <c r="S73" i="4" s="1"/>
  <c r="R71" i="4"/>
  <c r="S71" i="4" s="1"/>
  <c r="R74" i="4"/>
  <c r="S74" i="4" s="1"/>
  <c r="R276" i="4"/>
  <c r="S276" i="4" s="1"/>
  <c r="R271" i="4"/>
  <c r="S271" i="4" s="1"/>
  <c r="R265" i="4"/>
  <c r="S265" i="4" s="1"/>
  <c r="R249" i="4"/>
  <c r="S249" i="4" s="1"/>
  <c r="R270" i="4"/>
  <c r="S270" i="4" s="1"/>
  <c r="R254" i="4"/>
  <c r="S254" i="4" s="1"/>
  <c r="R277" i="4"/>
  <c r="S277" i="4" s="1"/>
  <c r="R272" i="4"/>
  <c r="S272" i="4" s="1"/>
  <c r="R275" i="4"/>
  <c r="S275" i="4" s="1"/>
  <c r="R255" i="4"/>
  <c r="S255" i="4" s="1"/>
  <c r="R261" i="4"/>
  <c r="S261" i="4" s="1"/>
  <c r="R259" i="4"/>
  <c r="S259" i="4" s="1"/>
  <c r="R269" i="4"/>
  <c r="S269" i="4" s="1"/>
  <c r="R257" i="4"/>
  <c r="S257" i="4" s="1"/>
  <c r="R252" i="4"/>
  <c r="S252" i="4" s="1"/>
  <c r="R273" i="4"/>
  <c r="S273" i="4" s="1"/>
  <c r="R262" i="4"/>
  <c r="S262" i="4" s="1"/>
  <c r="R268" i="4"/>
  <c r="S268" i="4" s="1"/>
  <c r="R256" i="4"/>
  <c r="S256" i="4" s="1"/>
  <c r="R263" i="4"/>
  <c r="S263" i="4" s="1"/>
  <c r="R264" i="4"/>
  <c r="S264" i="4" s="1"/>
  <c r="R278" i="4"/>
  <c r="S278" i="4" s="1"/>
  <c r="R267" i="4"/>
  <c r="S267" i="4" s="1"/>
  <c r="R258" i="4"/>
  <c r="S258" i="4" s="1"/>
  <c r="R274" i="4"/>
  <c r="S274" i="4" s="1"/>
  <c r="R266" i="4"/>
  <c r="S266" i="4" s="1"/>
  <c r="R253" i="4"/>
  <c r="S253" i="4" s="1"/>
  <c r="R250" i="4"/>
  <c r="S250" i="4" s="1"/>
  <c r="R260" i="4"/>
  <c r="S260" i="4" s="1"/>
  <c r="R251" i="4"/>
  <c r="S251" i="4" s="1"/>
  <c r="R208" i="19"/>
  <c r="Q208" i="19"/>
  <c r="Q100" i="19"/>
  <c r="R100" i="19"/>
  <c r="Q117" i="19"/>
  <c r="R117" i="19"/>
  <c r="Q30" i="19"/>
  <c r="R30" i="19"/>
  <c r="R155" i="19"/>
  <c r="Q155" i="19"/>
  <c r="Q164" i="19"/>
  <c r="R164" i="19"/>
  <c r="Q221" i="19"/>
  <c r="R221" i="19"/>
  <c r="Q43" i="19"/>
  <c r="R43" i="19"/>
  <c r="Q231" i="19"/>
  <c r="R231" i="19"/>
  <c r="Q196" i="19"/>
  <c r="R196" i="19"/>
  <c r="Q26" i="19"/>
  <c r="R26" i="19"/>
  <c r="R63" i="19"/>
  <c r="Q63" i="19"/>
  <c r="R183" i="19"/>
  <c r="Q183" i="19"/>
  <c r="R227" i="19"/>
  <c r="Q227" i="19"/>
  <c r="Q166" i="19"/>
  <c r="R166" i="19"/>
  <c r="Q35" i="19"/>
  <c r="R35" i="19"/>
  <c r="R192" i="19"/>
  <c r="Q192" i="19"/>
  <c r="Q106" i="19"/>
  <c r="R106" i="19"/>
  <c r="Q79" i="19"/>
  <c r="R79" i="19"/>
  <c r="Q25" i="19"/>
  <c r="R25" i="19"/>
  <c r="Q209" i="19"/>
  <c r="R209" i="19"/>
  <c r="Q237" i="19"/>
  <c r="R237" i="19"/>
  <c r="R112" i="19"/>
  <c r="Q112" i="19"/>
  <c r="Q12" i="19"/>
  <c r="R12" i="19"/>
  <c r="Q97" i="19"/>
  <c r="R97" i="19"/>
  <c r="Q98" i="19"/>
  <c r="R98" i="19"/>
  <c r="Q42" i="19"/>
  <c r="R42" i="19"/>
  <c r="Q17" i="19"/>
  <c r="R17" i="19"/>
  <c r="Q233" i="19"/>
  <c r="R233" i="19"/>
  <c r="Q179" i="19"/>
  <c r="R179" i="19"/>
  <c r="Q104" i="19"/>
  <c r="R104" i="19"/>
  <c r="R176" i="19"/>
  <c r="Q176" i="19"/>
  <c r="Q154" i="19"/>
  <c r="R154" i="19"/>
  <c r="R127" i="19"/>
  <c r="Q127" i="19"/>
  <c r="Q71" i="19"/>
  <c r="R71" i="19"/>
  <c r="Q246" i="19"/>
  <c r="R246" i="19"/>
  <c r="R250" i="19"/>
  <c r="Q250" i="19"/>
  <c r="Q189" i="19"/>
  <c r="R189" i="19"/>
  <c r="R68" i="19"/>
  <c r="Q68" i="19"/>
  <c r="R148" i="19"/>
  <c r="Q148" i="19"/>
  <c r="Q146" i="19"/>
  <c r="R146" i="19"/>
  <c r="Q34" i="19"/>
  <c r="R34" i="19"/>
  <c r="Q31" i="19"/>
  <c r="R31" i="19"/>
  <c r="Q249" i="19"/>
  <c r="R249" i="19"/>
  <c r="R195" i="19"/>
  <c r="Q195" i="19"/>
  <c r="R134" i="19"/>
  <c r="Q134" i="19"/>
  <c r="R60" i="19"/>
  <c r="Q60" i="19"/>
  <c r="Q129" i="19"/>
  <c r="R129" i="19"/>
  <c r="R115" i="19"/>
  <c r="Q115" i="19"/>
  <c r="Q69" i="19"/>
  <c r="R69" i="19"/>
  <c r="Q238" i="19"/>
  <c r="R238" i="19"/>
  <c r="Q177" i="19"/>
  <c r="R177" i="19"/>
  <c r="Q205" i="19"/>
  <c r="R205" i="19"/>
  <c r="Q70" i="19"/>
  <c r="R70" i="19"/>
  <c r="Q224" i="19"/>
  <c r="R224" i="19"/>
  <c r="Q137" i="19"/>
  <c r="R137" i="19"/>
  <c r="Q139" i="19"/>
  <c r="R139" i="19"/>
  <c r="Q50" i="19"/>
  <c r="R50" i="19"/>
  <c r="Q16" i="19"/>
  <c r="R16" i="19"/>
  <c r="Q201" i="19"/>
  <c r="R201" i="19"/>
  <c r="Q229" i="19"/>
  <c r="R229" i="19"/>
  <c r="Q51" i="19"/>
  <c r="R51" i="19"/>
  <c r="R58" i="19"/>
  <c r="Q58" i="19"/>
  <c r="Q122" i="19"/>
  <c r="R122" i="19"/>
  <c r="Q95" i="19"/>
  <c r="R95" i="19"/>
  <c r="R39" i="19"/>
  <c r="Q39" i="19"/>
  <c r="Q174" i="19"/>
  <c r="R174" i="19"/>
  <c r="R218" i="19"/>
  <c r="Q218" i="19"/>
  <c r="R145" i="19"/>
  <c r="Q145" i="19"/>
  <c r="R36" i="19"/>
  <c r="Q36" i="19"/>
  <c r="Q159" i="19"/>
  <c r="R159" i="19"/>
  <c r="Q114" i="19"/>
  <c r="R114" i="19"/>
  <c r="Q119" i="19"/>
  <c r="R119" i="19"/>
  <c r="R65" i="19"/>
  <c r="Q65" i="19"/>
  <c r="Q217" i="19"/>
  <c r="R217" i="19"/>
  <c r="Q160" i="19"/>
  <c r="R160" i="19"/>
  <c r="R102" i="19"/>
  <c r="Q102" i="19"/>
  <c r="Q28" i="19"/>
  <c r="R28" i="19"/>
  <c r="Q18" i="19"/>
  <c r="R18" i="19"/>
  <c r="R84" i="19"/>
  <c r="Q84" i="19"/>
  <c r="Q37" i="19"/>
  <c r="R37" i="19"/>
  <c r="R232" i="19"/>
  <c r="Q232" i="19"/>
  <c r="Q234" i="19"/>
  <c r="R234" i="19"/>
  <c r="Q173" i="19"/>
  <c r="R173" i="19"/>
  <c r="Q59" i="19"/>
  <c r="R59" i="19"/>
  <c r="Q206" i="19"/>
  <c r="R206" i="19"/>
  <c r="Q244" i="19"/>
  <c r="R244" i="19"/>
  <c r="R107" i="19"/>
  <c r="Q107" i="19"/>
  <c r="Q61" i="19"/>
  <c r="R61" i="19"/>
  <c r="Q190" i="19"/>
  <c r="R190" i="19"/>
  <c r="Q169" i="19"/>
  <c r="R169" i="19"/>
  <c r="Q197" i="19"/>
  <c r="R197" i="19"/>
  <c r="R19" i="19"/>
  <c r="Q19" i="19"/>
  <c r="Q124" i="19"/>
  <c r="R124" i="19"/>
  <c r="Q90" i="19"/>
  <c r="R90" i="19"/>
  <c r="Q13" i="19"/>
  <c r="R13" i="19"/>
  <c r="Q73" i="19"/>
  <c r="R73" i="19"/>
  <c r="Q108" i="19"/>
  <c r="R108" i="19"/>
  <c r="Q186" i="19"/>
  <c r="R186" i="19"/>
  <c r="R142" i="19"/>
  <c r="Q142" i="19"/>
  <c r="Q10" i="19"/>
  <c r="R10" i="19"/>
  <c r="R200" i="19"/>
  <c r="Q200" i="19"/>
  <c r="R80" i="19"/>
  <c r="Q80" i="19"/>
  <c r="Q87" i="19"/>
  <c r="R87" i="19"/>
  <c r="Q33" i="19"/>
  <c r="R33" i="19"/>
  <c r="Q185" i="19"/>
  <c r="R185" i="19"/>
  <c r="Q74" i="19"/>
  <c r="R74" i="19"/>
  <c r="Q82" i="19"/>
  <c r="R82" i="19"/>
  <c r="Q56" i="19"/>
  <c r="R56" i="19"/>
  <c r="Q156" i="19"/>
  <c r="R156" i="19"/>
  <c r="Q165" i="19"/>
  <c r="R165" i="19"/>
  <c r="Q46" i="19"/>
  <c r="R46" i="19"/>
  <c r="Q222" i="19"/>
  <c r="R222" i="19"/>
  <c r="Q202" i="19"/>
  <c r="R202" i="19"/>
  <c r="Q158" i="19"/>
  <c r="R158" i="19"/>
  <c r="R27" i="19"/>
  <c r="Q27" i="19"/>
  <c r="R216" i="19"/>
  <c r="Q216" i="19"/>
  <c r="Q212" i="19"/>
  <c r="R212" i="19"/>
  <c r="R157" i="19"/>
  <c r="Q157" i="19"/>
  <c r="Q29" i="19"/>
  <c r="R29" i="19"/>
  <c r="R214" i="19"/>
  <c r="Q214" i="19"/>
  <c r="Q83" i="19"/>
  <c r="R83" i="19"/>
  <c r="R153" i="19"/>
  <c r="Q153" i="19"/>
  <c r="Q44" i="19"/>
  <c r="R44" i="19"/>
  <c r="Q105" i="19"/>
  <c r="R105" i="19"/>
  <c r="R131" i="19"/>
  <c r="Q131" i="19"/>
  <c r="Q85" i="19"/>
  <c r="R85" i="19"/>
  <c r="R41" i="19"/>
  <c r="Q41" i="19"/>
  <c r="Q191" i="19"/>
  <c r="R191" i="19"/>
  <c r="Q235" i="19"/>
  <c r="R235" i="19"/>
  <c r="R110" i="19"/>
  <c r="Q110" i="19"/>
  <c r="R64" i="19"/>
  <c r="Q64" i="19"/>
  <c r="R168" i="19"/>
  <c r="Q168" i="19"/>
  <c r="R123" i="19"/>
  <c r="Q123" i="19"/>
  <c r="Q77" i="19"/>
  <c r="R77" i="19"/>
  <c r="Q252" i="19"/>
  <c r="R252" i="19"/>
  <c r="R242" i="19"/>
  <c r="Q242" i="19"/>
  <c r="Q245" i="19"/>
  <c r="R245" i="19"/>
  <c r="Q152" i="19"/>
  <c r="R152" i="19"/>
  <c r="Q24" i="19"/>
  <c r="R24" i="19"/>
  <c r="Q220" i="19"/>
  <c r="R220" i="19"/>
  <c r="Q133" i="19"/>
  <c r="R133" i="19"/>
  <c r="Q15" i="19"/>
  <c r="R15" i="19"/>
  <c r="Q207" i="19"/>
  <c r="R207" i="19"/>
  <c r="Q170" i="19"/>
  <c r="R170" i="19"/>
  <c r="Q126" i="19"/>
  <c r="R126" i="19"/>
  <c r="R52" i="19"/>
  <c r="Q52" i="19"/>
  <c r="Q240" i="19"/>
  <c r="R240" i="19"/>
  <c r="Q180" i="19"/>
  <c r="R180" i="19"/>
  <c r="Q125" i="19"/>
  <c r="R125" i="19"/>
  <c r="Q38" i="19"/>
  <c r="R38" i="19"/>
  <c r="R182" i="19"/>
  <c r="Q182" i="19"/>
  <c r="R226" i="19"/>
  <c r="Q226" i="19"/>
  <c r="Q150" i="19"/>
  <c r="R150" i="19"/>
  <c r="R14" i="19"/>
  <c r="Q14" i="19"/>
  <c r="Q236" i="19"/>
  <c r="R236" i="19"/>
  <c r="R99" i="19"/>
  <c r="Q99" i="19"/>
  <c r="Q53" i="19"/>
  <c r="R53" i="19"/>
  <c r="Q8" i="19"/>
  <c r="R8" i="19"/>
  <c r="Q161" i="19"/>
  <c r="R161" i="19"/>
  <c r="Q203" i="19"/>
  <c r="R203" i="19"/>
  <c r="Q128" i="19"/>
  <c r="R128" i="19"/>
  <c r="Q32" i="19"/>
  <c r="R32" i="19"/>
  <c r="Q78" i="19"/>
  <c r="R78" i="19"/>
  <c r="Q91" i="19"/>
  <c r="R91" i="19"/>
  <c r="Q45" i="19"/>
  <c r="R45" i="19"/>
  <c r="R239" i="19"/>
  <c r="Q239" i="19"/>
  <c r="Q210" i="19"/>
  <c r="R210" i="19"/>
  <c r="Q213" i="19"/>
  <c r="R213" i="19"/>
  <c r="Q120" i="19"/>
  <c r="R120" i="19"/>
  <c r="R248" i="19"/>
  <c r="Q248" i="19"/>
  <c r="Q188" i="19"/>
  <c r="R188" i="19"/>
  <c r="Q101" i="19"/>
  <c r="R101" i="19"/>
  <c r="Q55" i="19"/>
  <c r="R55" i="19"/>
  <c r="Q175" i="19"/>
  <c r="R175" i="19"/>
  <c r="Q251" i="19"/>
  <c r="R251" i="19"/>
  <c r="R94" i="19"/>
  <c r="Q94" i="19"/>
  <c r="R20" i="19"/>
  <c r="Q20" i="19"/>
  <c r="Q230" i="19"/>
  <c r="R230" i="19"/>
  <c r="Q132" i="19"/>
  <c r="R132" i="19"/>
  <c r="Q93" i="19"/>
  <c r="R93" i="19"/>
  <c r="Q47" i="19"/>
  <c r="R47" i="19"/>
  <c r="Q199" i="19"/>
  <c r="R199" i="19"/>
  <c r="Q194" i="19"/>
  <c r="R194" i="19"/>
  <c r="R118" i="19"/>
  <c r="Q118" i="19"/>
  <c r="Q7" i="19"/>
  <c r="R7" i="19"/>
  <c r="R204" i="19"/>
  <c r="Q204" i="19"/>
  <c r="Q9" i="19"/>
  <c r="R9" i="19"/>
  <c r="Q21" i="19"/>
  <c r="R21" i="19"/>
  <c r="Q223" i="19"/>
  <c r="R223" i="19"/>
  <c r="Q225" i="19"/>
  <c r="R225" i="19"/>
  <c r="Q171" i="19"/>
  <c r="R171" i="19"/>
  <c r="Q96" i="19"/>
  <c r="R96" i="19"/>
  <c r="Q198" i="19"/>
  <c r="R198" i="19"/>
  <c r="Q92" i="19"/>
  <c r="R92" i="19"/>
  <c r="Q141" i="19"/>
  <c r="R141" i="19"/>
  <c r="Q54" i="19"/>
  <c r="R54" i="19"/>
  <c r="Q247" i="19"/>
  <c r="R247" i="19"/>
  <c r="Q178" i="19"/>
  <c r="R178" i="19"/>
  <c r="R181" i="19"/>
  <c r="Q181" i="19"/>
  <c r="Q88" i="19"/>
  <c r="R88" i="19"/>
  <c r="Q254" i="19"/>
  <c r="R254" i="19"/>
  <c r="Q151" i="19"/>
  <c r="R151" i="19"/>
  <c r="Q143" i="19"/>
  <c r="R143" i="19"/>
  <c r="Q23" i="19"/>
  <c r="R23" i="19"/>
  <c r="R147" i="19"/>
  <c r="Q147" i="19"/>
  <c r="Q219" i="19"/>
  <c r="R219" i="19"/>
  <c r="Q66" i="19"/>
  <c r="R66" i="19"/>
  <c r="R11" i="19"/>
  <c r="Q11" i="19"/>
  <c r="Q89" i="19"/>
  <c r="R89" i="19"/>
  <c r="Q162" i="19"/>
  <c r="R162" i="19"/>
  <c r="Q135" i="19"/>
  <c r="R135" i="19"/>
  <c r="Q81" i="19"/>
  <c r="R81" i="19"/>
  <c r="Q167" i="19"/>
  <c r="R167" i="19"/>
  <c r="Q243" i="19"/>
  <c r="R243" i="19"/>
  <c r="R86" i="19"/>
  <c r="Q86" i="19"/>
  <c r="R72" i="19"/>
  <c r="Q72" i="19"/>
  <c r="Q163" i="19"/>
  <c r="R163" i="19"/>
  <c r="Q172" i="19"/>
  <c r="R172" i="19"/>
  <c r="R149" i="19"/>
  <c r="Q149" i="19"/>
  <c r="Q62" i="19"/>
  <c r="R62" i="19"/>
  <c r="R140" i="19"/>
  <c r="Q140" i="19"/>
  <c r="Q193" i="19"/>
  <c r="R193" i="19"/>
  <c r="R253" i="19"/>
  <c r="Q253" i="19"/>
  <c r="Q75" i="19"/>
  <c r="R75" i="19"/>
  <c r="R6" i="19"/>
  <c r="Q6" i="19"/>
  <c r="Q228" i="19"/>
  <c r="R228" i="19"/>
  <c r="Q109" i="19"/>
  <c r="R109" i="19"/>
  <c r="Q22" i="19"/>
  <c r="R22" i="19"/>
  <c r="Q215" i="19"/>
  <c r="R215" i="19"/>
  <c r="Q76" i="19"/>
  <c r="R76" i="19"/>
  <c r="Q113" i="19"/>
  <c r="R113" i="19"/>
  <c r="Q67" i="19"/>
  <c r="R67" i="19"/>
  <c r="Q121" i="19"/>
  <c r="R121" i="19"/>
  <c r="Q138" i="19"/>
  <c r="R138" i="19"/>
  <c r="Q111" i="19"/>
  <c r="R111" i="19"/>
  <c r="Q57" i="19"/>
  <c r="R57" i="19"/>
  <c r="R241" i="19"/>
  <c r="Q241" i="19"/>
  <c r="Q187" i="19"/>
  <c r="R187" i="19"/>
  <c r="R144" i="19"/>
  <c r="Q144" i="19"/>
  <c r="Q48" i="19"/>
  <c r="R48" i="19"/>
  <c r="R184" i="19"/>
  <c r="Q184" i="19"/>
  <c r="Q130" i="19"/>
  <c r="R130" i="19"/>
  <c r="Q103" i="19"/>
  <c r="R103" i="19"/>
  <c r="Q49" i="19"/>
  <c r="R49" i="19"/>
  <c r="Q116" i="19"/>
  <c r="R116" i="19"/>
  <c r="Q211" i="19"/>
  <c r="R211" i="19"/>
  <c r="R136" i="19"/>
  <c r="Q136" i="19"/>
  <c r="R40" i="19"/>
  <c r="Q40" i="19"/>
  <c r="S25" i="4" l="1"/>
  <c r="S24" i="4"/>
  <c r="W78" i="4" s="1"/>
  <c r="S49" i="19"/>
  <c r="J49" i="19"/>
  <c r="K49" i="19" s="1"/>
  <c r="S22" i="19"/>
  <c r="J22" i="19"/>
  <c r="K22" i="19" s="1"/>
  <c r="S21" i="19"/>
  <c r="J21" i="19"/>
  <c r="K21" i="19" s="1"/>
  <c r="S103" i="19"/>
  <c r="J103" i="19"/>
  <c r="K103" i="19" s="1"/>
  <c r="S111" i="19"/>
  <c r="J111" i="19"/>
  <c r="K111" i="19" s="1"/>
  <c r="S113" i="19"/>
  <c r="J113" i="19"/>
  <c r="K113" i="19" s="1"/>
  <c r="V9" i="18"/>
  <c r="S109" i="19"/>
  <c r="J109" i="19"/>
  <c r="K109" i="19" s="1"/>
  <c r="J135" i="19"/>
  <c r="K135" i="19" s="1"/>
  <c r="S135" i="19"/>
  <c r="S66" i="19"/>
  <c r="J66" i="19"/>
  <c r="K66" i="19" s="1"/>
  <c r="S143" i="19"/>
  <c r="J143" i="19"/>
  <c r="K143" i="19" s="1"/>
  <c r="S141" i="19"/>
  <c r="J141" i="19"/>
  <c r="K141" i="19" s="1"/>
  <c r="S171" i="19"/>
  <c r="J171" i="19"/>
  <c r="K171" i="19" s="1"/>
  <c r="S9" i="19"/>
  <c r="J9" i="19"/>
  <c r="K9" i="19" s="1"/>
  <c r="S194" i="19"/>
  <c r="J194" i="19"/>
  <c r="K194" i="19" s="1"/>
  <c r="S132" i="19"/>
  <c r="J132" i="19"/>
  <c r="K132" i="19" s="1"/>
  <c r="J251" i="19"/>
  <c r="K251" i="19" s="1"/>
  <c r="S251" i="19"/>
  <c r="J188" i="19"/>
  <c r="K188" i="19" s="1"/>
  <c r="S188" i="19"/>
  <c r="S210" i="19"/>
  <c r="J210" i="19"/>
  <c r="K210" i="19" s="1"/>
  <c r="S78" i="19"/>
  <c r="J78" i="19"/>
  <c r="K78" i="19" s="1"/>
  <c r="S161" i="19"/>
  <c r="J161" i="19"/>
  <c r="K161" i="19" s="1"/>
  <c r="J236" i="19"/>
  <c r="K236" i="19" s="1"/>
  <c r="S236" i="19"/>
  <c r="J240" i="19"/>
  <c r="K240" i="19" s="1"/>
  <c r="S240" i="19"/>
  <c r="S207" i="19"/>
  <c r="J207" i="19"/>
  <c r="K207" i="19" s="1"/>
  <c r="S24" i="19"/>
  <c r="J24" i="19"/>
  <c r="K24" i="19" s="1"/>
  <c r="S252" i="19"/>
  <c r="J252" i="19"/>
  <c r="K252" i="19" s="1"/>
  <c r="S44" i="19"/>
  <c r="J44" i="19"/>
  <c r="K44" i="19" s="1"/>
  <c r="S29" i="19"/>
  <c r="J29" i="19"/>
  <c r="K29" i="19" s="1"/>
  <c r="S46" i="19"/>
  <c r="J46" i="19"/>
  <c r="K46" i="19" s="1"/>
  <c r="S82" i="19"/>
  <c r="J82" i="19"/>
  <c r="K82" i="19" s="1"/>
  <c r="S87" i="19"/>
  <c r="J87" i="19"/>
  <c r="K87" i="19" s="1"/>
  <c r="S13" i="19"/>
  <c r="J13" i="19"/>
  <c r="K13" i="19" s="1"/>
  <c r="S197" i="19"/>
  <c r="J197" i="19"/>
  <c r="K197" i="19" s="1"/>
  <c r="J173" i="19"/>
  <c r="K173" i="19" s="1"/>
  <c r="S173" i="19"/>
  <c r="J160" i="19"/>
  <c r="K160" i="19" s="1"/>
  <c r="S160" i="19"/>
  <c r="S114" i="19"/>
  <c r="J114" i="19"/>
  <c r="K114" i="19" s="1"/>
  <c r="S122" i="19"/>
  <c r="J122" i="19"/>
  <c r="K122" i="19" s="1"/>
  <c r="J201" i="19"/>
  <c r="K201" i="19" s="1"/>
  <c r="S201" i="19"/>
  <c r="S137" i="19"/>
  <c r="J137" i="19"/>
  <c r="K137" i="19" s="1"/>
  <c r="J177" i="19"/>
  <c r="K177" i="19" s="1"/>
  <c r="S177" i="19"/>
  <c r="S129" i="19"/>
  <c r="J129" i="19"/>
  <c r="K129" i="19" s="1"/>
  <c r="S249" i="19"/>
  <c r="J249" i="19"/>
  <c r="K249" i="19" s="1"/>
  <c r="S246" i="19"/>
  <c r="J246" i="19"/>
  <c r="K246" i="19" s="1"/>
  <c r="S17" i="19"/>
  <c r="J17" i="19"/>
  <c r="K17" i="19" s="1"/>
  <c r="V4" i="18"/>
  <c r="S12" i="19"/>
  <c r="J12" i="19"/>
  <c r="K12" i="19" s="1"/>
  <c r="V6" i="18"/>
  <c r="S25" i="19"/>
  <c r="J25" i="19"/>
  <c r="K25" i="19" s="1"/>
  <c r="J35" i="19"/>
  <c r="K35" i="19" s="1"/>
  <c r="S35" i="19"/>
  <c r="S43" i="19"/>
  <c r="J43" i="19"/>
  <c r="K43" i="19" s="1"/>
  <c r="S30" i="19"/>
  <c r="J30" i="19"/>
  <c r="K30" i="19" s="1"/>
  <c r="J57" i="19"/>
  <c r="K57" i="19" s="1"/>
  <c r="S57" i="19"/>
  <c r="S62" i="19"/>
  <c r="J62" i="19"/>
  <c r="K62" i="19" s="1"/>
  <c r="S88" i="19"/>
  <c r="J88" i="19"/>
  <c r="K88" i="19" s="1"/>
  <c r="J136" i="19"/>
  <c r="K136" i="19" s="1"/>
  <c r="S136" i="19"/>
  <c r="J144" i="19"/>
  <c r="K144" i="19" s="1"/>
  <c r="S144" i="19"/>
  <c r="S253" i="19"/>
  <c r="J253" i="19"/>
  <c r="K253" i="19" s="1"/>
  <c r="S149" i="19"/>
  <c r="J149" i="19"/>
  <c r="K149" i="19" s="1"/>
  <c r="S86" i="19"/>
  <c r="J86" i="19"/>
  <c r="K86" i="19" s="1"/>
  <c r="S181" i="19"/>
  <c r="J181" i="19"/>
  <c r="K181" i="19" s="1"/>
  <c r="S182" i="19"/>
  <c r="J182" i="19"/>
  <c r="K182" i="19" s="1"/>
  <c r="J64" i="19"/>
  <c r="K64" i="19" s="1"/>
  <c r="S64" i="19"/>
  <c r="S41" i="19"/>
  <c r="J41" i="19"/>
  <c r="K41" i="19" s="1"/>
  <c r="S27" i="19"/>
  <c r="J27" i="19"/>
  <c r="K27" i="19" s="1"/>
  <c r="J142" i="19"/>
  <c r="K142" i="19" s="1"/>
  <c r="S142" i="19"/>
  <c r="S107" i="19"/>
  <c r="J107" i="19"/>
  <c r="K107" i="19" s="1"/>
  <c r="S84" i="19"/>
  <c r="J84" i="19"/>
  <c r="K84" i="19" s="1"/>
  <c r="J218" i="19"/>
  <c r="K218" i="19" s="1"/>
  <c r="S218" i="19"/>
  <c r="S148" i="19"/>
  <c r="J148" i="19"/>
  <c r="K148" i="19" s="1"/>
  <c r="S176" i="19"/>
  <c r="J176" i="19"/>
  <c r="K176" i="19" s="1"/>
  <c r="S63" i="19"/>
  <c r="J63" i="19"/>
  <c r="K63" i="19" s="1"/>
  <c r="S211" i="19"/>
  <c r="J211" i="19"/>
  <c r="K211" i="19" s="1"/>
  <c r="S76" i="19"/>
  <c r="J76" i="19"/>
  <c r="K76" i="19" s="1"/>
  <c r="J243" i="19"/>
  <c r="K243" i="19" s="1"/>
  <c r="S243" i="19"/>
  <c r="S162" i="19"/>
  <c r="J162" i="19"/>
  <c r="K162" i="19" s="1"/>
  <c r="S219" i="19"/>
  <c r="J219" i="19"/>
  <c r="K219" i="19" s="1"/>
  <c r="V11" i="18"/>
  <c r="S225" i="19"/>
  <c r="J225" i="19"/>
  <c r="K225" i="19" s="1"/>
  <c r="S199" i="19"/>
  <c r="J199" i="19"/>
  <c r="K199" i="19" s="1"/>
  <c r="S230" i="19"/>
  <c r="J230" i="19"/>
  <c r="K230" i="19" s="1"/>
  <c r="V10" i="18"/>
  <c r="S175" i="19"/>
  <c r="J175" i="19"/>
  <c r="K175" i="19" s="1"/>
  <c r="S32" i="19"/>
  <c r="J32" i="19"/>
  <c r="K32" i="19" s="1"/>
  <c r="S8" i="19"/>
  <c r="J8" i="19"/>
  <c r="K8" i="19" s="1"/>
  <c r="S38" i="19"/>
  <c r="J38" i="19"/>
  <c r="K38" i="19" s="1"/>
  <c r="J15" i="19"/>
  <c r="K15" i="19" s="1"/>
  <c r="S15" i="19"/>
  <c r="J152" i="19"/>
  <c r="K152" i="19" s="1"/>
  <c r="S152" i="19"/>
  <c r="S77" i="19"/>
  <c r="J77" i="19"/>
  <c r="K77" i="19" s="1"/>
  <c r="S85" i="19"/>
  <c r="J85" i="19"/>
  <c r="K85" i="19" s="1"/>
  <c r="J158" i="19"/>
  <c r="K158" i="19" s="1"/>
  <c r="S158" i="19"/>
  <c r="J165" i="19"/>
  <c r="K165" i="19" s="1"/>
  <c r="S165" i="19"/>
  <c r="S74" i="19"/>
  <c r="J74" i="19"/>
  <c r="K74" i="19" s="1"/>
  <c r="S186" i="19"/>
  <c r="J186" i="19"/>
  <c r="K186" i="19" s="1"/>
  <c r="J90" i="19"/>
  <c r="K90" i="19" s="1"/>
  <c r="S90" i="19"/>
  <c r="S169" i="19"/>
  <c r="J169" i="19"/>
  <c r="K169" i="19" s="1"/>
  <c r="J244" i="19"/>
  <c r="K244" i="19" s="1"/>
  <c r="S244" i="19"/>
  <c r="S234" i="19"/>
  <c r="J234" i="19"/>
  <c r="K234" i="19" s="1"/>
  <c r="V5" i="18"/>
  <c r="S18" i="19"/>
  <c r="J18" i="19"/>
  <c r="K18" i="19" s="1"/>
  <c r="J217" i="19"/>
  <c r="K217" i="19" s="1"/>
  <c r="S217" i="19"/>
  <c r="S159" i="19"/>
  <c r="J159" i="19"/>
  <c r="K159" i="19" s="1"/>
  <c r="S174" i="19"/>
  <c r="J174" i="19"/>
  <c r="K174" i="19" s="1"/>
  <c r="S16" i="19"/>
  <c r="J16" i="19"/>
  <c r="K16" i="19" s="1"/>
  <c r="J224" i="19"/>
  <c r="K224" i="19" s="1"/>
  <c r="S224" i="19"/>
  <c r="J238" i="19"/>
  <c r="K238" i="19" s="1"/>
  <c r="S238" i="19"/>
  <c r="S31" i="19"/>
  <c r="J31" i="19"/>
  <c r="K31" i="19" s="1"/>
  <c r="S71" i="19"/>
  <c r="J71" i="19"/>
  <c r="K71" i="19" s="1"/>
  <c r="J104" i="19"/>
  <c r="K104" i="19" s="1"/>
  <c r="S104" i="19"/>
  <c r="S42" i="19"/>
  <c r="J42" i="19"/>
  <c r="K42" i="19" s="1"/>
  <c r="S79" i="19"/>
  <c r="J79" i="19"/>
  <c r="K79" i="19" s="1"/>
  <c r="J166" i="19"/>
  <c r="K166" i="19" s="1"/>
  <c r="S166" i="19"/>
  <c r="J26" i="19"/>
  <c r="K26" i="19" s="1"/>
  <c r="S26" i="19"/>
  <c r="S221" i="19"/>
  <c r="J221" i="19"/>
  <c r="K221" i="19" s="1"/>
  <c r="S117" i="19"/>
  <c r="J117" i="19"/>
  <c r="K117" i="19" s="1"/>
  <c r="J187" i="19"/>
  <c r="K187" i="19" s="1"/>
  <c r="S187" i="19"/>
  <c r="S193" i="19"/>
  <c r="J193" i="19"/>
  <c r="K193" i="19" s="1"/>
  <c r="J178" i="19"/>
  <c r="K178" i="19" s="1"/>
  <c r="S178" i="19"/>
  <c r="J204" i="19"/>
  <c r="K204" i="19" s="1"/>
  <c r="S204" i="19"/>
  <c r="S248" i="19"/>
  <c r="J248" i="19"/>
  <c r="K248" i="19" s="1"/>
  <c r="S239" i="19"/>
  <c r="J239" i="19"/>
  <c r="K239" i="19" s="1"/>
  <c r="S14" i="19"/>
  <c r="J14" i="19"/>
  <c r="K14" i="19" s="1"/>
  <c r="S52" i="19"/>
  <c r="J52" i="19"/>
  <c r="K52" i="19" s="1"/>
  <c r="S110" i="19"/>
  <c r="J110" i="19"/>
  <c r="K110" i="19" s="1"/>
  <c r="S153" i="19"/>
  <c r="J153" i="19"/>
  <c r="K153" i="19" s="1"/>
  <c r="S157" i="19"/>
  <c r="J157" i="19"/>
  <c r="K157" i="19" s="1"/>
  <c r="S80" i="19"/>
  <c r="J80" i="19"/>
  <c r="K80" i="19" s="1"/>
  <c r="J58" i="19"/>
  <c r="K58" i="19" s="1"/>
  <c r="S58" i="19"/>
  <c r="V8" i="18"/>
  <c r="S60" i="19"/>
  <c r="J60" i="19"/>
  <c r="K60" i="19" s="1"/>
  <c r="S68" i="19"/>
  <c r="J68" i="19"/>
  <c r="K68" i="19" s="1"/>
  <c r="J112" i="19"/>
  <c r="K112" i="19" s="1"/>
  <c r="S112" i="19"/>
  <c r="S138" i="19"/>
  <c r="J138" i="19"/>
  <c r="K138" i="19" s="1"/>
  <c r="J172" i="19"/>
  <c r="K172" i="19" s="1"/>
  <c r="S172" i="19"/>
  <c r="J151" i="19"/>
  <c r="K151" i="19" s="1"/>
  <c r="S151" i="19"/>
  <c r="S116" i="19"/>
  <c r="J116" i="19"/>
  <c r="K116" i="19" s="1"/>
  <c r="S121" i="19"/>
  <c r="J121" i="19"/>
  <c r="K121" i="19" s="1"/>
  <c r="S215" i="19"/>
  <c r="J215" i="19"/>
  <c r="K215" i="19" s="1"/>
  <c r="S163" i="19"/>
  <c r="J163" i="19"/>
  <c r="K163" i="19" s="1"/>
  <c r="S167" i="19"/>
  <c r="J167" i="19"/>
  <c r="K167" i="19" s="1"/>
  <c r="S89" i="19"/>
  <c r="J89" i="19"/>
  <c r="K89" i="19" s="1"/>
  <c r="S254" i="19"/>
  <c r="J254" i="19"/>
  <c r="K254" i="19" s="1"/>
  <c r="S247" i="19"/>
  <c r="J247" i="19"/>
  <c r="K247" i="19" s="1"/>
  <c r="J198" i="19"/>
  <c r="K198" i="19" s="1"/>
  <c r="S198" i="19"/>
  <c r="S223" i="19"/>
  <c r="J223" i="19"/>
  <c r="K223" i="19" s="1"/>
  <c r="J7" i="19"/>
  <c r="K7" i="19" s="1"/>
  <c r="S7" i="19"/>
  <c r="S47" i="19"/>
  <c r="J47" i="19"/>
  <c r="K47" i="19" s="1"/>
  <c r="S55" i="19"/>
  <c r="J55" i="19"/>
  <c r="K55" i="19" s="1"/>
  <c r="J120" i="19"/>
  <c r="K120" i="19" s="1"/>
  <c r="S120" i="19"/>
  <c r="S45" i="19"/>
  <c r="J45" i="19"/>
  <c r="K45" i="19" s="1"/>
  <c r="J128" i="19"/>
  <c r="K128" i="19" s="1"/>
  <c r="S128" i="19"/>
  <c r="J53" i="19"/>
  <c r="K53" i="19" s="1"/>
  <c r="S53" i="19"/>
  <c r="S150" i="19"/>
  <c r="J150" i="19"/>
  <c r="K150" i="19" s="1"/>
  <c r="S125" i="19"/>
  <c r="J125" i="19"/>
  <c r="K125" i="19" s="1"/>
  <c r="J126" i="19"/>
  <c r="K126" i="19" s="1"/>
  <c r="S126" i="19"/>
  <c r="S133" i="19"/>
  <c r="J133" i="19"/>
  <c r="K133" i="19" s="1"/>
  <c r="J245" i="19"/>
  <c r="K245" i="19" s="1"/>
  <c r="S245" i="19"/>
  <c r="J235" i="19"/>
  <c r="K235" i="19" s="1"/>
  <c r="S235" i="19"/>
  <c r="S83" i="19"/>
  <c r="J83" i="19"/>
  <c r="K83" i="19" s="1"/>
  <c r="J212" i="19"/>
  <c r="K212" i="19" s="1"/>
  <c r="S212" i="19"/>
  <c r="S202" i="19"/>
  <c r="J202" i="19"/>
  <c r="K202" i="19" s="1"/>
  <c r="J156" i="19"/>
  <c r="K156" i="19" s="1"/>
  <c r="S156" i="19"/>
  <c r="S185" i="19"/>
  <c r="J185" i="19"/>
  <c r="K185" i="19" s="1"/>
  <c r="S108" i="19"/>
  <c r="J108" i="19"/>
  <c r="K108" i="19" s="1"/>
  <c r="S124" i="19"/>
  <c r="J124" i="19"/>
  <c r="K124" i="19" s="1"/>
  <c r="J190" i="19"/>
  <c r="K190" i="19" s="1"/>
  <c r="S190" i="19"/>
  <c r="J206" i="19"/>
  <c r="K206" i="19" s="1"/>
  <c r="S206" i="19"/>
  <c r="S28" i="19"/>
  <c r="J28" i="19"/>
  <c r="K28" i="19" s="1"/>
  <c r="S51" i="19"/>
  <c r="J51" i="19"/>
  <c r="K51" i="19" s="1"/>
  <c r="S50" i="19"/>
  <c r="J50" i="19"/>
  <c r="K50" i="19" s="1"/>
  <c r="S70" i="19"/>
  <c r="J70" i="19"/>
  <c r="K70" i="19" s="1"/>
  <c r="S69" i="19"/>
  <c r="J69" i="19"/>
  <c r="K69" i="19" s="1"/>
  <c r="J34" i="19"/>
  <c r="K34" i="19" s="1"/>
  <c r="S34" i="19"/>
  <c r="J189" i="19"/>
  <c r="K189" i="19" s="1"/>
  <c r="S189" i="19"/>
  <c r="S179" i="19"/>
  <c r="J179" i="19"/>
  <c r="K179" i="19" s="1"/>
  <c r="S98" i="19"/>
  <c r="J98" i="19"/>
  <c r="K98" i="19" s="1"/>
  <c r="J237" i="19"/>
  <c r="K237" i="19" s="1"/>
  <c r="S237" i="19"/>
  <c r="S106" i="19"/>
  <c r="J106" i="19"/>
  <c r="K106" i="19" s="1"/>
  <c r="J196" i="19"/>
  <c r="K196" i="19" s="1"/>
  <c r="S196" i="19"/>
  <c r="S164" i="19"/>
  <c r="J164" i="19"/>
  <c r="K164" i="19" s="1"/>
  <c r="S100" i="19"/>
  <c r="J100" i="19"/>
  <c r="K100" i="19" s="1"/>
  <c r="S130" i="19"/>
  <c r="J130" i="19"/>
  <c r="K130" i="19" s="1"/>
  <c r="J228" i="19"/>
  <c r="K228" i="19" s="1"/>
  <c r="S228" i="19"/>
  <c r="S92" i="19"/>
  <c r="J92" i="19"/>
  <c r="K92" i="19" s="1"/>
  <c r="J184" i="19"/>
  <c r="K184" i="19" s="1"/>
  <c r="S184" i="19"/>
  <c r="S241" i="19"/>
  <c r="J241" i="19"/>
  <c r="K241" i="19" s="1"/>
  <c r="V3" i="18"/>
  <c r="S6" i="19"/>
  <c r="J6" i="19"/>
  <c r="K6" i="19" s="1"/>
  <c r="S140" i="19"/>
  <c r="J140" i="19"/>
  <c r="K140" i="19" s="1"/>
  <c r="S147" i="19"/>
  <c r="J147" i="19"/>
  <c r="K147" i="19" s="1"/>
  <c r="J20" i="19"/>
  <c r="K20" i="19" s="1"/>
  <c r="S20" i="19"/>
  <c r="J123" i="19"/>
  <c r="K123" i="19" s="1"/>
  <c r="S123" i="19"/>
  <c r="S131" i="19"/>
  <c r="J131" i="19"/>
  <c r="K131" i="19" s="1"/>
  <c r="J200" i="19"/>
  <c r="K200" i="19" s="1"/>
  <c r="S200" i="19"/>
  <c r="J232" i="19"/>
  <c r="K232" i="19" s="1"/>
  <c r="S232" i="19"/>
  <c r="S65" i="19"/>
  <c r="J65" i="19"/>
  <c r="K65" i="19" s="1"/>
  <c r="S36" i="19"/>
  <c r="J36" i="19"/>
  <c r="K36" i="19" s="1"/>
  <c r="S39" i="19"/>
  <c r="J39" i="19"/>
  <c r="K39" i="19" s="1"/>
  <c r="S134" i="19"/>
  <c r="J134" i="19"/>
  <c r="K134" i="19" s="1"/>
  <c r="S127" i="19"/>
  <c r="J127" i="19"/>
  <c r="K127" i="19" s="1"/>
  <c r="S227" i="19"/>
  <c r="J227" i="19"/>
  <c r="K227" i="19" s="1"/>
  <c r="S48" i="19"/>
  <c r="J48" i="19"/>
  <c r="K48" i="19" s="1"/>
  <c r="S75" i="19"/>
  <c r="J75" i="19"/>
  <c r="K75" i="19" s="1"/>
  <c r="S81" i="19"/>
  <c r="J81" i="19"/>
  <c r="K81" i="19" s="1"/>
  <c r="S23" i="19"/>
  <c r="J23" i="19"/>
  <c r="K23" i="19" s="1"/>
  <c r="J54" i="19"/>
  <c r="K54" i="19" s="1"/>
  <c r="S54" i="19"/>
  <c r="J93" i="19"/>
  <c r="K93" i="19" s="1"/>
  <c r="S93" i="19"/>
  <c r="J101" i="19"/>
  <c r="K101" i="19" s="1"/>
  <c r="S101" i="19"/>
  <c r="S213" i="19"/>
  <c r="J213" i="19"/>
  <c r="K213" i="19" s="1"/>
  <c r="J91" i="19"/>
  <c r="K91" i="19" s="1"/>
  <c r="S91" i="19"/>
  <c r="S203" i="19"/>
  <c r="J203" i="19"/>
  <c r="K203" i="19" s="1"/>
  <c r="J180" i="19"/>
  <c r="K180" i="19" s="1"/>
  <c r="S180" i="19"/>
  <c r="J170" i="19"/>
  <c r="K170" i="19" s="1"/>
  <c r="S170" i="19"/>
  <c r="S220" i="19"/>
  <c r="J220" i="19"/>
  <c r="K220" i="19" s="1"/>
  <c r="S191" i="19"/>
  <c r="J191" i="19"/>
  <c r="K191" i="19" s="1"/>
  <c r="S105" i="19"/>
  <c r="J105" i="19"/>
  <c r="K105" i="19" s="1"/>
  <c r="S222" i="19"/>
  <c r="J222" i="19"/>
  <c r="K222" i="19" s="1"/>
  <c r="S56" i="19"/>
  <c r="J56" i="19"/>
  <c r="K56" i="19" s="1"/>
  <c r="S33" i="19"/>
  <c r="J33" i="19"/>
  <c r="K33" i="19" s="1"/>
  <c r="J10" i="19"/>
  <c r="K10" i="19" s="1"/>
  <c r="S10" i="19"/>
  <c r="J73" i="19"/>
  <c r="K73" i="19" s="1"/>
  <c r="S73" i="19"/>
  <c r="J61" i="19"/>
  <c r="K61" i="19" s="1"/>
  <c r="S61" i="19"/>
  <c r="S59" i="19"/>
  <c r="J59" i="19"/>
  <c r="K59" i="19" s="1"/>
  <c r="S37" i="19"/>
  <c r="J37" i="19"/>
  <c r="K37" i="19" s="1"/>
  <c r="S119" i="19"/>
  <c r="J119" i="19"/>
  <c r="K119" i="19" s="1"/>
  <c r="S95" i="19"/>
  <c r="J95" i="19"/>
  <c r="K95" i="19" s="1"/>
  <c r="S229" i="19"/>
  <c r="J229" i="19"/>
  <c r="K229" i="19" s="1"/>
  <c r="S139" i="19"/>
  <c r="J139" i="19"/>
  <c r="K139" i="19" s="1"/>
  <c r="J205" i="19"/>
  <c r="K205" i="19" s="1"/>
  <c r="S205" i="19"/>
  <c r="S146" i="19"/>
  <c r="J146" i="19"/>
  <c r="K146" i="19" s="1"/>
  <c r="S154" i="19"/>
  <c r="J154" i="19"/>
  <c r="K154" i="19" s="1"/>
  <c r="S233" i="19"/>
  <c r="J233" i="19"/>
  <c r="K233" i="19" s="1"/>
  <c r="S97" i="19"/>
  <c r="J97" i="19"/>
  <c r="K97" i="19" s="1"/>
  <c r="J209" i="19"/>
  <c r="K209" i="19" s="1"/>
  <c r="S209" i="19"/>
  <c r="J231" i="19"/>
  <c r="K231" i="19" s="1"/>
  <c r="S231" i="19"/>
  <c r="S67" i="19"/>
  <c r="J67" i="19"/>
  <c r="K67" i="19" s="1"/>
  <c r="J96" i="19"/>
  <c r="K96" i="19" s="1"/>
  <c r="S96" i="19"/>
  <c r="V7" i="18"/>
  <c r="S40" i="19"/>
  <c r="J40" i="19"/>
  <c r="K40" i="19" s="1"/>
  <c r="J72" i="19"/>
  <c r="K72" i="19" s="1"/>
  <c r="S72" i="19"/>
  <c r="S11" i="19"/>
  <c r="J11" i="19"/>
  <c r="K11" i="19" s="1"/>
  <c r="S118" i="19"/>
  <c r="J118" i="19"/>
  <c r="K118" i="19" s="1"/>
  <c r="S94" i="19"/>
  <c r="J94" i="19"/>
  <c r="K94" i="19" s="1"/>
  <c r="J99" i="19"/>
  <c r="K99" i="19" s="1"/>
  <c r="S99" i="19"/>
  <c r="J226" i="19"/>
  <c r="K226" i="19" s="1"/>
  <c r="S226" i="19"/>
  <c r="S242" i="19"/>
  <c r="J242" i="19"/>
  <c r="K242" i="19" s="1"/>
  <c r="J168" i="19"/>
  <c r="K168" i="19" s="1"/>
  <c r="S168" i="19"/>
  <c r="S214" i="19"/>
  <c r="J214" i="19"/>
  <c r="K214" i="19" s="1"/>
  <c r="J216" i="19"/>
  <c r="K216" i="19" s="1"/>
  <c r="S216" i="19"/>
  <c r="S19" i="19"/>
  <c r="J19" i="19"/>
  <c r="K19" i="19" s="1"/>
  <c r="S102" i="19"/>
  <c r="J102" i="19"/>
  <c r="K102" i="19" s="1"/>
  <c r="J145" i="19"/>
  <c r="K145" i="19" s="1"/>
  <c r="S145" i="19"/>
  <c r="J115" i="19"/>
  <c r="K115" i="19" s="1"/>
  <c r="S115" i="19"/>
  <c r="J195" i="19"/>
  <c r="K195" i="19" s="1"/>
  <c r="S195" i="19"/>
  <c r="S250" i="19"/>
  <c r="J250" i="19"/>
  <c r="K250" i="19" s="1"/>
  <c r="J192" i="19"/>
  <c r="K192" i="19" s="1"/>
  <c r="S192" i="19"/>
  <c r="S183" i="19"/>
  <c r="J183" i="19"/>
  <c r="K183" i="19" s="1"/>
  <c r="S155" i="19"/>
  <c r="J155" i="19"/>
  <c r="K155" i="19" s="1"/>
  <c r="J208" i="19"/>
  <c r="K208" i="19" s="1"/>
  <c r="S208" i="19"/>
  <c r="U125" i="4" l="1"/>
  <c r="U114" i="4"/>
  <c r="U59" i="4"/>
  <c r="U129" i="4"/>
  <c r="U155" i="4"/>
  <c r="W203" i="4"/>
  <c r="U151" i="4"/>
  <c r="W180" i="4"/>
  <c r="W150" i="4"/>
  <c r="W115" i="4"/>
  <c r="W156" i="4"/>
  <c r="W57" i="4"/>
  <c r="U188" i="4"/>
  <c r="U57" i="4"/>
  <c r="U245" i="4"/>
  <c r="U135" i="4"/>
  <c r="U50" i="4"/>
  <c r="U193" i="4"/>
  <c r="W212" i="4"/>
  <c r="W145" i="4"/>
  <c r="U91" i="4"/>
  <c r="U69" i="4"/>
  <c r="W127" i="4"/>
  <c r="W30" i="4"/>
  <c r="U87" i="4"/>
  <c r="W64" i="4"/>
  <c r="U116" i="4"/>
  <c r="W59" i="4"/>
  <c r="W151" i="4"/>
  <c r="W188" i="4"/>
  <c r="W87" i="4"/>
  <c r="W129" i="4"/>
  <c r="U212" i="4"/>
  <c r="U64" i="4"/>
  <c r="U115" i="4"/>
  <c r="W170" i="4"/>
  <c r="U169" i="4"/>
  <c r="U247" i="4"/>
  <c r="W229" i="4"/>
  <c r="U276" i="4"/>
  <c r="W75" i="4"/>
  <c r="U170" i="4"/>
  <c r="W169" i="4"/>
  <c r="W247" i="4"/>
  <c r="U30" i="4"/>
  <c r="U150" i="4"/>
  <c r="W193" i="4"/>
  <c r="W125" i="4"/>
  <c r="U203" i="4"/>
  <c r="U229" i="4"/>
  <c r="W276" i="4"/>
  <c r="U39" i="4"/>
  <c r="W165" i="4"/>
  <c r="U167" i="4"/>
  <c r="U222" i="4"/>
  <c r="U36" i="4"/>
  <c r="U159" i="4"/>
  <c r="U133" i="4"/>
  <c r="U122" i="4"/>
  <c r="W95" i="4"/>
  <c r="W233" i="4"/>
  <c r="W208" i="4"/>
  <c r="W275" i="4"/>
  <c r="W33" i="4"/>
  <c r="W157" i="4"/>
  <c r="U96" i="4"/>
  <c r="W222" i="4"/>
  <c r="W36" i="4"/>
  <c r="W159" i="4"/>
  <c r="W133" i="4"/>
  <c r="W122" i="4"/>
  <c r="U95" i="4"/>
  <c r="U233" i="4"/>
  <c r="U208" i="4"/>
  <c r="W262" i="4"/>
  <c r="U33" i="4"/>
  <c r="U157" i="4"/>
  <c r="U119" i="4"/>
  <c r="U65" i="4"/>
  <c r="W50" i="4"/>
  <c r="W155" i="4"/>
  <c r="U156" i="4"/>
  <c r="W91" i="4"/>
  <c r="W114" i="4"/>
  <c r="W245" i="4"/>
  <c r="W69" i="4"/>
  <c r="U180" i="4"/>
  <c r="W45" i="4"/>
  <c r="W172" i="4"/>
  <c r="U127" i="4"/>
  <c r="W271" i="4"/>
  <c r="W255" i="4"/>
  <c r="U109" i="4"/>
  <c r="U227" i="4"/>
  <c r="W38" i="4"/>
  <c r="W167" i="4"/>
  <c r="W116" i="4"/>
  <c r="W226" i="4"/>
  <c r="U54" i="4"/>
  <c r="U275" i="4"/>
  <c r="U75" i="4"/>
  <c r="U27" i="4"/>
  <c r="U172" i="4"/>
  <c r="W94" i="4"/>
  <c r="W90" i="4"/>
  <c r="W207" i="4"/>
  <c r="W54" i="4"/>
  <c r="U262" i="4"/>
  <c r="W39" i="4"/>
  <c r="W27" i="4"/>
  <c r="W135" i="4"/>
  <c r="U94" i="4"/>
  <c r="U90" i="4"/>
  <c r="U63" i="4"/>
  <c r="W28" i="4"/>
  <c r="W227" i="4"/>
  <c r="U266" i="4"/>
  <c r="U28" i="4"/>
  <c r="W161" i="4"/>
  <c r="U174" i="4"/>
  <c r="U45" i="4"/>
  <c r="U165" i="4"/>
  <c r="U145" i="4"/>
  <c r="W96" i="4"/>
  <c r="W215" i="4"/>
  <c r="U207" i="4"/>
  <c r="W109" i="4"/>
  <c r="W164" i="4"/>
  <c r="W174" i="4"/>
  <c r="U139" i="4"/>
  <c r="W97" i="4"/>
  <c r="W268" i="4"/>
  <c r="U55" i="4"/>
  <c r="U97" i="4"/>
  <c r="U105" i="4"/>
  <c r="W105" i="4"/>
  <c r="U181" i="4"/>
  <c r="U220" i="4"/>
  <c r="W181" i="4"/>
  <c r="U241" i="4"/>
  <c r="W200" i="4"/>
  <c r="U271" i="4"/>
  <c r="U61" i="4"/>
  <c r="W192" i="4"/>
  <c r="U103" i="4"/>
  <c r="W265" i="4"/>
  <c r="W119" i="4"/>
  <c r="U215" i="4"/>
  <c r="U226" i="4"/>
  <c r="U255" i="4"/>
  <c r="U38" i="4"/>
  <c r="U158" i="4"/>
  <c r="W103" i="4"/>
  <c r="W256" i="4"/>
  <c r="W241" i="4"/>
  <c r="U253" i="4"/>
  <c r="W231" i="4"/>
  <c r="U76" i="4"/>
  <c r="U110" i="4"/>
  <c r="U231" i="4"/>
  <c r="W260" i="4"/>
  <c r="U148" i="4"/>
  <c r="U164" i="4"/>
  <c r="U118" i="4"/>
  <c r="W110" i="4"/>
  <c r="W202" i="4"/>
  <c r="U44" i="4"/>
  <c r="W266" i="4"/>
  <c r="U35" i="4"/>
  <c r="W148" i="4"/>
  <c r="W160" i="4"/>
  <c r="W118" i="4"/>
  <c r="W230" i="4"/>
  <c r="U202" i="4"/>
  <c r="U198" i="4"/>
  <c r="U200" i="4"/>
  <c r="W65" i="4"/>
  <c r="U161" i="4"/>
  <c r="W35" i="4"/>
  <c r="U192" i="4"/>
  <c r="U160" i="4"/>
  <c r="U102" i="4"/>
  <c r="W220" i="4"/>
  <c r="U66" i="4"/>
  <c r="W113" i="4"/>
  <c r="U113" i="4"/>
  <c r="W76" i="4"/>
  <c r="U52" i="4"/>
  <c r="U77" i="4"/>
  <c r="W263" i="4"/>
  <c r="U46" i="4"/>
  <c r="W77" i="4"/>
  <c r="U263" i="4"/>
  <c r="W196" i="4"/>
  <c r="W46" i="4"/>
  <c r="W190" i="4"/>
  <c r="W204" i="4"/>
  <c r="U166" i="4"/>
  <c r="U248" i="4"/>
  <c r="U261" i="4"/>
  <c r="W250" i="4"/>
  <c r="W254" i="4"/>
  <c r="U144" i="4"/>
  <c r="W244" i="4"/>
  <c r="U256" i="4"/>
  <c r="U260" i="4"/>
  <c r="W52" i="4"/>
  <c r="W144" i="4"/>
  <c r="W81" i="4"/>
  <c r="W182" i="4"/>
  <c r="U81" i="4"/>
  <c r="U204" i="4"/>
  <c r="W132" i="4"/>
  <c r="W225" i="4"/>
  <c r="W210" i="4"/>
  <c r="W60" i="4"/>
  <c r="W104" i="4"/>
  <c r="W80" i="4"/>
  <c r="U265" i="4"/>
  <c r="U249" i="4"/>
  <c r="W44" i="4"/>
  <c r="W32" i="4"/>
  <c r="U132" i="4"/>
  <c r="U104" i="4"/>
  <c r="U185" i="4"/>
  <c r="U244" i="4"/>
  <c r="W261" i="4"/>
  <c r="W249" i="4"/>
  <c r="W194" i="4"/>
  <c r="U32" i="4"/>
  <c r="U196" i="4"/>
  <c r="W92" i="4"/>
  <c r="U34" i="4"/>
  <c r="W259" i="4"/>
  <c r="U107" i="4"/>
  <c r="U225" i="4"/>
  <c r="U259" i="4"/>
  <c r="U254" i="4"/>
  <c r="U189" i="4"/>
  <c r="U190" i="4"/>
  <c r="U106" i="4"/>
  <c r="U235" i="4"/>
  <c r="W53" i="4"/>
  <c r="U194" i="4"/>
  <c r="U41" i="4"/>
  <c r="U182" i="4"/>
  <c r="W166" i="4"/>
  <c r="W106" i="4"/>
  <c r="W224" i="4"/>
  <c r="U53" i="4"/>
  <c r="W56" i="4"/>
  <c r="U186" i="4"/>
  <c r="W184" i="4"/>
  <c r="W137" i="4"/>
  <c r="U120" i="4"/>
  <c r="W235" i="4"/>
  <c r="W112" i="4"/>
  <c r="U176" i="4"/>
  <c r="U177" i="4"/>
  <c r="W107" i="4"/>
  <c r="W120" i="4"/>
  <c r="U224" i="4"/>
  <c r="U112" i="4"/>
  <c r="W111" i="4"/>
  <c r="U123" i="4"/>
  <c r="U218" i="4"/>
  <c r="U134" i="4"/>
  <c r="W218" i="4"/>
  <c r="U221" i="4"/>
  <c r="U60" i="4"/>
  <c r="U228" i="4"/>
  <c r="W187" i="4"/>
  <c r="W237" i="4"/>
  <c r="U210" i="4"/>
  <c r="U80" i="4"/>
  <c r="W228" i="4"/>
  <c r="W163" i="4"/>
  <c r="W270" i="4"/>
  <c r="U83" i="4"/>
  <c r="U89" i="4"/>
  <c r="W251" i="4"/>
  <c r="W134" i="4"/>
  <c r="W83" i="4"/>
  <c r="W246" i="4"/>
  <c r="W34" i="4"/>
  <c r="W130" i="4"/>
  <c r="W86" i="4"/>
  <c r="W40" i="4"/>
  <c r="W72" i="4"/>
  <c r="U31" i="4"/>
  <c r="W179" i="4"/>
  <c r="W269" i="4"/>
  <c r="W143" i="4"/>
  <c r="U51" i="4"/>
  <c r="U42" i="4"/>
  <c r="W186" i="4"/>
  <c r="W154" i="4"/>
  <c r="U111" i="4"/>
  <c r="W37" i="4"/>
  <c r="U143" i="4"/>
  <c r="U240" i="4"/>
  <c r="W185" i="4"/>
  <c r="W42" i="4"/>
  <c r="W162" i="4"/>
  <c r="W176" i="4"/>
  <c r="W201" i="4"/>
  <c r="U149" i="4"/>
  <c r="W131" i="4"/>
  <c r="U86" i="4"/>
  <c r="U72" i="4"/>
  <c r="U278" i="4"/>
  <c r="W168" i="4"/>
  <c r="W68" i="4"/>
  <c r="U40" i="4"/>
  <c r="U206" i="4"/>
  <c r="W49" i="4"/>
  <c r="W85" i="4"/>
  <c r="U209" i="4"/>
  <c r="W149" i="4"/>
  <c r="W31" i="4"/>
  <c r="W101" i="4"/>
  <c r="W63" i="4"/>
  <c r="U268" i="4"/>
  <c r="W61" i="4"/>
  <c r="W55" i="4"/>
  <c r="W158" i="4"/>
  <c r="W139" i="4"/>
  <c r="W102" i="4"/>
  <c r="U230" i="4"/>
  <c r="W248" i="4"/>
  <c r="W66" i="4"/>
  <c r="W253" i="4"/>
  <c r="U250" i="4"/>
  <c r="W198" i="4"/>
  <c r="W41" i="4"/>
  <c r="W189" i="4"/>
  <c r="W177" i="4"/>
  <c r="U137" i="4"/>
  <c r="U92" i="4"/>
  <c r="W221" i="4"/>
  <c r="W240" i="4"/>
  <c r="W51" i="4"/>
  <c r="U251" i="4"/>
  <c r="U56" i="4"/>
  <c r="U187" i="4"/>
  <c r="W123" i="4"/>
  <c r="U201" i="4"/>
  <c r="U270" i="4"/>
  <c r="U246" i="4"/>
  <c r="W173" i="4"/>
  <c r="W211" i="4"/>
  <c r="W205" i="4"/>
  <c r="W79" i="4"/>
  <c r="U162" i="4"/>
  <c r="U163" i="4"/>
  <c r="U84" i="4"/>
  <c r="U213" i="4"/>
  <c r="U67" i="4"/>
  <c r="W264" i="4"/>
  <c r="U73" i="4"/>
  <c r="W153" i="4"/>
  <c r="U82" i="4"/>
  <c r="U232" i="4"/>
  <c r="U184" i="4"/>
  <c r="W84" i="4"/>
  <c r="W239" i="4"/>
  <c r="W67" i="4"/>
  <c r="U264" i="4"/>
  <c r="W278" i="4"/>
  <c r="U142" i="4"/>
  <c r="W98" i="4"/>
  <c r="W232" i="4"/>
  <c r="U223" i="4"/>
  <c r="U153" i="4"/>
  <c r="U168" i="4"/>
  <c r="U199" i="4"/>
  <c r="U78" i="4"/>
  <c r="U130" i="4"/>
  <c r="U154" i="4"/>
  <c r="W128" i="4"/>
  <c r="U239" i="4"/>
  <c r="U237" i="4"/>
  <c r="U269" i="4"/>
  <c r="W89" i="4"/>
  <c r="U48" i="4"/>
  <c r="U173" i="4"/>
  <c r="W82" i="4"/>
  <c r="U211" i="4"/>
  <c r="W147" i="4"/>
  <c r="U147" i="4"/>
  <c r="U79" i="4"/>
  <c r="W195" i="4"/>
  <c r="U138" i="4"/>
  <c r="U171" i="4"/>
  <c r="W121" i="4"/>
  <c r="W199" i="4"/>
  <c r="W71" i="4"/>
  <c r="U195" i="4"/>
  <c r="U197" i="4"/>
  <c r="W171" i="4"/>
  <c r="U126" i="4"/>
  <c r="U217" i="4"/>
  <c r="W277" i="4"/>
  <c r="W88" i="4"/>
  <c r="W197" i="4"/>
  <c r="W48" i="4"/>
  <c r="W142" i="4"/>
  <c r="U146" i="4"/>
  <c r="U98" i="4"/>
  <c r="W217" i="4"/>
  <c r="W252" i="4"/>
  <c r="W43" i="4"/>
  <c r="U219" i="4"/>
  <c r="W214" i="4"/>
  <c r="W74" i="4"/>
  <c r="U43" i="4"/>
  <c r="W178" i="4"/>
  <c r="W100" i="4"/>
  <c r="U74" i="4"/>
  <c r="U273" i="4"/>
  <c r="W47" i="4"/>
  <c r="U191" i="4"/>
  <c r="W99" i="4"/>
  <c r="U272" i="4"/>
  <c r="U277" i="4"/>
  <c r="U136" i="4"/>
  <c r="U47" i="4"/>
  <c r="W141" i="4"/>
  <c r="U99" i="4"/>
  <c r="U175" i="4"/>
  <c r="U85" i="4"/>
  <c r="W234" i="4"/>
  <c r="U252" i="4"/>
  <c r="W136" i="4"/>
  <c r="W58" i="4"/>
  <c r="U141" i="4"/>
  <c r="U117" i="4"/>
  <c r="W175" i="4"/>
  <c r="U140" i="4"/>
  <c r="W219" i="4"/>
  <c r="U238" i="4"/>
  <c r="U128" i="4"/>
  <c r="W213" i="4"/>
  <c r="W209" i="4"/>
  <c r="U68" i="4"/>
  <c r="U37" i="4"/>
  <c r="W73" i="4"/>
  <c r="U49" i="4"/>
  <c r="U179" i="4"/>
  <c r="W146" i="4"/>
  <c r="U121" i="4"/>
  <c r="U101" i="4"/>
  <c r="U205" i="4"/>
  <c r="W70" i="4"/>
  <c r="U267" i="4"/>
  <c r="W273" i="4"/>
  <c r="U88" i="4"/>
  <c r="U58" i="4"/>
  <c r="U178" i="4"/>
  <c r="W140" i="4"/>
  <c r="U100" i="4"/>
  <c r="W117" i="4"/>
  <c r="U214" i="4"/>
  <c r="W272" i="4"/>
  <c r="W238" i="4"/>
  <c r="U70" i="4"/>
  <c r="W267" i="4"/>
  <c r="U274" i="4"/>
  <c r="U242" i="4"/>
  <c r="U26" i="4"/>
  <c r="W183" i="4"/>
  <c r="U152" i="4"/>
  <c r="U108" i="4"/>
  <c r="U124" i="4"/>
  <c r="U216" i="4"/>
  <c r="U258" i="4"/>
  <c r="W236" i="4"/>
  <c r="U131" i="4"/>
  <c r="W126" i="4"/>
  <c r="W206" i="4"/>
  <c r="U234" i="4"/>
  <c r="U71" i="4"/>
  <c r="W223" i="4"/>
  <c r="W274" i="4"/>
  <c r="W242" i="4"/>
  <c r="W26" i="4"/>
  <c r="U183" i="4"/>
  <c r="W152" i="4"/>
  <c r="W108" i="4"/>
  <c r="W124" i="4"/>
  <c r="W216" i="4"/>
  <c r="W258" i="4"/>
  <c r="U236" i="4"/>
  <c r="W191" i="4"/>
  <c r="W138" i="4"/>
  <c r="W93" i="4"/>
  <c r="U243" i="4"/>
  <c r="U62" i="4"/>
  <c r="U29" i="4"/>
  <c r="W257" i="4"/>
  <c r="U93" i="4"/>
  <c r="W243" i="4"/>
  <c r="W62" i="4"/>
  <c r="W29" i="4"/>
  <c r="U257" i="4"/>
  <c r="R34" i="18"/>
  <c r="S34" i="18" s="1"/>
  <c r="R33" i="18"/>
  <c r="S33" i="18" s="1"/>
  <c r="R35" i="18"/>
  <c r="S35" i="18" s="1"/>
  <c r="R36" i="18"/>
  <c r="S36" i="18" s="1"/>
  <c r="R32" i="18"/>
  <c r="S32" i="18" s="1"/>
  <c r="R37" i="18"/>
  <c r="S37" i="18" s="1"/>
  <c r="K4" i="19"/>
  <c r="K5" i="19"/>
  <c r="R43" i="18"/>
  <c r="S43" i="18" s="1"/>
  <c r="R41" i="18"/>
  <c r="S41" i="18" s="1"/>
  <c r="R40" i="18"/>
  <c r="S40" i="18" s="1"/>
  <c r="R39" i="18"/>
  <c r="S39" i="18" s="1"/>
  <c r="R42" i="18"/>
  <c r="S42" i="18" s="1"/>
  <c r="R38" i="18"/>
  <c r="S38" i="18" s="1"/>
  <c r="R44" i="18"/>
  <c r="S44" i="18" s="1"/>
  <c r="R251" i="18"/>
  <c r="S251" i="18" s="1"/>
  <c r="R266" i="18"/>
  <c r="S266" i="18" s="1"/>
  <c r="R265" i="18"/>
  <c r="S265" i="18" s="1"/>
  <c r="R267" i="18"/>
  <c r="S267" i="18" s="1"/>
  <c r="R274" i="18"/>
  <c r="S274" i="18" s="1"/>
  <c r="R253" i="18"/>
  <c r="S253" i="18" s="1"/>
  <c r="R256" i="18"/>
  <c r="S256" i="18" s="1"/>
  <c r="R254" i="18"/>
  <c r="S254" i="18" s="1"/>
  <c r="R247" i="18"/>
  <c r="S247" i="18" s="1"/>
  <c r="R263" i="18"/>
  <c r="S263" i="18" s="1"/>
  <c r="R269" i="18"/>
  <c r="S269" i="18" s="1"/>
  <c r="R249" i="18"/>
  <c r="S249" i="18" s="1"/>
  <c r="R246" i="18"/>
  <c r="S246" i="18" s="1"/>
  <c r="R271" i="18"/>
  <c r="S271" i="18" s="1"/>
  <c r="R264" i="18"/>
  <c r="S264" i="18" s="1"/>
  <c r="R261" i="18"/>
  <c r="S261" i="18" s="1"/>
  <c r="R270" i="18"/>
  <c r="S270" i="18" s="1"/>
  <c r="R250" i="18"/>
  <c r="S250" i="18" s="1"/>
  <c r="R255" i="18"/>
  <c r="S255" i="18" s="1"/>
  <c r="R248" i="18"/>
  <c r="S248" i="18" s="1"/>
  <c r="R252" i="18"/>
  <c r="S252" i="18" s="1"/>
  <c r="R262" i="18"/>
  <c r="S262" i="18" s="1"/>
  <c r="R257" i="18"/>
  <c r="S257" i="18" s="1"/>
  <c r="R259" i="18"/>
  <c r="S259" i="18" s="1"/>
  <c r="R268" i="18"/>
  <c r="S268" i="18" s="1"/>
  <c r="R273" i="18"/>
  <c r="S273" i="18" s="1"/>
  <c r="R258" i="18"/>
  <c r="S258" i="18" s="1"/>
  <c r="R272" i="18"/>
  <c r="S272" i="18" s="1"/>
  <c r="R260" i="18"/>
  <c r="S260" i="18" s="1"/>
  <c r="R245" i="18"/>
  <c r="S245" i="18" s="1"/>
  <c r="R203" i="18"/>
  <c r="S203" i="18" s="1"/>
  <c r="R238" i="18"/>
  <c r="S238" i="18" s="1"/>
  <c r="R226" i="18"/>
  <c r="S226" i="18" s="1"/>
  <c r="R211" i="18"/>
  <c r="S211" i="18" s="1"/>
  <c r="R202" i="18"/>
  <c r="S202" i="18" s="1"/>
  <c r="R209" i="18"/>
  <c r="S209" i="18" s="1"/>
  <c r="R199" i="18"/>
  <c r="S199" i="18" s="1"/>
  <c r="R230" i="18"/>
  <c r="S230" i="18" s="1"/>
  <c r="R195" i="18"/>
  <c r="S195" i="18" s="1"/>
  <c r="R200" i="18"/>
  <c r="S200" i="18" s="1"/>
  <c r="R239" i="18"/>
  <c r="S239" i="18" s="1"/>
  <c r="R224" i="18"/>
  <c r="S224" i="18" s="1"/>
  <c r="R231" i="18"/>
  <c r="S231" i="18" s="1"/>
  <c r="R215" i="18"/>
  <c r="S215" i="18" s="1"/>
  <c r="R233" i="18"/>
  <c r="S233" i="18" s="1"/>
  <c r="R241" i="18"/>
  <c r="S241" i="18" s="1"/>
  <c r="R197" i="18"/>
  <c r="S197" i="18" s="1"/>
  <c r="R223" i="18"/>
  <c r="S223" i="18" s="1"/>
  <c r="R237" i="18"/>
  <c r="S237" i="18" s="1"/>
  <c r="R217" i="18"/>
  <c r="S217" i="18" s="1"/>
  <c r="R210" i="18"/>
  <c r="S210" i="18" s="1"/>
  <c r="R242" i="18"/>
  <c r="S242" i="18" s="1"/>
  <c r="R206" i="18"/>
  <c r="S206" i="18" s="1"/>
  <c r="R205" i="18"/>
  <c r="S205" i="18" s="1"/>
  <c r="R218" i="18"/>
  <c r="S218" i="18" s="1"/>
  <c r="R204" i="18"/>
  <c r="S204" i="18" s="1"/>
  <c r="R227" i="18"/>
  <c r="S227" i="18" s="1"/>
  <c r="R240" i="18"/>
  <c r="S240" i="18" s="1"/>
  <c r="R207" i="18"/>
  <c r="S207" i="18" s="1"/>
  <c r="R198" i="18"/>
  <c r="S198" i="18" s="1"/>
  <c r="R232" i="18"/>
  <c r="S232" i="18" s="1"/>
  <c r="R219" i="18"/>
  <c r="S219" i="18" s="1"/>
  <c r="R229" i="18"/>
  <c r="S229" i="18" s="1"/>
  <c r="R216" i="18"/>
  <c r="S216" i="18" s="1"/>
  <c r="R243" i="18"/>
  <c r="S243" i="18" s="1"/>
  <c r="R221" i="18"/>
  <c r="S221" i="18" s="1"/>
  <c r="R201" i="18"/>
  <c r="S201" i="18" s="1"/>
  <c r="R234" i="18"/>
  <c r="S234" i="18" s="1"/>
  <c r="R212" i="18"/>
  <c r="S212" i="18" s="1"/>
  <c r="R235" i="18"/>
  <c r="S235" i="18" s="1"/>
  <c r="R220" i="18"/>
  <c r="S220" i="18" s="1"/>
  <c r="R222" i="18"/>
  <c r="S222" i="18" s="1"/>
  <c r="R236" i="18"/>
  <c r="S236" i="18" s="1"/>
  <c r="R208" i="18"/>
  <c r="S208" i="18" s="1"/>
  <c r="R225" i="18"/>
  <c r="S225" i="18" s="1"/>
  <c r="R244" i="18"/>
  <c r="S244" i="18" s="1"/>
  <c r="R228" i="18"/>
  <c r="S228" i="18" s="1"/>
  <c r="R214" i="18"/>
  <c r="S214" i="18" s="1"/>
  <c r="R196" i="18"/>
  <c r="S196" i="18" s="1"/>
  <c r="R213" i="18"/>
  <c r="S213" i="18" s="1"/>
  <c r="R165" i="18"/>
  <c r="S165" i="18" s="1"/>
  <c r="R132" i="18"/>
  <c r="S132" i="18" s="1"/>
  <c r="R188" i="18"/>
  <c r="S188" i="18" s="1"/>
  <c r="R154" i="18"/>
  <c r="S154" i="18" s="1"/>
  <c r="R168" i="18"/>
  <c r="S168" i="18" s="1"/>
  <c r="R177" i="18"/>
  <c r="S177" i="18" s="1"/>
  <c r="R178" i="18"/>
  <c r="S178" i="18" s="1"/>
  <c r="R142" i="18"/>
  <c r="S142" i="18" s="1"/>
  <c r="R150" i="18"/>
  <c r="S150" i="18" s="1"/>
  <c r="R135" i="18"/>
  <c r="S135" i="18" s="1"/>
  <c r="R173" i="18"/>
  <c r="S173" i="18" s="1"/>
  <c r="R179" i="18"/>
  <c r="S179" i="18" s="1"/>
  <c r="R175" i="18"/>
  <c r="S175" i="18" s="1"/>
  <c r="R166" i="18"/>
  <c r="S166" i="18" s="1"/>
  <c r="R182" i="18"/>
  <c r="S182" i="18" s="1"/>
  <c r="R162" i="18"/>
  <c r="S162" i="18" s="1"/>
  <c r="R149" i="18"/>
  <c r="S149" i="18" s="1"/>
  <c r="R133" i="18"/>
  <c r="S133" i="18" s="1"/>
  <c r="R139" i="18"/>
  <c r="S139" i="18" s="1"/>
  <c r="R159" i="18"/>
  <c r="S159" i="18" s="1"/>
  <c r="R187" i="18"/>
  <c r="S187" i="18" s="1"/>
  <c r="R151" i="18"/>
  <c r="S151" i="18" s="1"/>
  <c r="R185" i="18"/>
  <c r="S185" i="18" s="1"/>
  <c r="R146" i="18"/>
  <c r="S146" i="18" s="1"/>
  <c r="R140" i="18"/>
  <c r="S140" i="18" s="1"/>
  <c r="R167" i="18"/>
  <c r="S167" i="18" s="1"/>
  <c r="R186" i="18"/>
  <c r="S186" i="18" s="1"/>
  <c r="R158" i="18"/>
  <c r="S158" i="18" s="1"/>
  <c r="R134" i="18"/>
  <c r="S134" i="18" s="1"/>
  <c r="R129" i="18"/>
  <c r="S129" i="18" s="1"/>
  <c r="R170" i="18"/>
  <c r="S170" i="18" s="1"/>
  <c r="R143" i="18"/>
  <c r="S143" i="18" s="1"/>
  <c r="R153" i="18"/>
  <c r="S153" i="18" s="1"/>
  <c r="R171" i="18"/>
  <c r="S171" i="18" s="1"/>
  <c r="R193" i="18"/>
  <c r="S193" i="18" s="1"/>
  <c r="R183" i="18"/>
  <c r="S183" i="18" s="1"/>
  <c r="R155" i="18"/>
  <c r="S155" i="18" s="1"/>
  <c r="R190" i="18"/>
  <c r="S190" i="18" s="1"/>
  <c r="R130" i="18"/>
  <c r="S130" i="18" s="1"/>
  <c r="R194" i="18"/>
  <c r="S194" i="18" s="1"/>
  <c r="R148" i="18"/>
  <c r="S148" i="18" s="1"/>
  <c r="R161" i="18"/>
  <c r="S161" i="18" s="1"/>
  <c r="R172" i="18"/>
  <c r="S172" i="18" s="1"/>
  <c r="R157" i="18"/>
  <c r="S157" i="18" s="1"/>
  <c r="R176" i="18"/>
  <c r="S176" i="18" s="1"/>
  <c r="R164" i="18"/>
  <c r="S164" i="18" s="1"/>
  <c r="R169" i="18"/>
  <c r="S169" i="18" s="1"/>
  <c r="R184" i="18"/>
  <c r="S184" i="18" s="1"/>
  <c r="R192" i="18"/>
  <c r="S192" i="18" s="1"/>
  <c r="R137" i="18"/>
  <c r="S137" i="18" s="1"/>
  <c r="R144" i="18"/>
  <c r="S144" i="18" s="1"/>
  <c r="R152" i="18"/>
  <c r="S152" i="18" s="1"/>
  <c r="R163" i="18"/>
  <c r="S163" i="18" s="1"/>
  <c r="R136" i="18"/>
  <c r="S136" i="18" s="1"/>
  <c r="R160" i="18"/>
  <c r="S160" i="18" s="1"/>
  <c r="R189" i="18"/>
  <c r="S189" i="18" s="1"/>
  <c r="R156" i="18"/>
  <c r="S156" i="18" s="1"/>
  <c r="R191" i="18"/>
  <c r="S191" i="18" s="1"/>
  <c r="R131" i="18"/>
  <c r="S131" i="18" s="1"/>
  <c r="R180" i="18"/>
  <c r="S180" i="18" s="1"/>
  <c r="R174" i="18"/>
  <c r="S174" i="18" s="1"/>
  <c r="R138" i="18"/>
  <c r="S138" i="18" s="1"/>
  <c r="R141" i="18"/>
  <c r="S141" i="18" s="1"/>
  <c r="R145" i="18"/>
  <c r="S145" i="18" s="1"/>
  <c r="R147" i="18"/>
  <c r="S147" i="18" s="1"/>
  <c r="R181" i="18"/>
  <c r="S181" i="18" s="1"/>
  <c r="R26" i="18"/>
  <c r="S26" i="18" s="1"/>
  <c r="R28" i="18"/>
  <c r="S28" i="18" s="1"/>
  <c r="R27" i="18"/>
  <c r="S27" i="18" s="1"/>
  <c r="R31" i="18"/>
  <c r="S31" i="18" s="1"/>
  <c r="R30" i="18"/>
  <c r="S30" i="18" s="1"/>
  <c r="R29" i="18"/>
  <c r="S29" i="18" s="1"/>
  <c r="R48" i="18"/>
  <c r="S48" i="18" s="1"/>
  <c r="R52" i="18"/>
  <c r="S52" i="18" s="1"/>
  <c r="R55" i="18"/>
  <c r="S55" i="18" s="1"/>
  <c r="R51" i="18"/>
  <c r="S51" i="18" s="1"/>
  <c r="R47" i="18"/>
  <c r="S47" i="18" s="1"/>
  <c r="R54" i="18"/>
  <c r="S54" i="18" s="1"/>
  <c r="R49" i="18"/>
  <c r="S49" i="18" s="1"/>
  <c r="R59" i="18"/>
  <c r="S59" i="18" s="1"/>
  <c r="R46" i="18"/>
  <c r="S46" i="18" s="1"/>
  <c r="R58" i="18"/>
  <c r="S58" i="18" s="1"/>
  <c r="R56" i="18"/>
  <c r="S56" i="18" s="1"/>
  <c r="R45" i="18"/>
  <c r="S45" i="18" s="1"/>
  <c r="R53" i="18"/>
  <c r="S53" i="18" s="1"/>
  <c r="R57" i="18"/>
  <c r="S57" i="18" s="1"/>
  <c r="R50" i="18"/>
  <c r="S50" i="18" s="1"/>
  <c r="R60" i="18"/>
  <c r="S60" i="18" s="1"/>
  <c r="R61" i="18"/>
  <c r="S61" i="18" s="1"/>
  <c r="R63" i="18"/>
  <c r="S63" i="18" s="1"/>
  <c r="R64" i="18"/>
  <c r="S64" i="18" s="1"/>
  <c r="R65" i="18"/>
  <c r="S65" i="18" s="1"/>
  <c r="R75" i="18"/>
  <c r="S75" i="18" s="1"/>
  <c r="R76" i="18"/>
  <c r="S76" i="18" s="1"/>
  <c r="R73" i="18"/>
  <c r="S73" i="18" s="1"/>
  <c r="R68" i="18"/>
  <c r="S68" i="18" s="1"/>
  <c r="R79" i="18"/>
  <c r="S79" i="18" s="1"/>
  <c r="R66" i="18"/>
  <c r="S66" i="18" s="1"/>
  <c r="R69" i="18"/>
  <c r="S69" i="18" s="1"/>
  <c r="R70" i="18"/>
  <c r="S70" i="18" s="1"/>
  <c r="R74" i="18"/>
  <c r="S74" i="18" s="1"/>
  <c r="R67" i="18"/>
  <c r="S67" i="18" s="1"/>
  <c r="R71" i="18"/>
  <c r="S71" i="18" s="1"/>
  <c r="R78" i="18"/>
  <c r="S78" i="18" s="1"/>
  <c r="R77" i="18"/>
  <c r="S77" i="18" s="1"/>
  <c r="R72" i="18"/>
  <c r="S72" i="18" s="1"/>
  <c r="R62" i="18"/>
  <c r="S62" i="18" s="1"/>
  <c r="R90" i="18"/>
  <c r="S90" i="18" s="1"/>
  <c r="R93" i="18"/>
  <c r="S93" i="18" s="1"/>
  <c r="R92" i="18"/>
  <c r="S92" i="18" s="1"/>
  <c r="R112" i="18"/>
  <c r="S112" i="18" s="1"/>
  <c r="R107" i="18"/>
  <c r="S107" i="18" s="1"/>
  <c r="R122" i="18"/>
  <c r="S122" i="18" s="1"/>
  <c r="R109" i="18"/>
  <c r="S109" i="18" s="1"/>
  <c r="R98" i="18"/>
  <c r="S98" i="18" s="1"/>
  <c r="R99" i="18"/>
  <c r="S99" i="18" s="1"/>
  <c r="R114" i="18"/>
  <c r="S114" i="18" s="1"/>
  <c r="R89" i="18"/>
  <c r="S89" i="18" s="1"/>
  <c r="R124" i="18"/>
  <c r="S124" i="18" s="1"/>
  <c r="R106" i="18"/>
  <c r="S106" i="18" s="1"/>
  <c r="R104" i="18"/>
  <c r="S104" i="18" s="1"/>
  <c r="R101" i="18"/>
  <c r="S101" i="18" s="1"/>
  <c r="R116" i="18"/>
  <c r="S116" i="18" s="1"/>
  <c r="R86" i="18"/>
  <c r="S86" i="18" s="1"/>
  <c r="R85" i="18"/>
  <c r="S85" i="18" s="1"/>
  <c r="R83" i="18"/>
  <c r="S83" i="18" s="1"/>
  <c r="R127" i="18"/>
  <c r="S127" i="18" s="1"/>
  <c r="R121" i="18"/>
  <c r="S121" i="18" s="1"/>
  <c r="R80" i="18"/>
  <c r="S80" i="18" s="1"/>
  <c r="R105" i="18"/>
  <c r="S105" i="18" s="1"/>
  <c r="R94" i="18"/>
  <c r="S94" i="18" s="1"/>
  <c r="R117" i="18"/>
  <c r="S117" i="18" s="1"/>
  <c r="R123" i="18"/>
  <c r="S123" i="18" s="1"/>
  <c r="R102" i="18"/>
  <c r="S102" i="18" s="1"/>
  <c r="R125" i="18"/>
  <c r="S125" i="18" s="1"/>
  <c r="R108" i="18"/>
  <c r="S108" i="18" s="1"/>
  <c r="R97" i="18"/>
  <c r="S97" i="18" s="1"/>
  <c r="R120" i="18"/>
  <c r="S120" i="18" s="1"/>
  <c r="R95" i="18"/>
  <c r="S95" i="18" s="1"/>
  <c r="R111" i="18"/>
  <c r="S111" i="18" s="1"/>
  <c r="R84" i="18"/>
  <c r="S84" i="18" s="1"/>
  <c r="R88" i="18"/>
  <c r="S88" i="18" s="1"/>
  <c r="R128" i="18"/>
  <c r="S128" i="18" s="1"/>
  <c r="R96" i="18"/>
  <c r="S96" i="18" s="1"/>
  <c r="R81" i="18"/>
  <c r="S81" i="18" s="1"/>
  <c r="R119" i="18"/>
  <c r="S119" i="18" s="1"/>
  <c r="R87" i="18"/>
  <c r="S87" i="18" s="1"/>
  <c r="R126" i="18"/>
  <c r="S126" i="18" s="1"/>
  <c r="R118" i="18"/>
  <c r="S118" i="18" s="1"/>
  <c r="R100" i="18"/>
  <c r="S100" i="18" s="1"/>
  <c r="R103" i="18"/>
  <c r="S103" i="18" s="1"/>
  <c r="R82" i="18"/>
  <c r="S82" i="18" s="1"/>
  <c r="R110" i="18"/>
  <c r="S110" i="18" s="1"/>
  <c r="R91" i="18"/>
  <c r="S91" i="18" s="1"/>
  <c r="R113" i="18"/>
  <c r="S113" i="18" s="1"/>
  <c r="R115" i="18"/>
  <c r="S115" i="18" s="1"/>
  <c r="V24" i="4" l="1"/>
  <c r="W24" i="4"/>
  <c r="W23" i="4" s="1"/>
  <c r="U24" i="4"/>
  <c r="S24" i="18"/>
  <c r="U82" i="18" s="1"/>
  <c r="S25" i="18"/>
  <c r="X53" i="4" l="1"/>
  <c r="Y53" i="4" s="1"/>
  <c r="Z53" i="4" s="1"/>
  <c r="X146" i="4"/>
  <c r="Y146" i="4" s="1"/>
  <c r="Z146" i="4" s="1"/>
  <c r="X143" i="4"/>
  <c r="Y143" i="4" s="1"/>
  <c r="Z143" i="4" s="1"/>
  <c r="X42" i="4"/>
  <c r="Y42" i="4" s="1"/>
  <c r="Z42" i="4" s="1"/>
  <c r="X77" i="4"/>
  <c r="Y77" i="4" s="1"/>
  <c r="Z77" i="4" s="1"/>
  <c r="X150" i="4"/>
  <c r="Y150" i="4" s="1"/>
  <c r="Z150" i="4" s="1"/>
  <c r="X220" i="4"/>
  <c r="Y220" i="4" s="1"/>
  <c r="Z220" i="4" s="1"/>
  <c r="X132" i="4"/>
  <c r="Y132" i="4" s="1"/>
  <c r="Z132" i="4" s="1"/>
  <c r="X112" i="4"/>
  <c r="Y112" i="4" s="1"/>
  <c r="Z112" i="4" s="1"/>
  <c r="X31" i="4"/>
  <c r="Y31" i="4" s="1"/>
  <c r="Z31" i="4" s="1"/>
  <c r="X56" i="4"/>
  <c r="Y56" i="4" s="1"/>
  <c r="Z56" i="4" s="1"/>
  <c r="X221" i="4"/>
  <c r="Y221" i="4" s="1"/>
  <c r="Z221" i="4" s="1"/>
  <c r="X116" i="4"/>
  <c r="Y116" i="4" s="1"/>
  <c r="Z116" i="4" s="1"/>
  <c r="X61" i="4"/>
  <c r="Y61" i="4" s="1"/>
  <c r="Z61" i="4" s="1"/>
  <c r="X169" i="4"/>
  <c r="Y169" i="4" s="1"/>
  <c r="Z169" i="4" s="1"/>
  <c r="X89" i="4"/>
  <c r="Y89" i="4" s="1"/>
  <c r="Z89" i="4" s="1"/>
  <c r="X118" i="4"/>
  <c r="Y118" i="4" s="1"/>
  <c r="Z118" i="4" s="1"/>
  <c r="X199" i="4"/>
  <c r="Y199" i="4" s="1"/>
  <c r="Z199" i="4" s="1"/>
  <c r="X222" i="4"/>
  <c r="Y222" i="4" s="1"/>
  <c r="Z222" i="4" s="1"/>
  <c r="X171" i="4"/>
  <c r="Y171" i="4" s="1"/>
  <c r="Z171" i="4" s="1"/>
  <c r="X234" i="4"/>
  <c r="Y234" i="4" s="1"/>
  <c r="Z234" i="4" s="1"/>
  <c r="X158" i="4"/>
  <c r="Y158" i="4" s="1"/>
  <c r="Z158" i="4" s="1"/>
  <c r="X36" i="4"/>
  <c r="Y36" i="4" s="1"/>
  <c r="Z36" i="4" s="1"/>
  <c r="X207" i="4"/>
  <c r="Y207" i="4" s="1"/>
  <c r="Z207" i="4" s="1"/>
  <c r="X80" i="4"/>
  <c r="Y80" i="4" s="1"/>
  <c r="Z80" i="4" s="1"/>
  <c r="X268" i="4"/>
  <c r="Y268" i="4" s="1"/>
  <c r="Z268" i="4" s="1"/>
  <c r="X111" i="4"/>
  <c r="Y111" i="4" s="1"/>
  <c r="Z111" i="4" s="1"/>
  <c r="X160" i="4"/>
  <c r="Y160" i="4" s="1"/>
  <c r="Z160" i="4" s="1"/>
  <c r="X55" i="4"/>
  <c r="Y55" i="4" s="1"/>
  <c r="Z55" i="4" s="1"/>
  <c r="X153" i="4"/>
  <c r="Y153" i="4" s="1"/>
  <c r="Z153" i="4" s="1"/>
  <c r="X223" i="4"/>
  <c r="Y223" i="4" s="1"/>
  <c r="Z223" i="4" s="1"/>
  <c r="X259" i="4"/>
  <c r="Y259" i="4" s="1"/>
  <c r="Z259" i="4" s="1"/>
  <c r="X272" i="4"/>
  <c r="Y272" i="4" s="1"/>
  <c r="Z272" i="4" s="1"/>
  <c r="X261" i="4"/>
  <c r="Y261" i="4" s="1"/>
  <c r="Z261" i="4" s="1"/>
  <c r="X129" i="4"/>
  <c r="Y129" i="4" s="1"/>
  <c r="Z129" i="4" s="1"/>
  <c r="X251" i="4"/>
  <c r="Y251" i="4" s="1"/>
  <c r="Z251" i="4" s="1"/>
  <c r="X238" i="4"/>
  <c r="Y238" i="4" s="1"/>
  <c r="Z238" i="4" s="1"/>
  <c r="X258" i="4"/>
  <c r="Y258" i="4" s="1"/>
  <c r="Z258" i="4" s="1"/>
  <c r="X239" i="4"/>
  <c r="Y239" i="4" s="1"/>
  <c r="Z239" i="4" s="1"/>
  <c r="X123" i="4"/>
  <c r="Y123" i="4" s="1"/>
  <c r="Z123" i="4" s="1"/>
  <c r="X60" i="4"/>
  <c r="Y60" i="4" s="1"/>
  <c r="Z60" i="4" s="1"/>
  <c r="X26" i="4"/>
  <c r="X233" i="4"/>
  <c r="Y233" i="4" s="1"/>
  <c r="Z233" i="4" s="1"/>
  <c r="X200" i="4"/>
  <c r="Y200" i="4" s="1"/>
  <c r="Z200" i="4" s="1"/>
  <c r="X181" i="4"/>
  <c r="Y181" i="4" s="1"/>
  <c r="Z181" i="4" s="1"/>
  <c r="X205" i="4"/>
  <c r="Y205" i="4" s="1"/>
  <c r="Z205" i="4" s="1"/>
  <c r="X103" i="4"/>
  <c r="Y103" i="4" s="1"/>
  <c r="Z103" i="4" s="1"/>
  <c r="X267" i="4"/>
  <c r="Y267" i="4" s="1"/>
  <c r="Z267" i="4" s="1"/>
  <c r="X124" i="4"/>
  <c r="Y124" i="4" s="1"/>
  <c r="Z124" i="4" s="1"/>
  <c r="X249" i="4"/>
  <c r="Y249" i="4" s="1"/>
  <c r="Z249" i="4" s="1"/>
  <c r="X94" i="4"/>
  <c r="Y94" i="4" s="1"/>
  <c r="Z94" i="4" s="1"/>
  <c r="X236" i="4"/>
  <c r="Y236" i="4" s="1"/>
  <c r="Z236" i="4" s="1"/>
  <c r="X168" i="4"/>
  <c r="Y168" i="4" s="1"/>
  <c r="Z168" i="4" s="1"/>
  <c r="X211" i="4"/>
  <c r="Y211" i="4" s="1"/>
  <c r="Z211" i="4" s="1"/>
  <c r="X66" i="4"/>
  <c r="Y66" i="4" s="1"/>
  <c r="Z66" i="4" s="1"/>
  <c r="X81" i="4"/>
  <c r="Y81" i="4" s="1"/>
  <c r="Z81" i="4" s="1"/>
  <c r="X110" i="4"/>
  <c r="Y110" i="4" s="1"/>
  <c r="Z110" i="4" s="1"/>
  <c r="X62" i="4"/>
  <c r="Y62" i="4" s="1"/>
  <c r="Z62" i="4" s="1"/>
  <c r="X135" i="4"/>
  <c r="Y135" i="4" s="1"/>
  <c r="Z135" i="4" s="1"/>
  <c r="X35" i="4"/>
  <c r="Y35" i="4" s="1"/>
  <c r="Z35" i="4" s="1"/>
  <c r="X101" i="4"/>
  <c r="Y101" i="4" s="1"/>
  <c r="Z101" i="4" s="1"/>
  <c r="X126" i="4"/>
  <c r="Y126" i="4" s="1"/>
  <c r="Z126" i="4" s="1"/>
  <c r="X274" i="4"/>
  <c r="Y274" i="4" s="1"/>
  <c r="Z274" i="4" s="1"/>
  <c r="X69" i="4"/>
  <c r="Y69" i="4" s="1"/>
  <c r="Z69" i="4" s="1"/>
  <c r="X225" i="4"/>
  <c r="Y225" i="4" s="1"/>
  <c r="Z225" i="4" s="1"/>
  <c r="X253" i="4"/>
  <c r="Y253" i="4" s="1"/>
  <c r="Z253" i="4" s="1"/>
  <c r="X190" i="4"/>
  <c r="Y190" i="4" s="1"/>
  <c r="Z190" i="4" s="1"/>
  <c r="X33" i="4"/>
  <c r="Y33" i="4" s="1"/>
  <c r="Z33" i="4" s="1"/>
  <c r="X235" i="4"/>
  <c r="Y235" i="4" s="1"/>
  <c r="Z235" i="4" s="1"/>
  <c r="X68" i="4"/>
  <c r="Y68" i="4" s="1"/>
  <c r="Z68" i="4" s="1"/>
  <c r="X179" i="4"/>
  <c r="Y179" i="4" s="1"/>
  <c r="Z179" i="4" s="1"/>
  <c r="X134" i="4"/>
  <c r="Y134" i="4" s="1"/>
  <c r="Z134" i="4" s="1"/>
  <c r="X34" i="4"/>
  <c r="Y34" i="4" s="1"/>
  <c r="Z34" i="4" s="1"/>
  <c r="X108" i="4"/>
  <c r="Y108" i="4" s="1"/>
  <c r="Z108" i="4" s="1"/>
  <c r="X27" i="4"/>
  <c r="Y27" i="4" s="1"/>
  <c r="Z27" i="4" s="1"/>
  <c r="X49" i="4"/>
  <c r="Y49" i="4" s="1"/>
  <c r="Z49" i="4" s="1"/>
  <c r="X59" i="4"/>
  <c r="Y59" i="4" s="1"/>
  <c r="Z59" i="4" s="1"/>
  <c r="X87" i="4"/>
  <c r="Y87" i="4" s="1"/>
  <c r="Z87" i="4" s="1"/>
  <c r="X43" i="4"/>
  <c r="Y43" i="4" s="1"/>
  <c r="Z43" i="4" s="1"/>
  <c r="X228" i="4"/>
  <c r="Y228" i="4" s="1"/>
  <c r="Z228" i="4" s="1"/>
  <c r="X175" i="4"/>
  <c r="Y175" i="4" s="1"/>
  <c r="Z175" i="4" s="1"/>
  <c r="X229" i="4"/>
  <c r="Y229" i="4" s="1"/>
  <c r="Z229" i="4" s="1"/>
  <c r="X151" i="4"/>
  <c r="Y151" i="4" s="1"/>
  <c r="Z151" i="4" s="1"/>
  <c r="X137" i="4"/>
  <c r="Y137" i="4" s="1"/>
  <c r="Z137" i="4" s="1"/>
  <c r="X182" i="4"/>
  <c r="Y182" i="4" s="1"/>
  <c r="Z182" i="4" s="1"/>
  <c r="X99" i="4"/>
  <c r="Y99" i="4" s="1"/>
  <c r="Z99" i="4" s="1"/>
  <c r="X58" i="4"/>
  <c r="Y58" i="4" s="1"/>
  <c r="Z58" i="4" s="1"/>
  <c r="X97" i="4"/>
  <c r="Y97" i="4" s="1"/>
  <c r="Z97" i="4" s="1"/>
  <c r="X198" i="4"/>
  <c r="Y198" i="4" s="1"/>
  <c r="Z198" i="4" s="1"/>
  <c r="X213" i="4"/>
  <c r="Y213" i="4" s="1"/>
  <c r="Z213" i="4" s="1"/>
  <c r="X244" i="4"/>
  <c r="Y244" i="4" s="1"/>
  <c r="Z244" i="4" s="1"/>
  <c r="X265" i="4"/>
  <c r="Y265" i="4" s="1"/>
  <c r="Z265" i="4" s="1"/>
  <c r="X277" i="4"/>
  <c r="Y277" i="4" s="1"/>
  <c r="Z277" i="4" s="1"/>
  <c r="X155" i="4"/>
  <c r="Y155" i="4" s="1"/>
  <c r="Z155" i="4" s="1"/>
  <c r="X71" i="4"/>
  <c r="Y71" i="4" s="1"/>
  <c r="Z71" i="4" s="1"/>
  <c r="X159" i="4"/>
  <c r="Y159" i="4" s="1"/>
  <c r="Z159" i="4" s="1"/>
  <c r="X254" i="4"/>
  <c r="Y254" i="4" s="1"/>
  <c r="Z254" i="4" s="1"/>
  <c r="X167" i="4"/>
  <c r="Y167" i="4" s="1"/>
  <c r="Z167" i="4" s="1"/>
  <c r="X255" i="4"/>
  <c r="Y255" i="4" s="1"/>
  <c r="Z255" i="4" s="1"/>
  <c r="X164" i="4"/>
  <c r="Y164" i="4" s="1"/>
  <c r="Z164" i="4" s="1"/>
  <c r="X82" i="4"/>
  <c r="Y82" i="4" s="1"/>
  <c r="Z82" i="4" s="1"/>
  <c r="X226" i="4"/>
  <c r="Y226" i="4" s="1"/>
  <c r="Z226" i="4" s="1"/>
  <c r="X144" i="4"/>
  <c r="Y144" i="4" s="1"/>
  <c r="Z144" i="4" s="1"/>
  <c r="X187" i="4"/>
  <c r="Y187" i="4" s="1"/>
  <c r="Z187" i="4" s="1"/>
  <c r="X163" i="4"/>
  <c r="Y163" i="4" s="1"/>
  <c r="Z163" i="4" s="1"/>
  <c r="X241" i="4"/>
  <c r="Y241" i="4" s="1"/>
  <c r="Z241" i="4" s="1"/>
  <c r="X183" i="4"/>
  <c r="Y183" i="4" s="1"/>
  <c r="Z183" i="4" s="1"/>
  <c r="X107" i="4"/>
  <c r="Y107" i="4" s="1"/>
  <c r="Z107" i="4" s="1"/>
  <c r="X79" i="4"/>
  <c r="Y79" i="4" s="1"/>
  <c r="Z79" i="4" s="1"/>
  <c r="X201" i="4"/>
  <c r="Y201" i="4" s="1"/>
  <c r="Z201" i="4" s="1"/>
  <c r="X75" i="4"/>
  <c r="Y75" i="4" s="1"/>
  <c r="Z75" i="4" s="1"/>
  <c r="X50" i="4"/>
  <c r="Y50" i="4" s="1"/>
  <c r="Z50" i="4" s="1"/>
  <c r="X90" i="4"/>
  <c r="Y90" i="4" s="1"/>
  <c r="Z90" i="4" s="1"/>
  <c r="X196" i="4"/>
  <c r="Y196" i="4" s="1"/>
  <c r="Z196" i="4" s="1"/>
  <c r="X120" i="4"/>
  <c r="Y120" i="4" s="1"/>
  <c r="Z120" i="4" s="1"/>
  <c r="X70" i="4"/>
  <c r="Y70" i="4" s="1"/>
  <c r="Z70" i="4" s="1"/>
  <c r="X180" i="4"/>
  <c r="Y180" i="4" s="1"/>
  <c r="Z180" i="4" s="1"/>
  <c r="X232" i="4"/>
  <c r="Y232" i="4" s="1"/>
  <c r="Z232" i="4" s="1"/>
  <c r="X76" i="4"/>
  <c r="Y76" i="4" s="1"/>
  <c r="Z76" i="4" s="1"/>
  <c r="X257" i="4"/>
  <c r="Y257" i="4" s="1"/>
  <c r="Z257" i="4" s="1"/>
  <c r="X45" i="4"/>
  <c r="Y45" i="4" s="1"/>
  <c r="Z45" i="4" s="1"/>
  <c r="X54" i="4"/>
  <c r="Y54" i="4" s="1"/>
  <c r="Z54" i="4" s="1"/>
  <c r="X212" i="4"/>
  <c r="Y212" i="4" s="1"/>
  <c r="Z212" i="4" s="1"/>
  <c r="X136" i="4"/>
  <c r="Y136" i="4" s="1"/>
  <c r="Z136" i="4" s="1"/>
  <c r="X46" i="4"/>
  <c r="Y46" i="4" s="1"/>
  <c r="Z46" i="4" s="1"/>
  <c r="X131" i="4"/>
  <c r="Y131" i="4" s="1"/>
  <c r="Z131" i="4" s="1"/>
  <c r="X197" i="4"/>
  <c r="Y197" i="4" s="1"/>
  <c r="Z197" i="4" s="1"/>
  <c r="X64" i="4"/>
  <c r="Y64" i="4" s="1"/>
  <c r="Z64" i="4" s="1"/>
  <c r="X91" i="4"/>
  <c r="Y91" i="4" s="1"/>
  <c r="Z91" i="4" s="1"/>
  <c r="X57" i="4"/>
  <c r="Y57" i="4" s="1"/>
  <c r="Z57" i="4" s="1"/>
  <c r="X271" i="4"/>
  <c r="Y271" i="4" s="1"/>
  <c r="Z271" i="4" s="1"/>
  <c r="X117" i="4"/>
  <c r="Y117" i="4" s="1"/>
  <c r="Z117" i="4" s="1"/>
  <c r="X141" i="4"/>
  <c r="Y141" i="4" s="1"/>
  <c r="Z141" i="4" s="1"/>
  <c r="X95" i="4"/>
  <c r="Y95" i="4" s="1"/>
  <c r="Z95" i="4" s="1"/>
  <c r="X84" i="4"/>
  <c r="Y84" i="4" s="1"/>
  <c r="Z84" i="4" s="1"/>
  <c r="X128" i="4"/>
  <c r="Y128" i="4" s="1"/>
  <c r="Z128" i="4" s="1"/>
  <c r="X52" i="4"/>
  <c r="Y52" i="4" s="1"/>
  <c r="Z52" i="4" s="1"/>
  <c r="X209" i="4"/>
  <c r="Y209" i="4" s="1"/>
  <c r="Z209" i="4" s="1"/>
  <c r="X115" i="4"/>
  <c r="Y115" i="4" s="1"/>
  <c r="Z115" i="4" s="1"/>
  <c r="X278" i="4"/>
  <c r="Y278" i="4" s="1"/>
  <c r="Z278" i="4" s="1"/>
  <c r="X28" i="4"/>
  <c r="Y28" i="4" s="1"/>
  <c r="Z28" i="4" s="1"/>
  <c r="X100" i="4"/>
  <c r="Y100" i="4" s="1"/>
  <c r="Z100" i="4" s="1"/>
  <c r="X269" i="4"/>
  <c r="Y269" i="4" s="1"/>
  <c r="Z269" i="4" s="1"/>
  <c r="X92" i="4"/>
  <c r="Y92" i="4" s="1"/>
  <c r="Z92" i="4" s="1"/>
  <c r="X78" i="4"/>
  <c r="Y78" i="4" s="1"/>
  <c r="Z78" i="4" s="1"/>
  <c r="X203" i="4"/>
  <c r="Y203" i="4" s="1"/>
  <c r="Z203" i="4" s="1"/>
  <c r="X63" i="4"/>
  <c r="Y63" i="4" s="1"/>
  <c r="Z63" i="4" s="1"/>
  <c r="X240" i="4"/>
  <c r="Y240" i="4" s="1"/>
  <c r="Z240" i="4" s="1"/>
  <c r="X176" i="4"/>
  <c r="Y176" i="4" s="1"/>
  <c r="Z176" i="4" s="1"/>
  <c r="X85" i="4"/>
  <c r="Y85" i="4" s="1"/>
  <c r="Z85" i="4" s="1"/>
  <c r="X148" i="4"/>
  <c r="Y148" i="4" s="1"/>
  <c r="Z148" i="4" s="1"/>
  <c r="X67" i="4"/>
  <c r="Y67" i="4" s="1"/>
  <c r="Z67" i="4" s="1"/>
  <c r="X173" i="4"/>
  <c r="Y173" i="4" s="1"/>
  <c r="Z173" i="4" s="1"/>
  <c r="X192" i="4"/>
  <c r="Y192" i="4" s="1"/>
  <c r="Z192" i="4" s="1"/>
  <c r="X83" i="4"/>
  <c r="Y83" i="4" s="1"/>
  <c r="Z83" i="4" s="1"/>
  <c r="X114" i="4"/>
  <c r="Y114" i="4" s="1"/>
  <c r="Z114" i="4" s="1"/>
  <c r="X178" i="4"/>
  <c r="Y178" i="4" s="1"/>
  <c r="Z178" i="4" s="1"/>
  <c r="X248" i="4"/>
  <c r="Y248" i="4" s="1"/>
  <c r="Z248" i="4" s="1"/>
  <c r="X122" i="4"/>
  <c r="Y122" i="4" s="1"/>
  <c r="Z122" i="4" s="1"/>
  <c r="X250" i="4"/>
  <c r="Y250" i="4" s="1"/>
  <c r="Z250" i="4" s="1"/>
  <c r="X47" i="4"/>
  <c r="Y47" i="4" s="1"/>
  <c r="Z47" i="4" s="1"/>
  <c r="X246" i="4"/>
  <c r="Y246" i="4" s="1"/>
  <c r="Z246" i="4" s="1"/>
  <c r="X102" i="4"/>
  <c r="Y102" i="4" s="1"/>
  <c r="Z102" i="4" s="1"/>
  <c r="X149" i="4"/>
  <c r="Y149" i="4" s="1"/>
  <c r="Z149" i="4" s="1"/>
  <c r="X202" i="4"/>
  <c r="Y202" i="4" s="1"/>
  <c r="Z202" i="4" s="1"/>
  <c r="X256" i="4"/>
  <c r="Y256" i="4" s="1"/>
  <c r="Z256" i="4" s="1"/>
  <c r="X243" i="4"/>
  <c r="Y243" i="4" s="1"/>
  <c r="Z243" i="4" s="1"/>
  <c r="X40" i="4"/>
  <c r="Y40" i="4" s="1"/>
  <c r="Z40" i="4" s="1"/>
  <c r="X174" i="4"/>
  <c r="Y174" i="4" s="1"/>
  <c r="Z174" i="4" s="1"/>
  <c r="X127" i="4"/>
  <c r="Y127" i="4" s="1"/>
  <c r="Z127" i="4" s="1"/>
  <c r="X263" i="4"/>
  <c r="Y263" i="4" s="1"/>
  <c r="Z263" i="4" s="1"/>
  <c r="X44" i="4"/>
  <c r="Y44" i="4" s="1"/>
  <c r="Z44" i="4" s="1"/>
  <c r="X96" i="4"/>
  <c r="Y96" i="4" s="1"/>
  <c r="Z96" i="4" s="1"/>
  <c r="X237" i="4"/>
  <c r="Y237" i="4" s="1"/>
  <c r="Z237" i="4" s="1"/>
  <c r="X139" i="4"/>
  <c r="Y139" i="4" s="1"/>
  <c r="Z139" i="4" s="1"/>
  <c r="X65" i="4"/>
  <c r="Y65" i="4" s="1"/>
  <c r="Z65" i="4" s="1"/>
  <c r="X113" i="4"/>
  <c r="Y113" i="4" s="1"/>
  <c r="Z113" i="4" s="1"/>
  <c r="X157" i="4"/>
  <c r="Y157" i="4" s="1"/>
  <c r="Z157" i="4" s="1"/>
  <c r="X216" i="4"/>
  <c r="Y216" i="4" s="1"/>
  <c r="Z216" i="4" s="1"/>
  <c r="X195" i="4"/>
  <c r="Y195" i="4" s="1"/>
  <c r="Z195" i="4" s="1"/>
  <c r="X105" i="4"/>
  <c r="Y105" i="4" s="1"/>
  <c r="Z105" i="4" s="1"/>
  <c r="X260" i="4"/>
  <c r="Y260" i="4" s="1"/>
  <c r="Z260" i="4" s="1"/>
  <c r="X184" i="4"/>
  <c r="Y184" i="4" s="1"/>
  <c r="Z184" i="4" s="1"/>
  <c r="X152" i="4"/>
  <c r="Y152" i="4" s="1"/>
  <c r="Z152" i="4" s="1"/>
  <c r="X147" i="4"/>
  <c r="Y147" i="4" s="1"/>
  <c r="Z147" i="4" s="1"/>
  <c r="X191" i="4"/>
  <c r="Y191" i="4" s="1"/>
  <c r="Z191" i="4" s="1"/>
  <c r="X276" i="4"/>
  <c r="Y276" i="4" s="1"/>
  <c r="Z276" i="4" s="1"/>
  <c r="X166" i="4"/>
  <c r="Y166" i="4" s="1"/>
  <c r="Z166" i="4" s="1"/>
  <c r="X204" i="4"/>
  <c r="Y204" i="4" s="1"/>
  <c r="Z204" i="4" s="1"/>
  <c r="X270" i="4"/>
  <c r="Y270" i="4" s="1"/>
  <c r="Z270" i="4" s="1"/>
  <c r="X138" i="4"/>
  <c r="Y138" i="4" s="1"/>
  <c r="Z138" i="4" s="1"/>
  <c r="X98" i="4"/>
  <c r="Y98" i="4" s="1"/>
  <c r="Z98" i="4" s="1"/>
  <c r="X161" i="4"/>
  <c r="Y161" i="4" s="1"/>
  <c r="Z161" i="4" s="1"/>
  <c r="X104" i="4"/>
  <c r="Y104" i="4" s="1"/>
  <c r="Z104" i="4" s="1"/>
  <c r="X142" i="4"/>
  <c r="Y142" i="4" s="1"/>
  <c r="Z142" i="4" s="1"/>
  <c r="X224" i="4"/>
  <c r="Y224" i="4" s="1"/>
  <c r="Z224" i="4" s="1"/>
  <c r="X165" i="4"/>
  <c r="Y165" i="4" s="1"/>
  <c r="Z165" i="4" s="1"/>
  <c r="X193" i="4"/>
  <c r="Y193" i="4" s="1"/>
  <c r="Z193" i="4" s="1"/>
  <c r="X162" i="4"/>
  <c r="Y162" i="4" s="1"/>
  <c r="Z162" i="4" s="1"/>
  <c r="X145" i="4"/>
  <c r="Y145" i="4" s="1"/>
  <c r="Z145" i="4" s="1"/>
  <c r="X231" i="4"/>
  <c r="Y231" i="4" s="1"/>
  <c r="Z231" i="4" s="1"/>
  <c r="X48" i="4"/>
  <c r="Y48" i="4" s="1"/>
  <c r="Z48" i="4" s="1"/>
  <c r="X208" i="4"/>
  <c r="Y208" i="4" s="1"/>
  <c r="Z208" i="4" s="1"/>
  <c r="X170" i="4"/>
  <c r="Y170" i="4" s="1"/>
  <c r="Z170" i="4" s="1"/>
  <c r="X252" i="4"/>
  <c r="Y252" i="4" s="1"/>
  <c r="Z252" i="4" s="1"/>
  <c r="X156" i="4"/>
  <c r="Y156" i="4" s="1"/>
  <c r="Z156" i="4" s="1"/>
  <c r="X30" i="4"/>
  <c r="Y30" i="4" s="1"/>
  <c r="Z30" i="4" s="1"/>
  <c r="X188" i="4"/>
  <c r="Y188" i="4" s="1"/>
  <c r="Z188" i="4" s="1"/>
  <c r="X219" i="4"/>
  <c r="Y219" i="4" s="1"/>
  <c r="Z219" i="4" s="1"/>
  <c r="X273" i="4"/>
  <c r="Y273" i="4" s="1"/>
  <c r="Z273" i="4" s="1"/>
  <c r="X210" i="4"/>
  <c r="Y210" i="4" s="1"/>
  <c r="Z210" i="4" s="1"/>
  <c r="X215" i="4"/>
  <c r="Y215" i="4" s="1"/>
  <c r="Z215" i="4" s="1"/>
  <c r="X264" i="4"/>
  <c r="Y264" i="4" s="1"/>
  <c r="Z264" i="4" s="1"/>
  <c r="X72" i="4"/>
  <c r="Y72" i="4" s="1"/>
  <c r="Z72" i="4" s="1"/>
  <c r="X125" i="4"/>
  <c r="Y125" i="4" s="1"/>
  <c r="Z125" i="4" s="1"/>
  <c r="X242" i="4"/>
  <c r="Y242" i="4" s="1"/>
  <c r="Z242" i="4" s="1"/>
  <c r="X41" i="4"/>
  <c r="Y41" i="4" s="1"/>
  <c r="Z41" i="4" s="1"/>
  <c r="X121" i="4"/>
  <c r="Y121" i="4" s="1"/>
  <c r="Z121" i="4" s="1"/>
  <c r="X133" i="4"/>
  <c r="Y133" i="4" s="1"/>
  <c r="Z133" i="4" s="1"/>
  <c r="X189" i="4"/>
  <c r="Y189" i="4" s="1"/>
  <c r="Z189" i="4" s="1"/>
  <c r="X29" i="4"/>
  <c r="Y29" i="4" s="1"/>
  <c r="Z29" i="4" s="1"/>
  <c r="X217" i="4"/>
  <c r="Y217" i="4" s="1"/>
  <c r="Z217" i="4" s="1"/>
  <c r="X218" i="4"/>
  <c r="Y218" i="4" s="1"/>
  <c r="Z218" i="4" s="1"/>
  <c r="X39" i="4"/>
  <c r="Y39" i="4" s="1"/>
  <c r="Z39" i="4" s="1"/>
  <c r="X247" i="4"/>
  <c r="Y247" i="4" s="1"/>
  <c r="Z247" i="4" s="1"/>
  <c r="X194" i="4"/>
  <c r="Y194" i="4" s="1"/>
  <c r="Z194" i="4" s="1"/>
  <c r="X106" i="4"/>
  <c r="Y106" i="4" s="1"/>
  <c r="Z106" i="4" s="1"/>
  <c r="X73" i="4"/>
  <c r="Y73" i="4" s="1"/>
  <c r="Z73" i="4" s="1"/>
  <c r="X172" i="4"/>
  <c r="Y172" i="4" s="1"/>
  <c r="Z172" i="4" s="1"/>
  <c r="X32" i="4"/>
  <c r="Y32" i="4" s="1"/>
  <c r="Z32" i="4" s="1"/>
  <c r="X109" i="4"/>
  <c r="Y109" i="4" s="1"/>
  <c r="Z109" i="4" s="1"/>
  <c r="X130" i="4"/>
  <c r="Y130" i="4" s="1"/>
  <c r="Z130" i="4" s="1"/>
  <c r="X177" i="4"/>
  <c r="Y177" i="4" s="1"/>
  <c r="Z177" i="4" s="1"/>
  <c r="X37" i="4"/>
  <c r="Y37" i="4" s="1"/>
  <c r="Z37" i="4" s="1"/>
  <c r="X275" i="4"/>
  <c r="Y275" i="4" s="1"/>
  <c r="Z275" i="4" s="1"/>
  <c r="X74" i="4"/>
  <c r="Y74" i="4" s="1"/>
  <c r="Z74" i="4" s="1"/>
  <c r="X154" i="4"/>
  <c r="Y154" i="4" s="1"/>
  <c r="Z154" i="4" s="1"/>
  <c r="X214" i="4"/>
  <c r="Y214" i="4" s="1"/>
  <c r="Z214" i="4" s="1"/>
  <c r="X88" i="4"/>
  <c r="Y88" i="4" s="1"/>
  <c r="Z88" i="4" s="1"/>
  <c r="X140" i="4"/>
  <c r="Y140" i="4" s="1"/>
  <c r="Z140" i="4" s="1"/>
  <c r="X119" i="4"/>
  <c r="Y119" i="4" s="1"/>
  <c r="Z119" i="4" s="1"/>
  <c r="X266" i="4"/>
  <c r="Y266" i="4" s="1"/>
  <c r="Z266" i="4" s="1"/>
  <c r="X206" i="4"/>
  <c r="Y206" i="4" s="1"/>
  <c r="Z206" i="4" s="1"/>
  <c r="X230" i="4"/>
  <c r="Y230" i="4" s="1"/>
  <c r="Z230" i="4" s="1"/>
  <c r="X245" i="4"/>
  <c r="Y245" i="4" s="1"/>
  <c r="Z245" i="4" s="1"/>
  <c r="X86" i="4"/>
  <c r="Y86" i="4" s="1"/>
  <c r="Z86" i="4" s="1"/>
  <c r="X185" i="4"/>
  <c r="Y185" i="4" s="1"/>
  <c r="Z185" i="4" s="1"/>
  <c r="X186" i="4"/>
  <c r="Y186" i="4" s="1"/>
  <c r="Z186" i="4" s="1"/>
  <c r="X93" i="4"/>
  <c r="Y93" i="4" s="1"/>
  <c r="Z93" i="4" s="1"/>
  <c r="X51" i="4"/>
  <c r="Y51" i="4" s="1"/>
  <c r="Z51" i="4" s="1"/>
  <c r="X227" i="4"/>
  <c r="Y227" i="4" s="1"/>
  <c r="Z227" i="4" s="1"/>
  <c r="X38" i="4"/>
  <c r="Y38" i="4" s="1"/>
  <c r="Z38" i="4" s="1"/>
  <c r="X262" i="4"/>
  <c r="Y262" i="4" s="1"/>
  <c r="Z262" i="4" s="1"/>
  <c r="U72" i="18"/>
  <c r="U221" i="18"/>
  <c r="W161" i="18"/>
  <c r="U95" i="18"/>
  <c r="U109" i="18"/>
  <c r="U117" i="18"/>
  <c r="U46" i="18"/>
  <c r="W114" i="18"/>
  <c r="W258" i="18"/>
  <c r="W129" i="18"/>
  <c r="W43" i="18"/>
  <c r="U202" i="18"/>
  <c r="U196" i="18"/>
  <c r="W240" i="18"/>
  <c r="W173" i="18"/>
  <c r="U223" i="18"/>
  <c r="W135" i="18"/>
  <c r="W120" i="18"/>
  <c r="W207" i="18"/>
  <c r="U55" i="18"/>
  <c r="W28" i="18"/>
  <c r="U163" i="18"/>
  <c r="U241" i="18"/>
  <c r="U264" i="18"/>
  <c r="U61" i="18"/>
  <c r="U133" i="18"/>
  <c r="U119" i="18"/>
  <c r="U201" i="18"/>
  <c r="W62" i="18"/>
  <c r="W70" i="18"/>
  <c r="U53" i="18"/>
  <c r="U214" i="18"/>
  <c r="U197" i="18"/>
  <c r="U261" i="18"/>
  <c r="U266" i="18"/>
  <c r="U137" i="18"/>
  <c r="U77" i="18"/>
  <c r="U139" i="18"/>
  <c r="U35" i="18"/>
  <c r="U165" i="18"/>
  <c r="U118" i="18"/>
  <c r="W138" i="18"/>
  <c r="U170" i="18"/>
  <c r="U213" i="18"/>
  <c r="W273" i="18"/>
  <c r="U52" i="18"/>
  <c r="U41" i="18"/>
  <c r="W172" i="18"/>
  <c r="U248" i="18"/>
  <c r="U274" i="18"/>
  <c r="U239" i="18"/>
  <c r="W76" i="18"/>
  <c r="U141" i="18"/>
  <c r="U143" i="18"/>
  <c r="U211" i="18"/>
  <c r="W58" i="18"/>
  <c r="U265" i="18"/>
  <c r="U144" i="18"/>
  <c r="U242" i="18"/>
  <c r="U199" i="18"/>
  <c r="U192" i="18"/>
  <c r="U83" i="18"/>
  <c r="W73" i="18"/>
  <c r="U145" i="18"/>
  <c r="U154" i="18"/>
  <c r="U212" i="18"/>
  <c r="W110" i="18"/>
  <c r="U247" i="18"/>
  <c r="U127" i="18"/>
  <c r="W68" i="18"/>
  <c r="U183" i="18"/>
  <c r="U187" i="18"/>
  <c r="U271" i="18"/>
  <c r="W97" i="18"/>
  <c r="U270" i="18"/>
  <c r="W121" i="18"/>
  <c r="W266" i="18"/>
  <c r="W211" i="18"/>
  <c r="W221" i="18"/>
  <c r="W133" i="18"/>
  <c r="W137" i="18"/>
  <c r="U58" i="18"/>
  <c r="W109" i="18"/>
  <c r="W119" i="18"/>
  <c r="W77" i="18"/>
  <c r="W265" i="18"/>
  <c r="W202" i="18"/>
  <c r="W201" i="18"/>
  <c r="W139" i="18"/>
  <c r="W144" i="18"/>
  <c r="W55" i="18"/>
  <c r="U62" i="18"/>
  <c r="W95" i="18"/>
  <c r="W35" i="18"/>
  <c r="W248" i="18"/>
  <c r="W242" i="18"/>
  <c r="W154" i="18"/>
  <c r="W183" i="18"/>
  <c r="U28" i="18"/>
  <c r="U70" i="18"/>
  <c r="W117" i="18"/>
  <c r="W165" i="18"/>
  <c r="W274" i="18"/>
  <c r="W199" i="18"/>
  <c r="W212" i="18"/>
  <c r="W187" i="18"/>
  <c r="W163" i="18"/>
  <c r="W53" i="18"/>
  <c r="U114" i="18"/>
  <c r="W118" i="18"/>
  <c r="W239" i="18"/>
  <c r="W192" i="18"/>
  <c r="U110" i="18"/>
  <c r="W271" i="18"/>
  <c r="W241" i="18"/>
  <c r="W214" i="18"/>
  <c r="U129" i="18"/>
  <c r="U138" i="18"/>
  <c r="U76" i="18"/>
  <c r="W83" i="18"/>
  <c r="W247" i="18"/>
  <c r="U97" i="18"/>
  <c r="W264" i="18"/>
  <c r="W197" i="18"/>
  <c r="W196" i="18"/>
  <c r="W170" i="18"/>
  <c r="W141" i="18"/>
  <c r="U73" i="18"/>
  <c r="W127" i="18"/>
  <c r="W270" i="18"/>
  <c r="W61" i="18"/>
  <c r="W261" i="18"/>
  <c r="W223" i="18"/>
  <c r="W213" i="18"/>
  <c r="W143" i="18"/>
  <c r="W145" i="18"/>
  <c r="U68" i="18"/>
  <c r="U121" i="18"/>
  <c r="U263" i="18"/>
  <c r="U224" i="18"/>
  <c r="U208" i="18"/>
  <c r="U167" i="18"/>
  <c r="U191" i="18"/>
  <c r="U63" i="18"/>
  <c r="U101" i="18"/>
  <c r="U91" i="18"/>
  <c r="W81" i="18"/>
  <c r="U269" i="18"/>
  <c r="U231" i="18"/>
  <c r="U225" i="18"/>
  <c r="W186" i="18"/>
  <c r="U131" i="18"/>
  <c r="W56" i="18"/>
  <c r="W98" i="18"/>
  <c r="U87" i="18"/>
  <c r="W40" i="18"/>
  <c r="U272" i="18"/>
  <c r="U198" i="18"/>
  <c r="U179" i="18"/>
  <c r="U157" i="18"/>
  <c r="U51" i="18"/>
  <c r="W90" i="18"/>
  <c r="U111" i="18"/>
  <c r="W80" i="18"/>
  <c r="U246" i="18"/>
  <c r="U233" i="18"/>
  <c r="U228" i="18"/>
  <c r="U134" i="18"/>
  <c r="U174" i="18"/>
  <c r="U75" i="18"/>
  <c r="U85" i="18"/>
  <c r="U251" i="18"/>
  <c r="U227" i="18"/>
  <c r="W48" i="18"/>
  <c r="W32" i="18"/>
  <c r="U262" i="18"/>
  <c r="U205" i="18"/>
  <c r="U177" i="18"/>
  <c r="U190" i="18"/>
  <c r="U31" i="18"/>
  <c r="U67" i="18"/>
  <c r="W102" i="18"/>
  <c r="U243" i="18"/>
  <c r="U37" i="18"/>
  <c r="U257" i="18"/>
  <c r="U218" i="18"/>
  <c r="U178" i="18"/>
  <c r="U130" i="18"/>
  <c r="W30" i="18"/>
  <c r="U71" i="18"/>
  <c r="U125" i="18"/>
  <c r="U150" i="18"/>
  <c r="W122" i="18"/>
  <c r="U259" i="18"/>
  <c r="U204" i="18"/>
  <c r="U142" i="18"/>
  <c r="U194" i="18"/>
  <c r="U29" i="18"/>
  <c r="W78" i="18"/>
  <c r="W108" i="18"/>
  <c r="W263" i="18"/>
  <c r="W224" i="18"/>
  <c r="W208" i="18"/>
  <c r="W167" i="18"/>
  <c r="W191" i="18"/>
  <c r="W63" i="18"/>
  <c r="W101" i="18"/>
  <c r="W91" i="18"/>
  <c r="U81" i="18"/>
  <c r="W269" i="18"/>
  <c r="W231" i="18"/>
  <c r="W225" i="18"/>
  <c r="U186" i="18"/>
  <c r="W131" i="18"/>
  <c r="U56" i="18"/>
  <c r="U98" i="18"/>
  <c r="W87" i="18"/>
  <c r="U40" i="18"/>
  <c r="W272" i="18"/>
  <c r="W198" i="18"/>
  <c r="W179" i="18"/>
  <c r="W157" i="18"/>
  <c r="W51" i="18"/>
  <c r="U90" i="18"/>
  <c r="W111" i="18"/>
  <c r="U80" i="18"/>
  <c r="W246" i="18"/>
  <c r="W233" i="18"/>
  <c r="W228" i="18"/>
  <c r="W134" i="18"/>
  <c r="W174" i="18"/>
  <c r="W75" i="18"/>
  <c r="W85" i="18"/>
  <c r="W251" i="18"/>
  <c r="W227" i="18"/>
  <c r="U48" i="18"/>
  <c r="U32" i="18"/>
  <c r="W262" i="18"/>
  <c r="W205" i="18"/>
  <c r="W177" i="18"/>
  <c r="W190" i="18"/>
  <c r="W31" i="18"/>
  <c r="W67" i="18"/>
  <c r="U102" i="18"/>
  <c r="W243" i="18"/>
  <c r="W37" i="18"/>
  <c r="W257" i="18"/>
  <c r="W218" i="18"/>
  <c r="W178" i="18"/>
  <c r="W130" i="18"/>
  <c r="U30" i="18"/>
  <c r="W71" i="18"/>
  <c r="W125" i="18"/>
  <c r="W150" i="18"/>
  <c r="U122" i="18"/>
  <c r="W259" i="18"/>
  <c r="W204" i="18"/>
  <c r="W142" i="18"/>
  <c r="W194" i="18"/>
  <c r="W29" i="18"/>
  <c r="U78" i="18"/>
  <c r="U108" i="18"/>
  <c r="W34" i="18"/>
  <c r="U250" i="18"/>
  <c r="U217" i="18"/>
  <c r="U132" i="18"/>
  <c r="U171" i="18"/>
  <c r="U181" i="18"/>
  <c r="W66" i="18"/>
  <c r="W105" i="18"/>
  <c r="U237" i="18"/>
  <c r="W33" i="18"/>
  <c r="U255" i="18"/>
  <c r="U210" i="18"/>
  <c r="U188" i="18"/>
  <c r="U193" i="18"/>
  <c r="W64" i="18"/>
  <c r="W116" i="18"/>
  <c r="W113" i="18"/>
  <c r="U267" i="18"/>
  <c r="U209" i="18"/>
  <c r="U234" i="18"/>
  <c r="U159" i="18"/>
  <c r="U152" i="18"/>
  <c r="U45" i="18"/>
  <c r="U99" i="18"/>
  <c r="U126" i="18"/>
  <c r="W36" i="18"/>
  <c r="U252" i="18"/>
  <c r="U206" i="18"/>
  <c r="U168" i="18"/>
  <c r="U155" i="18"/>
  <c r="U27" i="18"/>
  <c r="W74" i="18"/>
  <c r="U123" i="18"/>
  <c r="U268" i="18"/>
  <c r="U149" i="18"/>
  <c r="U79" i="18"/>
  <c r="W42" i="18"/>
  <c r="U245" i="18"/>
  <c r="U219" i="18"/>
  <c r="U166" i="18"/>
  <c r="U164" i="18"/>
  <c r="W54" i="18"/>
  <c r="W92" i="18"/>
  <c r="W88" i="18"/>
  <c r="U140" i="18"/>
  <c r="W38" i="18"/>
  <c r="U203" i="18"/>
  <c r="U229" i="18"/>
  <c r="U182" i="18"/>
  <c r="U169" i="18"/>
  <c r="W49" i="18"/>
  <c r="W112" i="18"/>
  <c r="U128" i="18"/>
  <c r="U148" i="18"/>
  <c r="W44" i="18"/>
  <c r="U238" i="18"/>
  <c r="U216" i="18"/>
  <c r="U162" i="18"/>
  <c r="U184" i="18"/>
  <c r="U59" i="18"/>
  <c r="U107" i="18"/>
  <c r="W96" i="18"/>
  <c r="U34" i="18"/>
  <c r="W250" i="18"/>
  <c r="W217" i="18"/>
  <c r="W132" i="18"/>
  <c r="W171" i="18"/>
  <c r="W181" i="18"/>
  <c r="U66" i="18"/>
  <c r="U105" i="18"/>
  <c r="W237" i="18"/>
  <c r="U33" i="18"/>
  <c r="W255" i="18"/>
  <c r="W210" i="18"/>
  <c r="W188" i="18"/>
  <c r="W193" i="18"/>
  <c r="W26" i="18"/>
  <c r="U64" i="18"/>
  <c r="U116" i="18"/>
  <c r="U113" i="18"/>
  <c r="W267" i="18"/>
  <c r="W209" i="18"/>
  <c r="W234" i="18"/>
  <c r="W159" i="18"/>
  <c r="W152" i="18"/>
  <c r="W45" i="18"/>
  <c r="W99" i="18"/>
  <c r="W126" i="18"/>
  <c r="U36" i="18"/>
  <c r="W252" i="18"/>
  <c r="W206" i="18"/>
  <c r="W168" i="18"/>
  <c r="W155" i="18"/>
  <c r="W27" i="18"/>
  <c r="U74" i="18"/>
  <c r="W123" i="18"/>
  <c r="W268" i="18"/>
  <c r="W149" i="18"/>
  <c r="W79" i="18"/>
  <c r="U42" i="18"/>
  <c r="W245" i="18"/>
  <c r="W219" i="18"/>
  <c r="W166" i="18"/>
  <c r="W164" i="18"/>
  <c r="U54" i="18"/>
  <c r="U92" i="18"/>
  <c r="U88" i="18"/>
  <c r="W140" i="18"/>
  <c r="U38" i="18"/>
  <c r="W203" i="18"/>
  <c r="W229" i="18"/>
  <c r="W182" i="18"/>
  <c r="W169" i="18"/>
  <c r="U49" i="18"/>
  <c r="U112" i="18"/>
  <c r="W128" i="18"/>
  <c r="W148" i="18"/>
  <c r="U44" i="18"/>
  <c r="W238" i="18"/>
  <c r="W216" i="18"/>
  <c r="W162" i="18"/>
  <c r="W184" i="18"/>
  <c r="W59" i="18"/>
  <c r="W107" i="18"/>
  <c r="U96" i="18"/>
  <c r="U43" i="18"/>
  <c r="U273" i="18"/>
  <c r="U240" i="18"/>
  <c r="U135" i="18"/>
  <c r="U161" i="18"/>
  <c r="W52" i="18"/>
  <c r="W72" i="18"/>
  <c r="U120" i="18"/>
  <c r="W46" i="18"/>
  <c r="W41" i="18"/>
  <c r="U258" i="18"/>
  <c r="U207" i="18"/>
  <c r="U173" i="18"/>
  <c r="U172" i="18"/>
  <c r="U26" i="18"/>
  <c r="U69" i="18"/>
  <c r="W94" i="18"/>
  <c r="U236" i="18"/>
  <c r="U249" i="18"/>
  <c r="U215" i="18"/>
  <c r="U244" i="18"/>
  <c r="U158" i="18"/>
  <c r="U180" i="18"/>
  <c r="W65" i="18"/>
  <c r="W86" i="18"/>
  <c r="U115" i="18"/>
  <c r="U39" i="18"/>
  <c r="U260" i="18"/>
  <c r="U232" i="18"/>
  <c r="U175" i="18"/>
  <c r="U176" i="18"/>
  <c r="U47" i="18"/>
  <c r="U93" i="18"/>
  <c r="W84" i="18"/>
  <c r="U226" i="18"/>
  <c r="U153" i="18"/>
  <c r="W104" i="18"/>
  <c r="U253" i="18"/>
  <c r="U230" i="18"/>
  <c r="U235" i="18"/>
  <c r="U151" i="18"/>
  <c r="U136" i="18"/>
  <c r="W57" i="18"/>
  <c r="W89" i="18"/>
  <c r="W100" i="18"/>
  <c r="U156" i="18"/>
  <c r="U256" i="18"/>
  <c r="U195" i="18"/>
  <c r="U220" i="18"/>
  <c r="U185" i="18"/>
  <c r="U160" i="18"/>
  <c r="W50" i="18"/>
  <c r="U124" i="18"/>
  <c r="U103" i="18"/>
  <c r="U147" i="18"/>
  <c r="U254" i="18"/>
  <c r="U200" i="18"/>
  <c r="U222" i="18"/>
  <c r="U146" i="18"/>
  <c r="U189" i="18"/>
  <c r="W60" i="18"/>
  <c r="W106" i="18"/>
  <c r="W82" i="18"/>
  <c r="W69" i="18"/>
  <c r="U94" i="18"/>
  <c r="W236" i="18"/>
  <c r="W249" i="18"/>
  <c r="W215" i="18"/>
  <c r="W244" i="18"/>
  <c r="W158" i="18"/>
  <c r="W180" i="18"/>
  <c r="U65" i="18"/>
  <c r="U86" i="18"/>
  <c r="W115" i="18"/>
  <c r="W39" i="18"/>
  <c r="W260" i="18"/>
  <c r="W232" i="18"/>
  <c r="W175" i="18"/>
  <c r="W176" i="18"/>
  <c r="W47" i="18"/>
  <c r="W93" i="18"/>
  <c r="U84" i="18"/>
  <c r="W226" i="18"/>
  <c r="W153" i="18"/>
  <c r="U104" i="18"/>
  <c r="W253" i="18"/>
  <c r="W230" i="18"/>
  <c r="W235" i="18"/>
  <c r="W151" i="18"/>
  <c r="W136" i="18"/>
  <c r="U57" i="18"/>
  <c r="U89" i="18"/>
  <c r="U100" i="18"/>
  <c r="W156" i="18"/>
  <c r="W256" i="18"/>
  <c r="W195" i="18"/>
  <c r="W220" i="18"/>
  <c r="W185" i="18"/>
  <c r="W160" i="18"/>
  <c r="U50" i="18"/>
  <c r="W124" i="18"/>
  <c r="W103" i="18"/>
  <c r="W147" i="18"/>
  <c r="W254" i="18"/>
  <c r="W200" i="18"/>
  <c r="W222" i="18"/>
  <c r="W146" i="18"/>
  <c r="W189" i="18"/>
  <c r="U60" i="18"/>
  <c r="U106" i="18"/>
  <c r="X24" i="4" l="1"/>
  <c r="Y26" i="4"/>
  <c r="U24" i="18"/>
  <c r="W24" i="18"/>
  <c r="W23" i="18" s="1"/>
  <c r="Z26" i="4" l="1"/>
  <c r="Y25" i="4"/>
  <c r="Y24" i="4"/>
  <c r="X26" i="18"/>
  <c r="X28" i="18"/>
  <c r="Y28" i="18" s="1"/>
  <c r="Z28" i="18" s="1"/>
  <c r="X30" i="18"/>
  <c r="Y30" i="18" s="1"/>
  <c r="Z30" i="18" s="1"/>
  <c r="X32" i="18"/>
  <c r="Y32" i="18" s="1"/>
  <c r="Z32" i="18" s="1"/>
  <c r="X34" i="18"/>
  <c r="Y34" i="18" s="1"/>
  <c r="Z34" i="18" s="1"/>
  <c r="X36" i="18"/>
  <c r="Y36" i="18" s="1"/>
  <c r="Z36" i="18" s="1"/>
  <c r="X38" i="18"/>
  <c r="Y38" i="18" s="1"/>
  <c r="Z38" i="18" s="1"/>
  <c r="X40" i="18"/>
  <c r="Y40" i="18" s="1"/>
  <c r="Z40" i="18" s="1"/>
  <c r="X42" i="18"/>
  <c r="Y42" i="18" s="1"/>
  <c r="Z42" i="18" s="1"/>
  <c r="X44" i="18"/>
  <c r="Y44" i="18" s="1"/>
  <c r="Z44" i="18" s="1"/>
  <c r="X46" i="18"/>
  <c r="Y46" i="18" s="1"/>
  <c r="Z46" i="18" s="1"/>
  <c r="X48" i="18"/>
  <c r="Y48" i="18" s="1"/>
  <c r="Z48" i="18" s="1"/>
  <c r="X50" i="18"/>
  <c r="Y50" i="18" s="1"/>
  <c r="Z50" i="18" s="1"/>
  <c r="X52" i="18"/>
  <c r="Y52" i="18" s="1"/>
  <c r="Z52" i="18" s="1"/>
  <c r="X54" i="18"/>
  <c r="Y54" i="18" s="1"/>
  <c r="Z54" i="18" s="1"/>
  <c r="X56" i="18"/>
  <c r="Y56" i="18" s="1"/>
  <c r="Z56" i="18" s="1"/>
  <c r="X58" i="18"/>
  <c r="Y58" i="18" s="1"/>
  <c r="Z58" i="18" s="1"/>
  <c r="X60" i="18"/>
  <c r="Y60" i="18" s="1"/>
  <c r="Z60" i="18" s="1"/>
  <c r="X62" i="18"/>
  <c r="Y62" i="18" s="1"/>
  <c r="Z62" i="18" s="1"/>
  <c r="X64" i="18"/>
  <c r="Y64" i="18" s="1"/>
  <c r="Z64" i="18" s="1"/>
  <c r="X66" i="18"/>
  <c r="Y66" i="18" s="1"/>
  <c r="Z66" i="18" s="1"/>
  <c r="X68" i="18"/>
  <c r="Y68" i="18" s="1"/>
  <c r="Z68" i="18" s="1"/>
  <c r="X70" i="18"/>
  <c r="Y70" i="18" s="1"/>
  <c r="Z70" i="18" s="1"/>
  <c r="X72" i="18"/>
  <c r="Y72" i="18" s="1"/>
  <c r="Z72" i="18" s="1"/>
  <c r="X74" i="18"/>
  <c r="Y74" i="18" s="1"/>
  <c r="Z74" i="18" s="1"/>
  <c r="X76" i="18"/>
  <c r="Y76" i="18" s="1"/>
  <c r="Z76" i="18" s="1"/>
  <c r="X78" i="18"/>
  <c r="Y78" i="18" s="1"/>
  <c r="Z78" i="18" s="1"/>
  <c r="X80" i="18"/>
  <c r="Y80" i="18" s="1"/>
  <c r="Z80" i="18" s="1"/>
  <c r="X82" i="18"/>
  <c r="Y82" i="18" s="1"/>
  <c r="Z82" i="18" s="1"/>
  <c r="X84" i="18"/>
  <c r="Y84" i="18" s="1"/>
  <c r="Z84" i="18" s="1"/>
  <c r="X86" i="18"/>
  <c r="Y86" i="18" s="1"/>
  <c r="Z86" i="18" s="1"/>
  <c r="X88" i="18"/>
  <c r="Y88" i="18" s="1"/>
  <c r="Z88" i="18" s="1"/>
  <c r="X90" i="18"/>
  <c r="Y90" i="18" s="1"/>
  <c r="Z90" i="18" s="1"/>
  <c r="X92" i="18"/>
  <c r="Y92" i="18" s="1"/>
  <c r="Z92" i="18" s="1"/>
  <c r="X94" i="18"/>
  <c r="Y94" i="18" s="1"/>
  <c r="Z94" i="18" s="1"/>
  <c r="X96" i="18"/>
  <c r="Y96" i="18" s="1"/>
  <c r="Z96" i="18" s="1"/>
  <c r="X98" i="18"/>
  <c r="Y98" i="18" s="1"/>
  <c r="Z98" i="18" s="1"/>
  <c r="X100" i="18"/>
  <c r="Y100" i="18" s="1"/>
  <c r="Z100" i="18" s="1"/>
  <c r="X102" i="18"/>
  <c r="Y102" i="18" s="1"/>
  <c r="Z102" i="18" s="1"/>
  <c r="X104" i="18"/>
  <c r="Y104" i="18" s="1"/>
  <c r="Z104" i="18" s="1"/>
  <c r="X106" i="18"/>
  <c r="Y106" i="18" s="1"/>
  <c r="Z106" i="18" s="1"/>
  <c r="X108" i="18"/>
  <c r="Y108" i="18" s="1"/>
  <c r="Z108" i="18" s="1"/>
  <c r="X110" i="18"/>
  <c r="Y110" i="18" s="1"/>
  <c r="Z110" i="18" s="1"/>
  <c r="X112" i="18"/>
  <c r="Y112" i="18" s="1"/>
  <c r="Z112" i="18" s="1"/>
  <c r="X114" i="18"/>
  <c r="Y114" i="18" s="1"/>
  <c r="Z114" i="18" s="1"/>
  <c r="X116" i="18"/>
  <c r="Y116" i="18" s="1"/>
  <c r="Z116" i="18" s="1"/>
  <c r="X118" i="18"/>
  <c r="Y118" i="18" s="1"/>
  <c r="Z118" i="18" s="1"/>
  <c r="X120" i="18"/>
  <c r="Y120" i="18" s="1"/>
  <c r="Z120" i="18" s="1"/>
  <c r="X122" i="18"/>
  <c r="Y122" i="18" s="1"/>
  <c r="Z122" i="18" s="1"/>
  <c r="X124" i="18"/>
  <c r="Y124" i="18" s="1"/>
  <c r="Z124" i="18" s="1"/>
  <c r="X126" i="18"/>
  <c r="Y126" i="18" s="1"/>
  <c r="Z126" i="18" s="1"/>
  <c r="X128" i="18"/>
  <c r="Y128" i="18" s="1"/>
  <c r="Z128" i="18" s="1"/>
  <c r="X130" i="18"/>
  <c r="Y130" i="18" s="1"/>
  <c r="Z130" i="18" s="1"/>
  <c r="X27" i="18"/>
  <c r="Y27" i="18" s="1"/>
  <c r="Z27" i="18" s="1"/>
  <c r="X29" i="18"/>
  <c r="Y29" i="18" s="1"/>
  <c r="Z29" i="18" s="1"/>
  <c r="X31" i="18"/>
  <c r="Y31" i="18" s="1"/>
  <c r="Z31" i="18" s="1"/>
  <c r="X33" i="18"/>
  <c r="Y33" i="18" s="1"/>
  <c r="Z33" i="18" s="1"/>
  <c r="X35" i="18"/>
  <c r="Y35" i="18" s="1"/>
  <c r="Z35" i="18" s="1"/>
  <c r="X37" i="18"/>
  <c r="Y37" i="18" s="1"/>
  <c r="Z37" i="18" s="1"/>
  <c r="X39" i="18"/>
  <c r="Y39" i="18" s="1"/>
  <c r="Z39" i="18" s="1"/>
  <c r="X41" i="18"/>
  <c r="Y41" i="18" s="1"/>
  <c r="Z41" i="18" s="1"/>
  <c r="X43" i="18"/>
  <c r="Y43" i="18" s="1"/>
  <c r="Z43" i="18" s="1"/>
  <c r="X45" i="18"/>
  <c r="Y45" i="18" s="1"/>
  <c r="Z45" i="18" s="1"/>
  <c r="X47" i="18"/>
  <c r="Y47" i="18" s="1"/>
  <c r="Z47" i="18" s="1"/>
  <c r="X49" i="18"/>
  <c r="Y49" i="18" s="1"/>
  <c r="Z49" i="18" s="1"/>
  <c r="X51" i="18"/>
  <c r="Y51" i="18" s="1"/>
  <c r="Z51" i="18" s="1"/>
  <c r="X53" i="18"/>
  <c r="Y53" i="18" s="1"/>
  <c r="Z53" i="18" s="1"/>
  <c r="X55" i="18"/>
  <c r="Y55" i="18" s="1"/>
  <c r="Z55" i="18" s="1"/>
  <c r="X57" i="18"/>
  <c r="Y57" i="18" s="1"/>
  <c r="Z57" i="18" s="1"/>
  <c r="X59" i="18"/>
  <c r="Y59" i="18" s="1"/>
  <c r="Z59" i="18" s="1"/>
  <c r="X61" i="18"/>
  <c r="Y61" i="18" s="1"/>
  <c r="Z61" i="18" s="1"/>
  <c r="X63" i="18"/>
  <c r="Y63" i="18" s="1"/>
  <c r="Z63" i="18" s="1"/>
  <c r="X65" i="18"/>
  <c r="Y65" i="18" s="1"/>
  <c r="Z65" i="18" s="1"/>
  <c r="X67" i="18"/>
  <c r="Y67" i="18" s="1"/>
  <c r="Z67" i="18" s="1"/>
  <c r="X69" i="18"/>
  <c r="Y69" i="18" s="1"/>
  <c r="Z69" i="18" s="1"/>
  <c r="X71" i="18"/>
  <c r="Y71" i="18" s="1"/>
  <c r="Z71" i="18" s="1"/>
  <c r="X73" i="18"/>
  <c r="Y73" i="18" s="1"/>
  <c r="Z73" i="18" s="1"/>
  <c r="X75" i="18"/>
  <c r="Y75" i="18" s="1"/>
  <c r="Z75" i="18" s="1"/>
  <c r="X77" i="18"/>
  <c r="Y77" i="18" s="1"/>
  <c r="Z77" i="18" s="1"/>
  <c r="X79" i="18"/>
  <c r="Y79" i="18" s="1"/>
  <c r="Z79" i="18" s="1"/>
  <c r="X81" i="18"/>
  <c r="Y81" i="18" s="1"/>
  <c r="Z81" i="18" s="1"/>
  <c r="X83" i="18"/>
  <c r="Y83" i="18" s="1"/>
  <c r="Z83" i="18" s="1"/>
  <c r="X85" i="18"/>
  <c r="Y85" i="18" s="1"/>
  <c r="Z85" i="18" s="1"/>
  <c r="X87" i="18"/>
  <c r="Y87" i="18" s="1"/>
  <c r="Z87" i="18" s="1"/>
  <c r="X89" i="18"/>
  <c r="Y89" i="18" s="1"/>
  <c r="Z89" i="18" s="1"/>
  <c r="X91" i="18"/>
  <c r="Y91" i="18" s="1"/>
  <c r="Z91" i="18" s="1"/>
  <c r="X93" i="18"/>
  <c r="Y93" i="18" s="1"/>
  <c r="Z93" i="18" s="1"/>
  <c r="X95" i="18"/>
  <c r="Y95" i="18" s="1"/>
  <c r="Z95" i="18" s="1"/>
  <c r="X97" i="18"/>
  <c r="Y97" i="18" s="1"/>
  <c r="Z97" i="18" s="1"/>
  <c r="X99" i="18"/>
  <c r="Y99" i="18" s="1"/>
  <c r="Z99" i="18" s="1"/>
  <c r="X101" i="18"/>
  <c r="Y101" i="18" s="1"/>
  <c r="Z101" i="18" s="1"/>
  <c r="X103" i="18"/>
  <c r="Y103" i="18" s="1"/>
  <c r="Z103" i="18" s="1"/>
  <c r="X105" i="18"/>
  <c r="Y105" i="18" s="1"/>
  <c r="Z105" i="18" s="1"/>
  <c r="X107" i="18"/>
  <c r="Y107" i="18" s="1"/>
  <c r="Z107" i="18" s="1"/>
  <c r="X109" i="18"/>
  <c r="Y109" i="18" s="1"/>
  <c r="Z109" i="18" s="1"/>
  <c r="X111" i="18"/>
  <c r="Y111" i="18" s="1"/>
  <c r="Z111" i="18" s="1"/>
  <c r="X113" i="18"/>
  <c r="Y113" i="18" s="1"/>
  <c r="Z113" i="18" s="1"/>
  <c r="X115" i="18"/>
  <c r="Y115" i="18" s="1"/>
  <c r="Z115" i="18" s="1"/>
  <c r="X117" i="18"/>
  <c r="Y117" i="18" s="1"/>
  <c r="Z117" i="18" s="1"/>
  <c r="X119" i="18"/>
  <c r="Y119" i="18" s="1"/>
  <c r="Z119" i="18" s="1"/>
  <c r="X121" i="18"/>
  <c r="Y121" i="18" s="1"/>
  <c r="Z121" i="18" s="1"/>
  <c r="X123" i="18"/>
  <c r="Y123" i="18" s="1"/>
  <c r="Z123" i="18" s="1"/>
  <c r="X125" i="18"/>
  <c r="Y125" i="18" s="1"/>
  <c r="Z125" i="18" s="1"/>
  <c r="X127" i="18"/>
  <c r="Y127" i="18" s="1"/>
  <c r="Z127" i="18" s="1"/>
  <c r="X129" i="18"/>
  <c r="Y129" i="18" s="1"/>
  <c r="Z129" i="18" s="1"/>
  <c r="X131" i="18"/>
  <c r="Y131" i="18" s="1"/>
  <c r="Z131" i="18" s="1"/>
  <c r="X133" i="18"/>
  <c r="Y133" i="18" s="1"/>
  <c r="Z133" i="18" s="1"/>
  <c r="X135" i="18"/>
  <c r="Y135" i="18" s="1"/>
  <c r="Z135" i="18" s="1"/>
  <c r="X137" i="18"/>
  <c r="Y137" i="18" s="1"/>
  <c r="Z137" i="18" s="1"/>
  <c r="X139" i="18"/>
  <c r="Y139" i="18" s="1"/>
  <c r="Z139" i="18" s="1"/>
  <c r="X141" i="18"/>
  <c r="Y141" i="18" s="1"/>
  <c r="Z141" i="18" s="1"/>
  <c r="X143" i="18"/>
  <c r="Y143" i="18" s="1"/>
  <c r="Z143" i="18" s="1"/>
  <c r="X145" i="18"/>
  <c r="Y145" i="18" s="1"/>
  <c r="Z145" i="18" s="1"/>
  <c r="X147" i="18"/>
  <c r="Y147" i="18" s="1"/>
  <c r="Z147" i="18" s="1"/>
  <c r="X149" i="18"/>
  <c r="Y149" i="18" s="1"/>
  <c r="Z149" i="18" s="1"/>
  <c r="X151" i="18"/>
  <c r="Y151" i="18" s="1"/>
  <c r="Z151" i="18" s="1"/>
  <c r="X153" i="18"/>
  <c r="Y153" i="18" s="1"/>
  <c r="Z153" i="18" s="1"/>
  <c r="X155" i="18"/>
  <c r="Y155" i="18" s="1"/>
  <c r="Z155" i="18" s="1"/>
  <c r="X157" i="18"/>
  <c r="Y157" i="18" s="1"/>
  <c r="Z157" i="18" s="1"/>
  <c r="X159" i="18"/>
  <c r="Y159" i="18" s="1"/>
  <c r="Z159" i="18" s="1"/>
  <c r="X161" i="18"/>
  <c r="Y161" i="18" s="1"/>
  <c r="Z161" i="18" s="1"/>
  <c r="X163" i="18"/>
  <c r="Y163" i="18" s="1"/>
  <c r="Z163" i="18" s="1"/>
  <c r="X165" i="18"/>
  <c r="Y165" i="18" s="1"/>
  <c r="Z165" i="18" s="1"/>
  <c r="X167" i="18"/>
  <c r="Y167" i="18" s="1"/>
  <c r="Z167" i="18" s="1"/>
  <c r="X169" i="18"/>
  <c r="Y169" i="18" s="1"/>
  <c r="Z169" i="18" s="1"/>
  <c r="X171" i="18"/>
  <c r="Y171" i="18" s="1"/>
  <c r="Z171" i="18" s="1"/>
  <c r="X173" i="18"/>
  <c r="Y173" i="18" s="1"/>
  <c r="Z173" i="18" s="1"/>
  <c r="X175" i="18"/>
  <c r="Y175" i="18" s="1"/>
  <c r="Z175" i="18" s="1"/>
  <c r="X177" i="18"/>
  <c r="Y177" i="18" s="1"/>
  <c r="Z177" i="18" s="1"/>
  <c r="X179" i="18"/>
  <c r="Y179" i="18" s="1"/>
  <c r="Z179" i="18" s="1"/>
  <c r="X181" i="18"/>
  <c r="Y181" i="18" s="1"/>
  <c r="Z181" i="18" s="1"/>
  <c r="X183" i="18"/>
  <c r="Y183" i="18" s="1"/>
  <c r="Z183" i="18" s="1"/>
  <c r="X185" i="18"/>
  <c r="Y185" i="18" s="1"/>
  <c r="Z185" i="18" s="1"/>
  <c r="X187" i="18"/>
  <c r="Y187" i="18" s="1"/>
  <c r="Z187" i="18" s="1"/>
  <c r="X189" i="18"/>
  <c r="Y189" i="18" s="1"/>
  <c r="Z189" i="18" s="1"/>
  <c r="X191" i="18"/>
  <c r="Y191" i="18" s="1"/>
  <c r="Z191" i="18" s="1"/>
  <c r="X193" i="18"/>
  <c r="Y193" i="18" s="1"/>
  <c r="Z193" i="18" s="1"/>
  <c r="X195" i="18"/>
  <c r="Y195" i="18" s="1"/>
  <c r="Z195" i="18" s="1"/>
  <c r="X197" i="18"/>
  <c r="Y197" i="18" s="1"/>
  <c r="Z197" i="18" s="1"/>
  <c r="X199" i="18"/>
  <c r="Y199" i="18" s="1"/>
  <c r="Z199" i="18" s="1"/>
  <c r="X201" i="18"/>
  <c r="Y201" i="18" s="1"/>
  <c r="Z201" i="18" s="1"/>
  <c r="X203" i="18"/>
  <c r="Y203" i="18" s="1"/>
  <c r="Z203" i="18" s="1"/>
  <c r="X205" i="18"/>
  <c r="Y205" i="18" s="1"/>
  <c r="Z205" i="18" s="1"/>
  <c r="X207" i="18"/>
  <c r="Y207" i="18" s="1"/>
  <c r="Z207" i="18" s="1"/>
  <c r="X209" i="18"/>
  <c r="Y209" i="18" s="1"/>
  <c r="Z209" i="18" s="1"/>
  <c r="X211" i="18"/>
  <c r="Y211" i="18" s="1"/>
  <c r="Z211" i="18" s="1"/>
  <c r="X213" i="18"/>
  <c r="Y213" i="18" s="1"/>
  <c r="Z213" i="18" s="1"/>
  <c r="X215" i="18"/>
  <c r="Y215" i="18" s="1"/>
  <c r="Z215" i="18" s="1"/>
  <c r="X217" i="18"/>
  <c r="Y217" i="18" s="1"/>
  <c r="Z217" i="18" s="1"/>
  <c r="X219" i="18"/>
  <c r="Y219" i="18" s="1"/>
  <c r="Z219" i="18" s="1"/>
  <c r="X221" i="18"/>
  <c r="Y221" i="18" s="1"/>
  <c r="Z221" i="18" s="1"/>
  <c r="X223" i="18"/>
  <c r="Y223" i="18" s="1"/>
  <c r="Z223" i="18" s="1"/>
  <c r="X225" i="18"/>
  <c r="Y225" i="18" s="1"/>
  <c r="Z225" i="18" s="1"/>
  <c r="X227" i="18"/>
  <c r="Y227" i="18" s="1"/>
  <c r="Z227" i="18" s="1"/>
  <c r="X229" i="18"/>
  <c r="Y229" i="18" s="1"/>
  <c r="Z229" i="18" s="1"/>
  <c r="X132" i="18"/>
  <c r="Y132" i="18" s="1"/>
  <c r="Z132" i="18" s="1"/>
  <c r="X140" i="18"/>
  <c r="Y140" i="18" s="1"/>
  <c r="Z140" i="18" s="1"/>
  <c r="X148" i="18"/>
  <c r="Y148" i="18" s="1"/>
  <c r="Z148" i="18" s="1"/>
  <c r="X156" i="18"/>
  <c r="Y156" i="18" s="1"/>
  <c r="Z156" i="18" s="1"/>
  <c r="X164" i="18"/>
  <c r="Y164" i="18" s="1"/>
  <c r="Z164" i="18" s="1"/>
  <c r="X172" i="18"/>
  <c r="Y172" i="18" s="1"/>
  <c r="Z172" i="18" s="1"/>
  <c r="X180" i="18"/>
  <c r="Y180" i="18" s="1"/>
  <c r="Z180" i="18" s="1"/>
  <c r="X188" i="18"/>
  <c r="Y188" i="18" s="1"/>
  <c r="Z188" i="18" s="1"/>
  <c r="X196" i="18"/>
  <c r="Y196" i="18" s="1"/>
  <c r="Z196" i="18" s="1"/>
  <c r="X204" i="18"/>
  <c r="Y204" i="18" s="1"/>
  <c r="Z204" i="18" s="1"/>
  <c r="X212" i="18"/>
  <c r="Y212" i="18" s="1"/>
  <c r="Z212" i="18" s="1"/>
  <c r="X220" i="18"/>
  <c r="Y220" i="18" s="1"/>
  <c r="Z220" i="18" s="1"/>
  <c r="X231" i="18"/>
  <c r="Y231" i="18" s="1"/>
  <c r="Z231" i="18" s="1"/>
  <c r="X235" i="18"/>
  <c r="Y235" i="18" s="1"/>
  <c r="Z235" i="18" s="1"/>
  <c r="X239" i="18"/>
  <c r="Y239" i="18" s="1"/>
  <c r="Z239" i="18" s="1"/>
  <c r="X249" i="18"/>
  <c r="Y249" i="18" s="1"/>
  <c r="Z249" i="18" s="1"/>
  <c r="X252" i="18"/>
  <c r="Y252" i="18" s="1"/>
  <c r="Z252" i="18" s="1"/>
  <c r="X265" i="18"/>
  <c r="Y265" i="18" s="1"/>
  <c r="Z265" i="18" s="1"/>
  <c r="X268" i="18"/>
  <c r="Y268" i="18" s="1"/>
  <c r="Z268" i="18" s="1"/>
  <c r="X226" i="18"/>
  <c r="Y226" i="18" s="1"/>
  <c r="Z226" i="18" s="1"/>
  <c r="X243" i="18"/>
  <c r="Y243" i="18" s="1"/>
  <c r="Z243" i="18" s="1"/>
  <c r="X246" i="18"/>
  <c r="Y246" i="18" s="1"/>
  <c r="Z246" i="18" s="1"/>
  <c r="X259" i="18"/>
  <c r="Y259" i="18" s="1"/>
  <c r="Z259" i="18" s="1"/>
  <c r="X262" i="18"/>
  <c r="Y262" i="18" s="1"/>
  <c r="Z262" i="18" s="1"/>
  <c r="X274" i="18"/>
  <c r="Y274" i="18" s="1"/>
  <c r="Z274" i="18" s="1"/>
  <c r="X134" i="18"/>
  <c r="Y134" i="18" s="1"/>
  <c r="Z134" i="18" s="1"/>
  <c r="X142" i="18"/>
  <c r="Y142" i="18" s="1"/>
  <c r="Z142" i="18" s="1"/>
  <c r="X150" i="18"/>
  <c r="Y150" i="18" s="1"/>
  <c r="Z150" i="18" s="1"/>
  <c r="X158" i="18"/>
  <c r="Y158" i="18" s="1"/>
  <c r="Z158" i="18" s="1"/>
  <c r="X166" i="18"/>
  <c r="Y166" i="18" s="1"/>
  <c r="Z166" i="18" s="1"/>
  <c r="X174" i="18"/>
  <c r="Y174" i="18" s="1"/>
  <c r="Z174" i="18" s="1"/>
  <c r="X182" i="18"/>
  <c r="Y182" i="18" s="1"/>
  <c r="Z182" i="18" s="1"/>
  <c r="X190" i="18"/>
  <c r="Y190" i="18" s="1"/>
  <c r="Z190" i="18" s="1"/>
  <c r="X198" i="18"/>
  <c r="Y198" i="18" s="1"/>
  <c r="Z198" i="18" s="1"/>
  <c r="X206" i="18"/>
  <c r="Y206" i="18" s="1"/>
  <c r="Z206" i="18" s="1"/>
  <c r="X214" i="18"/>
  <c r="Y214" i="18" s="1"/>
  <c r="Z214" i="18" s="1"/>
  <c r="X253" i="18"/>
  <c r="Y253" i="18" s="1"/>
  <c r="Z253" i="18" s="1"/>
  <c r="X256" i="18"/>
  <c r="Y256" i="18" s="1"/>
  <c r="Z256" i="18" s="1"/>
  <c r="X269" i="18"/>
  <c r="Y269" i="18" s="1"/>
  <c r="Z269" i="18" s="1"/>
  <c r="X272" i="18"/>
  <c r="Y272" i="18" s="1"/>
  <c r="Z272" i="18" s="1"/>
  <c r="X136" i="18"/>
  <c r="Y136" i="18" s="1"/>
  <c r="Z136" i="18" s="1"/>
  <c r="X144" i="18"/>
  <c r="Y144" i="18" s="1"/>
  <c r="Z144" i="18" s="1"/>
  <c r="X152" i="18"/>
  <c r="Y152" i="18" s="1"/>
  <c r="Z152" i="18" s="1"/>
  <c r="X160" i="18"/>
  <c r="Y160" i="18" s="1"/>
  <c r="Z160" i="18" s="1"/>
  <c r="X168" i="18"/>
  <c r="Y168" i="18" s="1"/>
  <c r="Z168" i="18" s="1"/>
  <c r="X176" i="18"/>
  <c r="Y176" i="18" s="1"/>
  <c r="Z176" i="18" s="1"/>
  <c r="X184" i="18"/>
  <c r="Y184" i="18" s="1"/>
  <c r="Z184" i="18" s="1"/>
  <c r="X192" i="18"/>
  <c r="Y192" i="18" s="1"/>
  <c r="Z192" i="18" s="1"/>
  <c r="X200" i="18"/>
  <c r="Y200" i="18" s="1"/>
  <c r="Z200" i="18" s="1"/>
  <c r="X208" i="18"/>
  <c r="Y208" i="18" s="1"/>
  <c r="Z208" i="18" s="1"/>
  <c r="X216" i="18"/>
  <c r="Y216" i="18" s="1"/>
  <c r="Z216" i="18" s="1"/>
  <c r="X228" i="18"/>
  <c r="Y228" i="18" s="1"/>
  <c r="Z228" i="18" s="1"/>
  <c r="X233" i="18"/>
  <c r="Y233" i="18" s="1"/>
  <c r="Z233" i="18" s="1"/>
  <c r="X237" i="18"/>
  <c r="Y237" i="18" s="1"/>
  <c r="Z237" i="18" s="1"/>
  <c r="X241" i="18"/>
  <c r="Y241" i="18" s="1"/>
  <c r="Z241" i="18" s="1"/>
  <c r="X244" i="18"/>
  <c r="Y244" i="18" s="1"/>
  <c r="Z244" i="18" s="1"/>
  <c r="X257" i="18"/>
  <c r="Y257" i="18" s="1"/>
  <c r="Z257" i="18" s="1"/>
  <c r="X260" i="18"/>
  <c r="Y260" i="18" s="1"/>
  <c r="Z260" i="18" s="1"/>
  <c r="X251" i="18"/>
  <c r="Y251" i="18" s="1"/>
  <c r="Z251" i="18" s="1"/>
  <c r="X254" i="18"/>
  <c r="Y254" i="18" s="1"/>
  <c r="Z254" i="18" s="1"/>
  <c r="X267" i="18"/>
  <c r="Y267" i="18" s="1"/>
  <c r="Z267" i="18" s="1"/>
  <c r="X270" i="18"/>
  <c r="Y270" i="18" s="1"/>
  <c r="Z270" i="18" s="1"/>
  <c r="X273" i="18"/>
  <c r="Y273" i="18" s="1"/>
  <c r="Z273" i="18" s="1"/>
  <c r="X138" i="18"/>
  <c r="Y138" i="18" s="1"/>
  <c r="Z138" i="18" s="1"/>
  <c r="X202" i="18"/>
  <c r="Y202" i="18" s="1"/>
  <c r="Z202" i="18" s="1"/>
  <c r="X222" i="18"/>
  <c r="Y222" i="18" s="1"/>
  <c r="Z222" i="18" s="1"/>
  <c r="X234" i="18"/>
  <c r="Y234" i="18" s="1"/>
  <c r="Z234" i="18" s="1"/>
  <c r="X245" i="18"/>
  <c r="Y245" i="18" s="1"/>
  <c r="Z245" i="18" s="1"/>
  <c r="X162" i="18"/>
  <c r="Y162" i="18" s="1"/>
  <c r="Z162" i="18" s="1"/>
  <c r="X224" i="18"/>
  <c r="Y224" i="18" s="1"/>
  <c r="Z224" i="18" s="1"/>
  <c r="X236" i="18"/>
  <c r="Y236" i="18" s="1"/>
  <c r="Z236" i="18" s="1"/>
  <c r="X263" i="18"/>
  <c r="Y263" i="18" s="1"/>
  <c r="Z263" i="18" s="1"/>
  <c r="X271" i="18"/>
  <c r="Y271" i="18" s="1"/>
  <c r="Z271" i="18" s="1"/>
  <c r="X186" i="18"/>
  <c r="Y186" i="18" s="1"/>
  <c r="Z186" i="18" s="1"/>
  <c r="X247" i="18"/>
  <c r="Y247" i="18" s="1"/>
  <c r="Z247" i="18" s="1"/>
  <c r="X255" i="18"/>
  <c r="Y255" i="18" s="1"/>
  <c r="Z255" i="18" s="1"/>
  <c r="X264" i="18"/>
  <c r="Y264" i="18" s="1"/>
  <c r="Z264" i="18" s="1"/>
  <c r="X146" i="18"/>
  <c r="Y146" i="18" s="1"/>
  <c r="Z146" i="18" s="1"/>
  <c r="X210" i="18"/>
  <c r="Y210" i="18" s="1"/>
  <c r="Z210" i="18" s="1"/>
  <c r="X238" i="18"/>
  <c r="Y238" i="18" s="1"/>
  <c r="Z238" i="18" s="1"/>
  <c r="X248" i="18"/>
  <c r="Y248" i="18" s="1"/>
  <c r="Z248" i="18" s="1"/>
  <c r="X170" i="18"/>
  <c r="Y170" i="18" s="1"/>
  <c r="Z170" i="18" s="1"/>
  <c r="X240" i="18"/>
  <c r="Y240" i="18" s="1"/>
  <c r="Z240" i="18" s="1"/>
  <c r="X266" i="18"/>
  <c r="Y266" i="18" s="1"/>
  <c r="Z266" i="18" s="1"/>
  <c r="X194" i="18"/>
  <c r="Y194" i="18" s="1"/>
  <c r="Z194" i="18" s="1"/>
  <c r="X230" i="18"/>
  <c r="Y230" i="18" s="1"/>
  <c r="Z230" i="18" s="1"/>
  <c r="X250" i="18"/>
  <c r="Y250" i="18" s="1"/>
  <c r="Z250" i="18" s="1"/>
  <c r="X258" i="18"/>
  <c r="Y258" i="18" s="1"/>
  <c r="Z258" i="18" s="1"/>
  <c r="X242" i="18"/>
  <c r="Y242" i="18" s="1"/>
  <c r="Z242" i="18" s="1"/>
  <c r="X178" i="18"/>
  <c r="Y178" i="18" s="1"/>
  <c r="Z178" i="18" s="1"/>
  <c r="X261" i="18"/>
  <c r="Y261" i="18" s="1"/>
  <c r="Z261" i="18" s="1"/>
  <c r="X154" i="18"/>
  <c r="Y154" i="18" s="1"/>
  <c r="Z154" i="18" s="1"/>
  <c r="X232" i="18"/>
  <c r="Y232" i="18" s="1"/>
  <c r="Z232" i="18" s="1"/>
  <c r="X218" i="18"/>
  <c r="Y218" i="18" s="1"/>
  <c r="Z218" i="18" s="1"/>
  <c r="AA22" i="4" l="1"/>
  <c r="AA19" i="4"/>
  <c r="Z23" i="4" a="1"/>
  <c r="Z23" i="4" s="1"/>
  <c r="Z22" i="4" a="1"/>
  <c r="Z22" i="4" s="1"/>
  <c r="X24" i="18"/>
  <c r="Y26" i="18"/>
  <c r="AA26" i="4" l="1"/>
  <c r="AD26" i="4" s="1"/>
  <c r="AA95" i="4"/>
  <c r="AD95" i="4" s="1"/>
  <c r="AA63" i="4"/>
  <c r="AD63" i="4" s="1"/>
  <c r="AA270" i="4"/>
  <c r="AD270" i="4" s="1"/>
  <c r="AA113" i="4"/>
  <c r="AD113" i="4" s="1"/>
  <c r="AA60" i="4"/>
  <c r="AD60" i="4" s="1"/>
  <c r="AA98" i="4"/>
  <c r="AD98" i="4" s="1"/>
  <c r="AA64" i="4"/>
  <c r="AD64" i="4" s="1"/>
  <c r="AA69" i="4"/>
  <c r="AD69" i="4" s="1"/>
  <c r="AA185" i="4"/>
  <c r="AD185" i="4" s="1"/>
  <c r="AA184" i="4"/>
  <c r="AD184" i="4" s="1"/>
  <c r="AA76" i="4"/>
  <c r="AD76" i="4" s="1"/>
  <c r="AA66" i="4"/>
  <c r="AD66" i="4" s="1"/>
  <c r="AA193" i="4"/>
  <c r="AD193" i="4" s="1"/>
  <c r="AA262" i="4"/>
  <c r="AD262" i="4" s="1"/>
  <c r="AA176" i="4"/>
  <c r="AD176" i="4" s="1"/>
  <c r="AA182" i="4"/>
  <c r="AD182" i="4" s="1"/>
  <c r="AA234" i="4"/>
  <c r="AD234" i="4" s="1"/>
  <c r="AA158" i="4"/>
  <c r="AD158" i="4" s="1"/>
  <c r="AA166" i="4"/>
  <c r="AD166" i="4" s="1"/>
  <c r="AA136" i="4"/>
  <c r="AD136" i="4" s="1"/>
  <c r="AA35" i="4"/>
  <c r="AD35" i="4" s="1"/>
  <c r="AA227" i="4"/>
  <c r="AD227" i="4" s="1"/>
  <c r="AA276" i="4"/>
  <c r="AD276" i="4" s="1"/>
  <c r="AA120" i="4"/>
  <c r="AD120" i="4" s="1"/>
  <c r="AA94" i="4"/>
  <c r="AD94" i="4" s="1"/>
  <c r="AA156" i="4"/>
  <c r="AD156" i="4" s="1"/>
  <c r="AA245" i="4"/>
  <c r="AD245" i="4" s="1"/>
  <c r="AA51" i="4"/>
  <c r="AD51" i="4" s="1"/>
  <c r="AA191" i="4"/>
  <c r="AD191" i="4" s="1"/>
  <c r="AA54" i="4"/>
  <c r="AD54" i="4" s="1"/>
  <c r="AA62" i="4"/>
  <c r="AD62" i="4" s="1"/>
  <c r="AA146" i="4"/>
  <c r="AD146" i="4" s="1"/>
  <c r="AA45" i="4"/>
  <c r="AD45" i="4" s="1"/>
  <c r="AA80" i="4"/>
  <c r="AD80" i="4" s="1"/>
  <c r="AA58" i="4"/>
  <c r="AD58" i="4" s="1"/>
  <c r="AA205" i="4"/>
  <c r="AD205" i="4" s="1"/>
  <c r="AA142" i="4"/>
  <c r="AD142" i="4" s="1"/>
  <c r="AA74" i="4"/>
  <c r="AD74" i="4" s="1"/>
  <c r="AA31" i="4"/>
  <c r="AD31" i="4" s="1"/>
  <c r="AA72" i="4"/>
  <c r="AD72" i="4" s="1"/>
  <c r="AA47" i="4"/>
  <c r="AD47" i="4" s="1"/>
  <c r="AA186" i="4"/>
  <c r="AD186" i="4" s="1"/>
  <c r="AA152" i="4"/>
  <c r="AD152" i="4" s="1"/>
  <c r="AA257" i="4"/>
  <c r="AD257" i="4" s="1"/>
  <c r="AA81" i="4"/>
  <c r="AD81" i="4" s="1"/>
  <c r="AA88" i="4"/>
  <c r="AD88" i="4" s="1"/>
  <c r="AA139" i="4"/>
  <c r="AD139" i="4" s="1"/>
  <c r="AA75" i="4"/>
  <c r="AD75" i="4" s="1"/>
  <c r="AA103" i="4"/>
  <c r="AD103" i="4" s="1"/>
  <c r="AA256" i="4"/>
  <c r="AD256" i="4" s="1"/>
  <c r="AA154" i="4"/>
  <c r="AD154" i="4" s="1"/>
  <c r="AA28" i="4"/>
  <c r="AD28" i="4" s="1"/>
  <c r="AA59" i="4"/>
  <c r="AD59" i="4" s="1"/>
  <c r="AA116" i="4"/>
  <c r="AD116" i="4" s="1"/>
  <c r="AA73" i="4"/>
  <c r="AD73" i="4" s="1"/>
  <c r="AA195" i="4"/>
  <c r="AD195" i="4" s="1"/>
  <c r="AA70" i="4"/>
  <c r="AD70" i="4" s="1"/>
  <c r="AA236" i="4"/>
  <c r="AD236" i="4" s="1"/>
  <c r="AA206" i="4"/>
  <c r="AD206" i="4" s="1"/>
  <c r="AA216" i="4"/>
  <c r="AD216" i="4" s="1"/>
  <c r="AA183" i="4"/>
  <c r="AD183" i="4" s="1"/>
  <c r="AA233" i="4"/>
  <c r="AD233" i="4" s="1"/>
  <c r="AA237" i="4"/>
  <c r="AD237" i="4" s="1"/>
  <c r="AA172" i="4"/>
  <c r="AD172" i="4" s="1"/>
  <c r="AA266" i="4"/>
  <c r="AD266" i="4" s="1"/>
  <c r="AA157" i="4"/>
  <c r="AD157" i="4" s="1"/>
  <c r="AA196" i="4"/>
  <c r="AD196" i="4" s="1"/>
  <c r="AA249" i="4"/>
  <c r="AD249" i="4" s="1"/>
  <c r="AA85" i="4"/>
  <c r="AD85" i="4" s="1"/>
  <c r="AA163" i="4"/>
  <c r="AD163" i="4" s="1"/>
  <c r="AA118" i="4"/>
  <c r="AD118" i="4" s="1"/>
  <c r="AA39" i="4"/>
  <c r="AD39" i="4" s="1"/>
  <c r="AA250" i="4"/>
  <c r="AD250" i="4" s="1"/>
  <c r="AA125" i="4"/>
  <c r="AD125" i="4" s="1"/>
  <c r="AA87" i="4"/>
  <c r="AD87" i="4" s="1"/>
  <c r="AA168" i="4"/>
  <c r="AD168" i="4" s="1"/>
  <c r="AA189" i="4"/>
  <c r="AD189" i="4" s="1"/>
  <c r="AA265" i="4"/>
  <c r="AD265" i="4" s="1"/>
  <c r="AA83" i="4"/>
  <c r="AD83" i="4" s="1"/>
  <c r="AA99" i="4"/>
  <c r="AD99" i="4" s="1"/>
  <c r="AA192" i="4"/>
  <c r="AD192" i="4" s="1"/>
  <c r="AA231" i="4"/>
  <c r="AD231" i="4" s="1"/>
  <c r="AA90" i="4"/>
  <c r="AD90" i="4" s="1"/>
  <c r="AA67" i="4"/>
  <c r="AD67" i="4" s="1"/>
  <c r="AA30" i="4"/>
  <c r="AD30" i="4" s="1"/>
  <c r="AA169" i="4"/>
  <c r="AD169" i="4" s="1"/>
  <c r="AA79" i="4"/>
  <c r="AD79" i="4" s="1"/>
  <c r="AA215" i="4"/>
  <c r="AD215" i="4" s="1"/>
  <c r="AA171" i="4"/>
  <c r="AD171" i="4" s="1"/>
  <c r="AA27" i="4"/>
  <c r="AD27" i="4" s="1"/>
  <c r="AA56" i="4"/>
  <c r="AD56" i="4" s="1"/>
  <c r="AA273" i="4"/>
  <c r="AD273" i="4" s="1"/>
  <c r="AA268" i="4"/>
  <c r="AD268" i="4" s="1"/>
  <c r="AA145" i="4"/>
  <c r="AD145" i="4" s="1"/>
  <c r="AA202" i="4"/>
  <c r="AD202" i="4" s="1"/>
  <c r="AA117" i="4"/>
  <c r="AD117" i="4" s="1"/>
  <c r="AA212" i="4"/>
  <c r="AD212" i="4" s="1"/>
  <c r="AA150" i="4"/>
  <c r="AD150" i="4" s="1"/>
  <c r="AA253" i="4"/>
  <c r="AD253" i="4" s="1"/>
  <c r="AA272" i="4"/>
  <c r="AD272" i="4" s="1"/>
  <c r="AA131" i="4"/>
  <c r="AD131" i="4" s="1"/>
  <c r="AA173" i="4"/>
  <c r="AD173" i="4" s="1"/>
  <c r="AA140" i="4"/>
  <c r="AD140" i="4" s="1"/>
  <c r="AA65" i="4"/>
  <c r="AD65" i="4" s="1"/>
  <c r="AA50" i="4"/>
  <c r="AD50" i="4" s="1"/>
  <c r="AA267" i="4"/>
  <c r="AD267" i="4" s="1"/>
  <c r="AA109" i="4"/>
  <c r="AD109" i="4" s="1"/>
  <c r="AA243" i="4"/>
  <c r="AD243" i="4" s="1"/>
  <c r="AA144" i="4"/>
  <c r="AD144" i="4" s="1"/>
  <c r="AA239" i="4"/>
  <c r="AD239" i="4" s="1"/>
  <c r="AA100" i="4"/>
  <c r="AD100" i="4" s="1"/>
  <c r="AA29" i="4"/>
  <c r="AD29" i="4" s="1"/>
  <c r="AA141" i="4"/>
  <c r="AD141" i="4" s="1"/>
  <c r="AA235" i="4"/>
  <c r="AD235" i="4" s="1"/>
  <c r="AA77" i="4"/>
  <c r="AD77" i="4" s="1"/>
  <c r="AA32" i="4"/>
  <c r="AD32" i="4" s="1"/>
  <c r="AA44" i="4"/>
  <c r="AD44" i="4" s="1"/>
  <c r="AA107" i="4"/>
  <c r="AD107" i="4" s="1"/>
  <c r="AA200" i="4"/>
  <c r="AD200" i="4" s="1"/>
  <c r="AA275" i="4"/>
  <c r="AD275" i="4" s="1"/>
  <c r="AA263" i="4"/>
  <c r="AD263" i="4" s="1"/>
  <c r="AA255" i="4"/>
  <c r="AD255" i="4" s="1"/>
  <c r="AA129" i="4"/>
  <c r="AD129" i="4" s="1"/>
  <c r="AA248" i="4"/>
  <c r="AD248" i="4" s="1"/>
  <c r="AA264" i="4"/>
  <c r="AD264" i="4" s="1"/>
  <c r="AA37" i="4"/>
  <c r="AD37" i="4" s="1"/>
  <c r="AA127" i="4"/>
  <c r="AD127" i="4" s="1"/>
  <c r="AA241" i="4"/>
  <c r="AD241" i="4" s="1"/>
  <c r="AA93" i="4"/>
  <c r="AD93" i="4" s="1"/>
  <c r="AA198" i="4"/>
  <c r="AD198" i="4" s="1"/>
  <c r="AA112" i="4"/>
  <c r="AD112" i="4" s="1"/>
  <c r="AA91" i="4"/>
  <c r="AD91" i="4" s="1"/>
  <c r="AA159" i="4"/>
  <c r="AD159" i="4" s="1"/>
  <c r="AA148" i="4"/>
  <c r="AD148" i="4" s="1"/>
  <c r="AA165" i="4"/>
  <c r="AD165" i="4" s="1"/>
  <c r="AA260" i="4"/>
  <c r="AD260" i="4" s="1"/>
  <c r="AA160" i="4"/>
  <c r="AD160" i="4" s="1"/>
  <c r="AA222" i="4"/>
  <c r="AD222" i="4" s="1"/>
  <c r="AA121" i="4"/>
  <c r="AD121" i="4" s="1"/>
  <c r="AA261" i="4"/>
  <c r="AD261" i="4" s="1"/>
  <c r="AA41" i="4"/>
  <c r="AD41" i="4" s="1"/>
  <c r="AA207" i="4"/>
  <c r="AD207" i="4" s="1"/>
  <c r="AA43" i="4"/>
  <c r="AD43" i="4" s="1"/>
  <c r="AA105" i="4"/>
  <c r="AD105" i="4" s="1"/>
  <c r="AA226" i="4"/>
  <c r="AD226" i="4" s="1"/>
  <c r="AA137" i="4"/>
  <c r="AD137" i="4" s="1"/>
  <c r="AA115" i="4"/>
  <c r="AD115" i="4" s="1"/>
  <c r="AA38" i="4"/>
  <c r="AD38" i="4" s="1"/>
  <c r="AA229" i="4"/>
  <c r="AD229" i="4" s="1"/>
  <c r="AA110" i="4"/>
  <c r="AD110" i="4" s="1"/>
  <c r="AA254" i="4"/>
  <c r="AD254" i="4" s="1"/>
  <c r="AA188" i="4"/>
  <c r="AD188" i="4" s="1"/>
  <c r="AA228" i="4"/>
  <c r="AD228" i="4" s="1"/>
  <c r="AA162" i="4"/>
  <c r="AD162" i="4" s="1"/>
  <c r="AA179" i="4"/>
  <c r="AD179" i="4" s="1"/>
  <c r="AA153" i="4"/>
  <c r="AD153" i="4" s="1"/>
  <c r="AA82" i="4"/>
  <c r="AD82" i="4" s="1"/>
  <c r="AA68" i="4"/>
  <c r="AD68" i="4" s="1"/>
  <c r="AA278" i="4"/>
  <c r="AD278" i="4" s="1"/>
  <c r="AA221" i="4"/>
  <c r="AD221" i="4" s="1"/>
  <c r="AA271" i="4"/>
  <c r="AD271" i="4" s="1"/>
  <c r="AA143" i="4"/>
  <c r="AD143" i="4" s="1"/>
  <c r="AA230" i="4"/>
  <c r="AD230" i="4" s="1"/>
  <c r="AA209" i="4"/>
  <c r="AD209" i="4" s="1"/>
  <c r="AA199" i="4"/>
  <c r="AD199" i="4" s="1"/>
  <c r="AA124" i="4"/>
  <c r="AD124" i="4" s="1"/>
  <c r="AA175" i="4"/>
  <c r="AD175" i="4" s="1"/>
  <c r="AA134" i="4"/>
  <c r="AD134" i="4" s="1"/>
  <c r="AA138" i="4"/>
  <c r="AD138" i="4" s="1"/>
  <c r="AA274" i="4"/>
  <c r="AD274" i="4" s="1"/>
  <c r="AA61" i="4"/>
  <c r="AD61" i="4" s="1"/>
  <c r="AA55" i="4"/>
  <c r="AD55" i="4" s="1"/>
  <c r="AA33" i="4"/>
  <c r="AD33" i="4" s="1"/>
  <c r="AA135" i="4"/>
  <c r="AD135" i="4" s="1"/>
  <c r="AA104" i="4"/>
  <c r="AD104" i="4" s="1"/>
  <c r="AA78" i="4"/>
  <c r="AD78" i="4" s="1"/>
  <c r="AA119" i="4"/>
  <c r="AD119" i="4" s="1"/>
  <c r="AA52" i="4"/>
  <c r="AD52" i="4" s="1"/>
  <c r="AA130" i="4"/>
  <c r="AD130" i="4" s="1"/>
  <c r="AA40" i="4"/>
  <c r="AD40" i="4" s="1"/>
  <c r="AA187" i="4"/>
  <c r="AD187" i="4" s="1"/>
  <c r="AA123" i="4"/>
  <c r="AD123" i="4" s="1"/>
  <c r="AA218" i="4"/>
  <c r="AD218" i="4" s="1"/>
  <c r="AA122" i="4"/>
  <c r="AD122" i="4" s="1"/>
  <c r="AA71" i="4"/>
  <c r="AD71" i="4" s="1"/>
  <c r="AA223" i="4"/>
  <c r="AD223" i="4" s="1"/>
  <c r="AA201" i="4"/>
  <c r="AD201" i="4" s="1"/>
  <c r="AA252" i="4"/>
  <c r="AD252" i="4" s="1"/>
  <c r="AA46" i="4"/>
  <c r="AD46" i="4" s="1"/>
  <c r="AA101" i="4"/>
  <c r="AD101" i="4" s="1"/>
  <c r="AA217" i="4"/>
  <c r="AD217" i="4" s="1"/>
  <c r="AA155" i="4"/>
  <c r="AD155" i="4" s="1"/>
  <c r="AA149" i="4"/>
  <c r="AD149" i="4" s="1"/>
  <c r="AA164" i="4"/>
  <c r="AD164" i="4" s="1"/>
  <c r="AA251" i="4"/>
  <c r="AD251" i="4" s="1"/>
  <c r="AA106" i="4"/>
  <c r="AD106" i="4" s="1"/>
  <c r="AA102" i="4"/>
  <c r="AD102" i="4" s="1"/>
  <c r="AA244" i="4"/>
  <c r="AD244" i="4" s="1"/>
  <c r="AA111" i="4"/>
  <c r="AD111" i="4" s="1"/>
  <c r="AA232" i="4"/>
  <c r="AD232" i="4" s="1"/>
  <c r="AA204" i="4"/>
  <c r="AD204" i="4" s="1"/>
  <c r="AA194" i="4"/>
  <c r="AD194" i="4" s="1"/>
  <c r="AA246" i="4"/>
  <c r="AD246" i="4" s="1"/>
  <c r="AA167" i="4"/>
  <c r="AD167" i="4" s="1"/>
  <c r="AA247" i="4"/>
  <c r="AD247" i="4" s="1"/>
  <c r="AA34" i="4"/>
  <c r="AD34" i="4" s="1"/>
  <c r="AA53" i="4"/>
  <c r="AD53" i="4" s="1"/>
  <c r="AA177" i="4"/>
  <c r="AD177" i="4" s="1"/>
  <c r="AA259" i="4"/>
  <c r="AD259" i="4" s="1"/>
  <c r="AA36" i="4"/>
  <c r="AD36" i="4" s="1"/>
  <c r="AA180" i="4"/>
  <c r="AD180" i="4" s="1"/>
  <c r="AA114" i="4"/>
  <c r="AD114" i="4" s="1"/>
  <c r="AA133" i="4"/>
  <c r="AD133" i="4" s="1"/>
  <c r="AA151" i="4"/>
  <c r="AD151" i="4" s="1"/>
  <c r="AA178" i="4"/>
  <c r="AD178" i="4" s="1"/>
  <c r="AA213" i="4"/>
  <c r="AD213" i="4" s="1"/>
  <c r="AA225" i="4"/>
  <c r="AD225" i="4" s="1"/>
  <c r="AA242" i="4"/>
  <c r="AD242" i="4" s="1"/>
  <c r="AA97" i="4"/>
  <c r="AD97" i="4" s="1"/>
  <c r="AA269" i="4"/>
  <c r="AD269" i="4" s="1"/>
  <c r="AA211" i="4"/>
  <c r="AD211" i="4" s="1"/>
  <c r="AA181" i="4"/>
  <c r="AD181" i="4" s="1"/>
  <c r="AA240" i="4"/>
  <c r="AD240" i="4" s="1"/>
  <c r="AA210" i="4"/>
  <c r="AD210" i="4" s="1"/>
  <c r="AA126" i="4"/>
  <c r="AD126" i="4" s="1"/>
  <c r="AA203" i="4"/>
  <c r="AD203" i="4" s="1"/>
  <c r="AA147" i="4"/>
  <c r="AD147" i="4" s="1"/>
  <c r="AA219" i="4"/>
  <c r="AD219" i="4" s="1"/>
  <c r="AA92" i="4"/>
  <c r="AD92" i="4" s="1"/>
  <c r="AA89" i="4"/>
  <c r="AD89" i="4" s="1"/>
  <c r="AA84" i="4"/>
  <c r="AD84" i="4" s="1"/>
  <c r="AA220" i="4"/>
  <c r="AD220" i="4" s="1"/>
  <c r="AA96" i="4"/>
  <c r="AD96" i="4" s="1"/>
  <c r="AA238" i="4"/>
  <c r="AD238" i="4" s="1"/>
  <c r="AA170" i="4"/>
  <c r="AD170" i="4" s="1"/>
  <c r="AA49" i="4"/>
  <c r="AD49" i="4" s="1"/>
  <c r="AA208" i="4"/>
  <c r="AD208" i="4" s="1"/>
  <c r="AA190" i="4"/>
  <c r="AD190" i="4" s="1"/>
  <c r="AA258" i="4"/>
  <c r="AD258" i="4" s="1"/>
  <c r="AA48" i="4"/>
  <c r="AD48" i="4" s="1"/>
  <c r="AA108" i="4"/>
  <c r="AD108" i="4" s="1"/>
  <c r="AA174" i="4"/>
  <c r="AD174" i="4" s="1"/>
  <c r="AA161" i="4"/>
  <c r="AD161" i="4" s="1"/>
  <c r="AA128" i="4"/>
  <c r="AD128" i="4" s="1"/>
  <c r="AA132" i="4"/>
  <c r="AD132" i="4" s="1"/>
  <c r="AA197" i="4"/>
  <c r="AD197" i="4" s="1"/>
  <c r="AA86" i="4"/>
  <c r="AD86" i="4" s="1"/>
  <c r="AA277" i="4"/>
  <c r="AD277" i="4" s="1"/>
  <c r="AA224" i="4"/>
  <c r="AD224" i="4" s="1"/>
  <c r="AA42" i="4"/>
  <c r="AD42" i="4" s="1"/>
  <c r="AA214" i="4"/>
  <c r="AD214" i="4" s="1"/>
  <c r="AA57" i="4"/>
  <c r="AD57" i="4" s="1"/>
  <c r="Z26" i="18"/>
  <c r="Y24" i="18"/>
  <c r="Y25" i="18"/>
  <c r="AA25" i="4" l="1"/>
  <c r="AA23" i="4"/>
  <c r="Z22" i="18" a="1"/>
  <c r="Z22" i="18" s="1"/>
  <c r="Z23" i="18" a="1"/>
  <c r="Z23" i="18" s="1"/>
  <c r="AA26" i="18" s="1"/>
  <c r="AA22" i="18" a="1"/>
  <c r="AA22" i="18" s="1"/>
  <c r="AA19" i="18" a="1"/>
  <c r="AA19" i="18" s="1"/>
  <c r="AA73" i="18" l="1"/>
  <c r="AA246" i="18"/>
  <c r="AA138" i="18"/>
  <c r="AA71" i="18"/>
  <c r="AA85" i="18"/>
  <c r="AA195" i="18"/>
  <c r="AA145" i="18"/>
  <c r="AA194" i="18"/>
  <c r="AA243" i="18"/>
  <c r="AA143" i="18"/>
  <c r="AA120" i="18"/>
  <c r="AA150" i="18"/>
  <c r="AA157" i="18"/>
  <c r="AA240" i="18"/>
  <c r="AA139" i="18"/>
  <c r="AA201" i="18"/>
  <c r="AA199" i="18"/>
  <c r="AA213" i="18"/>
  <c r="AA67" i="18"/>
  <c r="AA122" i="18"/>
  <c r="AA264" i="18"/>
  <c r="AA231" i="18"/>
  <c r="AA127" i="18"/>
  <c r="AA104" i="18"/>
  <c r="AA266" i="18"/>
  <c r="AA226" i="18"/>
  <c r="AA141" i="18"/>
  <c r="AA118" i="18"/>
  <c r="AA247" i="18"/>
  <c r="AA212" i="18"/>
  <c r="AA123" i="18"/>
  <c r="AA100" i="18"/>
  <c r="AA260" i="18"/>
  <c r="AA185" i="18"/>
  <c r="AA57" i="18"/>
  <c r="AA34" i="18"/>
  <c r="AA136" i="18"/>
  <c r="AA183" i="18"/>
  <c r="AA55" i="18"/>
  <c r="AA32" i="18"/>
  <c r="AA192" i="18"/>
  <c r="AA197" i="18"/>
  <c r="AA69" i="18"/>
  <c r="AA46" i="18"/>
  <c r="AA269" i="18"/>
  <c r="AA179" i="18"/>
  <c r="AA51" i="18"/>
  <c r="AA28" i="18"/>
  <c r="AA235" i="18"/>
  <c r="AA129" i="18"/>
  <c r="AA106" i="18"/>
  <c r="AA162" i="18"/>
  <c r="AA164" i="18"/>
  <c r="AA111" i="18"/>
  <c r="AA88" i="18"/>
  <c r="AA255" i="18"/>
  <c r="AA220" i="18"/>
  <c r="AA125" i="18"/>
  <c r="AA102" i="18"/>
  <c r="AA234" i="18"/>
  <c r="AA148" i="18"/>
  <c r="AA107" i="18"/>
  <c r="AA84" i="18"/>
  <c r="AA144" i="18"/>
  <c r="AA169" i="18"/>
  <c r="AA41" i="18"/>
  <c r="AA198" i="18"/>
  <c r="AA190" i="18"/>
  <c r="AA167" i="18"/>
  <c r="AA39" i="18"/>
  <c r="AA170" i="18"/>
  <c r="AA272" i="18"/>
  <c r="AA181" i="18"/>
  <c r="AA53" i="18"/>
  <c r="AA30" i="18"/>
  <c r="AA174" i="18"/>
  <c r="AA163" i="18"/>
  <c r="AA35" i="18"/>
  <c r="AA218" i="18"/>
  <c r="AA172" i="18"/>
  <c r="AA113" i="18"/>
  <c r="AA90" i="18"/>
  <c r="AA267" i="18"/>
  <c r="AA223" i="18"/>
  <c r="AA95" i="18"/>
  <c r="AA72" i="18"/>
  <c r="AA245" i="18"/>
  <c r="AA156" i="18"/>
  <c r="AA109" i="18"/>
  <c r="AA86" i="18"/>
  <c r="AA251" i="18"/>
  <c r="AA219" i="18"/>
  <c r="AA91" i="18"/>
  <c r="AA68" i="18"/>
  <c r="AA134" i="18"/>
  <c r="AA153" i="18"/>
  <c r="AA130" i="18"/>
  <c r="AA242" i="18"/>
  <c r="AA274" i="18"/>
  <c r="AA151" i="18"/>
  <c r="AA128" i="18"/>
  <c r="AA208" i="18"/>
  <c r="AA165" i="18"/>
  <c r="AA37" i="18"/>
  <c r="AA250" i="18"/>
  <c r="AA259" i="18"/>
  <c r="AA147" i="18"/>
  <c r="AA124" i="18"/>
  <c r="AA146" i="18"/>
  <c r="AA225" i="18"/>
  <c r="AA97" i="18"/>
  <c r="AA74" i="18"/>
  <c r="AA79" i="18"/>
  <c r="AA221" i="18"/>
  <c r="AA70" i="18"/>
  <c r="AA203" i="18"/>
  <c r="AA52" i="18"/>
  <c r="AA265" i="18"/>
  <c r="AA248" i="18"/>
  <c r="AA252" i="18"/>
  <c r="AA258" i="18"/>
  <c r="AA262" i="18"/>
  <c r="AA210" i="18"/>
  <c r="AA239" i="18"/>
  <c r="AA224" i="18"/>
  <c r="AA58" i="18"/>
  <c r="AA114" i="18"/>
  <c r="AA209" i="18"/>
  <c r="AA182" i="18"/>
  <c r="AA112" i="18"/>
  <c r="AA126" i="18"/>
  <c r="AA131" i="18"/>
  <c r="AA81" i="18"/>
  <c r="AA233" i="18"/>
  <c r="AA207" i="18"/>
  <c r="AA56" i="18"/>
  <c r="AA254" i="18"/>
  <c r="AA93" i="18"/>
  <c r="AA216" i="18"/>
  <c r="AA75" i="18"/>
  <c r="AA137" i="18"/>
  <c r="AA135" i="18"/>
  <c r="AA149" i="18"/>
  <c r="AA108" i="18"/>
  <c r="AA168" i="18"/>
  <c r="AA191" i="18"/>
  <c r="AA63" i="18"/>
  <c r="AA40" i="18"/>
  <c r="AA228" i="18"/>
  <c r="AA205" i="18"/>
  <c r="AA77" i="18"/>
  <c r="AA54" i="18"/>
  <c r="AA152" i="18"/>
  <c r="AA187" i="18"/>
  <c r="AA59" i="18"/>
  <c r="AA36" i="18"/>
  <c r="AA204" i="18"/>
  <c r="AA121" i="18"/>
  <c r="AA98" i="18"/>
  <c r="AA271" i="18"/>
  <c r="AA196" i="18"/>
  <c r="AA119" i="18"/>
  <c r="AA96" i="18"/>
  <c r="AA238" i="18"/>
  <c r="AA249" i="18"/>
  <c r="AA133" i="18"/>
  <c r="AA110" i="18"/>
  <c r="AA236" i="18"/>
  <c r="AA180" i="18"/>
  <c r="AA115" i="18"/>
  <c r="AA92" i="18"/>
  <c r="AA270" i="18"/>
  <c r="AA193" i="18"/>
  <c r="AA65" i="18"/>
  <c r="AA42" i="18"/>
  <c r="AA256" i="18"/>
  <c r="AA253" i="18"/>
  <c r="AA175" i="18"/>
  <c r="AA47" i="18"/>
  <c r="AA230" i="18"/>
  <c r="AA160" i="18"/>
  <c r="AA189" i="18"/>
  <c r="AA61" i="18"/>
  <c r="AA38" i="18"/>
  <c r="AA206" i="18"/>
  <c r="AA171" i="18"/>
  <c r="AA43" i="18"/>
  <c r="AA178" i="18"/>
  <c r="AA140" i="18"/>
  <c r="AA105" i="18"/>
  <c r="AA82" i="18"/>
  <c r="AA202" i="18"/>
  <c r="AA132" i="18"/>
  <c r="AA103" i="18"/>
  <c r="AA80" i="18"/>
  <c r="AA263" i="18"/>
  <c r="AA188" i="18"/>
  <c r="AA117" i="18"/>
  <c r="AA94" i="18"/>
  <c r="AA273" i="18"/>
  <c r="AA227" i="18"/>
  <c r="AA99" i="18"/>
  <c r="AA76" i="18"/>
  <c r="AA176" i="18"/>
  <c r="AA177" i="18"/>
  <c r="AA49" i="18"/>
  <c r="AA232" i="18"/>
  <c r="AA158" i="18"/>
  <c r="AA159" i="18"/>
  <c r="AA31" i="18"/>
  <c r="AA237" i="18"/>
  <c r="AA214" i="18"/>
  <c r="AA173" i="18"/>
  <c r="AA45" i="18"/>
  <c r="AA261" i="18"/>
  <c r="AA142" i="18"/>
  <c r="AA155" i="18"/>
  <c r="AA27" i="18"/>
  <c r="AA186" i="18"/>
  <c r="AA217" i="18"/>
  <c r="AA89" i="18"/>
  <c r="AA66" i="18"/>
  <c r="AA257" i="18"/>
  <c r="AA215" i="18"/>
  <c r="AA87" i="18"/>
  <c r="AA64" i="18"/>
  <c r="AA229" i="18"/>
  <c r="AA101" i="18"/>
  <c r="AA78" i="18"/>
  <c r="AA241" i="18"/>
  <c r="AA211" i="18"/>
  <c r="AA83" i="18"/>
  <c r="AA60" i="18"/>
  <c r="AA166" i="18"/>
  <c r="AA161" i="18"/>
  <c r="AA33" i="18"/>
  <c r="AA154" i="18"/>
  <c r="AA29" i="18"/>
  <c r="AA268" i="18"/>
  <c r="AA116" i="18"/>
  <c r="AA222" i="18"/>
  <c r="AA50" i="18"/>
  <c r="AA200" i="18"/>
  <c r="AA48" i="18"/>
  <c r="AA244" i="18"/>
  <c r="AA62" i="18"/>
  <c r="AA184" i="18"/>
  <c r="AA44" i="18"/>
  <c r="AA25" i="18" l="1"/>
  <c r="AA2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8927A39F-8E0B-49B9-B220-5F93A325D33A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2" authorId="0" shapeId="0" xr:uid="{96626C25-6442-417D-825F-07792BE37885}">
      <text>
        <r>
          <rPr>
            <b/>
            <sz val="9"/>
            <color indexed="81"/>
            <rFont val="Tahoma"/>
            <family val="2"/>
          </rPr>
          <t>Authorr:</t>
        </r>
        <r>
          <rPr>
            <sz val="9"/>
            <color indexed="81"/>
            <rFont val="Tahoma"/>
            <family val="2"/>
          </rPr>
          <t xml:space="preserve">
minimum switch not used in MFAM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B4298B44-6157-40F1-B2E7-6AA7CEF3E715}">
      <text>
        <r>
          <rPr>
            <sz val="9"/>
            <color indexed="81"/>
            <rFont val="Tahoma"/>
            <family val="2"/>
          </rPr>
          <t xml:space="preserve">Maximum Cost considered in evaluation of Group Average &amp; Wt. Std. Deviation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<sst xmlns="http://schemas.openxmlformats.org/spreadsheetml/2006/main" count="1940" uniqueCount="368">
  <si>
    <t>Allowable Net Cost per Tonne</t>
  </si>
  <si>
    <t>Max. Net Cost per Tonne</t>
  </si>
  <si>
    <t>Min. Net Cost per Tonne</t>
  </si>
  <si>
    <t>Wt. Std. Deviation Net Cost/T</t>
  </si>
  <si>
    <t>(xi - xw)²</t>
  </si>
  <si>
    <t>N</t>
  </si>
  <si>
    <t>Weighted Average Group Cost</t>
  </si>
  <si>
    <t>Reported Net Cost per Tonne</t>
  </si>
  <si>
    <t>Program</t>
  </si>
  <si>
    <t>Group</t>
  </si>
  <si>
    <t>PC</t>
  </si>
  <si>
    <t>∑ Adj. Net Costs</t>
  </si>
  <si>
    <t>Use Minimum?</t>
  </si>
  <si>
    <t>Maximum:</t>
  </si>
  <si>
    <t>Straight Avg.</t>
  </si>
  <si>
    <t>Straight SD.</t>
  </si>
  <si>
    <t>Total Gross Residential Cost</t>
  </si>
  <si>
    <t>Reported Revenue</t>
  </si>
  <si>
    <t>Reported Net Cost</t>
  </si>
  <si>
    <t>Tonnes</t>
  </si>
  <si>
    <t>Net Cost per Tonne</t>
  </si>
  <si>
    <t>Cutoff Percent:</t>
  </si>
  <si>
    <t>Marketed Tonnes</t>
  </si>
  <si>
    <t>Weighted Average Net Cost/Tonne</t>
  </si>
  <si>
    <t>Maximum Allowable Net Cost/Tonne</t>
  </si>
  <si>
    <t>Steward Municipal Obligation</t>
  </si>
  <si>
    <t>CNA/OCNA In-Kind non cash deduction Balance</t>
  </si>
  <si>
    <t>CIF Total Allocation</t>
  </si>
  <si>
    <t>Cash Obligation Net of CIF Allocation.</t>
  </si>
  <si>
    <t>Total Recovered Tonnes</t>
  </si>
  <si>
    <t>Best Practices Score</t>
  </si>
  <si>
    <t>Net Cost</t>
  </si>
  <si>
    <t>Recovered Tonnage</t>
  </si>
  <si>
    <t>Best Practices</t>
  </si>
  <si>
    <t>BP Bonus</t>
  </si>
  <si>
    <t>Starting Percent of Adjusted Net Cost</t>
  </si>
  <si>
    <t>Late Penalty?</t>
  </si>
  <si>
    <t>Late Penalty Assessed</t>
  </si>
  <si>
    <t>Final Payment Incl. Late Penalty</t>
  </si>
  <si>
    <t>Best Practices Portion of  Obligation</t>
  </si>
  <si>
    <t>Recovered Tonnage Portion of  Obligation</t>
  </si>
  <si>
    <t>Net Cost Portion of  Obligation</t>
  </si>
  <si>
    <t>Missing Program Adjustment</t>
  </si>
  <si>
    <t>Final PYA</t>
  </si>
  <si>
    <t>Accounting for Prior Year Adjustments</t>
  </si>
  <si>
    <t>Difference</t>
  </si>
  <si>
    <t>2016 Steward Cash Obligation</t>
  </si>
  <si>
    <t xml:space="preserve"> 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</si>
  <si>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</si>
  <si>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</si>
  <si>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</si>
  <si>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</si>
  <si>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</si>
  <si>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</si>
  <si>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</si>
  <si>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</si>
  <si>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</si>
  <si>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</si>
  <si>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</si>
  <si>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</si>
  <si>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</si>
  <si>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</si>
  <si>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</si>
  <si>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</si>
  <si>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</si>
  <si>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</si>
  <si>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</si>
  <si>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</si>
  <si>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</si>
  <si>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</si>
  <si>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</si>
  <si>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</si>
  <si>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</si>
  <si>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</si>
  <si>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</si>
  <si>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</si>
  <si>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</si>
  <si>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</si>
  <si>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</si>
  <si>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COUNTY OF</t>
  </si>
  <si>
    <t>OXFORD,  RESTRUCTURED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</si>
  <si>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</si>
  <si>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</si>
  <si>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</si>
  <si>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</si>
  <si>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</si>
  <si>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</si>
  <si>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PARRY SOUND, TOWN OF</t>
  </si>
  <si>
    <t>PRESCOTT,TOWN OF</t>
  </si>
  <si>
    <t>ST. THOMAS, CITY OF</t>
  </si>
  <si>
    <t>GANANOQUE, TOWN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</si>
  <si>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</si>
  <si>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</si>
  <si>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</si>
  <si>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</si>
  <si>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</si>
  <si>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</si>
  <si>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</si>
  <si>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DESERONTO, TOWN OF</t>
  </si>
  <si>
    <t>PERTH, TOWN OF</t>
  </si>
  <si>
    <t>SMITHS FALLS,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</si>
  <si>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</si>
  <si>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</si>
  <si>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</si>
  <si>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</si>
  <si>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</si>
  <si>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GAUTHIER, TOWNSHIP OF</t>
  </si>
  <si>
    <t>PRINCE,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</si>
  <si>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</si>
  <si>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</si>
  <si>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</si>
  <si>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</si>
  <si>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</si>
  <si>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</si>
  <si>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</si>
  <si>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</si>
  <si>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WAHNAPITAE FIRST NATION</t>
  </si>
  <si>
    <t>ATIKOKAN, TOWNSHIP OF</t>
  </si>
  <si>
    <t>COBALT, TOWN OF</t>
  </si>
  <si>
    <t>COLEMAN,  TOWNSHIP OF</t>
  </si>
  <si>
    <t>DRYDEN, CITY OF</t>
  </si>
  <si>
    <t>ENGLEHART, TOWN OF</t>
  </si>
  <si>
    <t>EVANTUREL, TOWNSHIP OF</t>
  </si>
  <si>
    <t>FORT FRANCES, TOWN OF</t>
  </si>
  <si>
    <t>HEAD, CLARA AND MARIA, TOWNSHIPS OF</t>
  </si>
  <si>
    <t>JAMES, TOWNSHIP OF</t>
  </si>
  <si>
    <t>KENORA, CITY OF</t>
  </si>
  <si>
    <t>LARDER LAKE,  TOWNSHIP OF</t>
  </si>
  <si>
    <t>LATCHFORD, TOWN OF</t>
  </si>
  <si>
    <t>MARATHON,  TOWN OF</t>
  </si>
  <si>
    <t xml:space="preserve">Matachewan, The Corporation of the Township of </t>
  </si>
  <si>
    <t>MCGARRY, TOWNSHIP OF</t>
  </si>
  <si>
    <t>TRI-NEIGHBOURS</t>
  </si>
  <si>
    <t>PAPINEAU-CAMERON, TOWNSHIP OF</t>
  </si>
  <si>
    <t>POWASSAN, MUNICIPALITY OF</t>
  </si>
  <si>
    <t>SPANISH, TOWN OF</t>
  </si>
  <si>
    <t>ST. CHARLES, MUNICIPALITY OF</t>
  </si>
  <si>
    <t>CHISHOLM, TOWNSHIP OF</t>
  </si>
  <si>
    <t>EAST FERRIS, MUNICIPALITY OF</t>
  </si>
  <si>
    <t>RAINY RIVER FIRST NATIONS</t>
  </si>
  <si>
    <t>CALLANDER, MUNICIPALITY OF</t>
  </si>
  <si>
    <t>ATIKAMEKSHENG ANISHNAWBEK FIRST NATION</t>
  </si>
  <si>
    <t>BATCHEWANA FIRST NATIONS OJIBWAYS</t>
  </si>
  <si>
    <t>NIPISSING FIRST NATION</t>
  </si>
  <si>
    <t>COCHRANE, Corporation of the Town of</t>
  </si>
  <si>
    <t>NORTH HURON, TOWNSHIP OF</t>
  </si>
  <si>
    <t>ASHFIELD-COLBORNE-WAWANOSH, TOWNSHIP OF</t>
  </si>
  <si>
    <t>HOWICK, TOWNSHIP OF</t>
  </si>
  <si>
    <t>CHATSWORTH, TOWNSHIP OF</t>
  </si>
  <si>
    <t>THE BLUE MOUNTAINS, TOWN OF</t>
  </si>
  <si>
    <t>THAMES CENTRE, MUNICIPALITY OF</t>
  </si>
  <si>
    <t>WEST ELGIN, MUNICIPALITY OF</t>
  </si>
  <si>
    <t>RIDEAU LAKES, TOWNSHIP OF</t>
  </si>
  <si>
    <t>GEORGIAN BLUFFS, TOWNSHIP OF</t>
  </si>
  <si>
    <t>MEAFORD, MUNICIPALITY OF</t>
  </si>
  <si>
    <t>CENTRAL ELGIN, MUNICIPALITY OF</t>
  </si>
  <si>
    <t>NORTH GRENVILLE, MUNICIPALITY OF</t>
  </si>
  <si>
    <t>OTTAWA VALLEY WASTE RECOVERY CENTRE</t>
  </si>
  <si>
    <t>HAWKESBURY JOINT RECYCLING</t>
  </si>
  <si>
    <t>NORTH GLENGARRY, TOWNSHIP OF</t>
  </si>
  <si>
    <t>ST. CLAIR, TOWNSHIP OF</t>
  </si>
  <si>
    <t>ATHENS, TOWNSHIP OF</t>
  </si>
  <si>
    <t>MERRICKVILLE-WOLFORD, VILLAGE OF</t>
  </si>
  <si>
    <t>NORTH STORMONT, TOWNSHIP OF</t>
  </si>
  <si>
    <t>RUSSELL, TOWNSHIP OF</t>
  </si>
  <si>
    <t>SOUTH FRONTENAC, TOWNSHIP OF</t>
  </si>
  <si>
    <t>SOUTH STORMONT, TOWNSHIP OF</t>
  </si>
  <si>
    <t>NORTH DUNDAS, TOWNSHIP OF</t>
  </si>
  <si>
    <t>WHITEWATER REGION,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</si>
  <si>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</si>
  <si>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</si>
  <si>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</si>
  <si>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</si>
  <si>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</si>
  <si>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GREATER NAPANEE, TOWNSHIP OF</t>
  </si>
  <si>
    <t>EDWARDSBURGH CARDINAL, TOWNSHIP OF</t>
  </si>
  <si>
    <t>PLYMPTON-WYOMING, TOWN OF</t>
  </si>
  <si>
    <t>SOUTH GLENGARRY, TOWNSHIP OF</t>
  </si>
  <si>
    <t>MALAHIDE, TOWNSHIP OF</t>
  </si>
  <si>
    <t>SOUTH DUNDAS, TOWNSHIP OF</t>
  </si>
  <si>
    <t>BRANT, COUNTY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</si>
  <si>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</si>
  <si>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</si>
  <si>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</si>
  <si>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</si>
  <si>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</si>
  <si>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AND PLANTAGENET, TOWNSHIP OF</t>
  </si>
  <si>
    <t>WEST GREY, MUNICIPALITY OF</t>
  </si>
  <si>
    <t>SOUTHGATE, TOWNSHIP OF</t>
  </si>
  <si>
    <t>BANCROFT, TOWN OF</t>
  </si>
  <si>
    <t>BECKWITH, TOWNSHIP OF</t>
  </si>
  <si>
    <t>MISSISSAUGAS OF THE NEW CREDIT FIRST NATION</t>
  </si>
  <si>
    <t>LAURENTIAN HILLS, TOWN OF</t>
  </si>
  <si>
    <t>DRUMMOND-NORTH ELMSLEY, TOWNSHIP OF</t>
  </si>
  <si>
    <t>HALDIMAND, COUNTY OF</t>
  </si>
  <si>
    <t>MISSISSIPPI MILLS, TOWN OF</t>
  </si>
  <si>
    <t>MONTAGUE, TOWNSHIP OF</t>
  </si>
  <si>
    <t>NEWBURY,  VILLAGE OF</t>
  </si>
  <si>
    <t>DEEP RIVER, TOWN OF</t>
  </si>
  <si>
    <t>MOHAWKS OF THE BAY OF QUINTE</t>
  </si>
  <si>
    <t>LOYALIST, TOWNSHIP OF</t>
  </si>
  <si>
    <t>ALGONQUINS OF PIKWAKANAGAN</t>
  </si>
  <si>
    <t>CHIPPEWAS OF NAWASH FIRST NATION</t>
  </si>
  <si>
    <t>ALDERVILLE FIRST NATION</t>
  </si>
  <si>
    <t>CHIPPEWAS OF RAMA FIRST NATION</t>
  </si>
  <si>
    <t>CURVE LAKE FIRST NATION</t>
  </si>
  <si>
    <t>ARMOUR, TOWNSHIP OF</t>
  </si>
  <si>
    <t>WHITESTONE, MUNICIPALITY OF</t>
  </si>
  <si>
    <t>THE ARCHIPELAGO, TOWNSHIP OF</t>
  </si>
  <si>
    <t>CARLING, TOWNSHIP OF</t>
  </si>
  <si>
    <t>MCDOUGALL, MUNICIPALITY OF</t>
  </si>
  <si>
    <t>SEGUIN, TOWNSHIP OF</t>
  </si>
  <si>
    <t>MCKELLAR, TOWNSHIP OF</t>
  </si>
  <si>
    <t>CASEY, TOWNSHIP OF</t>
  </si>
  <si>
    <t>GILLIES, TOWNSHIP OF</t>
  </si>
  <si>
    <t>CHIPPEWAS OF THE THAMES FIRST NATION</t>
  </si>
  <si>
    <t>KERNS, TOWNSHIP OF</t>
  </si>
  <si>
    <t>HUDSON, TOWNSHIP OF</t>
  </si>
  <si>
    <t>NEEBING, MUNICIPALITY OF</t>
  </si>
  <si>
    <t>CALVIN, MUNICIPALITY OF</t>
  </si>
  <si>
    <t>PERRY, TOWNSHIP OF</t>
  </si>
  <si>
    <t>ARMSTRONG, TOWNSHIP OF</t>
  </si>
  <si>
    <t>ASSIGINACK,  TOWNSHIP OF</t>
  </si>
  <si>
    <t>BILLINGS, TOWNSHIP OF</t>
  </si>
  <si>
    <t>CONMEE,  TOWNSHIP OF</t>
  </si>
  <si>
    <t>EMO, TOWNSHIP OF</t>
  </si>
  <si>
    <t>FRENCH RIVER, MUNICIPALITY OF</t>
  </si>
  <si>
    <t>HARLEY, TOWNSHIP OF</t>
  </si>
  <si>
    <t>HILLIARD,  TOWNSHIP OF</t>
  </si>
  <si>
    <t>HILTON BEACH,  VILLAGE OF</t>
  </si>
  <si>
    <t>HURON SHORES,  MUNICIPALITY OF</t>
  </si>
  <si>
    <t>KEARNEY, TOWN OF</t>
  </si>
  <si>
    <t>KILLARNEY, MUNICIPALITY OF</t>
  </si>
  <si>
    <t>LAIRD, TOWNSHIP OF</t>
  </si>
  <si>
    <t>MACDONALD, MEREDITH &amp; ABERDEEN ADDITIONAL, TOWNSHIP OF</t>
  </si>
  <si>
    <t>MACHAR, TOWNSHIP OF</t>
  </si>
  <si>
    <t>MAGNETAWAN, MUNICIPALITY OF</t>
  </si>
  <si>
    <t>MCMURRICH/MONTEITH, TOWNSHIP OF</t>
  </si>
  <si>
    <t>NIPISSING, TOWNSHIP OF</t>
  </si>
  <si>
    <t>OCONNOR,  TOWNSHIP OF</t>
  </si>
  <si>
    <t>OLIVER PAIPOONGE,  MUNICIPALITY OF</t>
  </si>
  <si>
    <t>RAINY RIVER, TOWN OF</t>
  </si>
  <si>
    <t>RED LAKE, MUNICIPALITY OF</t>
  </si>
  <si>
    <t>SHUNIAH, MUNICIPALITY OF</t>
  </si>
  <si>
    <t>SIOUX NARROWS NESTOR FALLS, TOWNSHIP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</si>
  <si>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</si>
  <si>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</si>
  <si>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</si>
  <si>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</si>
  <si>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</si>
  <si>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</si>
  <si>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</si>
  <si>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</si>
  <si>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</si>
  <si>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</si>
  <si>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DYSART ET AL, TOWNSHIP OF</t>
  </si>
  <si>
    <t>ALGONQUIN HIGHLANDS,TOWNSHIP OF</t>
  </si>
  <si>
    <t>LEEDS AND THE THOUSAND ISLANDS, TOWNSHIP OF</t>
  </si>
  <si>
    <t>ELIZABETHTOWN-KITLEY, TOWNSHIP OF</t>
  </si>
  <si>
    <t>FRONT OF YONGE, TOWNSHIP OF</t>
  </si>
  <si>
    <t>FRONTENAC ISLANDS, TOWNSHIP OF</t>
  </si>
  <si>
    <t>AUGUSTA, TOWNSHIP OF</t>
  </si>
  <si>
    <t>STONE MILLS, TOWNSHIP OF</t>
  </si>
  <si>
    <t>HIGHLANDS EAST, MUNICIPALITY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</si>
  <si>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</si>
  <si>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</si>
  <si>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</si>
  <si>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</si>
  <si>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</si>
  <si>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</si>
  <si>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</si>
  <si>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</si>
  <si>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</si>
  <si>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ENNISKILLEN,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</si>
  <si>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</si>
  <si>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</si>
  <si>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</si>
  <si>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</si>
  <si>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</si>
  <si>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CHIPPEWAS OF KETTLE AND STONY POINT FIRST NATIONS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</si>
  <si>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</si>
  <si>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</si>
  <si>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</si>
  <si>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</si>
  <si>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</si>
  <si>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</si>
  <si>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Beausoleil First Nation</t>
  </si>
  <si>
    <t>CHIPPEWAS OF GEORGINA ISLAND</t>
  </si>
  <si>
    <t>Adjusted Net Cost</t>
  </si>
  <si>
    <t>Calculation of 2020 Steward Cash Obligation</t>
  </si>
  <si>
    <t>2020 Steward Cash Obligation to Municipalities Based on:</t>
  </si>
  <si>
    <t>MUSKOKA,  DISTRICT MUNICIPALITY OF</t>
  </si>
  <si>
    <t>WESTPORT, VILLAGE OF</t>
  </si>
  <si>
    <t>Burk's Falls, Village of</t>
  </si>
  <si>
    <t>Goulais Local Service Board</t>
  </si>
  <si>
    <t>Matachewan First Nation</t>
  </si>
  <si>
    <t>Temagami First Nation</t>
  </si>
  <si>
    <t>Moose Deer Point</t>
  </si>
  <si>
    <t>HEARST</t>
  </si>
  <si>
    <t>KAPUSKASING, TOWN OF</t>
  </si>
  <si>
    <t>MATTICE-VAL COTE</t>
  </si>
  <si>
    <t>SIOUX LOOKOUT, THE CORPORATION OF THE MUNICIPALITY OF</t>
  </si>
  <si>
    <t>2018 Marketed Tonnes</t>
  </si>
  <si>
    <t>2018 Reported Gross Cost</t>
  </si>
  <si>
    <t>2018 Reported Revenue</t>
  </si>
  <si>
    <t>2018 Reported Net Cost</t>
  </si>
  <si>
    <t>2018 Steward Cash Obligation</t>
  </si>
  <si>
    <t>2021 Municipal Funding</t>
  </si>
  <si>
    <t>Calculation of Weighted Averages and Allowable Net Costs - 2019 Program Year</t>
  </si>
  <si>
    <t>Local Services Board of Aweres</t>
  </si>
  <si>
    <t>Huron East-Brussels/Tuckersmith, Municipality of</t>
  </si>
  <si>
    <t>Wahta Mohawks First Nation</t>
  </si>
  <si>
    <t>Hiawatha First Nation</t>
  </si>
  <si>
    <t>Dokis First Nation</t>
  </si>
  <si>
    <t>2019 Marketed Tonnes</t>
  </si>
  <si>
    <t>2019 Reported Gross Cost</t>
  </si>
  <si>
    <t>2019 Reported Revenue</t>
  </si>
  <si>
    <t>2019 Reported Net Cost</t>
  </si>
  <si>
    <t>2018.
Adjusted Marketed Tonnes</t>
  </si>
  <si>
    <t>2018 Adjusted Reported Gross Cost</t>
  </si>
  <si>
    <t>2018 Adjusted Reported Revenue</t>
  </si>
  <si>
    <t>2018 Adjusted Reported Net Cost</t>
  </si>
  <si>
    <t>Prior Year Adjustment (PYA) Re: 2018 Data Year</t>
  </si>
  <si>
    <t>2018
Marketed Tonnes</t>
  </si>
  <si>
    <t>HEARST, TOWN OF</t>
  </si>
  <si>
    <t>Re - Calculation of Weighted Averages and Allowable Net Costs for PYA - 2018 Program Year</t>
  </si>
  <si>
    <t>2019 Reported &amp; Calculated Gross Costs</t>
  </si>
  <si>
    <t>2018 Revised Reported &amp; Calculated Gross Costs</t>
  </si>
  <si>
    <t>2021 Steward Cash Obligation to Municipalities Based on:</t>
  </si>
  <si>
    <t>Calculation of 2021 Steward Cash Obligation</t>
  </si>
  <si>
    <t xml:space="preserve">2020 MFAM </t>
  </si>
  <si>
    <t>Adjusted PYA Re: 2018 Data Year</t>
  </si>
  <si>
    <t>PYA Re: 2018 Data Year - 2021 MFAM</t>
  </si>
  <si>
    <t>Additional PYA Re: 2018 Data Year</t>
  </si>
  <si>
    <t xml:space="preserve">2021 MFAM </t>
  </si>
  <si>
    <t>PYA Re: 2019 Data Year</t>
  </si>
  <si>
    <t>2019 Adjusted Marketed Tonnes</t>
  </si>
  <si>
    <t>2019 Adjusted Reported Gross Cost</t>
  </si>
  <si>
    <t>2019 Adjusted Reported Revenue</t>
  </si>
  <si>
    <t>2019 Adjusted Reported Net Cost</t>
  </si>
  <si>
    <t>Total Payment</t>
  </si>
  <si>
    <t>2022 Municipal Funding</t>
  </si>
  <si>
    <t>Calculation of 2022 Steward Cash Obligation</t>
  </si>
  <si>
    <t>MUSKOKA, DISTRICT MUNICIPALITY OF</t>
  </si>
  <si>
    <t>GOULAIS &amp; DISTRICT, LOCAL SERVICES BOARD OF</t>
  </si>
  <si>
    <t>Matachewan First Nations</t>
  </si>
  <si>
    <t>Red Rock Indian Band</t>
  </si>
  <si>
    <t>HARLEY, TOWNSHP OF</t>
  </si>
  <si>
    <t>KAPUSKASING MOONBEAM LANDFILL SITE, MANAGEMENT BOARD OF</t>
  </si>
  <si>
    <t>OXFORD, RESTRUCTURED COUNTY OF</t>
  </si>
  <si>
    <t>SOUTH RIVER, VILLAGE OF</t>
  </si>
  <si>
    <t>Amortization Adjustment</t>
  </si>
  <si>
    <t>Final Payment</t>
  </si>
  <si>
    <t>Amortization Adjustment Payout</t>
  </si>
  <si>
    <t>2022 Municipal Payout Breakdown</t>
  </si>
  <si>
    <t>2022 Steward Cash Obligation</t>
  </si>
  <si>
    <t>2020 Marketed Tonnes</t>
  </si>
  <si>
    <t>2020 Reported Gross Cost</t>
  </si>
  <si>
    <t>2020 Reported Revenue</t>
  </si>
  <si>
    <t>2020 Reported Net Cost</t>
  </si>
  <si>
    <t>Jun. 2022
Payment</t>
  </si>
  <si>
    <t>Sept. 2022
Payment</t>
  </si>
  <si>
    <t>Dec. 2022
Payment</t>
  </si>
  <si>
    <t>2022 Municipal Payout</t>
  </si>
  <si>
    <t xml:space="preserve">2021 Steward Cash Obligation </t>
  </si>
  <si>
    <t xml:space="preserve">2020 Steward Cash Obligation </t>
  </si>
  <si>
    <t>CNA/OCNA InKind Deduction Balance</t>
  </si>
  <si>
    <t>Mar. 2023
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</si>
</sst>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&quot;$&quot;#,##0;[Red]\-&quot;$&quot;#,##0"/>
    <numFmt numFmtId="165" formatCode="&quot;$&quot;#,##0.00;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$&quot;#,##0.00&quot;/T&quot;;[Red]\(&quot;$&quot;#,##0.00&quot;/T&quot;\);\-"/>
    <numFmt numFmtId="169" formatCode="[=1]&quot;X&quot;;\-"/>
    <numFmt numFmtId="170" formatCode="&quot;$&quot;#,##0;[Red]\(&quot;$&quot;#,##0\);\-"/>
    <numFmt numFmtId="171" formatCode="&quot;$&quot;#,##0.00\ &quot;/T&quot;;[Red]\(&quot;$&quot;#,##0.00\ &quot;/T&quot;\);\-"/>
    <numFmt numFmtId="172" formatCode="&quot;$&quot;#,##0;[Red]&quot;$&quot;#,##0"/>
    <numFmt numFmtId="173" formatCode="[=1]&quot;yes&quot;;[=0]&quot;no&quot;;&quot;error&quot;"/>
    <numFmt numFmtId="174" formatCode="0.0%"/>
    <numFmt numFmtId="175" formatCode=";;"/>
    <numFmt numFmtId="176" formatCode="\$#,##0.00;\-\$#,##0.00"/>
    <numFmt numFmtId="177" formatCode="#,##0\ &quot;T&quot;"/>
    <numFmt numFmtId="178" formatCode="&quot;Group&quot;\ 0"/>
    <numFmt numFmtId="179" formatCode="#,##0.0%&quot; up&quot;;[Red]\(#,##0.0%\)&quot; down&quot;;\-"/>
    <numFmt numFmtId="180" formatCode="#,##0.00%;[Red]\(#,##0.00%\);\-"/>
    <numFmt numFmtId="181" formatCode="&quot;$&quot;#,##0.00"/>
    <numFmt numFmtId="182" formatCode="[=1]&quot;yes&quot;;[=0]\-;&quot;error&quot;"/>
    <numFmt numFmtId="183" formatCode="&quot;$&quot;#,##0.00;[Red]\(&quot;$&quot;#,##0.00\);\-"/>
    <numFmt numFmtId="184" formatCode=";;;"/>
    <numFmt numFmtId="185" formatCode="#,##0\ &quot;T&quot;;[Red]\(#,##0\ &quot;T&quot;\);\-"/>
    <numFmt numFmtId="186" formatCode="&quot;$&quot;#,##0"/>
    <numFmt numFmtId="187" formatCode="#,##0.00\ &quot;T&quot;"/>
    <numFmt numFmtId="188" formatCode="&quot;$&quot;#,##0.000;[Red]\(&quot;$&quot;#,##0.000\);\-"/>
    <numFmt numFmtId="189" formatCode="&quot;Cutoff&quot;\ 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theme="4" tint="0.39997558519241921"/>
        <bgColor rgb="FFC0C0C0"/>
      </patternFill>
    </fill>
    <fill>
      <patternFill patternType="solid">
        <fgColor rgb="FFCCE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rgb="FFC0C0C0"/>
      </patternFill>
    </fill>
  </fills>
  <borders count="23">
    <border>
      <left/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rgb="FFD0D7E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rgb="FFD0D7E5"/>
      </left>
      <right style="thin">
        <color rgb="FFD0D7E5"/>
      </right>
      <top style="medium">
        <color indexed="64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167" fontId="18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2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/>
    <xf numFmtId="169" fontId="0" fillId="0" borderId="0" xfId="0" applyNumberFormat="1" applyAlignment="1">
      <alignment horizontal="center"/>
    </xf>
    <xf numFmtId="170" fontId="3" fillId="0" borderId="1" xfId="0" applyNumberFormat="1" applyFont="1" applyFill="1" applyBorder="1" applyAlignment="1" applyProtection="1">
      <alignment horizontal="right" vertical="center" wrapText="1"/>
    </xf>
    <xf numFmtId="171" fontId="0" fillId="0" borderId="0" xfId="0" applyNumberFormat="1"/>
    <xf numFmtId="172" fontId="3" fillId="0" borderId="1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9" fontId="6" fillId="0" borderId="0" xfId="0" applyNumberFormat="1" applyFont="1" applyAlignment="1">
      <alignment horizontal="center"/>
    </xf>
    <xf numFmtId="9" fontId="6" fillId="3" borderId="0" xfId="0" applyNumberFormat="1" applyFont="1" applyFill="1" applyAlignment="1">
      <alignment horizontal="center"/>
    </xf>
    <xf numFmtId="164" fontId="0" fillId="0" borderId="0" xfId="0" applyNumberFormat="1" applyBorder="1"/>
    <xf numFmtId="0" fontId="0" fillId="0" borderId="0" xfId="0"/>
    <xf numFmtId="0" fontId="0" fillId="0" borderId="0" xfId="0" applyBorder="1"/>
    <xf numFmtId="0" fontId="0" fillId="0" borderId="0" xfId="0" applyBorder="1"/>
    <xf numFmtId="173" fontId="6" fillId="3" borderId="0" xfId="0" applyNumberFormat="1" applyFont="1" applyFill="1" applyAlignment="1">
      <alignment horizontal="center"/>
    </xf>
    <xf numFmtId="9" fontId="0" fillId="0" borderId="0" xfId="0" applyNumberFormat="1"/>
    <xf numFmtId="0" fontId="7" fillId="0" borderId="0" xfId="0" applyFont="1" applyAlignment="1">
      <alignment horizontal="left"/>
    </xf>
    <xf numFmtId="170" fontId="0" fillId="0" borderId="0" xfId="0" applyNumberFormat="1"/>
    <xf numFmtId="0" fontId="0" fillId="0" borderId="0" xfId="0" applyFill="1"/>
    <xf numFmtId="0" fontId="9" fillId="0" borderId="2" xfId="0" applyFont="1" applyFill="1" applyBorder="1" applyAlignment="1" applyProtection="1">
      <alignment horizontal="right" vertical="center" wrapText="1"/>
    </xf>
    <xf numFmtId="0" fontId="0" fillId="0" borderId="0" xfId="0" applyFill="1" applyBorder="1"/>
    <xf numFmtId="0" fontId="10" fillId="0" borderId="0" xfId="0" applyFont="1"/>
    <xf numFmtId="0" fontId="11" fillId="0" borderId="0" xfId="0" applyFont="1"/>
    <xf numFmtId="174" fontId="10" fillId="0" borderId="0" xfId="2" applyNumberFormat="1" applyFont="1"/>
    <xf numFmtId="170" fontId="10" fillId="0" borderId="0" xfId="0" applyNumberFormat="1" applyFont="1"/>
    <xf numFmtId="0" fontId="10" fillId="0" borderId="0" xfId="0" applyFont="1"/>
    <xf numFmtId="0" fontId="9" fillId="0" borderId="2" xfId="0" applyFont="1" applyFill="1" applyBorder="1" applyAlignment="1" applyProtection="1">
      <alignment vertical="center"/>
    </xf>
    <xf numFmtId="0" fontId="10" fillId="0" borderId="2" xfId="0" applyFont="1" applyBorder="1"/>
    <xf numFmtId="175" fontId="10" fillId="0" borderId="0" xfId="0" applyNumberFormat="1" applyFont="1"/>
    <xf numFmtId="0" fontId="9" fillId="0" borderId="0" xfId="0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3" fillId="0" borderId="0" xfId="0" applyFont="1"/>
    <xf numFmtId="170" fontId="0" fillId="0" borderId="0" xfId="0" applyNumberFormat="1" applyBorder="1"/>
    <xf numFmtId="0" fontId="1" fillId="0" borderId="0" xfId="0" applyFont="1" applyBorder="1"/>
    <xf numFmtId="0" fontId="6" fillId="0" borderId="0" xfId="0" applyFont="1"/>
    <xf numFmtId="178" fontId="0" fillId="0" borderId="8" xfId="0" applyNumberFormat="1" applyBorder="1" applyAlignment="1">
      <alignment horizontal="center"/>
    </xf>
    <xf numFmtId="171" fontId="0" fillId="0" borderId="9" xfId="0" applyNumberFormat="1" applyBorder="1"/>
    <xf numFmtId="0" fontId="0" fillId="0" borderId="11" xfId="0" applyBorder="1"/>
    <xf numFmtId="170" fontId="0" fillId="0" borderId="12" xfId="0" applyNumberFormat="1" applyBorder="1"/>
    <xf numFmtId="0" fontId="7" fillId="0" borderId="8" xfId="0" applyFont="1" applyBorder="1" applyAlignment="1">
      <alignment horizontal="centerContinuous" vertical="center"/>
    </xf>
    <xf numFmtId="170" fontId="7" fillId="0" borderId="9" xfId="0" applyNumberFormat="1" applyFont="1" applyBorder="1" applyAlignment="1">
      <alignment horizontal="centerContinuous" vertical="center"/>
    </xf>
    <xf numFmtId="170" fontId="7" fillId="0" borderId="10" xfId="0" applyNumberFormat="1" applyFont="1" applyBorder="1" applyAlignment="1">
      <alignment horizontal="centerContinuous" vertical="center"/>
    </xf>
    <xf numFmtId="178" fontId="0" fillId="0" borderId="11" xfId="0" applyNumberFormat="1" applyBorder="1" applyAlignment="1">
      <alignment horizontal="center"/>
    </xf>
    <xf numFmtId="171" fontId="0" fillId="0" borderId="0" xfId="0" applyNumberFormat="1" applyBorder="1"/>
    <xf numFmtId="0" fontId="7" fillId="0" borderId="11" xfId="0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1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0" fontId="0" fillId="0" borderId="11" xfId="0" applyBorder="1" applyAlignment="1">
      <alignment horizontal="left" indent="1"/>
    </xf>
    <xf numFmtId="170" fontId="0" fillId="0" borderId="0" xfId="0" applyNumberFormat="1" applyFill="1" applyBorder="1" applyProtection="1">
      <protection locked="0"/>
    </xf>
    <xf numFmtId="0" fontId="0" fillId="0" borderId="11" xfId="0" applyFill="1" applyBorder="1" applyAlignment="1">
      <alignment horizontal="left" indent="1"/>
    </xf>
    <xf numFmtId="0" fontId="0" fillId="0" borderId="12" xfId="0" applyBorder="1"/>
    <xf numFmtId="0" fontId="0" fillId="0" borderId="0" xfId="0" applyNumberFormat="1" applyFont="1" applyFill="1" applyBorder="1"/>
    <xf numFmtId="0" fontId="0" fillId="0" borderId="0" xfId="0" applyBorder="1" applyAlignment="1">
      <alignment horizontal="left" indent="1"/>
    </xf>
    <xf numFmtId="178" fontId="0" fillId="0" borderId="13" xfId="0" applyNumberFormat="1" applyBorder="1" applyAlignment="1">
      <alignment horizontal="center"/>
    </xf>
    <xf numFmtId="0" fontId="0" fillId="0" borderId="16" xfId="0" applyBorder="1"/>
    <xf numFmtId="171" fontId="0" fillId="0" borderId="16" xfId="0" applyNumberFormat="1" applyBorder="1"/>
    <xf numFmtId="0" fontId="1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/>
    <xf numFmtId="10" fontId="0" fillId="0" borderId="12" xfId="0" applyNumberFormat="1" applyBorder="1" applyAlignment="1" applyProtection="1">
      <alignment horizontal="center"/>
      <protection locked="0"/>
    </xf>
    <xf numFmtId="168" fontId="0" fillId="0" borderId="0" xfId="0" applyNumberFormat="1" applyBorder="1"/>
    <xf numFmtId="179" fontId="1" fillId="0" borderId="0" xfId="0" applyNumberFormat="1" applyFont="1" applyBorder="1" applyAlignment="1">
      <alignment horizontal="center"/>
    </xf>
    <xf numFmtId="164" fontId="0" fillId="0" borderId="12" xfId="0" applyNumberFormat="1" applyBorder="1"/>
    <xf numFmtId="0" fontId="6" fillId="0" borderId="0" xfId="0" applyFont="1" applyFill="1" applyBorder="1" applyAlignment="1">
      <alignment horizontal="centerContinuous"/>
    </xf>
    <xf numFmtId="0" fontId="0" fillId="0" borderId="13" xfId="0" applyBorder="1" applyAlignment="1">
      <alignment horizontal="left" indent="1"/>
    </xf>
    <xf numFmtId="0" fontId="0" fillId="0" borderId="14" xfId="0" applyBorder="1"/>
    <xf numFmtId="2" fontId="0" fillId="0" borderId="0" xfId="0" applyNumberFormat="1" applyFill="1" applyBorder="1"/>
    <xf numFmtId="2" fontId="0" fillId="0" borderId="0" xfId="0" applyNumberFormat="1" applyFont="1" applyFill="1" applyBorder="1"/>
    <xf numFmtId="175" fontId="0" fillId="0" borderId="0" xfId="0" applyNumberFormat="1" applyBorder="1"/>
    <xf numFmtId="175" fontId="0" fillId="0" borderId="0" xfId="0" applyNumberFormat="1"/>
    <xf numFmtId="164" fontId="0" fillId="0" borderId="0" xfId="0" applyNumberFormat="1"/>
    <xf numFmtId="170" fontId="0" fillId="6" borderId="13" xfId="0" applyNumberFormat="1" applyFill="1" applyBorder="1"/>
    <xf numFmtId="170" fontId="0" fillId="6" borderId="16" xfId="0" applyNumberFormat="1" applyFill="1" applyBorder="1"/>
    <xf numFmtId="9" fontId="6" fillId="0" borderId="0" xfId="2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171" fontId="0" fillId="0" borderId="0" xfId="0" applyNumberFormat="1" applyAlignment="1">
      <alignment horizontal="right"/>
    </xf>
    <xf numFmtId="181" fontId="0" fillId="0" borderId="0" xfId="0" applyNumberFormat="1"/>
    <xf numFmtId="170" fontId="3" fillId="0" borderId="0" xfId="0" applyNumberFormat="1" applyFont="1" applyFill="1" applyBorder="1" applyAlignment="1" applyProtection="1">
      <alignment horizontal="right" vertical="center" wrapText="1"/>
    </xf>
    <xf numFmtId="168" fontId="0" fillId="0" borderId="10" xfId="0" applyNumberFormat="1" applyBorder="1"/>
    <xf numFmtId="0" fontId="1" fillId="0" borderId="0" xfId="0" applyFont="1" applyBorder="1"/>
    <xf numFmtId="9" fontId="0" fillId="0" borderId="0" xfId="2" applyFont="1"/>
    <xf numFmtId="180" fontId="3" fillId="0" borderId="18" xfId="0" applyNumberFormat="1" applyFont="1" applyFill="1" applyBorder="1" applyAlignment="1" applyProtection="1">
      <alignment horizontal="right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70" fontId="7" fillId="0" borderId="0" xfId="0" applyNumberFormat="1" applyFont="1" applyBorder="1" applyAlignment="1">
      <alignment horizontal="centerContinuous" vertical="center"/>
    </xf>
    <xf numFmtId="10" fontId="0" fillId="0" borderId="0" xfId="0" applyNumberFormat="1" applyBorder="1" applyAlignment="1" applyProtection="1">
      <alignment horizontal="center"/>
      <protection locked="0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9" borderId="3" xfId="0" applyFont="1" applyFill="1" applyBorder="1" applyAlignment="1" applyProtection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168" fontId="0" fillId="0" borderId="12" xfId="0" applyNumberFormat="1" applyBorder="1"/>
    <xf numFmtId="168" fontId="0" fillId="0" borderId="14" xfId="0" applyNumberFormat="1" applyBorder="1"/>
    <xf numFmtId="184" fontId="0" fillId="6" borderId="8" xfId="1" applyNumberFormat="1" applyFont="1" applyFill="1" applyBorder="1" applyAlignment="1"/>
    <xf numFmtId="184" fontId="0" fillId="6" borderId="9" xfId="1" applyNumberFormat="1" applyFont="1" applyFill="1" applyBorder="1" applyAlignment="1"/>
    <xf numFmtId="184" fontId="0" fillId="6" borderId="9" xfId="2" applyNumberFormat="1" applyFont="1" applyFill="1" applyBorder="1" applyAlignment="1"/>
    <xf numFmtId="184" fontId="0" fillId="6" borderId="0" xfId="0" applyNumberFormat="1" applyFill="1" applyBorder="1" applyAlignment="1"/>
    <xf numFmtId="184" fontId="0" fillId="6" borderId="11" xfId="0" applyNumberFormat="1" applyFill="1" applyBorder="1" applyAlignment="1"/>
    <xf numFmtId="184" fontId="0" fillId="6" borderId="0" xfId="0" applyNumberFormat="1" applyFont="1" applyFill="1" applyBorder="1" applyAlignment="1"/>
    <xf numFmtId="184" fontId="0" fillId="6" borderId="0" xfId="1" applyNumberFormat="1" applyFont="1" applyFill="1" applyBorder="1" applyAlignment="1"/>
    <xf numFmtId="184" fontId="0" fillId="6" borderId="12" xfId="0" applyNumberFormat="1" applyFill="1" applyBorder="1" applyAlignment="1"/>
    <xf numFmtId="171" fontId="0" fillId="0" borderId="0" xfId="0" applyNumberFormat="1" applyFill="1"/>
    <xf numFmtId="0" fontId="2" fillId="7" borderId="3" xfId="0" applyFont="1" applyFill="1" applyBorder="1" applyAlignment="1" applyProtection="1">
      <alignment horizontal="center" vertical="center" wrapText="1"/>
    </xf>
    <xf numFmtId="9" fontId="0" fillId="0" borderId="0" xfId="2" applyNumberFormat="1" applyFont="1" applyProtection="1"/>
    <xf numFmtId="183" fontId="0" fillId="0" borderId="0" xfId="0" applyNumberFormat="1" applyBorder="1"/>
    <xf numFmtId="183" fontId="0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164" fontId="0" fillId="0" borderId="0" xfId="1" applyNumberFormat="1" applyFont="1"/>
    <xf numFmtId="170" fontId="0" fillId="0" borderId="15" xfId="0" applyNumberFormat="1" applyBorder="1"/>
    <xf numFmtId="170" fontId="14" fillId="0" borderId="0" xfId="0" applyNumberFormat="1" applyFont="1" applyBorder="1" applyAlignment="1">
      <alignment horizontal="centerContinuous"/>
    </xf>
    <xf numFmtId="170" fontId="0" fillId="0" borderId="4" xfId="0" applyNumberFormat="1" applyBorder="1"/>
    <xf numFmtId="170" fontId="0" fillId="0" borderId="17" xfId="0" applyNumberFormat="1" applyBorder="1"/>
    <xf numFmtId="0" fontId="2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5" fontId="3" fillId="0" borderId="1" xfId="0" applyNumberFormat="1" applyFont="1" applyFill="1" applyBorder="1" applyAlignment="1" applyProtection="1">
      <alignment vertical="center" wrapText="1"/>
    </xf>
    <xf numFmtId="185" fontId="10" fillId="0" borderId="0" xfId="0" applyNumberFormat="1" applyFont="1"/>
    <xf numFmtId="185" fontId="3" fillId="0" borderId="20" xfId="0" applyNumberFormat="1" applyFont="1" applyFill="1" applyBorder="1" applyAlignment="1" applyProtection="1">
      <alignment vertical="center" wrapText="1"/>
    </xf>
    <xf numFmtId="185" fontId="3" fillId="0" borderId="21" xfId="0" applyNumberFormat="1" applyFont="1" applyFill="1" applyBorder="1" applyAlignment="1" applyProtection="1">
      <alignment vertical="center" wrapText="1"/>
    </xf>
    <xf numFmtId="170" fontId="15" fillId="0" borderId="0" xfId="1" applyNumberFormat="1" applyFont="1" applyFill="1" applyBorder="1"/>
    <xf numFmtId="170" fontId="0" fillId="0" borderId="0" xfId="0" applyNumberFormat="1" applyBorder="1" applyAlignment="1">
      <alignment vertical="center"/>
    </xf>
    <xf numFmtId="186" fontId="0" fillId="0" borderId="0" xfId="0" applyNumberFormat="1"/>
    <xf numFmtId="168" fontId="10" fillId="0" borderId="0" xfId="0" applyNumberFormat="1" applyFont="1"/>
    <xf numFmtId="165" fontId="10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1" fillId="0" borderId="22" xfId="14" applyFont="1" applyBorder="1" applyAlignment="1">
      <alignment horizontal="right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 wrapText="1"/>
    </xf>
    <xf numFmtId="183" fontId="9" fillId="0" borderId="2" xfId="0" applyNumberFormat="1" applyFont="1" applyBorder="1" applyAlignment="1">
      <alignment horizontal="right" vertical="center" wrapText="1"/>
    </xf>
    <xf numFmtId="177" fontId="9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0" fontId="3" fillId="0" borderId="2" xfId="13" applyFont="1" applyBorder="1" applyAlignment="1">
      <alignment horizontal="center" vertical="center" wrapText="1"/>
    </xf>
    <xf numFmtId="187" fontId="9" fillId="0" borderId="0" xfId="0" applyNumberFormat="1" applyFont="1" applyAlignment="1">
      <alignment horizontal="right" vertical="center" wrapText="1"/>
    </xf>
    <xf numFmtId="188" fontId="0" fillId="0" borderId="0" xfId="0" applyNumberFormat="1"/>
    <xf numFmtId="169" fontId="0" fillId="3" borderId="0" xfId="0" applyNumberFormat="1" applyFill="1" applyAlignment="1">
      <alignment horizontal="center"/>
    </xf>
    <xf numFmtId="170" fontId="3" fillId="0" borderId="1" xfId="0" applyNumberFormat="1" applyFont="1" applyFill="1" applyBorder="1" applyAlignment="1" applyProtection="1">
      <alignment horizontal="right" vertical="center"/>
    </xf>
    <xf numFmtId="170" fontId="0" fillId="0" borderId="0" xfId="0" applyNumberFormat="1" applyAlignment="1">
      <alignment vertical="center"/>
    </xf>
    <xf numFmtId="189" fontId="6" fillId="0" borderId="0" xfId="0" applyNumberFormat="1" applyFont="1" applyAlignment="1">
      <alignment horizontal="center" vertical="center"/>
    </xf>
    <xf numFmtId="170" fontId="0" fillId="0" borderId="0" xfId="0" applyNumberFormat="1" applyFill="1" applyBorder="1" applyAlignment="1">
      <alignment vertical="center"/>
    </xf>
    <xf numFmtId="170" fontId="3" fillId="0" borderId="1" xfId="0" applyNumberFormat="1" applyFont="1" applyBorder="1" applyAlignment="1">
      <alignment horizontal="right" vertical="center" wrapText="1"/>
    </xf>
    <xf numFmtId="0" fontId="2" fillId="11" borderId="3" xfId="0" applyFont="1" applyFill="1" applyBorder="1" applyAlignment="1" applyProtection="1">
      <alignment horizontal="center" vertical="center" wrapText="1"/>
    </xf>
    <xf numFmtId="185" fontId="3" fillId="0" borderId="1" xfId="0" applyNumberFormat="1" applyFont="1" applyBorder="1" applyAlignment="1">
      <alignment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170" fontId="3" fillId="0" borderId="0" xfId="0" applyNumberFormat="1" applyFont="1" applyAlignment="1">
      <alignment horizontal="right" vertical="center" wrapText="1"/>
    </xf>
    <xf numFmtId="0" fontId="0" fillId="0" borderId="13" xfId="0" applyBorder="1"/>
    <xf numFmtId="0" fontId="6" fillId="0" borderId="0" xfId="0" applyFont="1" applyAlignment="1">
      <alignment horizontal="centerContinuous"/>
    </xf>
    <xf numFmtId="2" fontId="0" fillId="0" borderId="0" xfId="0" applyNumberFormat="1"/>
    <xf numFmtId="0" fontId="5" fillId="0" borderId="0" xfId="0" applyFont="1" applyAlignment="1">
      <alignment horizontal="center" vertical="center" wrapText="1"/>
    </xf>
    <xf numFmtId="170" fontId="3" fillId="0" borderId="18" xfId="0" applyNumberFormat="1" applyFont="1" applyBorder="1" applyAlignment="1">
      <alignment horizontal="right" vertical="center" wrapText="1"/>
    </xf>
    <xf numFmtId="182" fontId="3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 wrapText="1"/>
    </xf>
    <xf numFmtId="170" fontId="0" fillId="0" borderId="0" xfId="0" applyNumberFormat="1" applyBorder="1" applyProtection="1">
      <protection locked="0"/>
    </xf>
    <xf numFmtId="170" fontId="0" fillId="0" borderId="16" xfId="0" applyNumberFormat="1" applyBorder="1"/>
    <xf numFmtId="170" fontId="10" fillId="0" borderId="0" xfId="0" applyNumberFormat="1" applyFont="1" applyFill="1" applyBorder="1"/>
    <xf numFmtId="170" fontId="10" fillId="0" borderId="0" xfId="0" applyNumberFormat="1" applyFont="1" applyFill="1" applyBorder="1" applyAlignment="1">
      <alignment vertical="center"/>
    </xf>
    <xf numFmtId="170" fontId="10" fillId="0" borderId="17" xfId="0" applyNumberFormat="1" applyFont="1" applyFill="1" applyBorder="1"/>
    <xf numFmtId="0" fontId="7" fillId="0" borderId="19" xfId="0" applyFont="1" applyBorder="1" applyAlignment="1">
      <alignment horizontal="centerContinuous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5">
    <cellStyle name="Comma 2" xfId="9" xr:uid="{00000000-0005-0000-0000-000001000000}"/>
    <cellStyle name="Currency" xfId="1" builtinId="4"/>
    <cellStyle name="Currency 2" xfId="11" xr:uid="{00000000-0005-0000-0000-000003000000}"/>
    <cellStyle name="Normal" xfId="0" builtinId="0"/>
    <cellStyle name="Normal 10" xfId="13" xr:uid="{75A9A523-CA2E-41F1-9743-057949EC6D7F}"/>
    <cellStyle name="Normal 16" xfId="3" xr:uid="{00000000-0005-0000-0000-000005000000}"/>
    <cellStyle name="Normal 18" xfId="4" xr:uid="{00000000-0005-0000-0000-000006000000}"/>
    <cellStyle name="Normal 19" xfId="5" xr:uid="{00000000-0005-0000-0000-000007000000}"/>
    <cellStyle name="Normal 2" xfId="7" xr:uid="{00000000-0005-0000-0000-000008000000}"/>
    <cellStyle name="Normal 3" xfId="8" xr:uid="{00000000-0005-0000-0000-000009000000}"/>
    <cellStyle name="Normal 4" xfId="10" xr:uid="{00000000-0005-0000-0000-00000A000000}"/>
    <cellStyle name="Normal_dbo_COMPLETED_DATACALL_1" xfId="14" xr:uid="{D0E44515-6828-4D3D-B982-338749DD9A97}"/>
    <cellStyle name="Percent" xfId="2" builtinId="5"/>
    <cellStyle name="Percent 2" xfId="6" xr:uid="{00000000-0005-0000-0000-00000C000000}"/>
    <cellStyle name="Percent 3" xfId="12" xr:uid="{00000000-0005-0000-0000-00000D000000}"/>
  </cellStyles>
  <dxfs count="8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CC99FF"/>
      <color rgb="FFFF9999"/>
      <color rgb="FFE2C9E9"/>
      <color rgb="FFD8CCE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466725</xdr:colOff>
      <xdr:row>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435867-19D8-49EE-BC38-D9B26449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514475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466725</xdr:colOff>
      <xdr:row>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94465-5986-494C-8FFA-169A8C3F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514475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2</xdr:col>
      <xdr:colOff>904875</xdr:colOff>
      <xdr:row>0</xdr:row>
      <xdr:rowOff>690952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AEA4A-3719-4327-B826-8D00BA3D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525"/>
          <a:ext cx="1905000" cy="681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A922-CD27-4622-AD9E-C9D9D4DF5CD5}">
  <sheetPr>
    <tabColor theme="9" tint="0.59999389629810485"/>
  </sheetPr>
  <dimension ref="B1:AB268"/>
  <sheetViews>
    <sheetView tabSelected="1" zoomScaleNormal="100" zoomScaleSheetLayoutView="50" workbookViewId="0">
      <selection activeCell="A2" sqref="A2"/>
    </sheetView>
  </sheetViews>
  <sheetFormatPr defaultColWidth="9.109375" defaultRowHeight="14.4" x14ac:dyDescent="0.3"/>
  <cols>
    <col min="1" max="1" width="5.6640625" style="17" customWidth="1"/>
    <col min="2" max="2" width="11.44140625" style="1" customWidth="1"/>
    <col min="3" max="3" width="13.88671875" style="1" customWidth="1"/>
    <col min="4" max="4" width="47.109375" style="17" customWidth="1"/>
    <col min="5" max="5" width="16.33203125" style="17" customWidth="1"/>
    <col min="6" max="8" width="14.6640625" style="17" customWidth="1"/>
    <col min="9" max="9" width="16.6640625" style="17" customWidth="1"/>
    <col min="10" max="10" width="16.109375" style="17" customWidth="1"/>
    <col min="11" max="11" width="5.6640625" style="17" customWidth="1"/>
    <col min="12" max="15" width="14.6640625" style="17" customWidth="1"/>
    <col min="16" max="16" width="5.6640625" style="17" customWidth="1"/>
    <col min="17" max="20" width="14" style="17" customWidth="1"/>
    <col min="21" max="21" width="5.6640625" style="17" customWidth="1"/>
    <col min="22" max="23" width="14" style="17" customWidth="1"/>
    <col min="24" max="24" width="5.6640625" style="17" customWidth="1"/>
    <col min="25" max="28" width="12.6640625" style="17" customWidth="1"/>
    <col min="29" max="29" width="8.6640625" style="17" customWidth="1"/>
    <col min="30" max="31" width="12.6640625" style="17" customWidth="1"/>
    <col min="32" max="32" width="4.6640625" style="17" customWidth="1"/>
    <col min="33" max="36" width="12.6640625" style="17" customWidth="1"/>
    <col min="37" max="16384" width="9.109375" style="17"/>
  </cols>
  <sheetData>
    <row r="1" spans="2:28" ht="58.5" customHeight="1" thickBot="1" x14ac:dyDescent="0.35">
      <c r="D1" s="40"/>
      <c r="U1" s="23"/>
      <c r="X1" s="23"/>
    </row>
    <row r="2" spans="2:28" ht="15.75" customHeight="1" thickBot="1" x14ac:dyDescent="0.35">
      <c r="B2" s="170" t="s">
        <v>341</v>
      </c>
      <c r="C2" s="171"/>
      <c r="D2" s="171"/>
      <c r="E2" s="171"/>
      <c r="F2" s="171"/>
      <c r="G2" s="172"/>
      <c r="U2" s="23"/>
      <c r="X2" s="23"/>
    </row>
    <row r="3" spans="2:28" ht="15" thickBot="1" x14ac:dyDescent="0.35">
      <c r="B3" s="22"/>
      <c r="U3" s="23"/>
      <c r="X3" s="23"/>
    </row>
    <row r="4" spans="2:28" x14ac:dyDescent="0.3">
      <c r="D4" s="48" t="s">
        <v>342</v>
      </c>
      <c r="E4" s="49"/>
      <c r="F4" s="49"/>
      <c r="G4" s="50"/>
      <c r="U4" s="23"/>
      <c r="X4" s="23"/>
    </row>
    <row r="5" spans="2:28" x14ac:dyDescent="0.3">
      <c r="D5" s="53"/>
      <c r="E5" s="54"/>
      <c r="F5" s="54"/>
      <c r="G5" s="55"/>
      <c r="U5" s="23"/>
      <c r="X5" s="23"/>
    </row>
    <row r="6" spans="2:28" x14ac:dyDescent="0.3">
      <c r="D6" s="58" t="s">
        <v>25</v>
      </c>
      <c r="E6" s="129">
        <v>171983609.49000001</v>
      </c>
      <c r="F6" s="41"/>
      <c r="G6" s="47"/>
      <c r="U6" s="23"/>
      <c r="X6" s="23"/>
    </row>
    <row r="7" spans="2:28" x14ac:dyDescent="0.3">
      <c r="D7" s="58" t="s">
        <v>366</v>
      </c>
      <c r="E7" s="167">
        <v>-2840377.94</v>
      </c>
      <c r="F7" s="164"/>
      <c r="G7" s="47"/>
      <c r="U7" s="23"/>
      <c r="X7" s="23"/>
    </row>
    <row r="8" spans="2:28" ht="15" thickBot="1" x14ac:dyDescent="0.35">
      <c r="D8" s="58" t="s">
        <v>355</v>
      </c>
      <c r="E8" s="168">
        <f>E6+E7</f>
        <v>169143231.55000001</v>
      </c>
      <c r="F8" s="164"/>
      <c r="G8" s="47"/>
      <c r="U8" s="23"/>
      <c r="X8" s="23"/>
    </row>
    <row r="9" spans="2:28" ht="15.6" thickTop="1" thickBot="1" x14ac:dyDescent="0.35">
      <c r="D9" s="58"/>
      <c r="E9" s="166"/>
      <c r="F9" s="164"/>
      <c r="G9" s="47"/>
      <c r="U9" s="23"/>
      <c r="X9" s="23"/>
    </row>
    <row r="10" spans="2:28" x14ac:dyDescent="0.3">
      <c r="D10" s="48" t="s">
        <v>354</v>
      </c>
      <c r="E10" s="48"/>
      <c r="F10" s="48"/>
      <c r="G10" s="169"/>
      <c r="U10" s="23"/>
      <c r="X10" s="23"/>
    </row>
    <row r="11" spans="2:28" x14ac:dyDescent="0.3">
      <c r="D11" s="58"/>
      <c r="E11" s="166"/>
      <c r="F11" s="164"/>
      <c r="G11" s="47"/>
      <c r="U11" s="23"/>
      <c r="X11" s="23"/>
    </row>
    <row r="12" spans="2:28" x14ac:dyDescent="0.3">
      <c r="D12" s="58" t="s">
        <v>363</v>
      </c>
      <c r="E12" s="164">
        <f>E8-E13</f>
        <v>168697830.84</v>
      </c>
      <c r="F12" s="164"/>
      <c r="G12" s="47"/>
      <c r="U12" s="23"/>
      <c r="X12" s="23"/>
    </row>
    <row r="13" spans="2:28" x14ac:dyDescent="0.3">
      <c r="D13" s="58" t="s">
        <v>353</v>
      </c>
      <c r="E13" s="167">
        <v>445400.71</v>
      </c>
      <c r="F13" s="164"/>
      <c r="G13" s="47"/>
      <c r="U13" s="23"/>
      <c r="X13" s="23"/>
    </row>
    <row r="14" spans="2:28" ht="15" thickBot="1" x14ac:dyDescent="0.35">
      <c r="D14" s="58" t="s">
        <v>355</v>
      </c>
      <c r="E14" s="168">
        <f>E12+E13</f>
        <v>169143231.55000001</v>
      </c>
      <c r="F14" s="41"/>
      <c r="G14" s="47"/>
      <c r="U14" s="23"/>
      <c r="V14" s="161"/>
      <c r="X14" s="23"/>
    </row>
    <row r="15" spans="2:28" ht="15.6" thickTop="1" thickBot="1" x14ac:dyDescent="0.35">
      <c r="D15" s="157"/>
      <c r="E15" s="165"/>
      <c r="F15" s="65"/>
      <c r="G15" s="75"/>
      <c r="L15" s="3"/>
      <c r="N15" s="156">
        <f>L16+M16</f>
        <v>590.25681357356598</v>
      </c>
      <c r="O15" s="156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2:28" ht="15" thickBot="1" x14ac:dyDescent="0.35">
      <c r="K16" s="159"/>
      <c r="L16" s="156">
        <f>SUM(L19:L300)</f>
        <v>514.65796739225107</v>
      </c>
      <c r="M16" s="156">
        <f>SUM(M19:M300)</f>
        <v>75.598846181314912</v>
      </c>
      <c r="N16" s="156">
        <f>SUM(N19:N300)</f>
        <v>-590.25681357356643</v>
      </c>
      <c r="O16" s="156">
        <f>SUM(O19:O300)</f>
        <v>-2.0435209080460481E-11</v>
      </c>
      <c r="P16" s="159"/>
      <c r="Q16" s="23"/>
      <c r="R16" s="23"/>
      <c r="S16" s="79">
        <f>-S17</f>
        <v>0</v>
      </c>
      <c r="T16" s="23"/>
      <c r="V16" s="23"/>
      <c r="W16" s="23"/>
    </row>
    <row r="17" spans="2:28" ht="15" thickBot="1" x14ac:dyDescent="0.35">
      <c r="E17" s="153">
        <f>SUM(E19:E293)</f>
        <v>756984.04723005008</v>
      </c>
      <c r="F17" s="80">
        <f>SUM(F19:F293)</f>
        <v>403004112.25</v>
      </c>
      <c r="G17" s="80">
        <f>SUM(G19:G293)</f>
        <v>53164088.199999981</v>
      </c>
      <c r="H17" s="80">
        <f>SUM(H19:H293)</f>
        <v>349840024.04999989</v>
      </c>
      <c r="J17" s="80">
        <f>SUM(J19:J293)</f>
        <v>168697830.84000027</v>
      </c>
      <c r="K17" s="158"/>
      <c r="L17" s="173" t="s">
        <v>44</v>
      </c>
      <c r="M17" s="174"/>
      <c r="N17" s="174"/>
      <c r="O17" s="175"/>
      <c r="P17" s="158"/>
      <c r="Q17" s="23">
        <f>SUM(Q19:Q293)</f>
        <v>168697830.83999988</v>
      </c>
      <c r="R17" s="83">
        <v>0.1</v>
      </c>
      <c r="S17" s="23">
        <f>SUM(S19:S293)</f>
        <v>0</v>
      </c>
      <c r="T17" s="23">
        <f>SUM(T19:T293)</f>
        <v>168697830.83999988</v>
      </c>
      <c r="V17" s="23">
        <f>SUM(V19:V293)</f>
        <v>445400.70623798377</v>
      </c>
      <c r="W17" s="23">
        <f>SUM(W19:W293)</f>
        <v>169143231.54623795</v>
      </c>
      <c r="Y17" s="23">
        <f>SUM(Y19:Y293)</f>
        <v>42285807.886559486</v>
      </c>
      <c r="Z17" s="23">
        <f>SUM(Z19:Z293)</f>
        <v>42285807.886559486</v>
      </c>
      <c r="AA17" s="23">
        <f>SUM(AA19:AA293)</f>
        <v>42285807.886559486</v>
      </c>
      <c r="AB17" s="23">
        <f>SUM(AB19:AB293)</f>
        <v>42285807.886559486</v>
      </c>
    </row>
    <row r="18" spans="2:28" ht="43.8" thickBot="1" x14ac:dyDescent="0.35">
      <c r="B18" s="92" t="s">
        <v>10</v>
      </c>
      <c r="C18" s="92" t="s">
        <v>9</v>
      </c>
      <c r="D18" s="92" t="s">
        <v>8</v>
      </c>
      <c r="E18" s="93" t="s">
        <v>356</v>
      </c>
      <c r="F18" s="93" t="s">
        <v>357</v>
      </c>
      <c r="G18" s="93" t="s">
        <v>358</v>
      </c>
      <c r="H18" s="93" t="s">
        <v>359</v>
      </c>
      <c r="I18" s="93" t="s">
        <v>7</v>
      </c>
      <c r="J18" s="93" t="s">
        <v>340</v>
      </c>
      <c r="K18" s="160"/>
      <c r="L18" s="93" t="s">
        <v>335</v>
      </c>
      <c r="M18" s="93" t="s">
        <v>333</v>
      </c>
      <c r="N18" s="93" t="s">
        <v>42</v>
      </c>
      <c r="O18" s="93" t="s">
        <v>43</v>
      </c>
      <c r="P18" s="160"/>
      <c r="Q18" s="93" t="str">
        <f>"Final Payment"&amp;CHAR(10)&amp;TEXT(SUM(Q19:Q258),"$#,##0")</f>
        <v>Final Payment
$168,050,209</v>
      </c>
      <c r="R18" s="93" t="s">
        <v>36</v>
      </c>
      <c r="S18" s="93" t="s">
        <v>37</v>
      </c>
      <c r="T18" s="93" t="s">
        <v>38</v>
      </c>
      <c r="V18" s="93" t="s">
        <v>351</v>
      </c>
      <c r="W18" s="93" t="s">
        <v>352</v>
      </c>
      <c r="Y18" s="93" t="s">
        <v>360</v>
      </c>
      <c r="Z18" s="93" t="s">
        <v>361</v>
      </c>
      <c r="AA18" s="93" t="s">
        <v>362</v>
      </c>
      <c r="AB18" s="93" t="s">
        <v>367</v>
      </c>
    </row>
    <row r="19" spans="2:28" x14ac:dyDescent="0.3">
      <c r="B19" s="17">
        <v>1</v>
      </c>
      <c r="C19" s="137">
        <v>1</v>
      </c>
      <c r="D19" s="138" t="s">
        <v>48</v>
      </c>
      <c r="E19" s="153">
        <v>36876.870000000003</v>
      </c>
      <c r="F19" s="151">
        <v>10663710.359999999</v>
      </c>
      <c r="G19" s="151">
        <v>435756.04</v>
      </c>
      <c r="H19" s="151">
        <f t="shared" ref="H19:H82" si="0">F19-G19</f>
        <v>10227954.32</v>
      </c>
      <c r="I19" s="85">
        <f t="shared" ref="I19:I82" si="1">IFERROR(H19/E19,"n.a.")</f>
        <v>277.35418759780856</v>
      </c>
      <c r="J19" s="131">
        <f t="shared" ref="J19:J82" si="2">H19*(E$12/H$17)</f>
        <v>4932064.9128128476</v>
      </c>
      <c r="K19" s="156"/>
      <c r="L19" s="156">
        <f>IFERROR(INDEX('Revised 2021 MFAM(2019 PYAs)'!AD$26:AD$278,MATCH(B19,'Revised 2021 MFAM(2019 PYAs)'!B$26:B$278,0)),0)</f>
        <v>-11384.717126323842</v>
      </c>
      <c r="M19" s="156">
        <f>IFERROR(INDEX('Revised 2020 MFAM(2018 PYAs)'!AF$26:AF$274,MATCH(B19,'Revised 2020 MFAM(2018 PYAs)'!B$26:B$274,0)),0)</f>
        <v>-2621.9328926447779</v>
      </c>
      <c r="N19" s="156">
        <f>-$N$15*(J19/$E$12)</f>
        <v>-17.256801141302091</v>
      </c>
      <c r="O19" s="156">
        <f>SUM(L19:N19)</f>
        <v>-14023.906820109922</v>
      </c>
      <c r="P19" s="156"/>
      <c r="Q19" s="161">
        <f t="shared" ref="Q19:Q82" si="3">J19+O19</f>
        <v>4918041.0059927376</v>
      </c>
      <c r="R19" s="162">
        <v>0</v>
      </c>
      <c r="S19" s="163">
        <f t="shared" ref="S19:S82" si="4">-$R$17*R19*Q19</f>
        <v>0</v>
      </c>
      <c r="T19" s="156">
        <f t="shared" ref="T19:T82" si="5">Q19+S19</f>
        <v>4918041.0059927376</v>
      </c>
      <c r="U19" s="90"/>
      <c r="V19" s="161">
        <v>0</v>
      </c>
      <c r="W19" s="156">
        <f t="shared" ref="W19:W82" si="6">T19+V19</f>
        <v>4918041.0059927376</v>
      </c>
      <c r="X19" s="90"/>
      <c r="Y19" s="156">
        <f>$W19/4</f>
        <v>1229510.2514981844</v>
      </c>
      <c r="Z19" s="156">
        <f t="shared" ref="Z19:AB34" si="7">$W19/4</f>
        <v>1229510.2514981844</v>
      </c>
      <c r="AA19" s="156">
        <f t="shared" si="7"/>
        <v>1229510.2514981844</v>
      </c>
      <c r="AB19" s="156">
        <f t="shared" si="7"/>
        <v>1229510.2514981844</v>
      </c>
    </row>
    <row r="20" spans="2:28" x14ac:dyDescent="0.3">
      <c r="B20" s="17">
        <v>20</v>
      </c>
      <c r="C20" s="137">
        <v>1</v>
      </c>
      <c r="D20" s="138" t="s">
        <v>49</v>
      </c>
      <c r="E20" s="153">
        <v>103854.72000000002</v>
      </c>
      <c r="F20" s="151">
        <v>69388824.069999993</v>
      </c>
      <c r="G20" s="151">
        <v>8922940.9799999986</v>
      </c>
      <c r="H20" s="151">
        <f t="shared" si="0"/>
        <v>60465883.089999996</v>
      </c>
      <c r="I20" s="85">
        <f t="shared" si="1"/>
        <v>582.21603303152699</v>
      </c>
      <c r="J20" s="131">
        <f t="shared" si="2"/>
        <v>29157508.049022328</v>
      </c>
      <c r="K20" s="156"/>
      <c r="L20" s="156">
        <f>IFERROR(INDEX('Revised 2021 MFAM(2019 PYAs)'!AD$26:AD$278,MATCH(B20,'Revised 2021 MFAM(2019 PYAs)'!B$26:B$278,0)),0)</f>
        <v>-36646.445777434856</v>
      </c>
      <c r="M20" s="156">
        <f>IFERROR(INDEX('Revised 2020 MFAM(2018 PYAs)'!AF$26:AF$274,MATCH(B20,'Revised 2020 MFAM(2018 PYAs)'!B$26:B$274,0)),0)</f>
        <v>8805.6970568224788</v>
      </c>
      <c r="N20" s="156">
        <f t="shared" ref="N20:N83" si="8">-$N$15*(J20/$E$12)</f>
        <v>-102.01920028885607</v>
      </c>
      <c r="O20" s="156">
        <f t="shared" ref="O20:O83" si="9">SUM(L20:N20)</f>
        <v>-27942.767920901231</v>
      </c>
      <c r="P20" s="156"/>
      <c r="Q20" s="161">
        <f t="shared" si="3"/>
        <v>29129565.281101428</v>
      </c>
      <c r="R20" s="162">
        <v>0</v>
      </c>
      <c r="S20" s="163">
        <f t="shared" si="4"/>
        <v>0</v>
      </c>
      <c r="T20" s="156">
        <f t="shared" si="5"/>
        <v>29129565.281101428</v>
      </c>
      <c r="U20" s="90"/>
      <c r="V20" s="161">
        <v>0</v>
      </c>
      <c r="W20" s="156">
        <f t="shared" si="6"/>
        <v>29129565.281101428</v>
      </c>
      <c r="X20" s="90"/>
      <c r="Y20" s="156">
        <f t="shared" ref="Y20:AB83" si="10">$W20/4</f>
        <v>7282391.320275357</v>
      </c>
      <c r="Z20" s="156">
        <f t="shared" si="7"/>
        <v>7282391.320275357</v>
      </c>
      <c r="AA20" s="156">
        <f t="shared" si="7"/>
        <v>7282391.320275357</v>
      </c>
      <c r="AB20" s="156">
        <f t="shared" si="7"/>
        <v>7282391.320275357</v>
      </c>
    </row>
    <row r="21" spans="2:28" x14ac:dyDescent="0.3">
      <c r="B21" s="17">
        <v>50</v>
      </c>
      <c r="C21" s="137">
        <v>1</v>
      </c>
      <c r="D21" s="138" t="s">
        <v>50</v>
      </c>
      <c r="E21" s="153">
        <v>23188.6</v>
      </c>
      <c r="F21" s="151">
        <v>12234889.41</v>
      </c>
      <c r="G21" s="151">
        <v>2017716.84</v>
      </c>
      <c r="H21" s="151">
        <f t="shared" si="0"/>
        <v>10217172.57</v>
      </c>
      <c r="I21" s="85">
        <f t="shared" si="1"/>
        <v>440.61187695678052</v>
      </c>
      <c r="J21" s="131">
        <f t="shared" si="2"/>
        <v>4926865.7997536771</v>
      </c>
      <c r="K21" s="156"/>
      <c r="L21" s="156">
        <f>IFERROR(INDEX('Revised 2021 MFAM(2019 PYAs)'!AD$26:AD$278,MATCH(B21,'Revised 2021 MFAM(2019 PYAs)'!B$26:B$278,0)),0)</f>
        <v>-10076.976580929011</v>
      </c>
      <c r="M21" s="156">
        <f>IFERROR(INDEX('Revised 2020 MFAM(2018 PYAs)'!AF$26:AF$274,MATCH(B21,'Revised 2020 MFAM(2018 PYAs)'!B$26:B$274,0)),0)</f>
        <v>-1774.1018096311018</v>
      </c>
      <c r="N21" s="156">
        <f t="shared" si="8"/>
        <v>-17.238609965443846</v>
      </c>
      <c r="O21" s="156">
        <f t="shared" si="9"/>
        <v>-11868.317000525556</v>
      </c>
      <c r="P21" s="156"/>
      <c r="Q21" s="161">
        <f t="shared" si="3"/>
        <v>4914997.4827531511</v>
      </c>
      <c r="R21" s="162">
        <v>0</v>
      </c>
      <c r="S21" s="163">
        <f t="shared" si="4"/>
        <v>0</v>
      </c>
      <c r="T21" s="156">
        <f t="shared" si="5"/>
        <v>4914997.4827531511</v>
      </c>
      <c r="U21" s="90"/>
      <c r="V21" s="161">
        <v>0</v>
      </c>
      <c r="W21" s="156">
        <f t="shared" si="6"/>
        <v>4914997.4827531511</v>
      </c>
      <c r="X21" s="90"/>
      <c r="Y21" s="156">
        <f t="shared" si="10"/>
        <v>1228749.3706882878</v>
      </c>
      <c r="Z21" s="156">
        <f t="shared" si="7"/>
        <v>1228749.3706882878</v>
      </c>
      <c r="AA21" s="156">
        <f t="shared" si="7"/>
        <v>1228749.3706882878</v>
      </c>
      <c r="AB21" s="156">
        <f t="shared" si="7"/>
        <v>1228749.3706882878</v>
      </c>
    </row>
    <row r="22" spans="2:28" x14ac:dyDescent="0.3">
      <c r="B22" s="17">
        <v>97</v>
      </c>
      <c r="C22" s="137">
        <v>1</v>
      </c>
      <c r="D22" s="138" t="s">
        <v>51</v>
      </c>
      <c r="E22" s="153">
        <v>57594.14</v>
      </c>
      <c r="F22" s="151">
        <v>31289464.210000001</v>
      </c>
      <c r="G22" s="151">
        <v>4915762.76</v>
      </c>
      <c r="H22" s="151">
        <f t="shared" si="0"/>
        <v>26373701.450000003</v>
      </c>
      <c r="I22" s="85">
        <f t="shared" si="1"/>
        <v>457.92334862539843</v>
      </c>
      <c r="J22" s="131">
        <f t="shared" si="2"/>
        <v>12717773.61072007</v>
      </c>
      <c r="K22" s="156"/>
      <c r="L22" s="156">
        <f>IFERROR(INDEX('Revised 2021 MFAM(2019 PYAs)'!AD$26:AD$278,MATCH(B22,'Revised 2021 MFAM(2019 PYAs)'!B$26:B$278,0)),0)</f>
        <v>-27846.680897980928</v>
      </c>
      <c r="M22" s="156">
        <f>IFERROR(INDEX('Revised 2020 MFAM(2018 PYAs)'!AF$26:AF$274,MATCH(B22,'Revised 2020 MFAM(2018 PYAs)'!B$26:B$274,0)),0)</f>
        <v>-6605.4901622347534</v>
      </c>
      <c r="N22" s="156">
        <f t="shared" si="8"/>
        <v>-44.498216069733154</v>
      </c>
      <c r="O22" s="156">
        <f t="shared" si="9"/>
        <v>-34496.669276285415</v>
      </c>
      <c r="P22" s="156"/>
      <c r="Q22" s="161">
        <f t="shared" si="3"/>
        <v>12683276.941443784</v>
      </c>
      <c r="R22" s="162">
        <v>0</v>
      </c>
      <c r="S22" s="163">
        <f t="shared" si="4"/>
        <v>0</v>
      </c>
      <c r="T22" s="156">
        <f t="shared" si="5"/>
        <v>12683276.941443784</v>
      </c>
      <c r="U22" s="90"/>
      <c r="V22" s="161">
        <v>0</v>
      </c>
      <c r="W22" s="156">
        <f t="shared" si="6"/>
        <v>12683276.941443784</v>
      </c>
      <c r="X22" s="90"/>
      <c r="Y22" s="156">
        <f t="shared" si="10"/>
        <v>3170819.235360946</v>
      </c>
      <c r="Z22" s="156">
        <f t="shared" si="7"/>
        <v>3170819.235360946</v>
      </c>
      <c r="AA22" s="156">
        <f t="shared" si="7"/>
        <v>3170819.235360946</v>
      </c>
      <c r="AB22" s="156">
        <f t="shared" si="7"/>
        <v>3170819.235360946</v>
      </c>
    </row>
    <row r="23" spans="2:28" x14ac:dyDescent="0.3">
      <c r="B23" s="17">
        <v>172</v>
      </c>
      <c r="C23" s="137">
        <v>1</v>
      </c>
      <c r="D23" s="138" t="s">
        <v>52</v>
      </c>
      <c r="E23" s="153">
        <v>31467.38</v>
      </c>
      <c r="F23" s="151">
        <v>16470478.08</v>
      </c>
      <c r="G23" s="151">
        <v>2082958.0499999998</v>
      </c>
      <c r="H23" s="151">
        <f t="shared" si="0"/>
        <v>14387520.030000001</v>
      </c>
      <c r="I23" s="85">
        <f t="shared" si="1"/>
        <v>457.22014447977557</v>
      </c>
      <c r="J23" s="131">
        <f t="shared" si="2"/>
        <v>6937866.6057979679</v>
      </c>
      <c r="K23" s="156"/>
      <c r="L23" s="156">
        <f>IFERROR(INDEX('Revised 2021 MFAM(2019 PYAs)'!AD$26:AD$278,MATCH(B23,'Revised 2021 MFAM(2019 PYAs)'!B$26:B$278,0)),0)</f>
        <v>-14845.227182037197</v>
      </c>
      <c r="M23" s="156">
        <f>IFERROR(INDEX('Revised 2020 MFAM(2018 PYAs)'!AF$26:AF$274,MATCH(B23,'Revised 2020 MFAM(2018 PYAs)'!B$26:B$274,0)),0)</f>
        <v>-3271.8781184740365</v>
      </c>
      <c r="N23" s="156">
        <f t="shared" si="8"/>
        <v>-24.274900366802843</v>
      </c>
      <c r="O23" s="156">
        <f t="shared" si="9"/>
        <v>-18141.380200878037</v>
      </c>
      <c r="P23" s="156"/>
      <c r="Q23" s="161">
        <f t="shared" si="3"/>
        <v>6919725.2255970901</v>
      </c>
      <c r="R23" s="162">
        <v>0</v>
      </c>
      <c r="S23" s="163">
        <f t="shared" si="4"/>
        <v>0</v>
      </c>
      <c r="T23" s="156">
        <f t="shared" si="5"/>
        <v>6919725.2255970901</v>
      </c>
      <c r="U23" s="90"/>
      <c r="V23" s="161">
        <v>0</v>
      </c>
      <c r="W23" s="156">
        <f t="shared" si="6"/>
        <v>6919725.2255970901</v>
      </c>
      <c r="X23" s="90"/>
      <c r="Y23" s="156">
        <f t="shared" si="10"/>
        <v>1729931.3063992725</v>
      </c>
      <c r="Z23" s="156">
        <f t="shared" si="7"/>
        <v>1729931.3063992725</v>
      </c>
      <c r="AA23" s="156">
        <f t="shared" si="7"/>
        <v>1729931.3063992725</v>
      </c>
      <c r="AB23" s="156">
        <f t="shared" si="7"/>
        <v>1729931.3063992725</v>
      </c>
    </row>
    <row r="24" spans="2:28" x14ac:dyDescent="0.3">
      <c r="B24" s="17">
        <v>270</v>
      </c>
      <c r="C24" s="137">
        <v>1</v>
      </c>
      <c r="D24" s="138" t="s">
        <v>53</v>
      </c>
      <c r="E24" s="153">
        <v>76782.87</v>
      </c>
      <c r="F24" s="151">
        <v>38388637.640000001</v>
      </c>
      <c r="G24" s="151">
        <v>185109.55</v>
      </c>
      <c r="H24" s="151">
        <f t="shared" si="0"/>
        <v>38203528.090000004</v>
      </c>
      <c r="I24" s="85">
        <f t="shared" si="1"/>
        <v>497.55274959115235</v>
      </c>
      <c r="J24" s="131">
        <f t="shared" si="2"/>
        <v>18422284.118917443</v>
      </c>
      <c r="K24" s="156"/>
      <c r="L24" s="156">
        <f>IFERROR(INDEX('Revised 2021 MFAM(2019 PYAs)'!AD$26:AD$278,MATCH(B24,'Revised 2021 MFAM(2019 PYAs)'!B$26:B$278,0)),0)</f>
        <v>-46558.583805862814</v>
      </c>
      <c r="M24" s="156">
        <f>IFERROR(INDEX('Revised 2020 MFAM(2018 PYAs)'!AF$26:AF$274,MATCH(B24,'Revised 2020 MFAM(2018 PYAs)'!B$26:B$274,0)),0)</f>
        <v>890.39664436876774</v>
      </c>
      <c r="N24" s="156">
        <f t="shared" si="8"/>
        <v>-64.457726982229872</v>
      </c>
      <c r="O24" s="156">
        <f t="shared" si="9"/>
        <v>-45732.644888476279</v>
      </c>
      <c r="P24" s="156"/>
      <c r="Q24" s="161">
        <f t="shared" si="3"/>
        <v>18376551.474028967</v>
      </c>
      <c r="R24" s="162">
        <v>0</v>
      </c>
      <c r="S24" s="163">
        <f t="shared" si="4"/>
        <v>0</v>
      </c>
      <c r="T24" s="156">
        <f t="shared" si="5"/>
        <v>18376551.474028967</v>
      </c>
      <c r="U24" s="90"/>
      <c r="V24" s="161">
        <v>239196.07799999998</v>
      </c>
      <c r="W24" s="156">
        <f t="shared" si="6"/>
        <v>18615747.552028969</v>
      </c>
      <c r="X24" s="90"/>
      <c r="Y24" s="156">
        <f t="shared" si="10"/>
        <v>4653936.8880072422</v>
      </c>
      <c r="Z24" s="156">
        <f t="shared" si="7"/>
        <v>4653936.8880072422</v>
      </c>
      <c r="AA24" s="156">
        <f t="shared" si="7"/>
        <v>4653936.8880072422</v>
      </c>
      <c r="AB24" s="156">
        <f t="shared" si="7"/>
        <v>4653936.8880072422</v>
      </c>
    </row>
    <row r="25" spans="2:28" x14ac:dyDescent="0.3">
      <c r="B25" s="17">
        <v>6</v>
      </c>
      <c r="C25" s="137">
        <v>2</v>
      </c>
      <c r="D25" s="138" t="s">
        <v>54</v>
      </c>
      <c r="E25" s="153">
        <v>41369.72</v>
      </c>
      <c r="F25" s="151">
        <v>19519817.030000001</v>
      </c>
      <c r="G25" s="151">
        <v>3436612.88</v>
      </c>
      <c r="H25" s="151">
        <f t="shared" si="0"/>
        <v>16083204.150000002</v>
      </c>
      <c r="I25" s="85">
        <f t="shared" si="1"/>
        <v>388.76753698115436</v>
      </c>
      <c r="J25" s="131">
        <f t="shared" si="2"/>
        <v>7755549.5842125537</v>
      </c>
      <c r="K25" s="156"/>
      <c r="L25" s="156">
        <f>IFERROR(INDEX('Revised 2021 MFAM(2019 PYAs)'!AD$26:AD$278,MATCH(B25,'Revised 2021 MFAM(2019 PYAs)'!B$26:B$278,0)),0)</f>
        <v>-18011.105205883272</v>
      </c>
      <c r="M25" s="156">
        <f>IFERROR(INDEX('Revised 2020 MFAM(2018 PYAs)'!AF$26:AF$274,MATCH(B25,'Revised 2020 MFAM(2018 PYAs)'!B$26:B$274,0)),0)</f>
        <v>-3716.723883735016</v>
      </c>
      <c r="N25" s="156">
        <f t="shared" si="8"/>
        <v>-27.135891210307491</v>
      </c>
      <c r="O25" s="156">
        <f t="shared" si="9"/>
        <v>-21754.964980828594</v>
      </c>
      <c r="P25" s="156"/>
      <c r="Q25" s="161">
        <f t="shared" si="3"/>
        <v>7733794.6192317251</v>
      </c>
      <c r="R25" s="162">
        <v>0</v>
      </c>
      <c r="S25" s="163">
        <f t="shared" si="4"/>
        <v>0</v>
      </c>
      <c r="T25" s="156">
        <f t="shared" si="5"/>
        <v>7733794.6192317251</v>
      </c>
      <c r="U25" s="90"/>
      <c r="V25" s="161">
        <v>0</v>
      </c>
      <c r="W25" s="156">
        <f t="shared" si="6"/>
        <v>7733794.6192317251</v>
      </c>
      <c r="X25" s="90"/>
      <c r="Y25" s="156">
        <f t="shared" si="10"/>
        <v>1933448.6548079313</v>
      </c>
      <c r="Z25" s="156">
        <f t="shared" si="7"/>
        <v>1933448.6548079313</v>
      </c>
      <c r="AA25" s="156">
        <f t="shared" si="7"/>
        <v>1933448.6548079313</v>
      </c>
      <c r="AB25" s="156">
        <f t="shared" si="7"/>
        <v>1933448.6548079313</v>
      </c>
    </row>
    <row r="26" spans="2:28" x14ac:dyDescent="0.3">
      <c r="B26" s="17">
        <v>18</v>
      </c>
      <c r="C26" s="137">
        <v>2</v>
      </c>
      <c r="D26" s="138" t="s">
        <v>55</v>
      </c>
      <c r="E26" s="153">
        <v>18591.03</v>
      </c>
      <c r="F26" s="151">
        <v>9886547.7300000004</v>
      </c>
      <c r="G26" s="151">
        <v>2290745.2799999998</v>
      </c>
      <c r="H26" s="151">
        <f t="shared" si="0"/>
        <v>7595802.4500000011</v>
      </c>
      <c r="I26" s="85">
        <f t="shared" si="1"/>
        <v>408.57351367837077</v>
      </c>
      <c r="J26" s="131">
        <f t="shared" si="2"/>
        <v>3662803.8780977731</v>
      </c>
      <c r="K26" s="156"/>
      <c r="L26" s="156">
        <f>IFERROR(INDEX('Revised 2021 MFAM(2019 PYAs)'!AD$26:AD$278,MATCH(B26,'Revised 2021 MFAM(2019 PYAs)'!B$26:B$278,0)),0)</f>
        <v>-8364.0557064991444</v>
      </c>
      <c r="M26" s="156">
        <f>IFERROR(INDEX('Revised 2020 MFAM(2018 PYAs)'!AF$26:AF$274,MATCH(B26,'Revised 2020 MFAM(2018 PYAs)'!B$26:B$274,0)),0)</f>
        <v>-1361.0208154665306</v>
      </c>
      <c r="N26" s="156">
        <f t="shared" si="8"/>
        <v>-12.81578390822</v>
      </c>
      <c r="O26" s="156">
        <f t="shared" si="9"/>
        <v>-9737.8923058738947</v>
      </c>
      <c r="P26" s="156"/>
      <c r="Q26" s="161">
        <f t="shared" si="3"/>
        <v>3653065.9857918993</v>
      </c>
      <c r="R26" s="162">
        <v>0</v>
      </c>
      <c r="S26" s="163">
        <f t="shared" si="4"/>
        <v>0</v>
      </c>
      <c r="T26" s="156">
        <f t="shared" si="5"/>
        <v>3653065.9857918993</v>
      </c>
      <c r="U26" s="90"/>
      <c r="V26" s="161">
        <v>0</v>
      </c>
      <c r="W26" s="156">
        <f t="shared" si="6"/>
        <v>3653065.9857918993</v>
      </c>
      <c r="X26" s="90"/>
      <c r="Y26" s="156">
        <f t="shared" si="10"/>
        <v>913266.49644797482</v>
      </c>
      <c r="Z26" s="156">
        <f t="shared" si="7"/>
        <v>913266.49644797482</v>
      </c>
      <c r="AA26" s="156">
        <f t="shared" si="7"/>
        <v>913266.49644797482</v>
      </c>
      <c r="AB26" s="156">
        <f t="shared" si="7"/>
        <v>913266.49644797482</v>
      </c>
    </row>
    <row r="27" spans="2:28" x14ac:dyDescent="0.3">
      <c r="B27" s="17">
        <v>53</v>
      </c>
      <c r="C27" s="137">
        <v>2</v>
      </c>
      <c r="D27" s="138" t="s">
        <v>56</v>
      </c>
      <c r="E27" s="153">
        <v>33206.550000000003</v>
      </c>
      <c r="F27" s="151">
        <v>11294897.619999999</v>
      </c>
      <c r="G27" s="151">
        <v>2925233.89</v>
      </c>
      <c r="H27" s="151">
        <f t="shared" si="0"/>
        <v>8369663.7299999986</v>
      </c>
      <c r="I27" s="85">
        <f t="shared" si="1"/>
        <v>252.04857866896737</v>
      </c>
      <c r="J27" s="131">
        <f t="shared" si="2"/>
        <v>4035970.7839187239</v>
      </c>
      <c r="K27" s="156"/>
      <c r="L27" s="156">
        <f>IFERROR(INDEX('Revised 2021 MFAM(2019 PYAs)'!AD$26:AD$278,MATCH(B27,'Revised 2021 MFAM(2019 PYAs)'!B$26:B$278,0)),0)</f>
        <v>-10009.249504474923</v>
      </c>
      <c r="M27" s="156">
        <f>IFERROR(INDEX('Revised 2020 MFAM(2018 PYAs)'!AF$26:AF$274,MATCH(B27,'Revised 2020 MFAM(2018 PYAs)'!B$26:B$274,0)),0)</f>
        <v>-2049.7266084067523</v>
      </c>
      <c r="N27" s="156">
        <f t="shared" si="8"/>
        <v>-14.121457535819214</v>
      </c>
      <c r="O27" s="156">
        <f t="shared" si="9"/>
        <v>-12073.097570417494</v>
      </c>
      <c r="P27" s="156"/>
      <c r="Q27" s="161">
        <f t="shared" si="3"/>
        <v>4023897.6863483065</v>
      </c>
      <c r="R27" s="162">
        <v>0</v>
      </c>
      <c r="S27" s="163">
        <f t="shared" si="4"/>
        <v>0</v>
      </c>
      <c r="T27" s="156">
        <f t="shared" si="5"/>
        <v>4023897.6863483065</v>
      </c>
      <c r="U27" s="90"/>
      <c r="V27" s="161">
        <v>0</v>
      </c>
      <c r="W27" s="156">
        <f t="shared" si="6"/>
        <v>4023897.6863483065</v>
      </c>
      <c r="X27" s="90"/>
      <c r="Y27" s="156">
        <f t="shared" si="10"/>
        <v>1005974.4215870766</v>
      </c>
      <c r="Z27" s="156">
        <f t="shared" si="7"/>
        <v>1005974.4215870766</v>
      </c>
      <c r="AA27" s="156">
        <f t="shared" si="7"/>
        <v>1005974.4215870766</v>
      </c>
      <c r="AB27" s="156">
        <f t="shared" si="7"/>
        <v>1005974.4215870766</v>
      </c>
    </row>
    <row r="28" spans="2:28" x14ac:dyDescent="0.3">
      <c r="B28" s="17">
        <v>335</v>
      </c>
      <c r="C28" s="137">
        <v>2</v>
      </c>
      <c r="D28" s="138" t="s">
        <v>57</v>
      </c>
      <c r="E28" s="153">
        <v>26354.27</v>
      </c>
      <c r="F28" s="151">
        <v>14716877.939999999</v>
      </c>
      <c r="G28" s="151">
        <v>2164273.0699999998</v>
      </c>
      <c r="H28" s="151">
        <f t="shared" si="0"/>
        <v>12552604.869999999</v>
      </c>
      <c r="I28" s="85">
        <f t="shared" si="1"/>
        <v>476.30250695617821</v>
      </c>
      <c r="J28" s="131">
        <f t="shared" si="2"/>
        <v>6053044.4414157961</v>
      </c>
      <c r="K28" s="156"/>
      <c r="L28" s="156">
        <f>IFERROR(INDEX('Revised 2021 MFAM(2019 PYAs)'!AD$26:AD$278,MATCH(B28,'Revised 2021 MFAM(2019 PYAs)'!B$26:B$278,0)),0)</f>
        <v>54563.965682028793</v>
      </c>
      <c r="M28" s="156">
        <f>IFERROR(INDEX('Revised 2020 MFAM(2018 PYAs)'!AF$26:AF$274,MATCH(B28,'Revised 2020 MFAM(2018 PYAs)'!B$26:B$274,0)),0)</f>
        <v>-1958.3155793002807</v>
      </c>
      <c r="N28" s="156">
        <f t="shared" si="8"/>
        <v>-21.1789962361633</v>
      </c>
      <c r="O28" s="156">
        <f t="shared" si="9"/>
        <v>52584.471106492347</v>
      </c>
      <c r="P28" s="156"/>
      <c r="Q28" s="161">
        <f t="shared" si="3"/>
        <v>6105628.912522288</v>
      </c>
      <c r="R28" s="162">
        <v>0</v>
      </c>
      <c r="S28" s="163">
        <f t="shared" si="4"/>
        <v>0</v>
      </c>
      <c r="T28" s="156">
        <f t="shared" si="5"/>
        <v>6105628.912522288</v>
      </c>
      <c r="U28" s="90"/>
      <c r="V28" s="161">
        <v>0</v>
      </c>
      <c r="W28" s="156">
        <f t="shared" si="6"/>
        <v>6105628.912522288</v>
      </c>
      <c r="X28" s="90"/>
      <c r="Y28" s="156">
        <f t="shared" si="10"/>
        <v>1526407.228130572</v>
      </c>
      <c r="Z28" s="156">
        <f t="shared" si="7"/>
        <v>1526407.228130572</v>
      </c>
      <c r="AA28" s="156">
        <f t="shared" si="7"/>
        <v>1526407.228130572</v>
      </c>
      <c r="AB28" s="156">
        <f t="shared" si="7"/>
        <v>1526407.228130572</v>
      </c>
    </row>
    <row r="29" spans="2:28" x14ac:dyDescent="0.3">
      <c r="B29" s="17">
        <v>357</v>
      </c>
      <c r="C29" s="137">
        <v>2</v>
      </c>
      <c r="D29" s="138" t="s">
        <v>58</v>
      </c>
      <c r="E29" s="153">
        <v>35944.75</v>
      </c>
      <c r="F29" s="151">
        <v>15651927.32</v>
      </c>
      <c r="G29" s="151">
        <v>3863038.7800000003</v>
      </c>
      <c r="H29" s="151">
        <f t="shared" si="0"/>
        <v>11788888.539999999</v>
      </c>
      <c r="I29" s="85">
        <f t="shared" si="1"/>
        <v>327.97247275332279</v>
      </c>
      <c r="J29" s="131">
        <f t="shared" si="2"/>
        <v>5684769.5746450573</v>
      </c>
      <c r="K29" s="156"/>
      <c r="L29" s="156">
        <f>IFERROR(INDEX('Revised 2021 MFAM(2019 PYAs)'!AD$26:AD$278,MATCH(B29,'Revised 2021 MFAM(2019 PYAs)'!B$26:B$278,0)),0)</f>
        <v>-12560.403439799324</v>
      </c>
      <c r="M29" s="156">
        <f>IFERROR(INDEX('Revised 2020 MFAM(2018 PYAs)'!AF$26:AF$274,MATCH(B29,'Revised 2020 MFAM(2018 PYAs)'!B$26:B$274,0)),0)</f>
        <v>-2235.9663644200191</v>
      </c>
      <c r="N29" s="156">
        <f t="shared" si="8"/>
        <v>-19.890439363221084</v>
      </c>
      <c r="O29" s="156">
        <f t="shared" si="9"/>
        <v>-14816.260243582565</v>
      </c>
      <c r="P29" s="156"/>
      <c r="Q29" s="161">
        <f t="shared" si="3"/>
        <v>5669953.3144014748</v>
      </c>
      <c r="R29" s="162">
        <v>0</v>
      </c>
      <c r="S29" s="163">
        <f t="shared" si="4"/>
        <v>0</v>
      </c>
      <c r="T29" s="156">
        <f t="shared" si="5"/>
        <v>5669953.3144014748</v>
      </c>
      <c r="U29" s="90"/>
      <c r="V29" s="161">
        <v>0</v>
      </c>
      <c r="W29" s="156">
        <f t="shared" si="6"/>
        <v>5669953.3144014748</v>
      </c>
      <c r="X29" s="90"/>
      <c r="Y29" s="156">
        <f t="shared" si="10"/>
        <v>1417488.3286003687</v>
      </c>
      <c r="Z29" s="156">
        <f t="shared" si="7"/>
        <v>1417488.3286003687</v>
      </c>
      <c r="AA29" s="156">
        <f t="shared" si="7"/>
        <v>1417488.3286003687</v>
      </c>
      <c r="AB29" s="156">
        <f t="shared" si="7"/>
        <v>1417488.3286003687</v>
      </c>
    </row>
    <row r="30" spans="2:28" x14ac:dyDescent="0.3">
      <c r="B30" s="17">
        <v>441</v>
      </c>
      <c r="C30" s="137">
        <v>2</v>
      </c>
      <c r="D30" s="138" t="s">
        <v>59</v>
      </c>
      <c r="E30" s="153">
        <v>60398.659999999996</v>
      </c>
      <c r="F30" s="151">
        <v>22593726.120000001</v>
      </c>
      <c r="G30" s="151">
        <v>6993295.8300000001</v>
      </c>
      <c r="H30" s="151">
        <f t="shared" si="0"/>
        <v>15600430.290000001</v>
      </c>
      <c r="I30" s="85">
        <f t="shared" si="1"/>
        <v>258.29099999900666</v>
      </c>
      <c r="J30" s="131">
        <f t="shared" si="2"/>
        <v>7522749.1686814418</v>
      </c>
      <c r="K30" s="156"/>
      <c r="L30" s="156">
        <f>IFERROR(INDEX('Revised 2021 MFAM(2019 PYAs)'!AD$26:AD$278,MATCH(B30,'Revised 2021 MFAM(2019 PYAs)'!B$26:B$278,0)),0)</f>
        <v>-16987.855205585249</v>
      </c>
      <c r="M30" s="156">
        <f>IFERROR(INDEX('Revised 2020 MFAM(2018 PYAs)'!AF$26:AF$274,MATCH(B30,'Revised 2020 MFAM(2018 PYAs)'!B$26:B$274,0)),0)</f>
        <v>-3207.2240822250023</v>
      </c>
      <c r="N30" s="156">
        <f t="shared" si="8"/>
        <v>-26.321345873323736</v>
      </c>
      <c r="O30" s="156">
        <f t="shared" si="9"/>
        <v>-20221.400633683574</v>
      </c>
      <c r="P30" s="156"/>
      <c r="Q30" s="161">
        <f t="shared" si="3"/>
        <v>7502527.7680477584</v>
      </c>
      <c r="R30" s="162">
        <v>0</v>
      </c>
      <c r="S30" s="163">
        <f t="shared" si="4"/>
        <v>0</v>
      </c>
      <c r="T30" s="156">
        <f t="shared" si="5"/>
        <v>7502527.7680477584</v>
      </c>
      <c r="U30" s="90"/>
      <c r="V30" s="161">
        <v>0</v>
      </c>
      <c r="W30" s="156">
        <f t="shared" si="6"/>
        <v>7502527.7680477584</v>
      </c>
      <c r="X30" s="90"/>
      <c r="Y30" s="156">
        <f t="shared" si="10"/>
        <v>1875631.9420119396</v>
      </c>
      <c r="Z30" s="156">
        <f t="shared" si="7"/>
        <v>1875631.9420119396</v>
      </c>
      <c r="AA30" s="156">
        <f t="shared" si="7"/>
        <v>1875631.9420119396</v>
      </c>
      <c r="AB30" s="156">
        <f t="shared" si="7"/>
        <v>1875631.9420119396</v>
      </c>
    </row>
    <row r="31" spans="2:28" x14ac:dyDescent="0.3">
      <c r="B31" s="17">
        <v>14</v>
      </c>
      <c r="C31" s="137">
        <v>3</v>
      </c>
      <c r="D31" s="138" t="s">
        <v>60</v>
      </c>
      <c r="E31" s="153">
        <v>12206.42</v>
      </c>
      <c r="F31" s="151">
        <v>2668581.5</v>
      </c>
      <c r="G31" s="151">
        <v>102438.22</v>
      </c>
      <c r="H31" s="151">
        <f t="shared" si="0"/>
        <v>2566143.2799999998</v>
      </c>
      <c r="I31" s="85">
        <f t="shared" si="1"/>
        <v>210.22898441967422</v>
      </c>
      <c r="J31" s="131">
        <f t="shared" si="2"/>
        <v>1237430.7546319268</v>
      </c>
      <c r="K31" s="156"/>
      <c r="L31" s="156">
        <f>IFERROR(INDEX('Revised 2021 MFAM(2019 PYAs)'!AD$26:AD$278,MATCH(B31,'Revised 2021 MFAM(2019 PYAs)'!B$26:B$278,0)),0)</f>
        <v>1880.1821025158279</v>
      </c>
      <c r="M31" s="156">
        <f>IFERROR(INDEX('Revised 2020 MFAM(2018 PYAs)'!AF$26:AF$274,MATCH(B31,'Revised 2020 MFAM(2018 PYAs)'!B$26:B$274,0)),0)</f>
        <v>958.10170781495981</v>
      </c>
      <c r="N31" s="156">
        <f t="shared" si="8"/>
        <v>-4.3296462711468866</v>
      </c>
      <c r="O31" s="156">
        <f t="shared" si="9"/>
        <v>2833.9541640596408</v>
      </c>
      <c r="P31" s="156"/>
      <c r="Q31" s="161">
        <f t="shared" si="3"/>
        <v>1240264.7087959864</v>
      </c>
      <c r="R31" s="162">
        <v>0</v>
      </c>
      <c r="S31" s="163">
        <f t="shared" si="4"/>
        <v>0</v>
      </c>
      <c r="T31" s="156">
        <f t="shared" si="5"/>
        <v>1240264.7087959864</v>
      </c>
      <c r="U31" s="90"/>
      <c r="V31" s="161">
        <v>5736.9840000000004</v>
      </c>
      <c r="W31" s="156">
        <f t="shared" si="6"/>
        <v>1246001.6927959863</v>
      </c>
      <c r="X31" s="90"/>
      <c r="Y31" s="156">
        <f t="shared" si="10"/>
        <v>311500.42319899658</v>
      </c>
      <c r="Z31" s="156">
        <f t="shared" si="7"/>
        <v>311500.42319899658</v>
      </c>
      <c r="AA31" s="156">
        <f t="shared" si="7"/>
        <v>311500.42319899658</v>
      </c>
      <c r="AB31" s="156">
        <f t="shared" si="7"/>
        <v>311500.42319899658</v>
      </c>
    </row>
    <row r="32" spans="2:28" x14ac:dyDescent="0.3">
      <c r="B32" s="17">
        <v>36</v>
      </c>
      <c r="C32" s="137">
        <v>3</v>
      </c>
      <c r="D32" s="138" t="s">
        <v>61</v>
      </c>
      <c r="E32" s="153">
        <v>4378.0899999999992</v>
      </c>
      <c r="F32" s="151">
        <v>7032628.79</v>
      </c>
      <c r="G32" s="151">
        <v>586758.02</v>
      </c>
      <c r="H32" s="151">
        <f t="shared" si="0"/>
        <v>6445870.7699999996</v>
      </c>
      <c r="I32" s="85">
        <f t="shared" si="1"/>
        <v>1472.3020243987676</v>
      </c>
      <c r="J32" s="131">
        <f t="shared" si="2"/>
        <v>3108290.4814188625</v>
      </c>
      <c r="K32" s="156"/>
      <c r="L32" s="156">
        <f>IFERROR(INDEX('Revised 2021 MFAM(2019 PYAs)'!AD$26:AD$278,MATCH(B32,'Revised 2021 MFAM(2019 PYAs)'!B$26:B$278,0)),0)</f>
        <v>-15372.120051702019</v>
      </c>
      <c r="M32" s="156">
        <f>IFERROR(INDEX('Revised 2020 MFAM(2018 PYAs)'!AF$26:AF$274,MATCH(B32,'Revised 2020 MFAM(2018 PYAs)'!B$26:B$274,0)),0)</f>
        <v>-1064.4741439961363</v>
      </c>
      <c r="N32" s="156">
        <f t="shared" si="8"/>
        <v>-10.875597072516234</v>
      </c>
      <c r="O32" s="156">
        <f t="shared" si="9"/>
        <v>-16447.469792770673</v>
      </c>
      <c r="P32" s="156"/>
      <c r="Q32" s="161">
        <f t="shared" si="3"/>
        <v>3091843.0116260918</v>
      </c>
      <c r="R32" s="162">
        <v>0</v>
      </c>
      <c r="S32" s="163">
        <f t="shared" si="4"/>
        <v>0</v>
      </c>
      <c r="T32" s="156">
        <f t="shared" si="5"/>
        <v>3091843.0116260918</v>
      </c>
      <c r="U32" s="90"/>
      <c r="V32" s="161">
        <v>0</v>
      </c>
      <c r="W32" s="156">
        <f t="shared" si="6"/>
        <v>3091843.0116260918</v>
      </c>
      <c r="X32" s="90"/>
      <c r="Y32" s="156">
        <f t="shared" si="10"/>
        <v>772960.75290652295</v>
      </c>
      <c r="Z32" s="156">
        <f t="shared" si="7"/>
        <v>772960.75290652295</v>
      </c>
      <c r="AA32" s="156">
        <f t="shared" si="7"/>
        <v>772960.75290652295</v>
      </c>
      <c r="AB32" s="156">
        <f t="shared" si="7"/>
        <v>772960.75290652295</v>
      </c>
    </row>
    <row r="33" spans="2:28" x14ac:dyDescent="0.3">
      <c r="B33" s="17">
        <v>55</v>
      </c>
      <c r="C33" s="137">
        <v>3</v>
      </c>
      <c r="D33" s="138" t="s">
        <v>62</v>
      </c>
      <c r="E33" s="153">
        <v>3576.87</v>
      </c>
      <c r="F33" s="151">
        <v>1491046.76</v>
      </c>
      <c r="G33" s="151">
        <v>64044.21</v>
      </c>
      <c r="H33" s="151">
        <f t="shared" si="0"/>
        <v>1427002.55</v>
      </c>
      <c r="I33" s="85">
        <f t="shared" si="1"/>
        <v>398.95286940816976</v>
      </c>
      <c r="J33" s="131">
        <f t="shared" si="2"/>
        <v>688120.9073829205</v>
      </c>
      <c r="K33" s="156"/>
      <c r="L33" s="156">
        <f>IFERROR(INDEX('Revised 2021 MFAM(2019 PYAs)'!AD$26:AD$278,MATCH(B33,'Revised 2021 MFAM(2019 PYAs)'!B$26:B$278,0)),0)</f>
        <v>-1497.0561409901129</v>
      </c>
      <c r="M33" s="156">
        <f>IFERROR(INDEX('Revised 2020 MFAM(2018 PYAs)'!AF$26:AF$274,MATCH(B33,'Revised 2020 MFAM(2018 PYAs)'!B$26:B$274,0)),0)</f>
        <v>-351.91528915020172</v>
      </c>
      <c r="N33" s="156">
        <f t="shared" si="8"/>
        <v>-2.4076661337182226</v>
      </c>
      <c r="O33" s="156">
        <f t="shared" si="9"/>
        <v>-1851.3790962740329</v>
      </c>
      <c r="P33" s="156"/>
      <c r="Q33" s="161">
        <f t="shared" si="3"/>
        <v>686269.52828664647</v>
      </c>
      <c r="R33" s="162">
        <v>0</v>
      </c>
      <c r="S33" s="163">
        <f t="shared" si="4"/>
        <v>0</v>
      </c>
      <c r="T33" s="156">
        <f t="shared" si="5"/>
        <v>686269.52828664647</v>
      </c>
      <c r="U33" s="90"/>
      <c r="V33" s="161">
        <v>0</v>
      </c>
      <c r="W33" s="156">
        <f t="shared" si="6"/>
        <v>686269.52828664647</v>
      </c>
      <c r="X33" s="90"/>
      <c r="Y33" s="156">
        <f t="shared" si="10"/>
        <v>171567.38207166162</v>
      </c>
      <c r="Z33" s="156">
        <f t="shared" si="7"/>
        <v>171567.38207166162</v>
      </c>
      <c r="AA33" s="156">
        <f t="shared" si="7"/>
        <v>171567.38207166162</v>
      </c>
      <c r="AB33" s="156">
        <f t="shared" si="7"/>
        <v>171567.38207166162</v>
      </c>
    </row>
    <row r="34" spans="2:28" x14ac:dyDescent="0.3">
      <c r="B34" s="17">
        <v>103</v>
      </c>
      <c r="C34" s="137">
        <v>3</v>
      </c>
      <c r="D34" s="138" t="s">
        <v>63</v>
      </c>
      <c r="E34" s="153">
        <v>4188.0400000000009</v>
      </c>
      <c r="F34" s="151">
        <v>1975311.14</v>
      </c>
      <c r="G34" s="151">
        <v>318215.14999999991</v>
      </c>
      <c r="H34" s="151">
        <f t="shared" si="0"/>
        <v>1657095.99</v>
      </c>
      <c r="I34" s="85">
        <f t="shared" si="1"/>
        <v>395.67339137162003</v>
      </c>
      <c r="J34" s="131">
        <f t="shared" si="2"/>
        <v>799075.23378945538</v>
      </c>
      <c r="K34" s="156"/>
      <c r="L34" s="156">
        <f>IFERROR(INDEX('Revised 2021 MFAM(2019 PYAs)'!AD$26:AD$278,MATCH(B34,'Revised 2021 MFAM(2019 PYAs)'!B$26:B$278,0)),0)</f>
        <v>-1555.117957686889</v>
      </c>
      <c r="M34" s="156">
        <f>IFERROR(INDEX('Revised 2020 MFAM(2018 PYAs)'!AF$26:AF$274,MATCH(B34,'Revised 2020 MFAM(2018 PYAs)'!B$26:B$274,0)),0)</f>
        <v>-234.35613342939178</v>
      </c>
      <c r="N34" s="156">
        <f t="shared" si="8"/>
        <v>-2.7958842087866422</v>
      </c>
      <c r="O34" s="156">
        <f t="shared" si="9"/>
        <v>-1792.2699753250674</v>
      </c>
      <c r="P34" s="156"/>
      <c r="Q34" s="161">
        <f t="shared" si="3"/>
        <v>797282.96381413029</v>
      </c>
      <c r="R34" s="162">
        <v>0</v>
      </c>
      <c r="S34" s="163">
        <f t="shared" si="4"/>
        <v>0</v>
      </c>
      <c r="T34" s="156">
        <f t="shared" si="5"/>
        <v>797282.96381413029</v>
      </c>
      <c r="U34" s="90"/>
      <c r="V34" s="161">
        <v>0</v>
      </c>
      <c r="W34" s="156">
        <f t="shared" si="6"/>
        <v>797282.96381413029</v>
      </c>
      <c r="X34" s="90"/>
      <c r="Y34" s="156">
        <f t="shared" si="10"/>
        <v>199320.74095353257</v>
      </c>
      <c r="Z34" s="156">
        <f t="shared" si="7"/>
        <v>199320.74095353257</v>
      </c>
      <c r="AA34" s="156">
        <f t="shared" si="7"/>
        <v>199320.74095353257</v>
      </c>
      <c r="AB34" s="156">
        <f t="shared" si="7"/>
        <v>199320.74095353257</v>
      </c>
    </row>
    <row r="35" spans="2:28" x14ac:dyDescent="0.3">
      <c r="B35" s="17">
        <v>123</v>
      </c>
      <c r="C35" s="137">
        <v>3</v>
      </c>
      <c r="D35" s="138" t="s">
        <v>64</v>
      </c>
      <c r="E35" s="153">
        <v>6909.68</v>
      </c>
      <c r="F35" s="151">
        <v>3047030.47</v>
      </c>
      <c r="G35" s="151">
        <v>176619</v>
      </c>
      <c r="H35" s="151">
        <f t="shared" si="0"/>
        <v>2870411.47</v>
      </c>
      <c r="I35" s="85">
        <f t="shared" si="1"/>
        <v>415.41887178566884</v>
      </c>
      <c r="J35" s="131">
        <f t="shared" si="2"/>
        <v>1384153.1995151255</v>
      </c>
      <c r="K35" s="156"/>
      <c r="L35" s="156">
        <f>IFERROR(INDEX('Revised 2021 MFAM(2019 PYAs)'!AD$26:AD$278,MATCH(B35,'Revised 2021 MFAM(2019 PYAs)'!B$26:B$278,0)),0)</f>
        <v>-2788.4326224082615</v>
      </c>
      <c r="M35" s="156">
        <f>IFERROR(INDEX('Revised 2020 MFAM(2018 PYAs)'!AF$26:AF$274,MATCH(B35,'Revised 2020 MFAM(2018 PYAs)'!B$26:B$274,0)),0)</f>
        <v>-353.60805131855886</v>
      </c>
      <c r="N35" s="156">
        <f t="shared" si="8"/>
        <v>-4.8430134102811104</v>
      </c>
      <c r="O35" s="156">
        <f t="shared" si="9"/>
        <v>-3146.8836871371013</v>
      </c>
      <c r="P35" s="156"/>
      <c r="Q35" s="161">
        <f t="shared" si="3"/>
        <v>1381006.3158279883</v>
      </c>
      <c r="R35" s="162">
        <v>0</v>
      </c>
      <c r="S35" s="163">
        <f t="shared" si="4"/>
        <v>0</v>
      </c>
      <c r="T35" s="156">
        <f t="shared" si="5"/>
        <v>1381006.3158279883</v>
      </c>
      <c r="U35" s="90"/>
      <c r="V35" s="161">
        <v>0</v>
      </c>
      <c r="W35" s="156">
        <f t="shared" si="6"/>
        <v>1381006.3158279883</v>
      </c>
      <c r="X35" s="90"/>
      <c r="Y35" s="156">
        <f t="shared" si="10"/>
        <v>345251.57895699708</v>
      </c>
      <c r="Z35" s="156">
        <f t="shared" si="10"/>
        <v>345251.57895699708</v>
      </c>
      <c r="AA35" s="156">
        <f t="shared" si="10"/>
        <v>345251.57895699708</v>
      </c>
      <c r="AB35" s="156">
        <f t="shared" si="10"/>
        <v>345251.57895699708</v>
      </c>
    </row>
    <row r="36" spans="2:28" x14ac:dyDescent="0.3">
      <c r="B36" s="17">
        <v>179</v>
      </c>
      <c r="C36" s="137">
        <v>3</v>
      </c>
      <c r="D36" s="138" t="s">
        <v>65</v>
      </c>
      <c r="E36" s="153">
        <v>5253.1100000000006</v>
      </c>
      <c r="F36" s="151">
        <v>3033586.82</v>
      </c>
      <c r="G36" s="151">
        <v>2380.2800000000002</v>
      </c>
      <c r="H36" s="151">
        <f t="shared" si="0"/>
        <v>3031206.54</v>
      </c>
      <c r="I36" s="85">
        <f t="shared" si="1"/>
        <v>577.03085219993488</v>
      </c>
      <c r="J36" s="131">
        <f t="shared" si="2"/>
        <v>1461690.8671745842</v>
      </c>
      <c r="K36" s="156"/>
      <c r="L36" s="156">
        <f>IFERROR(INDEX('Revised 2021 MFAM(2019 PYAs)'!AD$26:AD$278,MATCH(B36,'Revised 2021 MFAM(2019 PYAs)'!B$26:B$278,0)),0)</f>
        <v>-2360.4856229929719</v>
      </c>
      <c r="M36" s="156">
        <f>IFERROR(INDEX('Revised 2020 MFAM(2018 PYAs)'!AF$26:AF$274,MATCH(B36,'Revised 2020 MFAM(2018 PYAs)'!B$26:B$274,0)),0)</f>
        <v>-477.17579488595948</v>
      </c>
      <c r="N36" s="156">
        <f t="shared" si="8"/>
        <v>-5.1143099433586796</v>
      </c>
      <c r="O36" s="156">
        <f t="shared" si="9"/>
        <v>-2842.7757278222903</v>
      </c>
      <c r="P36" s="156"/>
      <c r="Q36" s="161">
        <f t="shared" si="3"/>
        <v>1458848.091446762</v>
      </c>
      <c r="R36" s="162">
        <v>0</v>
      </c>
      <c r="S36" s="163">
        <f t="shared" si="4"/>
        <v>0</v>
      </c>
      <c r="T36" s="156">
        <f t="shared" si="5"/>
        <v>1458848.091446762</v>
      </c>
      <c r="U36" s="90"/>
      <c r="V36" s="161">
        <v>0</v>
      </c>
      <c r="W36" s="156">
        <f t="shared" si="6"/>
        <v>1458848.091446762</v>
      </c>
      <c r="X36" s="90"/>
      <c r="Y36" s="156">
        <f t="shared" si="10"/>
        <v>364712.02286169049</v>
      </c>
      <c r="Z36" s="156">
        <f t="shared" si="10"/>
        <v>364712.02286169049</v>
      </c>
      <c r="AA36" s="156">
        <f t="shared" si="10"/>
        <v>364712.02286169049</v>
      </c>
      <c r="AB36" s="156">
        <f t="shared" si="10"/>
        <v>364712.02286169049</v>
      </c>
    </row>
    <row r="37" spans="2:28" x14ac:dyDescent="0.3">
      <c r="B37" s="17">
        <v>293</v>
      </c>
      <c r="C37" s="137">
        <v>3</v>
      </c>
      <c r="D37" s="138" t="s">
        <v>66</v>
      </c>
      <c r="E37" s="153">
        <v>6226.56</v>
      </c>
      <c r="F37" s="151">
        <v>3247941.76</v>
      </c>
      <c r="G37" s="151">
        <v>686860.16</v>
      </c>
      <c r="H37" s="151">
        <f t="shared" si="0"/>
        <v>2561081.5999999996</v>
      </c>
      <c r="I37" s="85">
        <f t="shared" si="1"/>
        <v>411.31565422962268</v>
      </c>
      <c r="J37" s="131">
        <f t="shared" si="2"/>
        <v>1234989.9406092172</v>
      </c>
      <c r="K37" s="156"/>
      <c r="L37" s="156">
        <f>IFERROR(INDEX('Revised 2021 MFAM(2019 PYAs)'!AD$26:AD$278,MATCH(B37,'Revised 2021 MFAM(2019 PYAs)'!B$26:B$278,0)),0)</f>
        <v>-2352.1319815525785</v>
      </c>
      <c r="M37" s="156">
        <f>IFERROR(INDEX('Revised 2020 MFAM(2018 PYAs)'!AF$26:AF$274,MATCH(B37,'Revised 2020 MFAM(2018 PYAs)'!B$26:B$274,0)),0)</f>
        <v>-396.00779493863229</v>
      </c>
      <c r="N37" s="156">
        <f t="shared" si="8"/>
        <v>-4.3211061073498982</v>
      </c>
      <c r="O37" s="156">
        <f t="shared" si="9"/>
        <v>-2752.4608825985606</v>
      </c>
      <c r="P37" s="156"/>
      <c r="Q37" s="161">
        <f t="shared" si="3"/>
        <v>1232237.4797266186</v>
      </c>
      <c r="R37" s="162">
        <v>0</v>
      </c>
      <c r="S37" s="163">
        <f t="shared" si="4"/>
        <v>0</v>
      </c>
      <c r="T37" s="156">
        <f t="shared" si="5"/>
        <v>1232237.4797266186</v>
      </c>
      <c r="U37" s="90"/>
      <c r="V37" s="161">
        <v>0</v>
      </c>
      <c r="W37" s="156">
        <f t="shared" si="6"/>
        <v>1232237.4797266186</v>
      </c>
      <c r="X37" s="90"/>
      <c r="Y37" s="156">
        <f t="shared" si="10"/>
        <v>308059.36993165466</v>
      </c>
      <c r="Z37" s="156">
        <f t="shared" si="10"/>
        <v>308059.36993165466</v>
      </c>
      <c r="AA37" s="156">
        <f t="shared" si="10"/>
        <v>308059.36993165466</v>
      </c>
      <c r="AB37" s="156">
        <f t="shared" si="10"/>
        <v>308059.36993165466</v>
      </c>
    </row>
    <row r="38" spans="2:28" x14ac:dyDescent="0.3">
      <c r="B38" s="17">
        <v>12</v>
      </c>
      <c r="C38" s="137">
        <v>4</v>
      </c>
      <c r="D38" s="138" t="s">
        <v>67</v>
      </c>
      <c r="E38" s="153">
        <v>5177.2300000000005</v>
      </c>
      <c r="F38" s="151">
        <v>3304763.38</v>
      </c>
      <c r="G38" s="151">
        <v>511071.68999999994</v>
      </c>
      <c r="H38" s="151">
        <f t="shared" si="0"/>
        <v>2793691.69</v>
      </c>
      <c r="I38" s="85">
        <f t="shared" si="1"/>
        <v>539.61127668656786</v>
      </c>
      <c r="J38" s="131">
        <f t="shared" si="2"/>
        <v>1347157.8314074664</v>
      </c>
      <c r="K38" s="156"/>
      <c r="L38" s="156">
        <f>IFERROR(INDEX('Revised 2021 MFAM(2019 PYAs)'!AD$26:AD$278,MATCH(B38,'Revised 2021 MFAM(2019 PYAs)'!B$26:B$278,0)),0)</f>
        <v>-679.60378211387433</v>
      </c>
      <c r="M38" s="156">
        <f>IFERROR(INDEX('Revised 2020 MFAM(2018 PYAs)'!AF$26:AF$274,MATCH(B38,'Revised 2020 MFAM(2018 PYAs)'!B$26:B$274,0)),0)</f>
        <v>11690.173466663575</v>
      </c>
      <c r="N38" s="156">
        <f t="shared" si="8"/>
        <v>-4.7135703226760368</v>
      </c>
      <c r="O38" s="156">
        <f t="shared" si="9"/>
        <v>11005.856114227025</v>
      </c>
      <c r="P38" s="156"/>
      <c r="Q38" s="161">
        <f t="shared" si="3"/>
        <v>1358163.6875216935</v>
      </c>
      <c r="R38" s="162">
        <v>0</v>
      </c>
      <c r="S38" s="163">
        <f t="shared" si="4"/>
        <v>0</v>
      </c>
      <c r="T38" s="156">
        <f t="shared" si="5"/>
        <v>1358163.6875216935</v>
      </c>
      <c r="U38" s="90"/>
      <c r="V38" s="161">
        <v>0</v>
      </c>
      <c r="W38" s="156">
        <f t="shared" si="6"/>
        <v>1358163.6875216935</v>
      </c>
      <c r="X38" s="90"/>
      <c r="Y38" s="156">
        <f t="shared" si="10"/>
        <v>339540.92188042338</v>
      </c>
      <c r="Z38" s="156">
        <f t="shared" si="10"/>
        <v>339540.92188042338</v>
      </c>
      <c r="AA38" s="156">
        <f t="shared" si="10"/>
        <v>339540.92188042338</v>
      </c>
      <c r="AB38" s="156">
        <f t="shared" si="10"/>
        <v>339540.92188042338</v>
      </c>
    </row>
    <row r="39" spans="2:28" x14ac:dyDescent="0.3">
      <c r="B39" s="17">
        <v>21</v>
      </c>
      <c r="C39" s="137">
        <v>4</v>
      </c>
      <c r="D39" s="138" t="s">
        <v>68</v>
      </c>
      <c r="E39" s="153">
        <v>5095.16</v>
      </c>
      <c r="F39" s="151">
        <v>3828643.24</v>
      </c>
      <c r="G39" s="151">
        <v>353045.89</v>
      </c>
      <c r="H39" s="151">
        <f t="shared" si="0"/>
        <v>3475597.35</v>
      </c>
      <c r="I39" s="85">
        <f t="shared" si="1"/>
        <v>682.13703789478643</v>
      </c>
      <c r="J39" s="131">
        <f t="shared" si="2"/>
        <v>1675982.430570761</v>
      </c>
      <c r="K39" s="156"/>
      <c r="L39" s="156">
        <f>IFERROR(INDEX('Revised 2021 MFAM(2019 PYAs)'!AD$26:AD$278,MATCH(B39,'Revised 2021 MFAM(2019 PYAs)'!B$26:B$278,0)),0)</f>
        <v>-2998.0835227516945</v>
      </c>
      <c r="M39" s="156">
        <f>IFERROR(INDEX('Revised 2020 MFAM(2018 PYAs)'!AF$26:AF$274,MATCH(B39,'Revised 2020 MFAM(2018 PYAs)'!B$26:B$274,0)),0)</f>
        <v>-623.09670449770056</v>
      </c>
      <c r="N39" s="156">
        <f t="shared" si="8"/>
        <v>-5.8640946605426878</v>
      </c>
      <c r="O39" s="156">
        <f t="shared" si="9"/>
        <v>-3627.0443219099379</v>
      </c>
      <c r="P39" s="156"/>
      <c r="Q39" s="161">
        <f t="shared" si="3"/>
        <v>1672355.386248851</v>
      </c>
      <c r="R39" s="162">
        <v>0</v>
      </c>
      <c r="S39" s="163">
        <f t="shared" si="4"/>
        <v>0</v>
      </c>
      <c r="T39" s="156">
        <f t="shared" si="5"/>
        <v>1672355.386248851</v>
      </c>
      <c r="U39" s="90"/>
      <c r="V39" s="161">
        <v>0</v>
      </c>
      <c r="W39" s="156">
        <f t="shared" si="6"/>
        <v>1672355.386248851</v>
      </c>
      <c r="X39" s="90"/>
      <c r="Y39" s="156">
        <f t="shared" si="10"/>
        <v>418088.84656221274</v>
      </c>
      <c r="Z39" s="156">
        <f t="shared" si="10"/>
        <v>418088.84656221274</v>
      </c>
      <c r="AA39" s="156">
        <f t="shared" si="10"/>
        <v>418088.84656221274</v>
      </c>
      <c r="AB39" s="156">
        <f t="shared" si="10"/>
        <v>418088.84656221274</v>
      </c>
    </row>
    <row r="40" spans="2:28" x14ac:dyDescent="0.3">
      <c r="B40" s="17">
        <v>34</v>
      </c>
      <c r="C40" s="137">
        <v>4</v>
      </c>
      <c r="D40" s="138" t="s">
        <v>69</v>
      </c>
      <c r="E40" s="153">
        <v>4254.33</v>
      </c>
      <c r="F40" s="151">
        <v>2068222.35</v>
      </c>
      <c r="G40" s="151">
        <v>351893.51</v>
      </c>
      <c r="H40" s="151">
        <f t="shared" si="0"/>
        <v>1716328.84</v>
      </c>
      <c r="I40" s="85">
        <f t="shared" si="1"/>
        <v>403.43105494872287</v>
      </c>
      <c r="J40" s="131">
        <f t="shared" si="2"/>
        <v>827638.15576102189</v>
      </c>
      <c r="K40" s="156"/>
      <c r="L40" s="156">
        <f>IFERROR(INDEX('Revised 2021 MFAM(2019 PYAs)'!AD$26:AD$278,MATCH(B40,'Revised 2021 MFAM(2019 PYAs)'!B$26:B$278,0)),0)</f>
        <v>-1969.1234843806596</v>
      </c>
      <c r="M40" s="156">
        <f>IFERROR(INDEX('Revised 2020 MFAM(2018 PYAs)'!AF$26:AF$274,MATCH(B40,'Revised 2020 MFAM(2018 PYAs)'!B$26:B$274,0)),0)</f>
        <v>-429.48289359163027</v>
      </c>
      <c r="N40" s="156">
        <f t="shared" si="8"/>
        <v>-2.8958230119433792</v>
      </c>
      <c r="O40" s="156">
        <f t="shared" si="9"/>
        <v>-2401.5022009842332</v>
      </c>
      <c r="P40" s="156"/>
      <c r="Q40" s="161">
        <f t="shared" si="3"/>
        <v>825236.65356003761</v>
      </c>
      <c r="R40" s="162">
        <v>0</v>
      </c>
      <c r="S40" s="163">
        <f t="shared" si="4"/>
        <v>0</v>
      </c>
      <c r="T40" s="156">
        <f t="shared" si="5"/>
        <v>825236.65356003761</v>
      </c>
      <c r="U40" s="90"/>
      <c r="V40" s="161">
        <v>0</v>
      </c>
      <c r="W40" s="156">
        <f t="shared" si="6"/>
        <v>825236.65356003761</v>
      </c>
      <c r="X40" s="90"/>
      <c r="Y40" s="156">
        <f t="shared" si="10"/>
        <v>206309.1633900094</v>
      </c>
      <c r="Z40" s="156">
        <f t="shared" si="10"/>
        <v>206309.1633900094</v>
      </c>
      <c r="AA40" s="156">
        <f t="shared" si="10"/>
        <v>206309.1633900094</v>
      </c>
      <c r="AB40" s="156">
        <f t="shared" si="10"/>
        <v>206309.1633900094</v>
      </c>
    </row>
    <row r="41" spans="2:28" x14ac:dyDescent="0.3">
      <c r="B41" s="17">
        <v>87</v>
      </c>
      <c r="C41" s="137">
        <v>4</v>
      </c>
      <c r="D41" s="138" t="s">
        <v>70</v>
      </c>
      <c r="E41" s="153">
        <v>9721.4725999999991</v>
      </c>
      <c r="F41" s="151">
        <v>5110321.6500000004</v>
      </c>
      <c r="G41" s="151">
        <v>686591.92</v>
      </c>
      <c r="H41" s="151">
        <f t="shared" si="0"/>
        <v>4423729.7300000004</v>
      </c>
      <c r="I41" s="85">
        <f t="shared" si="1"/>
        <v>455.04728676599888</v>
      </c>
      <c r="J41" s="131">
        <f t="shared" si="2"/>
        <v>2133185.3372121882</v>
      </c>
      <c r="K41" s="156"/>
      <c r="L41" s="156">
        <f>IFERROR(INDEX('Revised 2021 MFAM(2019 PYAs)'!AD$26:AD$278,MATCH(B41,'Revised 2021 MFAM(2019 PYAs)'!B$26:B$278,0)),0)</f>
        <v>71434.546102174325</v>
      </c>
      <c r="M41" s="156">
        <f>IFERROR(INDEX('Revised 2020 MFAM(2018 PYAs)'!AF$26:AF$274,MATCH(B41,'Revised 2020 MFAM(2018 PYAs)'!B$26:B$274,0)),0)</f>
        <v>-1091.9724754355848</v>
      </c>
      <c r="N41" s="156">
        <f t="shared" si="8"/>
        <v>-7.4638018380860354</v>
      </c>
      <c r="O41" s="156">
        <f t="shared" si="9"/>
        <v>70335.109824900661</v>
      </c>
      <c r="P41" s="156"/>
      <c r="Q41" s="161">
        <f t="shared" si="3"/>
        <v>2203520.4470370887</v>
      </c>
      <c r="R41" s="162">
        <v>0</v>
      </c>
      <c r="S41" s="163">
        <f t="shared" si="4"/>
        <v>0</v>
      </c>
      <c r="T41" s="156">
        <f t="shared" si="5"/>
        <v>2203520.4470370887</v>
      </c>
      <c r="U41" s="90"/>
      <c r="V41" s="161">
        <v>0</v>
      </c>
      <c r="W41" s="156">
        <f t="shared" si="6"/>
        <v>2203520.4470370887</v>
      </c>
      <c r="X41" s="90"/>
      <c r="Y41" s="156">
        <f t="shared" si="10"/>
        <v>550880.11175927217</v>
      </c>
      <c r="Z41" s="156">
        <f t="shared" si="10"/>
        <v>550880.11175927217</v>
      </c>
      <c r="AA41" s="156">
        <f t="shared" si="10"/>
        <v>550880.11175927217</v>
      </c>
      <c r="AB41" s="156">
        <f t="shared" si="10"/>
        <v>550880.11175927217</v>
      </c>
    </row>
    <row r="42" spans="2:28" x14ac:dyDescent="0.3">
      <c r="B42" s="17">
        <v>88</v>
      </c>
      <c r="C42" s="137">
        <v>4</v>
      </c>
      <c r="D42" s="138" t="s">
        <v>71</v>
      </c>
      <c r="E42" s="153">
        <v>5259.7800000000007</v>
      </c>
      <c r="F42" s="151">
        <v>3364893.65</v>
      </c>
      <c r="G42" s="151">
        <v>458413.27999999997</v>
      </c>
      <c r="H42" s="151">
        <f t="shared" si="0"/>
        <v>2906480.37</v>
      </c>
      <c r="I42" s="85">
        <f t="shared" si="1"/>
        <v>552.58591994341964</v>
      </c>
      <c r="J42" s="131">
        <f t="shared" si="2"/>
        <v>1401546.1356358801</v>
      </c>
      <c r="K42" s="156"/>
      <c r="L42" s="156">
        <f>IFERROR(INDEX('Revised 2021 MFAM(2019 PYAs)'!AD$26:AD$278,MATCH(B42,'Revised 2021 MFAM(2019 PYAs)'!B$26:B$278,0)),0)</f>
        <v>-2285.9892495666863</v>
      </c>
      <c r="M42" s="156">
        <f>IFERROR(INDEX('Revised 2020 MFAM(2018 PYAs)'!AF$26:AF$274,MATCH(B42,'Revised 2020 MFAM(2018 PYAs)'!B$26:B$274,0)),0)</f>
        <v>-433.91660069406498</v>
      </c>
      <c r="N42" s="156">
        <f t="shared" si="8"/>
        <v>-4.9038695517158049</v>
      </c>
      <c r="O42" s="156">
        <f t="shared" si="9"/>
        <v>-2724.8097198124669</v>
      </c>
      <c r="P42" s="156"/>
      <c r="Q42" s="161">
        <f t="shared" si="3"/>
        <v>1398821.3259160677</v>
      </c>
      <c r="R42" s="162">
        <v>0</v>
      </c>
      <c r="S42" s="163">
        <f t="shared" si="4"/>
        <v>0</v>
      </c>
      <c r="T42" s="156">
        <f t="shared" si="5"/>
        <v>1398821.3259160677</v>
      </c>
      <c r="U42" s="90"/>
      <c r="V42" s="161">
        <v>0</v>
      </c>
      <c r="W42" s="156">
        <f t="shared" si="6"/>
        <v>1398821.3259160677</v>
      </c>
      <c r="X42" s="90"/>
      <c r="Y42" s="156">
        <f t="shared" si="10"/>
        <v>349705.33147901692</v>
      </c>
      <c r="Z42" s="156">
        <f t="shared" si="10"/>
        <v>349705.33147901692</v>
      </c>
      <c r="AA42" s="156">
        <f t="shared" si="10"/>
        <v>349705.33147901692</v>
      </c>
      <c r="AB42" s="156">
        <f t="shared" si="10"/>
        <v>349705.33147901692</v>
      </c>
    </row>
    <row r="43" spans="2:28" x14ac:dyDescent="0.3">
      <c r="B43" s="17">
        <v>89</v>
      </c>
      <c r="C43" s="137">
        <v>4</v>
      </c>
      <c r="D43" s="138" t="s">
        <v>343</v>
      </c>
      <c r="E43" s="153">
        <v>5548.7800000000007</v>
      </c>
      <c r="F43" s="151">
        <v>5180269.63</v>
      </c>
      <c r="G43" s="151">
        <v>409225.55</v>
      </c>
      <c r="H43" s="151">
        <f t="shared" si="0"/>
        <v>4771044.08</v>
      </c>
      <c r="I43" s="85">
        <f t="shared" si="1"/>
        <v>859.83659110651342</v>
      </c>
      <c r="J43" s="131">
        <f t="shared" si="2"/>
        <v>2300665.2521353317</v>
      </c>
      <c r="K43" s="156"/>
      <c r="L43" s="156">
        <f>IFERROR(INDEX('Revised 2021 MFAM(2019 PYAs)'!AD$26:AD$278,MATCH(B43,'Revised 2021 MFAM(2019 PYAs)'!B$26:B$278,0)),0)</f>
        <v>-20741.312822145876</v>
      </c>
      <c r="M43" s="156">
        <f>IFERROR(INDEX('Revised 2020 MFAM(2018 PYAs)'!AF$26:AF$274,MATCH(B43,'Revised 2020 MFAM(2018 PYAs)'!B$26:B$274,0)),0)</f>
        <v>-827.84527490590699</v>
      </c>
      <c r="N43" s="156">
        <f t="shared" si="8"/>
        <v>-8.0497972858512519</v>
      </c>
      <c r="O43" s="156">
        <f t="shared" si="9"/>
        <v>-21577.207894337633</v>
      </c>
      <c r="P43" s="156"/>
      <c r="Q43" s="161">
        <f t="shared" si="3"/>
        <v>2279088.0442409939</v>
      </c>
      <c r="R43" s="162">
        <v>0</v>
      </c>
      <c r="S43" s="163">
        <f t="shared" si="4"/>
        <v>0</v>
      </c>
      <c r="T43" s="156">
        <f t="shared" si="5"/>
        <v>2279088.0442409939</v>
      </c>
      <c r="U43" s="90"/>
      <c r="V43" s="161">
        <v>0</v>
      </c>
      <c r="W43" s="156">
        <f t="shared" si="6"/>
        <v>2279088.0442409939</v>
      </c>
      <c r="X43" s="90"/>
      <c r="Y43" s="156">
        <f t="shared" si="10"/>
        <v>569772.01106024848</v>
      </c>
      <c r="Z43" s="156">
        <f t="shared" si="10"/>
        <v>569772.01106024848</v>
      </c>
      <c r="AA43" s="156">
        <f t="shared" si="10"/>
        <v>569772.01106024848</v>
      </c>
      <c r="AB43" s="156">
        <f t="shared" si="10"/>
        <v>569772.01106024848</v>
      </c>
    </row>
    <row r="44" spans="2:28" x14ac:dyDescent="0.3">
      <c r="B44" s="17">
        <v>143</v>
      </c>
      <c r="C44" s="137">
        <v>4</v>
      </c>
      <c r="D44" s="138" t="s">
        <v>72</v>
      </c>
      <c r="E44" s="153">
        <v>3029.9</v>
      </c>
      <c r="F44" s="151">
        <v>993236.57</v>
      </c>
      <c r="G44" s="151">
        <v>384202.12</v>
      </c>
      <c r="H44" s="151">
        <f t="shared" si="0"/>
        <v>609034.44999999995</v>
      </c>
      <c r="I44" s="85">
        <f t="shared" si="1"/>
        <v>201.0081025776428</v>
      </c>
      <c r="J44" s="131">
        <f t="shared" si="2"/>
        <v>293685.06619799515</v>
      </c>
      <c r="K44" s="156"/>
      <c r="L44" s="156">
        <f>IFERROR(INDEX('Revised 2021 MFAM(2019 PYAs)'!AD$26:AD$278,MATCH(B44,'Revised 2021 MFAM(2019 PYAs)'!B$26:B$278,0)),0)</f>
        <v>-788.27314275404206</v>
      </c>
      <c r="M44" s="156">
        <f>IFERROR(INDEX('Revised 2020 MFAM(2018 PYAs)'!AF$26:AF$274,MATCH(B44,'Revised 2020 MFAM(2018 PYAs)'!B$26:B$274,0)),0)</f>
        <v>-156.39178757771151</v>
      </c>
      <c r="N44" s="156">
        <f t="shared" si="8"/>
        <v>-1.0275746315468772</v>
      </c>
      <c r="O44" s="156">
        <f t="shared" si="9"/>
        <v>-945.69250496330039</v>
      </c>
      <c r="P44" s="156"/>
      <c r="Q44" s="161">
        <f t="shared" si="3"/>
        <v>292739.37369303184</v>
      </c>
      <c r="R44" s="162">
        <v>0</v>
      </c>
      <c r="S44" s="163">
        <f t="shared" si="4"/>
        <v>0</v>
      </c>
      <c r="T44" s="156">
        <f t="shared" si="5"/>
        <v>292739.37369303184</v>
      </c>
      <c r="U44" s="90"/>
      <c r="V44" s="161">
        <v>0</v>
      </c>
      <c r="W44" s="156">
        <f t="shared" si="6"/>
        <v>292739.37369303184</v>
      </c>
      <c r="X44" s="90"/>
      <c r="Y44" s="156">
        <f t="shared" si="10"/>
        <v>73184.84342325796</v>
      </c>
      <c r="Z44" s="156">
        <f t="shared" si="10"/>
        <v>73184.84342325796</v>
      </c>
      <c r="AA44" s="156">
        <f t="shared" si="10"/>
        <v>73184.84342325796</v>
      </c>
      <c r="AB44" s="156">
        <f t="shared" si="10"/>
        <v>73184.84342325796</v>
      </c>
    </row>
    <row r="45" spans="2:28" x14ac:dyDescent="0.3">
      <c r="B45" s="17">
        <v>183</v>
      </c>
      <c r="C45" s="137">
        <v>4</v>
      </c>
      <c r="D45" s="138" t="s">
        <v>73</v>
      </c>
      <c r="E45" s="153">
        <v>11270.429999999998</v>
      </c>
      <c r="F45" s="151">
        <v>7395313.79</v>
      </c>
      <c r="G45" s="151">
        <v>335329.55999999994</v>
      </c>
      <c r="H45" s="151">
        <f t="shared" si="0"/>
        <v>7059984.2300000004</v>
      </c>
      <c r="I45" s="85">
        <f t="shared" si="1"/>
        <v>626.41658126619848</v>
      </c>
      <c r="J45" s="131">
        <f t="shared" si="2"/>
        <v>3404424.7184118275</v>
      </c>
      <c r="K45" s="156"/>
      <c r="L45" s="156">
        <f>IFERROR(INDEX('Revised 2021 MFAM(2019 PYAs)'!AD$26:AD$278,MATCH(B45,'Revised 2021 MFAM(2019 PYAs)'!B$26:B$278,0)),0)</f>
        <v>202936.79876437737</v>
      </c>
      <c r="M45" s="156">
        <f>IFERROR(INDEX('Revised 2020 MFAM(2018 PYAs)'!AF$26:AF$274,MATCH(B45,'Revised 2020 MFAM(2018 PYAs)'!B$26:B$274,0)),0)</f>
        <v>-1652.1130500012077</v>
      </c>
      <c r="N45" s="156">
        <f t="shared" si="8"/>
        <v>-11.911741107369236</v>
      </c>
      <c r="O45" s="156">
        <f t="shared" si="9"/>
        <v>201272.77397326878</v>
      </c>
      <c r="P45" s="156"/>
      <c r="Q45" s="161">
        <f t="shared" si="3"/>
        <v>3605697.4923850964</v>
      </c>
      <c r="R45" s="162">
        <v>0</v>
      </c>
      <c r="S45" s="163">
        <f t="shared" si="4"/>
        <v>0</v>
      </c>
      <c r="T45" s="156">
        <f t="shared" si="5"/>
        <v>3605697.4923850964</v>
      </c>
      <c r="U45" s="90"/>
      <c r="V45" s="161">
        <v>0</v>
      </c>
      <c r="W45" s="156">
        <f t="shared" si="6"/>
        <v>3605697.4923850964</v>
      </c>
      <c r="X45" s="90"/>
      <c r="Y45" s="156">
        <f t="shared" si="10"/>
        <v>901424.3730962741</v>
      </c>
      <c r="Z45" s="156">
        <f t="shared" si="10"/>
        <v>901424.3730962741</v>
      </c>
      <c r="AA45" s="156">
        <f t="shared" si="10"/>
        <v>901424.3730962741</v>
      </c>
      <c r="AB45" s="156">
        <f t="shared" si="10"/>
        <v>901424.3730962741</v>
      </c>
    </row>
    <row r="46" spans="2:28" x14ac:dyDescent="0.3">
      <c r="B46" s="17">
        <v>186</v>
      </c>
      <c r="C46" s="137">
        <v>4</v>
      </c>
      <c r="D46" s="138" t="s">
        <v>74</v>
      </c>
      <c r="E46" s="153">
        <v>10964.179999999998</v>
      </c>
      <c r="F46" s="151">
        <v>8404512.5399999991</v>
      </c>
      <c r="G46" s="151">
        <v>1707314.1</v>
      </c>
      <c r="H46" s="151">
        <f t="shared" si="0"/>
        <v>6697198.4399999995</v>
      </c>
      <c r="I46" s="85">
        <f t="shared" si="1"/>
        <v>610.82529108423978</v>
      </c>
      <c r="J46" s="131">
        <f t="shared" si="2"/>
        <v>3229484.2552707978</v>
      </c>
      <c r="K46" s="156"/>
      <c r="L46" s="156">
        <f>IFERROR(INDEX('Revised 2021 MFAM(2019 PYAs)'!AD$26:AD$278,MATCH(B46,'Revised 2021 MFAM(2019 PYAs)'!B$26:B$278,0)),0)</f>
        <v>-7234.8335650381632</v>
      </c>
      <c r="M46" s="156">
        <f>IFERROR(INDEX('Revised 2020 MFAM(2018 PYAs)'!AF$26:AF$274,MATCH(B46,'Revised 2020 MFAM(2018 PYAs)'!B$26:B$274,0)),0)</f>
        <v>4014.6478748791851</v>
      </c>
      <c r="N46" s="156">
        <f t="shared" si="8"/>
        <v>-11.299641948627571</v>
      </c>
      <c r="O46" s="156">
        <f t="shared" si="9"/>
        <v>-3231.4853321076057</v>
      </c>
      <c r="P46" s="156"/>
      <c r="Q46" s="161">
        <f t="shared" si="3"/>
        <v>3226252.7699386901</v>
      </c>
      <c r="R46" s="162">
        <v>0</v>
      </c>
      <c r="S46" s="163">
        <f t="shared" si="4"/>
        <v>0</v>
      </c>
      <c r="T46" s="156">
        <f t="shared" si="5"/>
        <v>3226252.7699386901</v>
      </c>
      <c r="U46" s="90"/>
      <c r="V46" s="161">
        <v>150387.7795</v>
      </c>
      <c r="W46" s="156">
        <f t="shared" si="6"/>
        <v>3376640.5494386903</v>
      </c>
      <c r="X46" s="90"/>
      <c r="Y46" s="156">
        <f t="shared" si="10"/>
        <v>844160.13735967258</v>
      </c>
      <c r="Z46" s="156">
        <f t="shared" si="10"/>
        <v>844160.13735967258</v>
      </c>
      <c r="AA46" s="156">
        <f t="shared" si="10"/>
        <v>844160.13735967258</v>
      </c>
      <c r="AB46" s="156">
        <f t="shared" si="10"/>
        <v>844160.13735967258</v>
      </c>
    </row>
    <row r="47" spans="2:28" x14ac:dyDescent="0.3">
      <c r="B47" s="17">
        <v>190</v>
      </c>
      <c r="C47" s="137">
        <v>4</v>
      </c>
      <c r="D47" s="138" t="s">
        <v>75</v>
      </c>
      <c r="E47" s="153">
        <v>3314.3799999999997</v>
      </c>
      <c r="F47" s="151">
        <v>2331397.15</v>
      </c>
      <c r="G47" s="151">
        <v>324577.79000000004</v>
      </c>
      <c r="H47" s="151">
        <f t="shared" si="0"/>
        <v>2006819.3599999999</v>
      </c>
      <c r="I47" s="85">
        <f t="shared" si="1"/>
        <v>605.48861627212329</v>
      </c>
      <c r="J47" s="131">
        <f t="shared" si="2"/>
        <v>967716.81238888588</v>
      </c>
      <c r="K47" s="156"/>
      <c r="L47" s="156">
        <f>IFERROR(INDEX('Revised 2021 MFAM(2019 PYAs)'!AD$26:AD$278,MATCH(B47,'Revised 2021 MFAM(2019 PYAs)'!B$26:B$278,0)),0)</f>
        <v>371.14052430097945</v>
      </c>
      <c r="M47" s="156">
        <f>IFERROR(INDEX('Revised 2020 MFAM(2018 PYAs)'!AF$26:AF$274,MATCH(B47,'Revised 2020 MFAM(2018 PYAs)'!B$26:B$274,0)),0)</f>
        <v>-408.51704244047869</v>
      </c>
      <c r="N47" s="156">
        <f t="shared" si="8"/>
        <v>-3.3859442014046</v>
      </c>
      <c r="O47" s="156">
        <f t="shared" si="9"/>
        <v>-40.762462340903838</v>
      </c>
      <c r="P47" s="156"/>
      <c r="Q47" s="161">
        <f t="shared" si="3"/>
        <v>967676.04992654501</v>
      </c>
      <c r="R47" s="162">
        <v>0</v>
      </c>
      <c r="S47" s="163">
        <f t="shared" si="4"/>
        <v>0</v>
      </c>
      <c r="T47" s="156">
        <f t="shared" si="5"/>
        <v>967676.04992654501</v>
      </c>
      <c r="U47" s="90"/>
      <c r="V47" s="161">
        <v>1261.9605000000001</v>
      </c>
      <c r="W47" s="156">
        <f t="shared" si="6"/>
        <v>968938.01042654505</v>
      </c>
      <c r="X47" s="90"/>
      <c r="Y47" s="156">
        <f t="shared" si="10"/>
        <v>242234.50260663626</v>
      </c>
      <c r="Z47" s="156">
        <f t="shared" si="10"/>
        <v>242234.50260663626</v>
      </c>
      <c r="AA47" s="156">
        <f t="shared" si="10"/>
        <v>242234.50260663626</v>
      </c>
      <c r="AB47" s="156">
        <f t="shared" si="10"/>
        <v>242234.50260663626</v>
      </c>
    </row>
    <row r="48" spans="2:28" x14ac:dyDescent="0.3">
      <c r="B48" s="17">
        <v>324</v>
      </c>
      <c r="C48" s="137">
        <v>4</v>
      </c>
      <c r="D48" s="138" t="s">
        <v>76</v>
      </c>
      <c r="E48" s="153">
        <v>7352.2100000000009</v>
      </c>
      <c r="F48" s="151">
        <v>5028899.3099999996</v>
      </c>
      <c r="G48" s="151">
        <v>692318.7</v>
      </c>
      <c r="H48" s="151">
        <f t="shared" si="0"/>
        <v>4336580.6099999994</v>
      </c>
      <c r="I48" s="85">
        <f t="shared" si="1"/>
        <v>589.83361601477634</v>
      </c>
      <c r="J48" s="131">
        <f t="shared" si="2"/>
        <v>2091160.7931551198</v>
      </c>
      <c r="K48" s="156"/>
      <c r="L48" s="156">
        <f>IFERROR(INDEX('Revised 2021 MFAM(2019 PYAs)'!AD$26:AD$278,MATCH(B48,'Revised 2021 MFAM(2019 PYAs)'!B$26:B$278,0)),0)</f>
        <v>-5196.1644554194063</v>
      </c>
      <c r="M48" s="156">
        <f>IFERROR(INDEX('Revised 2020 MFAM(2018 PYAs)'!AF$26:AF$274,MATCH(B48,'Revised 2020 MFAM(2018 PYAs)'!B$26:B$274,0)),0)</f>
        <v>-133.72194565529935</v>
      </c>
      <c r="N48" s="156">
        <f t="shared" si="8"/>
        <v>-7.3167621675491121</v>
      </c>
      <c r="O48" s="156">
        <f t="shared" si="9"/>
        <v>-5337.203163242255</v>
      </c>
      <c r="P48" s="156"/>
      <c r="Q48" s="161">
        <f t="shared" si="3"/>
        <v>2085823.5899918776</v>
      </c>
      <c r="R48" s="162">
        <v>0</v>
      </c>
      <c r="S48" s="163">
        <f t="shared" si="4"/>
        <v>0</v>
      </c>
      <c r="T48" s="156">
        <f t="shared" si="5"/>
        <v>2085823.5899918776</v>
      </c>
      <c r="U48" s="90"/>
      <c r="V48" s="161">
        <v>4341.8550000000014</v>
      </c>
      <c r="W48" s="156">
        <f t="shared" si="6"/>
        <v>2090165.4449918775</v>
      </c>
      <c r="X48" s="90"/>
      <c r="Y48" s="156">
        <f t="shared" si="10"/>
        <v>522541.36124796938</v>
      </c>
      <c r="Z48" s="156">
        <f t="shared" si="10"/>
        <v>522541.36124796938</v>
      </c>
      <c r="AA48" s="156">
        <f t="shared" si="10"/>
        <v>522541.36124796938</v>
      </c>
      <c r="AB48" s="156">
        <f t="shared" si="10"/>
        <v>522541.36124796938</v>
      </c>
    </row>
    <row r="49" spans="2:28" x14ac:dyDescent="0.3">
      <c r="B49" s="17">
        <v>429</v>
      </c>
      <c r="C49" s="137">
        <v>4</v>
      </c>
      <c r="D49" s="138" t="s">
        <v>77</v>
      </c>
      <c r="E49" s="153">
        <v>4010.8067999999998</v>
      </c>
      <c r="F49" s="151">
        <v>1536857.42</v>
      </c>
      <c r="G49" s="151">
        <v>266727.62</v>
      </c>
      <c r="H49" s="151">
        <f t="shared" si="0"/>
        <v>1270129.7999999998</v>
      </c>
      <c r="I49" s="85">
        <f t="shared" si="1"/>
        <v>316.67688406232878</v>
      </c>
      <c r="J49" s="131">
        <f t="shared" si="2"/>
        <v>612474.63816381211</v>
      </c>
      <c r="K49" s="156"/>
      <c r="L49" s="156">
        <f>IFERROR(INDEX('Revised 2021 MFAM(2019 PYAs)'!AD$26:AD$278,MATCH(B49,'Revised 2021 MFAM(2019 PYAs)'!B$26:B$278,0)),0)</f>
        <v>-1517.6512851297157</v>
      </c>
      <c r="M49" s="156">
        <f>IFERROR(INDEX('Revised 2020 MFAM(2018 PYAs)'!AF$26:AF$274,MATCH(B49,'Revised 2020 MFAM(2018 PYAs)'!B$26:B$274,0)),0)</f>
        <v>-332.63944133126643</v>
      </c>
      <c r="N49" s="156">
        <f t="shared" si="8"/>
        <v>-2.1429874143436529</v>
      </c>
      <c r="O49" s="156">
        <f t="shared" si="9"/>
        <v>-1852.4337138753258</v>
      </c>
      <c r="P49" s="156"/>
      <c r="Q49" s="161">
        <f t="shared" si="3"/>
        <v>610622.20444993675</v>
      </c>
      <c r="R49" s="162">
        <v>0</v>
      </c>
      <c r="S49" s="163">
        <f t="shared" si="4"/>
        <v>0</v>
      </c>
      <c r="T49" s="156">
        <f t="shared" si="5"/>
        <v>610622.20444993675</v>
      </c>
      <c r="U49" s="90"/>
      <c r="V49" s="161">
        <v>0</v>
      </c>
      <c r="W49" s="156">
        <f t="shared" si="6"/>
        <v>610622.20444993675</v>
      </c>
      <c r="X49" s="90"/>
      <c r="Y49" s="156">
        <f t="shared" si="10"/>
        <v>152655.55111248419</v>
      </c>
      <c r="Z49" s="156">
        <f t="shared" si="10"/>
        <v>152655.55111248419</v>
      </c>
      <c r="AA49" s="156">
        <f t="shared" si="10"/>
        <v>152655.55111248419</v>
      </c>
      <c r="AB49" s="156">
        <f t="shared" si="10"/>
        <v>152655.55111248419</v>
      </c>
    </row>
    <row r="50" spans="2:28" x14ac:dyDescent="0.3">
      <c r="B50" s="17">
        <v>601</v>
      </c>
      <c r="C50" s="137">
        <v>4</v>
      </c>
      <c r="D50" s="138" t="s">
        <v>78</v>
      </c>
      <c r="E50" s="153">
        <v>5313.41</v>
      </c>
      <c r="F50" s="151">
        <v>3069965.81</v>
      </c>
      <c r="G50" s="151">
        <v>226301.41999999998</v>
      </c>
      <c r="H50" s="151">
        <f t="shared" si="0"/>
        <v>2843664.39</v>
      </c>
      <c r="I50" s="85">
        <f t="shared" si="1"/>
        <v>535.18632855360306</v>
      </c>
      <c r="J50" s="131">
        <f t="shared" si="2"/>
        <v>1371255.3774618688</v>
      </c>
      <c r="K50" s="156"/>
      <c r="L50" s="156">
        <f>IFERROR(INDEX('Revised 2021 MFAM(2019 PYAs)'!AD$26:AD$278,MATCH(B50,'Revised 2021 MFAM(2019 PYAs)'!B$26:B$278,0)),0)</f>
        <v>-3074.7376969491597</v>
      </c>
      <c r="M50" s="156">
        <f>IFERROR(INDEX('Revised 2020 MFAM(2018 PYAs)'!AF$26:AF$274,MATCH(B50,'Revised 2020 MFAM(2018 PYAs)'!B$26:B$274,0)),0)</f>
        <v>-730.52152078528889</v>
      </c>
      <c r="N50" s="156">
        <f t="shared" si="8"/>
        <v>-4.7978852227443385</v>
      </c>
      <c r="O50" s="156">
        <f t="shared" si="9"/>
        <v>-3810.0571029571929</v>
      </c>
      <c r="P50" s="156"/>
      <c r="Q50" s="161">
        <f t="shared" si="3"/>
        <v>1367445.3203589115</v>
      </c>
      <c r="R50" s="162">
        <v>0</v>
      </c>
      <c r="S50" s="163">
        <f t="shared" si="4"/>
        <v>0</v>
      </c>
      <c r="T50" s="156">
        <f t="shared" si="5"/>
        <v>1367445.3203589115</v>
      </c>
      <c r="U50" s="90"/>
      <c r="V50" s="161">
        <v>0</v>
      </c>
      <c r="W50" s="156">
        <f t="shared" si="6"/>
        <v>1367445.3203589115</v>
      </c>
      <c r="X50" s="90"/>
      <c r="Y50" s="156">
        <f t="shared" si="10"/>
        <v>341861.33008972788</v>
      </c>
      <c r="Z50" s="156">
        <f t="shared" si="10"/>
        <v>341861.33008972788</v>
      </c>
      <c r="AA50" s="156">
        <f t="shared" si="10"/>
        <v>341861.33008972788</v>
      </c>
      <c r="AB50" s="156">
        <f t="shared" si="10"/>
        <v>341861.33008972788</v>
      </c>
    </row>
    <row r="51" spans="2:28" x14ac:dyDescent="0.3">
      <c r="B51" s="17">
        <v>760</v>
      </c>
      <c r="C51" s="137">
        <v>4</v>
      </c>
      <c r="D51" s="138" t="s">
        <v>79</v>
      </c>
      <c r="E51" s="153">
        <v>4818.32</v>
      </c>
      <c r="F51" s="151">
        <v>1680570.65</v>
      </c>
      <c r="G51" s="151">
        <v>569902.49</v>
      </c>
      <c r="H51" s="151">
        <f t="shared" si="0"/>
        <v>1110668.1599999999</v>
      </c>
      <c r="I51" s="85">
        <f t="shared" si="1"/>
        <v>230.50942237128294</v>
      </c>
      <c r="J51" s="131">
        <f t="shared" si="2"/>
        <v>535579.96939845604</v>
      </c>
      <c r="K51" s="156"/>
      <c r="L51" s="156">
        <f>IFERROR(INDEX('Revised 2021 MFAM(2019 PYAs)'!AD$26:AD$278,MATCH(B51,'Revised 2021 MFAM(2019 PYAs)'!B$26:B$278,0)),0)</f>
        <v>-1348.0769778256072</v>
      </c>
      <c r="M51" s="156">
        <f>IFERROR(INDEX('Revised 2020 MFAM(2018 PYAs)'!AF$26:AF$274,MATCH(B51,'Revised 2020 MFAM(2018 PYAs)'!B$26:B$274,0)),0)</f>
        <v>-216.86833300773287</v>
      </c>
      <c r="N51" s="156">
        <f t="shared" si="8"/>
        <v>-1.8739406699946908</v>
      </c>
      <c r="O51" s="156">
        <f t="shared" si="9"/>
        <v>-1566.8192515033347</v>
      </c>
      <c r="P51" s="156"/>
      <c r="Q51" s="161">
        <f t="shared" si="3"/>
        <v>534013.15014695271</v>
      </c>
      <c r="R51" s="162">
        <v>0</v>
      </c>
      <c r="S51" s="163">
        <f t="shared" si="4"/>
        <v>0</v>
      </c>
      <c r="T51" s="156">
        <f t="shared" si="5"/>
        <v>534013.15014695271</v>
      </c>
      <c r="U51" s="90"/>
      <c r="V51" s="161">
        <v>0</v>
      </c>
      <c r="W51" s="156">
        <f t="shared" si="6"/>
        <v>534013.15014695271</v>
      </c>
      <c r="X51" s="90"/>
      <c r="Y51" s="156">
        <f t="shared" si="10"/>
        <v>133503.28753673818</v>
      </c>
      <c r="Z51" s="156">
        <f t="shared" si="10"/>
        <v>133503.28753673818</v>
      </c>
      <c r="AA51" s="156">
        <f t="shared" si="10"/>
        <v>133503.28753673818</v>
      </c>
      <c r="AB51" s="156">
        <f t="shared" si="10"/>
        <v>133503.28753673818</v>
      </c>
    </row>
    <row r="52" spans="2:28" x14ac:dyDescent="0.3">
      <c r="B52" s="17">
        <v>878</v>
      </c>
      <c r="C52" s="137">
        <v>4</v>
      </c>
      <c r="D52" s="138" t="s">
        <v>349</v>
      </c>
      <c r="E52" s="153">
        <v>7068.77</v>
      </c>
      <c r="F52" s="151">
        <v>3786822.12</v>
      </c>
      <c r="G52" s="151">
        <v>556703.94000000006</v>
      </c>
      <c r="H52" s="151">
        <f t="shared" si="0"/>
        <v>3230118.18</v>
      </c>
      <c r="I52" s="85">
        <f t="shared" si="1"/>
        <v>456.9561861540268</v>
      </c>
      <c r="J52" s="131">
        <f t="shared" si="2"/>
        <v>1557608.886526284</v>
      </c>
      <c r="K52" s="156"/>
      <c r="L52" s="156">
        <f>IFERROR(INDEX('Revised 2021 MFAM(2019 PYAs)'!AD$26:AD$278,MATCH(B52,'Revised 2021 MFAM(2019 PYAs)'!B$26:B$278,0)),0)</f>
        <v>-3059.831041455036</v>
      </c>
      <c r="M52" s="156">
        <f>IFERROR(INDEX('Revised 2020 MFAM(2018 PYAs)'!AF$26:AF$274,MATCH(B52,'Revised 2020 MFAM(2018 PYAs)'!B$26:B$274,0)),0)</f>
        <v>-574.35661752545275</v>
      </c>
      <c r="N52" s="156">
        <f t="shared" si="8"/>
        <v>-5.4499174860574309</v>
      </c>
      <c r="O52" s="156">
        <f t="shared" si="9"/>
        <v>-3639.6375764665463</v>
      </c>
      <c r="P52" s="156"/>
      <c r="Q52" s="161">
        <f t="shared" si="3"/>
        <v>1553969.2489498174</v>
      </c>
      <c r="R52" s="162">
        <v>0</v>
      </c>
      <c r="S52" s="163">
        <f t="shared" si="4"/>
        <v>0</v>
      </c>
      <c r="T52" s="156">
        <f t="shared" si="5"/>
        <v>1553969.2489498174</v>
      </c>
      <c r="U52" s="90"/>
      <c r="V52" s="161">
        <v>0</v>
      </c>
      <c r="W52" s="156">
        <f t="shared" si="6"/>
        <v>1553969.2489498174</v>
      </c>
      <c r="X52" s="90"/>
      <c r="Y52" s="156">
        <f t="shared" si="10"/>
        <v>388492.31223745435</v>
      </c>
      <c r="Z52" s="156">
        <f t="shared" si="10"/>
        <v>388492.31223745435</v>
      </c>
      <c r="AA52" s="156">
        <f t="shared" si="10"/>
        <v>388492.31223745435</v>
      </c>
      <c r="AB52" s="156">
        <f t="shared" si="10"/>
        <v>388492.31223745435</v>
      </c>
    </row>
    <row r="53" spans="2:28" x14ac:dyDescent="0.3">
      <c r="B53" s="17">
        <v>8</v>
      </c>
      <c r="C53" s="137">
        <v>5</v>
      </c>
      <c r="D53" s="138" t="s">
        <v>81</v>
      </c>
      <c r="E53" s="153">
        <v>1849.95</v>
      </c>
      <c r="F53" s="151">
        <v>990849.07</v>
      </c>
      <c r="G53" s="151">
        <v>161882.22</v>
      </c>
      <c r="H53" s="151">
        <f t="shared" si="0"/>
        <v>828966.85</v>
      </c>
      <c r="I53" s="85">
        <f t="shared" si="1"/>
        <v>448.10230006216381</v>
      </c>
      <c r="J53" s="131">
        <f t="shared" si="2"/>
        <v>399739.59472767677</v>
      </c>
      <c r="K53" s="156"/>
      <c r="L53" s="156">
        <f>IFERROR(INDEX('Revised 2021 MFAM(2019 PYAs)'!AD$26:AD$278,MATCH(B53,'Revised 2021 MFAM(2019 PYAs)'!B$26:B$278,0)),0)</f>
        <v>-864.15741868555779</v>
      </c>
      <c r="M53" s="156">
        <f>IFERROR(INDEX('Revised 2020 MFAM(2018 PYAs)'!AF$26:AF$274,MATCH(B53,'Revised 2020 MFAM(2018 PYAs)'!B$26:B$274,0)),0)</f>
        <v>-155.66567017295165</v>
      </c>
      <c r="N53" s="156">
        <f t="shared" si="8"/>
        <v>-1.3986488046009966</v>
      </c>
      <c r="O53" s="156">
        <f t="shared" si="9"/>
        <v>-1021.2217376631104</v>
      </c>
      <c r="P53" s="156"/>
      <c r="Q53" s="161">
        <f t="shared" si="3"/>
        <v>398718.37299001368</v>
      </c>
      <c r="R53" s="162">
        <v>0</v>
      </c>
      <c r="S53" s="163">
        <f t="shared" si="4"/>
        <v>0</v>
      </c>
      <c r="T53" s="156">
        <f t="shared" si="5"/>
        <v>398718.37299001368</v>
      </c>
      <c r="U53" s="90"/>
      <c r="V53" s="161">
        <v>0</v>
      </c>
      <c r="W53" s="156">
        <f t="shared" si="6"/>
        <v>398718.37299001368</v>
      </c>
      <c r="X53" s="90"/>
      <c r="Y53" s="156">
        <f t="shared" si="10"/>
        <v>99679.593247503421</v>
      </c>
      <c r="Z53" s="156">
        <f t="shared" si="10"/>
        <v>99679.593247503421</v>
      </c>
      <c r="AA53" s="156">
        <f t="shared" si="10"/>
        <v>99679.593247503421</v>
      </c>
      <c r="AB53" s="156">
        <f t="shared" si="10"/>
        <v>99679.593247503421</v>
      </c>
    </row>
    <row r="54" spans="2:28" x14ac:dyDescent="0.3">
      <c r="B54" s="17">
        <v>41</v>
      </c>
      <c r="C54" s="137">
        <v>5</v>
      </c>
      <c r="D54" s="138" t="s">
        <v>82</v>
      </c>
      <c r="E54" s="153">
        <v>1560.5800000000002</v>
      </c>
      <c r="F54" s="151">
        <v>586044.27</v>
      </c>
      <c r="G54" s="151">
        <v>142187.35999999999</v>
      </c>
      <c r="H54" s="151">
        <f t="shared" si="0"/>
        <v>443856.91000000003</v>
      </c>
      <c r="I54" s="85">
        <f t="shared" si="1"/>
        <v>284.41791513411681</v>
      </c>
      <c r="J54" s="131">
        <f t="shared" si="2"/>
        <v>214034.10922943291</v>
      </c>
      <c r="K54" s="156"/>
      <c r="L54" s="156">
        <f>IFERROR(INDEX('Revised 2021 MFAM(2019 PYAs)'!AD$26:AD$278,MATCH(B54,'Revised 2021 MFAM(2019 PYAs)'!B$26:B$278,0)),0)</f>
        <v>-421.12647301296238</v>
      </c>
      <c r="M54" s="156">
        <f>IFERROR(INDEX('Revised 2020 MFAM(2018 PYAs)'!AF$26:AF$274,MATCH(B54,'Revised 2020 MFAM(2018 PYAs)'!B$26:B$274,0)),0)</f>
        <v>-105.96359795029275</v>
      </c>
      <c r="N54" s="156">
        <f t="shared" si="8"/>
        <v>-0.74888391084081607</v>
      </c>
      <c r="O54" s="156">
        <f t="shared" si="9"/>
        <v>-527.83895487409598</v>
      </c>
      <c r="P54" s="156"/>
      <c r="Q54" s="161">
        <f t="shared" si="3"/>
        <v>213506.27027455883</v>
      </c>
      <c r="R54" s="162">
        <v>0</v>
      </c>
      <c r="S54" s="163">
        <f t="shared" si="4"/>
        <v>0</v>
      </c>
      <c r="T54" s="156">
        <f t="shared" si="5"/>
        <v>213506.27027455883</v>
      </c>
      <c r="U54" s="90"/>
      <c r="V54" s="161">
        <v>0</v>
      </c>
      <c r="W54" s="156">
        <f t="shared" si="6"/>
        <v>213506.27027455883</v>
      </c>
      <c r="X54" s="90"/>
      <c r="Y54" s="156">
        <f t="shared" si="10"/>
        <v>53376.567568639708</v>
      </c>
      <c r="Z54" s="156">
        <f t="shared" si="10"/>
        <v>53376.567568639708</v>
      </c>
      <c r="AA54" s="156">
        <f t="shared" si="10"/>
        <v>53376.567568639708</v>
      </c>
      <c r="AB54" s="156">
        <f t="shared" si="10"/>
        <v>53376.567568639708</v>
      </c>
    </row>
    <row r="55" spans="2:28" x14ac:dyDescent="0.3">
      <c r="B55" s="17">
        <v>56</v>
      </c>
      <c r="C55" s="137">
        <v>5</v>
      </c>
      <c r="D55" s="138" t="s">
        <v>83</v>
      </c>
      <c r="E55" s="153">
        <v>2676.27</v>
      </c>
      <c r="F55" s="151">
        <v>804295.63</v>
      </c>
      <c r="G55" s="151">
        <v>2794.04</v>
      </c>
      <c r="H55" s="151">
        <f t="shared" si="0"/>
        <v>801501.59</v>
      </c>
      <c r="I55" s="85">
        <f t="shared" si="1"/>
        <v>299.48457741558212</v>
      </c>
      <c r="J55" s="131">
        <f t="shared" si="2"/>
        <v>386495.4560730487</v>
      </c>
      <c r="K55" s="156"/>
      <c r="L55" s="156">
        <f>IFERROR(INDEX('Revised 2021 MFAM(2019 PYAs)'!AD$26:AD$278,MATCH(B55,'Revised 2021 MFAM(2019 PYAs)'!B$26:B$278,0)),0)</f>
        <v>-789.68356576416409</v>
      </c>
      <c r="M55" s="156">
        <f>IFERROR(INDEX('Revised 2020 MFAM(2018 PYAs)'!AF$26:AF$274,MATCH(B55,'Revised 2020 MFAM(2018 PYAs)'!B$26:B$274,0)),0)</f>
        <v>-159.69684184971265</v>
      </c>
      <c r="N55" s="156">
        <f t="shared" si="8"/>
        <v>-1.3523088899626059</v>
      </c>
      <c r="O55" s="156">
        <f t="shared" si="9"/>
        <v>-950.73271650383936</v>
      </c>
      <c r="P55" s="156"/>
      <c r="Q55" s="161">
        <f t="shared" si="3"/>
        <v>385544.72335654486</v>
      </c>
      <c r="R55" s="162">
        <v>0</v>
      </c>
      <c r="S55" s="163">
        <f t="shared" si="4"/>
        <v>0</v>
      </c>
      <c r="T55" s="156">
        <f t="shared" si="5"/>
        <v>385544.72335654486</v>
      </c>
      <c r="U55" s="90"/>
      <c r="V55" s="161">
        <v>0</v>
      </c>
      <c r="W55" s="156">
        <f t="shared" si="6"/>
        <v>385544.72335654486</v>
      </c>
      <c r="X55" s="90"/>
      <c r="Y55" s="156">
        <f t="shared" si="10"/>
        <v>96386.180839136214</v>
      </c>
      <c r="Z55" s="156">
        <f t="shared" si="10"/>
        <v>96386.180839136214</v>
      </c>
      <c r="AA55" s="156">
        <f t="shared" si="10"/>
        <v>96386.180839136214</v>
      </c>
      <c r="AB55" s="156">
        <f t="shared" si="10"/>
        <v>96386.180839136214</v>
      </c>
    </row>
    <row r="56" spans="2:28" x14ac:dyDescent="0.3">
      <c r="B56" s="17">
        <v>67</v>
      </c>
      <c r="C56" s="137">
        <v>5</v>
      </c>
      <c r="D56" s="138" t="s">
        <v>84</v>
      </c>
      <c r="E56" s="153">
        <v>1321.6502663569984</v>
      </c>
      <c r="F56" s="151">
        <v>218562.59</v>
      </c>
      <c r="G56" s="151">
        <v>0</v>
      </c>
      <c r="H56" s="151">
        <f t="shared" si="0"/>
        <v>218562.59</v>
      </c>
      <c r="I56" s="85">
        <f t="shared" si="1"/>
        <v>165.37097261172332</v>
      </c>
      <c r="J56" s="131">
        <f t="shared" si="2"/>
        <v>105393.98668261751</v>
      </c>
      <c r="K56" s="156"/>
      <c r="L56" s="156">
        <f>IFERROR(INDEX('Revised 2021 MFAM(2019 PYAs)'!AD$26:AD$278,MATCH(B56,'Revised 2021 MFAM(2019 PYAs)'!B$26:B$278,0)),0)</f>
        <v>0</v>
      </c>
      <c r="M56" s="156">
        <f>IFERROR(INDEX('Revised 2020 MFAM(2018 PYAs)'!AF$26:AF$274,MATCH(B56,'Revised 2020 MFAM(2018 PYAs)'!B$26:B$274,0)),0)</f>
        <v>-61.624425204267027</v>
      </c>
      <c r="N56" s="156">
        <f t="shared" si="8"/>
        <v>-0.36876300329017708</v>
      </c>
      <c r="O56" s="156">
        <f t="shared" si="9"/>
        <v>-61.993188207557203</v>
      </c>
      <c r="P56" s="156"/>
      <c r="Q56" s="161">
        <f t="shared" si="3"/>
        <v>105331.99349440995</v>
      </c>
      <c r="R56" s="162">
        <v>0</v>
      </c>
      <c r="S56" s="163">
        <f t="shared" si="4"/>
        <v>0</v>
      </c>
      <c r="T56" s="156">
        <f t="shared" si="5"/>
        <v>105331.99349440995</v>
      </c>
      <c r="U56" s="90"/>
      <c r="V56" s="161">
        <v>0</v>
      </c>
      <c r="W56" s="156">
        <f t="shared" si="6"/>
        <v>105331.99349440995</v>
      </c>
      <c r="X56" s="90"/>
      <c r="Y56" s="156">
        <f t="shared" si="10"/>
        <v>26332.998373602488</v>
      </c>
      <c r="Z56" s="156">
        <f t="shared" si="10"/>
        <v>26332.998373602488</v>
      </c>
      <c r="AA56" s="156">
        <f t="shared" si="10"/>
        <v>26332.998373602488</v>
      </c>
      <c r="AB56" s="156">
        <f t="shared" si="10"/>
        <v>26332.998373602488</v>
      </c>
    </row>
    <row r="57" spans="2:28" x14ac:dyDescent="0.3">
      <c r="B57" s="17">
        <v>157</v>
      </c>
      <c r="C57" s="137">
        <v>5</v>
      </c>
      <c r="D57" s="138" t="s">
        <v>85</v>
      </c>
      <c r="E57" s="153">
        <v>376.20256066807764</v>
      </c>
      <c r="F57" s="151">
        <v>150227.32999999999</v>
      </c>
      <c r="G57" s="151">
        <v>140</v>
      </c>
      <c r="H57" s="151">
        <f t="shared" si="0"/>
        <v>150087.32999999999</v>
      </c>
      <c r="I57" s="85">
        <f t="shared" si="1"/>
        <v>398.95350455209041</v>
      </c>
      <c r="J57" s="131">
        <f t="shared" si="2"/>
        <v>72374.243273972999</v>
      </c>
      <c r="K57" s="156"/>
      <c r="L57" s="156">
        <f>IFERROR(INDEX('Revised 2021 MFAM(2019 PYAs)'!AD$26:AD$278,MATCH(B57,'Revised 2021 MFAM(2019 PYAs)'!B$26:B$278,0)),0)</f>
        <v>-164.41874583382742</v>
      </c>
      <c r="M57" s="156">
        <f>IFERROR(INDEX('Revised 2020 MFAM(2018 PYAs)'!AF$26:AF$274,MATCH(B57,'Revised 2020 MFAM(2018 PYAs)'!B$26:B$274,0)),0)</f>
        <v>-37.488731412915513</v>
      </c>
      <c r="N57" s="156">
        <f t="shared" si="8"/>
        <v>-0.25323022831402159</v>
      </c>
      <c r="O57" s="156">
        <f t="shared" si="9"/>
        <v>-202.16070747505694</v>
      </c>
      <c r="P57" s="156"/>
      <c r="Q57" s="161">
        <f t="shared" si="3"/>
        <v>72172.082566497949</v>
      </c>
      <c r="R57" s="162">
        <v>0</v>
      </c>
      <c r="S57" s="163">
        <f t="shared" si="4"/>
        <v>0</v>
      </c>
      <c r="T57" s="156">
        <f t="shared" si="5"/>
        <v>72172.082566497949</v>
      </c>
      <c r="U57" s="90"/>
      <c r="V57" s="161">
        <v>0</v>
      </c>
      <c r="W57" s="156">
        <f t="shared" si="6"/>
        <v>72172.082566497949</v>
      </c>
      <c r="X57" s="90"/>
      <c r="Y57" s="156">
        <f t="shared" si="10"/>
        <v>18043.020641624487</v>
      </c>
      <c r="Z57" s="156">
        <f t="shared" si="10"/>
        <v>18043.020641624487</v>
      </c>
      <c r="AA57" s="156">
        <f t="shared" si="10"/>
        <v>18043.020641624487</v>
      </c>
      <c r="AB57" s="156">
        <f t="shared" si="10"/>
        <v>18043.020641624487</v>
      </c>
    </row>
    <row r="58" spans="2:28" x14ac:dyDescent="0.3">
      <c r="B58" s="17">
        <v>214</v>
      </c>
      <c r="C58" s="137">
        <v>5</v>
      </c>
      <c r="D58" s="138" t="s">
        <v>86</v>
      </c>
      <c r="E58" s="153">
        <v>3243.7900000000009</v>
      </c>
      <c r="F58" s="151">
        <v>2047370.02</v>
      </c>
      <c r="G58" s="151">
        <v>758449.07</v>
      </c>
      <c r="H58" s="151">
        <f t="shared" si="0"/>
        <v>1288920.9500000002</v>
      </c>
      <c r="I58" s="85">
        <f t="shared" si="1"/>
        <v>397.35030627753332</v>
      </c>
      <c r="J58" s="131">
        <f t="shared" si="2"/>
        <v>621535.99771693198</v>
      </c>
      <c r="K58" s="156"/>
      <c r="L58" s="156">
        <f>IFERROR(INDEX('Revised 2021 MFAM(2019 PYAs)'!AD$26:AD$278,MATCH(B58,'Revised 2021 MFAM(2019 PYAs)'!B$26:B$278,0)),0)</f>
        <v>-2606.5900997127173</v>
      </c>
      <c r="M58" s="156">
        <f>IFERROR(INDEX('Revised 2020 MFAM(2018 PYAs)'!AF$26:AF$274,MATCH(B58,'Revised 2020 MFAM(2018 PYAs)'!B$26:B$274,0)),0)</f>
        <v>-334.61562714073807</v>
      </c>
      <c r="N58" s="156">
        <f t="shared" si="8"/>
        <v>-2.1746922038470915</v>
      </c>
      <c r="O58" s="156">
        <f t="shared" si="9"/>
        <v>-2943.3804190573023</v>
      </c>
      <c r="P58" s="156"/>
      <c r="Q58" s="161">
        <f t="shared" si="3"/>
        <v>618592.61729787465</v>
      </c>
      <c r="R58" s="162">
        <v>0</v>
      </c>
      <c r="S58" s="163">
        <f t="shared" si="4"/>
        <v>0</v>
      </c>
      <c r="T58" s="156">
        <f t="shared" si="5"/>
        <v>618592.61729787465</v>
      </c>
      <c r="U58" s="90"/>
      <c r="V58" s="161">
        <v>0</v>
      </c>
      <c r="W58" s="156">
        <f t="shared" si="6"/>
        <v>618592.61729787465</v>
      </c>
      <c r="X58" s="90"/>
      <c r="Y58" s="156">
        <f t="shared" si="10"/>
        <v>154648.15432446866</v>
      </c>
      <c r="Z58" s="156">
        <f t="shared" si="10"/>
        <v>154648.15432446866</v>
      </c>
      <c r="AA58" s="156">
        <f t="shared" si="10"/>
        <v>154648.15432446866</v>
      </c>
      <c r="AB58" s="156">
        <f t="shared" si="10"/>
        <v>154648.15432446866</v>
      </c>
    </row>
    <row r="59" spans="2:28" x14ac:dyDescent="0.3">
      <c r="B59" s="17">
        <v>223</v>
      </c>
      <c r="C59" s="137">
        <v>5</v>
      </c>
      <c r="D59" s="138" t="s">
        <v>87</v>
      </c>
      <c r="E59" s="153">
        <v>302.15999999999997</v>
      </c>
      <c r="F59" s="151">
        <v>257160.23</v>
      </c>
      <c r="G59" s="151">
        <v>239.17</v>
      </c>
      <c r="H59" s="151">
        <f t="shared" si="0"/>
        <v>256921.06</v>
      </c>
      <c r="I59" s="85">
        <f t="shared" si="1"/>
        <v>850.28150648662972</v>
      </c>
      <c r="J59" s="131">
        <f t="shared" si="2"/>
        <v>123890.98599226873</v>
      </c>
      <c r="K59" s="156"/>
      <c r="L59" s="156">
        <f>IFERROR(INDEX('Revised 2021 MFAM(2019 PYAs)'!AD$26:AD$278,MATCH(B59,'Revised 2021 MFAM(2019 PYAs)'!B$26:B$278,0)),0)</f>
        <v>-249.61089085543063</v>
      </c>
      <c r="M59" s="156">
        <f>IFERROR(INDEX('Revised 2020 MFAM(2018 PYAs)'!AF$26:AF$274,MATCH(B59,'Revised 2020 MFAM(2018 PYAs)'!B$26:B$274,0)),0)</f>
        <v>-32.534946327541547</v>
      </c>
      <c r="N59" s="156">
        <f t="shared" si="8"/>
        <v>-0.43348215124141687</v>
      </c>
      <c r="O59" s="156">
        <f t="shared" si="9"/>
        <v>-282.57931933421361</v>
      </c>
      <c r="P59" s="156"/>
      <c r="Q59" s="161">
        <f t="shared" si="3"/>
        <v>123608.40667293452</v>
      </c>
      <c r="R59" s="162">
        <v>0</v>
      </c>
      <c r="S59" s="163">
        <f t="shared" si="4"/>
        <v>0</v>
      </c>
      <c r="T59" s="156">
        <f t="shared" si="5"/>
        <v>123608.40667293452</v>
      </c>
      <c r="U59" s="90"/>
      <c r="V59" s="161">
        <v>0</v>
      </c>
      <c r="W59" s="156">
        <f t="shared" si="6"/>
        <v>123608.40667293452</v>
      </c>
      <c r="X59" s="90"/>
      <c r="Y59" s="156">
        <f t="shared" si="10"/>
        <v>30902.10166823363</v>
      </c>
      <c r="Z59" s="156">
        <f t="shared" si="10"/>
        <v>30902.10166823363</v>
      </c>
      <c r="AA59" s="156">
        <f t="shared" si="10"/>
        <v>30902.10166823363</v>
      </c>
      <c r="AB59" s="156">
        <f t="shared" si="10"/>
        <v>30902.10166823363</v>
      </c>
    </row>
    <row r="60" spans="2:28" x14ac:dyDescent="0.3">
      <c r="B60" s="17">
        <v>224</v>
      </c>
      <c r="C60" s="137">
        <v>5</v>
      </c>
      <c r="D60" s="138" t="s">
        <v>88</v>
      </c>
      <c r="E60" s="153">
        <v>175.72469366475895</v>
      </c>
      <c r="F60" s="151">
        <v>90520.65</v>
      </c>
      <c r="G60" s="151">
        <v>255</v>
      </c>
      <c r="H60" s="151">
        <f t="shared" si="0"/>
        <v>90265.65</v>
      </c>
      <c r="I60" s="85">
        <f t="shared" si="1"/>
        <v>513.67652500908866</v>
      </c>
      <c r="J60" s="131">
        <f t="shared" si="2"/>
        <v>43527.379109104688</v>
      </c>
      <c r="K60" s="156"/>
      <c r="L60" s="156">
        <f>IFERROR(INDEX('Revised 2021 MFAM(2019 PYAs)'!AD$26:AD$278,MATCH(B60,'Revised 2021 MFAM(2019 PYAs)'!B$26:B$278,0)),0)</f>
        <v>-81.950904663804977</v>
      </c>
      <c r="M60" s="156">
        <f>IFERROR(INDEX('Revised 2020 MFAM(2018 PYAs)'!AF$26:AF$274,MATCH(B60,'Revised 2020 MFAM(2018 PYAs)'!B$26:B$274,0)),0)</f>
        <v>-18.631154627219075</v>
      </c>
      <c r="N60" s="156">
        <f t="shared" si="8"/>
        <v>-0.15229793986216936</v>
      </c>
      <c r="O60" s="156">
        <f t="shared" si="9"/>
        <v>-100.73435723088622</v>
      </c>
      <c r="P60" s="156"/>
      <c r="Q60" s="161">
        <f t="shared" si="3"/>
        <v>43426.644751873799</v>
      </c>
      <c r="R60" s="162">
        <v>0</v>
      </c>
      <c r="S60" s="163">
        <f t="shared" si="4"/>
        <v>0</v>
      </c>
      <c r="T60" s="156">
        <f t="shared" si="5"/>
        <v>43426.644751873799</v>
      </c>
      <c r="U60" s="90"/>
      <c r="V60" s="161">
        <v>0</v>
      </c>
      <c r="W60" s="156">
        <f t="shared" si="6"/>
        <v>43426.644751873799</v>
      </c>
      <c r="X60" s="90"/>
      <c r="Y60" s="156">
        <f t="shared" si="10"/>
        <v>10856.66118796845</v>
      </c>
      <c r="Z60" s="156">
        <f t="shared" si="10"/>
        <v>10856.66118796845</v>
      </c>
      <c r="AA60" s="156">
        <f t="shared" si="10"/>
        <v>10856.66118796845</v>
      </c>
      <c r="AB60" s="156">
        <f t="shared" si="10"/>
        <v>10856.66118796845</v>
      </c>
    </row>
    <row r="61" spans="2:28" x14ac:dyDescent="0.3">
      <c r="B61" s="17">
        <v>233</v>
      </c>
      <c r="C61" s="137">
        <v>5</v>
      </c>
      <c r="D61" s="138" t="s">
        <v>89</v>
      </c>
      <c r="E61" s="153">
        <v>2307.9799999999996</v>
      </c>
      <c r="F61" s="151">
        <v>792036.92</v>
      </c>
      <c r="G61" s="151">
        <v>177381.26</v>
      </c>
      <c r="H61" s="151">
        <f t="shared" si="0"/>
        <v>614655.66</v>
      </c>
      <c r="I61" s="85">
        <f t="shared" si="1"/>
        <v>266.31758507439412</v>
      </c>
      <c r="J61" s="131">
        <f t="shared" si="2"/>
        <v>296395.69353765197</v>
      </c>
      <c r="K61" s="156"/>
      <c r="L61" s="156">
        <f>IFERROR(INDEX('Revised 2021 MFAM(2019 PYAs)'!AD$26:AD$278,MATCH(B61,'Revised 2021 MFAM(2019 PYAs)'!B$26:B$278,0)),0)</f>
        <v>-657.1519852411584</v>
      </c>
      <c r="M61" s="156">
        <f>IFERROR(INDEX('Revised 2020 MFAM(2018 PYAs)'!AF$26:AF$274,MATCH(B61,'Revised 2020 MFAM(2018 PYAs)'!B$26:B$274,0)),0)</f>
        <v>-100.90528652651119</v>
      </c>
      <c r="N61" s="156">
        <f t="shared" si="8"/>
        <v>-1.0370588451157445</v>
      </c>
      <c r="O61" s="156">
        <f t="shared" si="9"/>
        <v>-759.09433061278537</v>
      </c>
      <c r="P61" s="156"/>
      <c r="Q61" s="161">
        <f t="shared" si="3"/>
        <v>295636.59920703917</v>
      </c>
      <c r="R61" s="162">
        <v>0</v>
      </c>
      <c r="S61" s="163">
        <f t="shared" si="4"/>
        <v>0</v>
      </c>
      <c r="T61" s="156">
        <f t="shared" si="5"/>
        <v>295636.59920703917</v>
      </c>
      <c r="U61" s="90"/>
      <c r="V61" s="161">
        <v>0</v>
      </c>
      <c r="W61" s="156">
        <f t="shared" si="6"/>
        <v>295636.59920703917</v>
      </c>
      <c r="X61" s="90"/>
      <c r="Y61" s="156">
        <f t="shared" si="10"/>
        <v>73909.149801759791</v>
      </c>
      <c r="Z61" s="156">
        <f t="shared" si="10"/>
        <v>73909.149801759791</v>
      </c>
      <c r="AA61" s="156">
        <f t="shared" si="10"/>
        <v>73909.149801759791</v>
      </c>
      <c r="AB61" s="156">
        <f t="shared" si="10"/>
        <v>73909.149801759791</v>
      </c>
    </row>
    <row r="62" spans="2:28" x14ac:dyDescent="0.3">
      <c r="B62" s="17">
        <v>272</v>
      </c>
      <c r="C62" s="137">
        <v>5</v>
      </c>
      <c r="D62" s="138" t="s">
        <v>90</v>
      </c>
      <c r="E62" s="153">
        <v>341.829327199609</v>
      </c>
      <c r="F62" s="151">
        <v>107113.39</v>
      </c>
      <c r="G62" s="151">
        <v>0</v>
      </c>
      <c r="H62" s="151">
        <f t="shared" si="0"/>
        <v>107113.39</v>
      </c>
      <c r="I62" s="85">
        <f t="shared" si="1"/>
        <v>313.35342370273526</v>
      </c>
      <c r="J62" s="131">
        <f t="shared" si="2"/>
        <v>51651.598744277399</v>
      </c>
      <c r="K62" s="156"/>
      <c r="L62" s="156">
        <f>IFERROR(INDEX('Revised 2021 MFAM(2019 PYAs)'!AD$26:AD$278,MATCH(B62,'Revised 2021 MFAM(2019 PYAs)'!B$26:B$278,0)),0)</f>
        <v>-106.7254786943522</v>
      </c>
      <c r="M62" s="156">
        <f>IFERROR(INDEX('Revised 2020 MFAM(2018 PYAs)'!AF$26:AF$274,MATCH(B62,'Revised 2020 MFAM(2018 PYAs)'!B$26:B$274,0)),0)</f>
        <v>-20.258603734364442</v>
      </c>
      <c r="N62" s="156">
        <f t="shared" si="8"/>
        <v>-0.18072377065531675</v>
      </c>
      <c r="O62" s="156">
        <f t="shared" si="9"/>
        <v>-127.16480619937197</v>
      </c>
      <c r="P62" s="156"/>
      <c r="Q62" s="161">
        <f t="shared" si="3"/>
        <v>51524.433938078029</v>
      </c>
      <c r="R62" s="162">
        <v>0</v>
      </c>
      <c r="S62" s="163">
        <f t="shared" si="4"/>
        <v>0</v>
      </c>
      <c r="T62" s="156">
        <f t="shared" si="5"/>
        <v>51524.433938078029</v>
      </c>
      <c r="U62" s="90"/>
      <c r="V62" s="161">
        <v>0</v>
      </c>
      <c r="W62" s="156">
        <f t="shared" si="6"/>
        <v>51524.433938078029</v>
      </c>
      <c r="X62" s="90"/>
      <c r="Y62" s="156">
        <f t="shared" si="10"/>
        <v>12881.108484519507</v>
      </c>
      <c r="Z62" s="156">
        <f t="shared" si="10"/>
        <v>12881.108484519507</v>
      </c>
      <c r="AA62" s="156">
        <f t="shared" si="10"/>
        <v>12881.108484519507</v>
      </c>
      <c r="AB62" s="156">
        <f t="shared" si="10"/>
        <v>12881.108484519507</v>
      </c>
    </row>
    <row r="63" spans="2:28" x14ac:dyDescent="0.3">
      <c r="B63" s="17">
        <v>427</v>
      </c>
      <c r="C63" s="137">
        <v>5</v>
      </c>
      <c r="D63" s="138" t="s">
        <v>91</v>
      </c>
      <c r="E63" s="153">
        <v>437.07000000000005</v>
      </c>
      <c r="F63" s="151">
        <v>238025.89</v>
      </c>
      <c r="G63" s="151">
        <v>34068.35</v>
      </c>
      <c r="H63" s="151">
        <f t="shared" si="0"/>
        <v>203957.54</v>
      </c>
      <c r="I63" s="85">
        <f t="shared" si="1"/>
        <v>466.64731049946232</v>
      </c>
      <c r="J63" s="131">
        <f t="shared" si="2"/>
        <v>98351.224034174506</v>
      </c>
      <c r="K63" s="156"/>
      <c r="L63" s="156">
        <f>IFERROR(INDEX('Revised 2021 MFAM(2019 PYAs)'!AD$26:AD$278,MATCH(B63,'Revised 2021 MFAM(2019 PYAs)'!B$26:B$278,0)),0)</f>
        <v>-187.01520192291355</v>
      </c>
      <c r="M63" s="156">
        <f>IFERROR(INDEX('Revised 2020 MFAM(2018 PYAs)'!AF$26:AF$274,MATCH(B63,'Revised 2020 MFAM(2018 PYAs)'!B$26:B$274,0)),0)</f>
        <v>-37.052853993787721</v>
      </c>
      <c r="N63" s="156">
        <f t="shared" si="8"/>
        <v>-0.3441210821763982</v>
      </c>
      <c r="O63" s="156">
        <f t="shared" si="9"/>
        <v>-224.41217699887767</v>
      </c>
      <c r="P63" s="156"/>
      <c r="Q63" s="161">
        <f t="shared" si="3"/>
        <v>98126.811857175635</v>
      </c>
      <c r="R63" s="162">
        <v>0</v>
      </c>
      <c r="S63" s="163">
        <f t="shared" si="4"/>
        <v>0</v>
      </c>
      <c r="T63" s="156">
        <f t="shared" si="5"/>
        <v>98126.811857175635</v>
      </c>
      <c r="U63" s="90"/>
      <c r="V63" s="161">
        <v>0</v>
      </c>
      <c r="W63" s="156">
        <f t="shared" si="6"/>
        <v>98126.811857175635</v>
      </c>
      <c r="X63" s="90"/>
      <c r="Y63" s="156">
        <f t="shared" si="10"/>
        <v>24531.702964293909</v>
      </c>
      <c r="Z63" s="156">
        <f t="shared" si="10"/>
        <v>24531.702964293909</v>
      </c>
      <c r="AA63" s="156">
        <f t="shared" si="10"/>
        <v>24531.702964293909</v>
      </c>
      <c r="AB63" s="156">
        <f t="shared" si="10"/>
        <v>24531.702964293909</v>
      </c>
    </row>
    <row r="64" spans="2:28" x14ac:dyDescent="0.3">
      <c r="B64" s="17">
        <v>524</v>
      </c>
      <c r="C64" s="137">
        <v>5</v>
      </c>
      <c r="D64" s="138" t="s">
        <v>92</v>
      </c>
      <c r="E64" s="153">
        <v>516.25917988933952</v>
      </c>
      <c r="F64" s="151">
        <v>359695.52</v>
      </c>
      <c r="G64" s="151">
        <v>30004.35</v>
      </c>
      <c r="H64" s="151">
        <f t="shared" si="0"/>
        <v>329691.17000000004</v>
      </c>
      <c r="I64" s="85">
        <f t="shared" si="1"/>
        <v>638.61560790196415</v>
      </c>
      <c r="J64" s="131">
        <f t="shared" si="2"/>
        <v>158981.76710093245</v>
      </c>
      <c r="K64" s="156"/>
      <c r="L64" s="156">
        <f>IFERROR(INDEX('Revised 2021 MFAM(2019 PYAs)'!AD$26:AD$278,MATCH(B64,'Revised 2021 MFAM(2019 PYAs)'!B$26:B$278,0)),0)</f>
        <v>-247.19829113315791</v>
      </c>
      <c r="M64" s="156">
        <f>IFERROR(INDEX('Revised 2020 MFAM(2018 PYAs)'!AF$26:AF$274,MATCH(B64,'Revised 2020 MFAM(2018 PYAs)'!B$26:B$274,0)),0)</f>
        <v>-58.027451424364699</v>
      </c>
      <c r="N64" s="156">
        <f t="shared" si="8"/>
        <v>-0.55626127969773942</v>
      </c>
      <c r="O64" s="156">
        <f t="shared" si="9"/>
        <v>-305.78200383722037</v>
      </c>
      <c r="P64" s="156"/>
      <c r="Q64" s="161">
        <f t="shared" si="3"/>
        <v>158675.98509709522</v>
      </c>
      <c r="R64" s="162">
        <v>0</v>
      </c>
      <c r="S64" s="163">
        <f t="shared" si="4"/>
        <v>0</v>
      </c>
      <c r="T64" s="156">
        <f t="shared" si="5"/>
        <v>158675.98509709522</v>
      </c>
      <c r="U64" s="90"/>
      <c r="V64" s="161">
        <v>0</v>
      </c>
      <c r="W64" s="156">
        <f t="shared" si="6"/>
        <v>158675.98509709522</v>
      </c>
      <c r="X64" s="90"/>
      <c r="Y64" s="156">
        <f t="shared" si="10"/>
        <v>39668.996274273806</v>
      </c>
      <c r="Z64" s="156">
        <f t="shared" si="10"/>
        <v>39668.996274273806</v>
      </c>
      <c r="AA64" s="156">
        <f t="shared" si="10"/>
        <v>39668.996274273806</v>
      </c>
      <c r="AB64" s="156">
        <f t="shared" si="10"/>
        <v>39668.996274273806</v>
      </c>
    </row>
    <row r="65" spans="2:28" x14ac:dyDescent="0.3">
      <c r="B65" s="17">
        <v>565</v>
      </c>
      <c r="C65" s="137">
        <v>5</v>
      </c>
      <c r="D65" s="138" t="s">
        <v>93</v>
      </c>
      <c r="E65" s="153">
        <v>489.79749687617544</v>
      </c>
      <c r="F65" s="151">
        <v>360070.01</v>
      </c>
      <c r="G65" s="151">
        <v>560</v>
      </c>
      <c r="H65" s="151">
        <f t="shared" si="0"/>
        <v>359510.01</v>
      </c>
      <c r="I65" s="85">
        <f t="shared" si="1"/>
        <v>733.99723823187867</v>
      </c>
      <c r="J65" s="131">
        <f t="shared" si="2"/>
        <v>173360.8354760423</v>
      </c>
      <c r="K65" s="156"/>
      <c r="L65" s="156">
        <f>IFERROR(INDEX('Revised 2021 MFAM(2019 PYAs)'!AD$26:AD$278,MATCH(B65,'Revised 2021 MFAM(2019 PYAs)'!B$26:B$278,0)),0)</f>
        <v>-1114.6481385929073</v>
      </c>
      <c r="M65" s="156">
        <f>IFERROR(INDEX('Revised 2020 MFAM(2018 PYAs)'!AF$26:AF$274,MATCH(B65,'Revised 2020 MFAM(2018 PYAs)'!B$26:B$274,0)),0)</f>
        <v>-41.681448337636539</v>
      </c>
      <c r="N65" s="156">
        <f t="shared" si="8"/>
        <v>-0.60657219975514376</v>
      </c>
      <c r="O65" s="156">
        <f t="shared" si="9"/>
        <v>-1156.9361591302991</v>
      </c>
      <c r="P65" s="156"/>
      <c r="Q65" s="161">
        <f t="shared" si="3"/>
        <v>172203.89931691199</v>
      </c>
      <c r="R65" s="162">
        <v>0</v>
      </c>
      <c r="S65" s="163">
        <f t="shared" si="4"/>
        <v>0</v>
      </c>
      <c r="T65" s="156">
        <f t="shared" si="5"/>
        <v>172203.89931691199</v>
      </c>
      <c r="U65" s="90"/>
      <c r="V65" s="161">
        <v>0</v>
      </c>
      <c r="W65" s="156">
        <f t="shared" si="6"/>
        <v>172203.89931691199</v>
      </c>
      <c r="X65" s="90"/>
      <c r="Y65" s="156">
        <f t="shared" si="10"/>
        <v>43050.974829227998</v>
      </c>
      <c r="Z65" s="156">
        <f t="shared" si="10"/>
        <v>43050.974829227998</v>
      </c>
      <c r="AA65" s="156">
        <f t="shared" si="10"/>
        <v>43050.974829227998</v>
      </c>
      <c r="AB65" s="156">
        <f t="shared" si="10"/>
        <v>43050.974829227998</v>
      </c>
    </row>
    <row r="66" spans="2:28" x14ac:dyDescent="0.3">
      <c r="B66" s="17">
        <v>613</v>
      </c>
      <c r="C66" s="137">
        <v>5</v>
      </c>
      <c r="D66" s="138" t="s">
        <v>94</v>
      </c>
      <c r="E66" s="153">
        <v>152.25244216441209</v>
      </c>
      <c r="F66" s="151">
        <v>118450.49</v>
      </c>
      <c r="G66" s="151">
        <v>0</v>
      </c>
      <c r="H66" s="151">
        <f t="shared" si="0"/>
        <v>118450.49</v>
      </c>
      <c r="I66" s="85">
        <f t="shared" si="1"/>
        <v>777.98745501953567</v>
      </c>
      <c r="J66" s="131">
        <f t="shared" si="2"/>
        <v>57118.509464998191</v>
      </c>
      <c r="K66" s="156"/>
      <c r="L66" s="156">
        <f>IFERROR(INDEX('Revised 2021 MFAM(2019 PYAs)'!AD$26:AD$278,MATCH(B66,'Revised 2021 MFAM(2019 PYAs)'!B$26:B$278,0)),0)</f>
        <v>-65.875361507045454</v>
      </c>
      <c r="M66" s="156">
        <f>IFERROR(INDEX('Revised 2020 MFAM(2018 PYAs)'!AF$26:AF$274,MATCH(B66,'Revised 2020 MFAM(2018 PYAs)'!B$26:B$274,0)),0)</f>
        <v>0</v>
      </c>
      <c r="N66" s="156">
        <f t="shared" si="8"/>
        <v>-0.19985194370909079</v>
      </c>
      <c r="O66" s="156">
        <f t="shared" si="9"/>
        <v>-66.075213450754546</v>
      </c>
      <c r="P66" s="156"/>
      <c r="Q66" s="161">
        <f t="shared" si="3"/>
        <v>57052.434251547435</v>
      </c>
      <c r="R66" s="162">
        <v>0</v>
      </c>
      <c r="S66" s="163">
        <f t="shared" si="4"/>
        <v>0</v>
      </c>
      <c r="T66" s="156">
        <f t="shared" si="5"/>
        <v>57052.434251547435</v>
      </c>
      <c r="U66" s="90"/>
      <c r="V66" s="161">
        <v>0</v>
      </c>
      <c r="W66" s="156">
        <f t="shared" si="6"/>
        <v>57052.434251547435</v>
      </c>
      <c r="X66" s="90"/>
      <c r="Y66" s="156">
        <f t="shared" si="10"/>
        <v>14263.108562886859</v>
      </c>
      <c r="Z66" s="156">
        <f t="shared" si="10"/>
        <v>14263.108562886859</v>
      </c>
      <c r="AA66" s="156">
        <f t="shared" si="10"/>
        <v>14263.108562886859</v>
      </c>
      <c r="AB66" s="156">
        <f t="shared" si="10"/>
        <v>14263.108562886859</v>
      </c>
    </row>
    <row r="67" spans="2:28" x14ac:dyDescent="0.3">
      <c r="B67" s="17">
        <v>696</v>
      </c>
      <c r="C67" s="137">
        <v>5</v>
      </c>
      <c r="D67" s="138" t="s">
        <v>95</v>
      </c>
      <c r="E67" s="153">
        <v>292.79000000000002</v>
      </c>
      <c r="F67" s="151">
        <v>117674.26</v>
      </c>
      <c r="G67" s="151">
        <v>129</v>
      </c>
      <c r="H67" s="151">
        <f t="shared" si="0"/>
        <v>117545.26</v>
      </c>
      <c r="I67" s="85">
        <f t="shared" si="1"/>
        <v>401.46610198435735</v>
      </c>
      <c r="J67" s="131">
        <f t="shared" si="2"/>
        <v>56681.994695637586</v>
      </c>
      <c r="K67" s="156"/>
      <c r="L67" s="156">
        <f>IFERROR(INDEX('Revised 2021 MFAM(2019 PYAs)'!AD$26:AD$278,MATCH(B67,'Revised 2021 MFAM(2019 PYAs)'!B$26:B$278,0)),0)</f>
        <v>-126.9713963801405</v>
      </c>
      <c r="M67" s="156">
        <f>IFERROR(INDEX('Revised 2020 MFAM(2018 PYAs)'!AF$26:AF$274,MATCH(B67,'Revised 2020 MFAM(2018 PYAs)'!B$26:B$274,0)),0)</f>
        <v>-30.285263700701762</v>
      </c>
      <c r="N67" s="156">
        <f t="shared" si="8"/>
        <v>-0.19832462225179853</v>
      </c>
      <c r="O67" s="156">
        <f t="shared" si="9"/>
        <v>-157.45498470309406</v>
      </c>
      <c r="P67" s="156"/>
      <c r="Q67" s="161">
        <f t="shared" si="3"/>
        <v>56524.539710934492</v>
      </c>
      <c r="R67" s="162">
        <v>0</v>
      </c>
      <c r="S67" s="163">
        <f t="shared" si="4"/>
        <v>0</v>
      </c>
      <c r="T67" s="156">
        <f t="shared" si="5"/>
        <v>56524.539710934492</v>
      </c>
      <c r="U67" s="90"/>
      <c r="V67" s="161">
        <v>0</v>
      </c>
      <c r="W67" s="156">
        <f t="shared" si="6"/>
        <v>56524.539710934492</v>
      </c>
      <c r="X67" s="90"/>
      <c r="Y67" s="156">
        <f t="shared" si="10"/>
        <v>14131.134927733623</v>
      </c>
      <c r="Z67" s="156">
        <f t="shared" si="10"/>
        <v>14131.134927733623</v>
      </c>
      <c r="AA67" s="156">
        <f t="shared" si="10"/>
        <v>14131.134927733623</v>
      </c>
      <c r="AB67" s="156">
        <f t="shared" si="10"/>
        <v>14131.134927733623</v>
      </c>
    </row>
    <row r="68" spans="2:28" x14ac:dyDescent="0.3">
      <c r="B68" s="17">
        <v>731</v>
      </c>
      <c r="C68" s="137">
        <v>5</v>
      </c>
      <c r="D68" s="138" t="s">
        <v>96</v>
      </c>
      <c r="E68" s="153">
        <v>782.43155723259167</v>
      </c>
      <c r="F68" s="151">
        <v>415321.62</v>
      </c>
      <c r="G68" s="151">
        <v>15317.28</v>
      </c>
      <c r="H68" s="151">
        <f t="shared" si="0"/>
        <v>400004.33999999997</v>
      </c>
      <c r="I68" s="85">
        <f t="shared" si="1"/>
        <v>511.23237080926117</v>
      </c>
      <c r="J68" s="131">
        <f t="shared" si="2"/>
        <v>192887.77682836392</v>
      </c>
      <c r="K68" s="156"/>
      <c r="L68" s="156">
        <f>IFERROR(INDEX('Revised 2021 MFAM(2019 PYAs)'!AD$26:AD$278,MATCH(B68,'Revised 2021 MFAM(2019 PYAs)'!B$26:B$278,0)),0)</f>
        <v>-294.0113638851617</v>
      </c>
      <c r="M68" s="156">
        <f>IFERROR(INDEX('Revised 2020 MFAM(2018 PYAs)'!AF$26:AF$274,MATCH(B68,'Revised 2020 MFAM(2018 PYAs)'!B$26:B$274,0)),0)</f>
        <v>-51.263677121401997</v>
      </c>
      <c r="N68" s="156">
        <f t="shared" si="8"/>
        <v>-0.67489501175615241</v>
      </c>
      <c r="O68" s="156">
        <f t="shared" si="9"/>
        <v>-345.94993601831987</v>
      </c>
      <c r="P68" s="156"/>
      <c r="Q68" s="161">
        <f t="shared" si="3"/>
        <v>192541.82689234559</v>
      </c>
      <c r="R68" s="162">
        <v>0</v>
      </c>
      <c r="S68" s="163">
        <f t="shared" si="4"/>
        <v>0</v>
      </c>
      <c r="T68" s="156">
        <f t="shared" si="5"/>
        <v>192541.82689234559</v>
      </c>
      <c r="U68" s="90"/>
      <c r="V68" s="161">
        <v>0</v>
      </c>
      <c r="W68" s="156">
        <f t="shared" si="6"/>
        <v>192541.82689234559</v>
      </c>
      <c r="X68" s="90"/>
      <c r="Y68" s="156">
        <f t="shared" si="10"/>
        <v>48135.456723086398</v>
      </c>
      <c r="Z68" s="156">
        <f t="shared" si="10"/>
        <v>48135.456723086398</v>
      </c>
      <c r="AA68" s="156">
        <f t="shared" si="10"/>
        <v>48135.456723086398</v>
      </c>
      <c r="AB68" s="156">
        <f t="shared" si="10"/>
        <v>48135.456723086398</v>
      </c>
    </row>
    <row r="69" spans="2:28" x14ac:dyDescent="0.3">
      <c r="B69" s="17">
        <v>732</v>
      </c>
      <c r="C69" s="137">
        <v>5</v>
      </c>
      <c r="D69" s="138" t="s">
        <v>97</v>
      </c>
      <c r="E69" s="153">
        <v>221.35846266922772</v>
      </c>
      <c r="F69" s="151">
        <v>91767.01</v>
      </c>
      <c r="G69" s="151">
        <v>0</v>
      </c>
      <c r="H69" s="151">
        <f t="shared" si="0"/>
        <v>91767.01</v>
      </c>
      <c r="I69" s="85">
        <f t="shared" si="1"/>
        <v>414.56291705967402</v>
      </c>
      <c r="J69" s="131">
        <f t="shared" si="2"/>
        <v>44251.356235500447</v>
      </c>
      <c r="K69" s="156"/>
      <c r="L69" s="156">
        <f>IFERROR(INDEX('Revised 2021 MFAM(2019 PYAs)'!AD$26:AD$278,MATCH(B69,'Revised 2021 MFAM(2019 PYAs)'!B$26:B$278,0)),0)</f>
        <v>-75.734877140748722</v>
      </c>
      <c r="M69" s="156">
        <f>IFERROR(INDEX('Revised 2020 MFAM(2018 PYAs)'!AF$26:AF$274,MATCH(B69,'Revised 2020 MFAM(2018 PYAs)'!B$26:B$274,0)),0)</f>
        <v>-17.32644408998749</v>
      </c>
      <c r="N69" s="156">
        <f t="shared" si="8"/>
        <v>-0.1548310633149054</v>
      </c>
      <c r="O69" s="156">
        <f t="shared" si="9"/>
        <v>-93.216152294051113</v>
      </c>
      <c r="P69" s="156"/>
      <c r="Q69" s="161">
        <f t="shared" si="3"/>
        <v>44158.140083206396</v>
      </c>
      <c r="R69" s="162">
        <v>0</v>
      </c>
      <c r="S69" s="163">
        <f t="shared" si="4"/>
        <v>0</v>
      </c>
      <c r="T69" s="156">
        <f t="shared" si="5"/>
        <v>44158.140083206396</v>
      </c>
      <c r="U69" s="90"/>
      <c r="V69" s="161">
        <v>0</v>
      </c>
      <c r="W69" s="156">
        <f t="shared" si="6"/>
        <v>44158.140083206396</v>
      </c>
      <c r="X69" s="90"/>
      <c r="Y69" s="156">
        <f t="shared" si="10"/>
        <v>11039.535020801599</v>
      </c>
      <c r="Z69" s="156">
        <f t="shared" si="10"/>
        <v>11039.535020801599</v>
      </c>
      <c r="AA69" s="156">
        <f t="shared" si="10"/>
        <v>11039.535020801599</v>
      </c>
      <c r="AB69" s="156">
        <f t="shared" si="10"/>
        <v>11039.535020801599</v>
      </c>
    </row>
    <row r="70" spans="2:28" x14ac:dyDescent="0.3">
      <c r="B70" s="17">
        <v>754</v>
      </c>
      <c r="C70" s="137">
        <v>5</v>
      </c>
      <c r="D70" s="138" t="s">
        <v>98</v>
      </c>
      <c r="E70" s="153">
        <v>99.520260711578032</v>
      </c>
      <c r="F70" s="151">
        <v>36355.42</v>
      </c>
      <c r="G70" s="151">
        <v>0</v>
      </c>
      <c r="H70" s="151">
        <f t="shared" si="0"/>
        <v>36355.42</v>
      </c>
      <c r="I70" s="85">
        <f t="shared" si="1"/>
        <v>365.30671985840632</v>
      </c>
      <c r="J70" s="131">
        <f t="shared" si="2"/>
        <v>17531.100136217119</v>
      </c>
      <c r="K70" s="156"/>
      <c r="L70" s="156">
        <f>IFERROR(INDEX('Revised 2021 MFAM(2019 PYAs)'!AD$26:AD$278,MATCH(B70,'Revised 2021 MFAM(2019 PYAs)'!B$26:B$278,0)),0)</f>
        <v>-36.19587280090127</v>
      </c>
      <c r="M70" s="156">
        <f>IFERROR(INDEX('Revised 2020 MFAM(2018 PYAs)'!AF$26:AF$274,MATCH(B70,'Revised 2020 MFAM(2018 PYAs)'!B$26:B$274,0)),0)</f>
        <v>-8.2356642244048999</v>
      </c>
      <c r="N70" s="156">
        <f t="shared" si="8"/>
        <v>-6.1339563486485817E-2</v>
      </c>
      <c r="O70" s="156">
        <f t="shared" si="9"/>
        <v>-44.492876588792655</v>
      </c>
      <c r="P70" s="156"/>
      <c r="Q70" s="161">
        <f t="shared" si="3"/>
        <v>17486.607259628327</v>
      </c>
      <c r="R70" s="162">
        <v>0</v>
      </c>
      <c r="S70" s="163">
        <f t="shared" si="4"/>
        <v>0</v>
      </c>
      <c r="T70" s="156">
        <f t="shared" si="5"/>
        <v>17486.607259628327</v>
      </c>
      <c r="U70" s="90"/>
      <c r="V70" s="161">
        <v>0</v>
      </c>
      <c r="W70" s="156">
        <f t="shared" si="6"/>
        <v>17486.607259628327</v>
      </c>
      <c r="X70" s="90"/>
      <c r="Y70" s="156">
        <f t="shared" si="10"/>
        <v>4371.6518149070816</v>
      </c>
      <c r="Z70" s="156">
        <f t="shared" si="10"/>
        <v>4371.6518149070816</v>
      </c>
      <c r="AA70" s="156">
        <f t="shared" si="10"/>
        <v>4371.6518149070816</v>
      </c>
      <c r="AB70" s="156">
        <f t="shared" si="10"/>
        <v>4371.6518149070816</v>
      </c>
    </row>
    <row r="71" spans="2:28" x14ac:dyDescent="0.3">
      <c r="B71" s="17">
        <v>885</v>
      </c>
      <c r="C71" s="137">
        <v>5</v>
      </c>
      <c r="D71" s="138" t="s">
        <v>99</v>
      </c>
      <c r="E71" s="153">
        <v>35.334385264868693</v>
      </c>
      <c r="F71" s="151">
        <v>130726.23</v>
      </c>
      <c r="G71" s="151">
        <v>0</v>
      </c>
      <c r="H71" s="151">
        <f t="shared" si="0"/>
        <v>130726.23</v>
      </c>
      <c r="I71" s="85">
        <f t="shared" si="1"/>
        <v>3699.6888164338575</v>
      </c>
      <c r="J71" s="131">
        <f t="shared" si="2"/>
        <v>63038.045731837243</v>
      </c>
      <c r="K71" s="156"/>
      <c r="L71" s="156">
        <f>IFERROR(INDEX('Revised 2021 MFAM(2019 PYAs)'!AD$26:AD$278,MATCH(B71,'Revised 2021 MFAM(2019 PYAs)'!B$26:B$278,0)),0)</f>
        <v>-161.01432880629727</v>
      </c>
      <c r="M71" s="156">
        <f>IFERROR(INDEX('Revised 2020 MFAM(2018 PYAs)'!AF$26:AF$274,MATCH(B71,'Revised 2020 MFAM(2018 PYAs)'!B$26:B$274,0)),0)</f>
        <v>-22.059738695323176</v>
      </c>
      <c r="N71" s="156">
        <f t="shared" si="8"/>
        <v>-0.22056380821439955</v>
      </c>
      <c r="O71" s="156">
        <f t="shared" si="9"/>
        <v>-183.29463130983484</v>
      </c>
      <c r="P71" s="156"/>
      <c r="Q71" s="161">
        <f t="shared" si="3"/>
        <v>62854.751100527406</v>
      </c>
      <c r="R71" s="162">
        <v>0</v>
      </c>
      <c r="S71" s="163">
        <f t="shared" si="4"/>
        <v>0</v>
      </c>
      <c r="T71" s="156">
        <f t="shared" si="5"/>
        <v>62854.751100527406</v>
      </c>
      <c r="U71" s="90"/>
      <c r="V71" s="161">
        <v>0</v>
      </c>
      <c r="W71" s="156">
        <f t="shared" si="6"/>
        <v>62854.751100527406</v>
      </c>
      <c r="X71" s="90"/>
      <c r="Y71" s="156">
        <f t="shared" si="10"/>
        <v>15713.687775131852</v>
      </c>
      <c r="Z71" s="156">
        <f t="shared" si="10"/>
        <v>15713.687775131852</v>
      </c>
      <c r="AA71" s="156">
        <f t="shared" si="10"/>
        <v>15713.687775131852</v>
      </c>
      <c r="AB71" s="156">
        <f t="shared" si="10"/>
        <v>15713.687775131852</v>
      </c>
    </row>
    <row r="72" spans="2:28" x14ac:dyDescent="0.3">
      <c r="B72" s="17">
        <v>909</v>
      </c>
      <c r="C72" s="137">
        <v>5</v>
      </c>
      <c r="D72" s="138" t="s">
        <v>100</v>
      </c>
      <c r="E72" s="153">
        <v>481.23999999999995</v>
      </c>
      <c r="F72" s="151">
        <v>189729.81</v>
      </c>
      <c r="G72" s="151">
        <v>1334.85</v>
      </c>
      <c r="H72" s="151">
        <f t="shared" si="0"/>
        <v>188394.96</v>
      </c>
      <c r="I72" s="85">
        <f t="shared" si="1"/>
        <v>391.4781813648076</v>
      </c>
      <c r="J72" s="131">
        <f t="shared" si="2"/>
        <v>90846.726813185451</v>
      </c>
      <c r="K72" s="156"/>
      <c r="L72" s="156">
        <f>IFERROR(INDEX('Revised 2021 MFAM(2019 PYAs)'!AD$26:AD$278,MATCH(B72,'Revised 2021 MFAM(2019 PYAs)'!B$26:B$278,0)),0)</f>
        <v>-213.91352485085372</v>
      </c>
      <c r="M72" s="156">
        <f>IFERROR(INDEX('Revised 2020 MFAM(2018 PYAs)'!AF$26:AF$274,MATCH(B72,'Revised 2020 MFAM(2018 PYAs)'!B$26:B$274,0)),0)</f>
        <v>-44.671456818075967</v>
      </c>
      <c r="N72" s="156">
        <f t="shared" si="8"/>
        <v>-0.31786359803996089</v>
      </c>
      <c r="O72" s="156">
        <f t="shared" si="9"/>
        <v>-258.90284526696962</v>
      </c>
      <c r="P72" s="156"/>
      <c r="Q72" s="161">
        <f t="shared" si="3"/>
        <v>90587.823967918477</v>
      </c>
      <c r="R72" s="162">
        <v>0</v>
      </c>
      <c r="S72" s="163">
        <f t="shared" si="4"/>
        <v>0</v>
      </c>
      <c r="T72" s="156">
        <f t="shared" si="5"/>
        <v>90587.823967918477</v>
      </c>
      <c r="U72" s="90"/>
      <c r="V72" s="161">
        <v>0</v>
      </c>
      <c r="W72" s="156">
        <f t="shared" si="6"/>
        <v>90587.823967918477</v>
      </c>
      <c r="X72" s="90"/>
      <c r="Y72" s="156">
        <f t="shared" si="10"/>
        <v>22646.955991979619</v>
      </c>
      <c r="Z72" s="156">
        <f t="shared" si="10"/>
        <v>22646.955991979619</v>
      </c>
      <c r="AA72" s="156">
        <f t="shared" si="10"/>
        <v>22646.955991979619</v>
      </c>
      <c r="AB72" s="156">
        <f t="shared" si="10"/>
        <v>22646.955991979619</v>
      </c>
    </row>
    <row r="73" spans="2:28" x14ac:dyDescent="0.3">
      <c r="B73" s="17">
        <v>923</v>
      </c>
      <c r="C73" s="137">
        <v>5</v>
      </c>
      <c r="D73" s="138" t="s">
        <v>101</v>
      </c>
      <c r="E73" s="153">
        <v>44.48</v>
      </c>
      <c r="F73" s="151">
        <v>33457.160000000003</v>
      </c>
      <c r="G73" s="151">
        <v>84.96</v>
      </c>
      <c r="H73" s="151">
        <f t="shared" si="0"/>
        <v>33372.200000000004</v>
      </c>
      <c r="I73" s="85">
        <f t="shared" si="1"/>
        <v>750.27428057553971</v>
      </c>
      <c r="J73" s="131">
        <f t="shared" si="2"/>
        <v>16092.549060521513</v>
      </c>
      <c r="K73" s="156"/>
      <c r="L73" s="156">
        <f>IFERROR(INDEX('Revised 2021 MFAM(2019 PYAs)'!AD$26:AD$278,MATCH(B73,'Revised 2021 MFAM(2019 PYAs)'!B$26:B$278,0)),0)</f>
        <v>-39.927311660127089</v>
      </c>
      <c r="M73" s="156">
        <f>IFERROR(INDEX('Revised 2020 MFAM(2018 PYAs)'!AF$26:AF$274,MATCH(B73,'Revised 2020 MFAM(2018 PYAs)'!B$26:B$274,0)),0)</f>
        <v>-5.3003742155015061</v>
      </c>
      <c r="N73" s="156">
        <f t="shared" si="8"/>
        <v>-5.6306217355863372E-2</v>
      </c>
      <c r="O73" s="156">
        <f t="shared" si="9"/>
        <v>-45.283992092984455</v>
      </c>
      <c r="P73" s="156"/>
      <c r="Q73" s="161">
        <f t="shared" si="3"/>
        <v>16047.265068428529</v>
      </c>
      <c r="R73" s="162">
        <v>0</v>
      </c>
      <c r="S73" s="163">
        <f t="shared" si="4"/>
        <v>0</v>
      </c>
      <c r="T73" s="156">
        <f t="shared" si="5"/>
        <v>16047.265068428529</v>
      </c>
      <c r="U73" s="90"/>
      <c r="V73" s="161">
        <v>0</v>
      </c>
      <c r="W73" s="156">
        <f t="shared" si="6"/>
        <v>16047.265068428529</v>
      </c>
      <c r="X73" s="90"/>
      <c r="Y73" s="156">
        <f t="shared" si="10"/>
        <v>4011.8162671071323</v>
      </c>
      <c r="Z73" s="156">
        <f t="shared" si="10"/>
        <v>4011.8162671071323</v>
      </c>
      <c r="AA73" s="156">
        <f t="shared" si="10"/>
        <v>4011.8162671071323</v>
      </c>
      <c r="AB73" s="156">
        <f t="shared" si="10"/>
        <v>4011.8162671071323</v>
      </c>
    </row>
    <row r="74" spans="2:28" x14ac:dyDescent="0.3">
      <c r="B74" s="17">
        <v>394</v>
      </c>
      <c r="C74" s="137">
        <v>6</v>
      </c>
      <c r="D74" s="138" t="s">
        <v>102</v>
      </c>
      <c r="E74" s="153">
        <v>519.76</v>
      </c>
      <c r="F74" s="151">
        <v>424157.84</v>
      </c>
      <c r="G74" s="151">
        <v>18641.16</v>
      </c>
      <c r="H74" s="151">
        <f t="shared" si="0"/>
        <v>405516.68000000005</v>
      </c>
      <c r="I74" s="85">
        <f t="shared" si="1"/>
        <v>780.19986147452687</v>
      </c>
      <c r="J74" s="131">
        <f t="shared" si="2"/>
        <v>195545.90550697295</v>
      </c>
      <c r="K74" s="156"/>
      <c r="L74" s="156">
        <f>IFERROR(INDEX('Revised 2021 MFAM(2019 PYAs)'!AD$26:AD$278,MATCH(B74,'Revised 2021 MFAM(2019 PYAs)'!B$26:B$278,0)),0)</f>
        <v>-403.68499219501973</v>
      </c>
      <c r="M74" s="156">
        <f>IFERROR(INDEX('Revised 2020 MFAM(2018 PYAs)'!AF$26:AF$274,MATCH(B74,'Revised 2020 MFAM(2018 PYAs)'!B$26:B$274,0)),0)</f>
        <v>-88.754767580830958</v>
      </c>
      <c r="N74" s="156">
        <f t="shared" si="8"/>
        <v>-0.68419553776820496</v>
      </c>
      <c r="O74" s="156">
        <f t="shared" si="9"/>
        <v>-493.12395531361892</v>
      </c>
      <c r="P74" s="156"/>
      <c r="Q74" s="161">
        <f t="shared" si="3"/>
        <v>195052.78155165934</v>
      </c>
      <c r="R74" s="162">
        <v>0</v>
      </c>
      <c r="S74" s="163">
        <f t="shared" si="4"/>
        <v>0</v>
      </c>
      <c r="T74" s="156">
        <f t="shared" si="5"/>
        <v>195052.78155165934</v>
      </c>
      <c r="U74" s="90"/>
      <c r="V74" s="161">
        <v>0</v>
      </c>
      <c r="W74" s="156">
        <f t="shared" si="6"/>
        <v>195052.78155165934</v>
      </c>
      <c r="X74" s="90"/>
      <c r="Y74" s="156">
        <f t="shared" si="10"/>
        <v>48763.195387914835</v>
      </c>
      <c r="Z74" s="156">
        <f t="shared" si="10"/>
        <v>48763.195387914835</v>
      </c>
      <c r="AA74" s="156">
        <f t="shared" si="10"/>
        <v>48763.195387914835</v>
      </c>
      <c r="AB74" s="156">
        <f t="shared" si="10"/>
        <v>48763.195387914835</v>
      </c>
    </row>
    <row r="75" spans="2:28" x14ac:dyDescent="0.3">
      <c r="B75" s="17">
        <v>414</v>
      </c>
      <c r="C75" s="137">
        <v>6</v>
      </c>
      <c r="D75" s="138" t="s">
        <v>103</v>
      </c>
      <c r="E75" s="153">
        <v>191.23356743937211</v>
      </c>
      <c r="F75" s="151">
        <v>229461.81</v>
      </c>
      <c r="G75" s="151">
        <v>12694.75</v>
      </c>
      <c r="H75" s="151">
        <f t="shared" si="0"/>
        <v>216767.06</v>
      </c>
      <c r="I75" s="85">
        <f t="shared" si="1"/>
        <v>1133.5199301175141</v>
      </c>
      <c r="J75" s="131">
        <f t="shared" si="2"/>
        <v>104528.1566020523</v>
      </c>
      <c r="K75" s="156"/>
      <c r="L75" s="156">
        <f>IFERROR(INDEX('Revised 2021 MFAM(2019 PYAs)'!AD$26:AD$278,MATCH(B75,'Revised 2021 MFAM(2019 PYAs)'!B$26:B$278,0)),0)</f>
        <v>-193.44637832397711</v>
      </c>
      <c r="M75" s="156">
        <f>IFERROR(INDEX('Revised 2020 MFAM(2018 PYAs)'!AF$26:AF$274,MATCH(B75,'Revised 2020 MFAM(2018 PYAs)'!B$26:B$274,0)),0)</f>
        <v>-69.148540823473013</v>
      </c>
      <c r="N75" s="156">
        <f t="shared" si="8"/>
        <v>-0.36573355055859291</v>
      </c>
      <c r="O75" s="156">
        <f t="shared" si="9"/>
        <v>-262.96065269800874</v>
      </c>
      <c r="P75" s="156"/>
      <c r="Q75" s="161">
        <f t="shared" si="3"/>
        <v>104265.1959493543</v>
      </c>
      <c r="R75" s="162">
        <v>0</v>
      </c>
      <c r="S75" s="163">
        <f t="shared" si="4"/>
        <v>0</v>
      </c>
      <c r="T75" s="156">
        <f t="shared" si="5"/>
        <v>104265.1959493543</v>
      </c>
      <c r="U75" s="90"/>
      <c r="V75" s="161">
        <v>0</v>
      </c>
      <c r="W75" s="156">
        <f t="shared" si="6"/>
        <v>104265.1959493543</v>
      </c>
      <c r="X75" s="90"/>
      <c r="Y75" s="156">
        <f t="shared" si="10"/>
        <v>26066.298987338574</v>
      </c>
      <c r="Z75" s="156">
        <f t="shared" si="10"/>
        <v>26066.298987338574</v>
      </c>
      <c r="AA75" s="156">
        <f t="shared" si="10"/>
        <v>26066.298987338574</v>
      </c>
      <c r="AB75" s="156">
        <f t="shared" si="10"/>
        <v>26066.298987338574</v>
      </c>
    </row>
    <row r="76" spans="2:28" x14ac:dyDescent="0.3">
      <c r="B76" s="17">
        <v>426</v>
      </c>
      <c r="C76" s="137">
        <v>6</v>
      </c>
      <c r="D76" s="138" t="s">
        <v>104</v>
      </c>
      <c r="E76" s="153">
        <v>501.91164666939414</v>
      </c>
      <c r="F76" s="151">
        <v>186430.85</v>
      </c>
      <c r="G76" s="151">
        <v>0</v>
      </c>
      <c r="H76" s="151">
        <f t="shared" si="0"/>
        <v>186430.85</v>
      </c>
      <c r="I76" s="85">
        <f t="shared" si="1"/>
        <v>371.4415699199759</v>
      </c>
      <c r="J76" s="131">
        <f t="shared" si="2"/>
        <v>89899.605061090566</v>
      </c>
      <c r="K76" s="156"/>
      <c r="L76" s="156">
        <f>IFERROR(INDEX('Revised 2021 MFAM(2019 PYAs)'!AD$26:AD$278,MATCH(B76,'Revised 2021 MFAM(2019 PYAs)'!B$26:B$278,0)),0)</f>
        <v>-193.91255997310509</v>
      </c>
      <c r="M76" s="156">
        <f>IFERROR(INDEX('Revised 2020 MFAM(2018 PYAs)'!AF$26:AF$274,MATCH(B76,'Revised 2020 MFAM(2018 PYAs)'!B$26:B$274,0)),0)</f>
        <v>-37.664102949282096</v>
      </c>
      <c r="N76" s="156">
        <f t="shared" si="8"/>
        <v>-0.31454971389175296</v>
      </c>
      <c r="O76" s="156">
        <f t="shared" si="9"/>
        <v>-231.89121263627894</v>
      </c>
      <c r="P76" s="156"/>
      <c r="Q76" s="161">
        <f t="shared" si="3"/>
        <v>89667.713848454281</v>
      </c>
      <c r="R76" s="162">
        <v>0</v>
      </c>
      <c r="S76" s="163">
        <f t="shared" si="4"/>
        <v>0</v>
      </c>
      <c r="T76" s="156">
        <f t="shared" si="5"/>
        <v>89667.713848454281</v>
      </c>
      <c r="U76" s="90"/>
      <c r="V76" s="161">
        <v>0</v>
      </c>
      <c r="W76" s="156">
        <f t="shared" si="6"/>
        <v>89667.713848454281</v>
      </c>
      <c r="X76" s="90"/>
      <c r="Y76" s="156">
        <f t="shared" si="10"/>
        <v>22416.92846211357</v>
      </c>
      <c r="Z76" s="156">
        <f t="shared" si="10"/>
        <v>22416.92846211357</v>
      </c>
      <c r="AA76" s="156">
        <f t="shared" si="10"/>
        <v>22416.92846211357</v>
      </c>
      <c r="AB76" s="156">
        <f t="shared" si="10"/>
        <v>22416.92846211357</v>
      </c>
    </row>
    <row r="77" spans="2:28" x14ac:dyDescent="0.3">
      <c r="B77" s="17">
        <v>430</v>
      </c>
      <c r="C77" s="137">
        <v>6</v>
      </c>
      <c r="D77" s="138" t="s">
        <v>105</v>
      </c>
      <c r="E77" s="153">
        <v>2802.7979713615323</v>
      </c>
      <c r="F77" s="151">
        <v>1798380.04</v>
      </c>
      <c r="G77" s="151">
        <v>40</v>
      </c>
      <c r="H77" s="151">
        <f t="shared" si="0"/>
        <v>1798340.04</v>
      </c>
      <c r="I77" s="85">
        <f t="shared" si="1"/>
        <v>641.6231417230581</v>
      </c>
      <c r="J77" s="131">
        <f t="shared" si="2"/>
        <v>867185.12178400636</v>
      </c>
      <c r="K77" s="156"/>
      <c r="L77" s="156">
        <f>IFERROR(INDEX('Revised 2021 MFAM(2019 PYAs)'!AD$26:AD$278,MATCH(B77,'Revised 2021 MFAM(2019 PYAs)'!B$26:B$278,0)),0)</f>
        <v>-1684.4871657565236</v>
      </c>
      <c r="M77" s="156">
        <f>IFERROR(INDEX('Revised 2020 MFAM(2018 PYAs)'!AF$26:AF$274,MATCH(B77,'Revised 2020 MFAM(2018 PYAs)'!B$26:B$274,0)),0)</f>
        <v>-423.47546606813557</v>
      </c>
      <c r="N77" s="156">
        <f t="shared" si="8"/>
        <v>-3.0341938850897461</v>
      </c>
      <c r="O77" s="156">
        <f t="shared" si="9"/>
        <v>-2110.9968257097489</v>
      </c>
      <c r="P77" s="156"/>
      <c r="Q77" s="161">
        <f t="shared" si="3"/>
        <v>865074.12495829666</v>
      </c>
      <c r="R77" s="162">
        <v>0</v>
      </c>
      <c r="S77" s="163">
        <f t="shared" si="4"/>
        <v>0</v>
      </c>
      <c r="T77" s="156">
        <f t="shared" si="5"/>
        <v>865074.12495829666</v>
      </c>
      <c r="U77" s="90"/>
      <c r="V77" s="161">
        <v>0</v>
      </c>
      <c r="W77" s="156">
        <f t="shared" si="6"/>
        <v>865074.12495829666</v>
      </c>
      <c r="X77" s="90"/>
      <c r="Y77" s="156">
        <f t="shared" si="10"/>
        <v>216268.53123957416</v>
      </c>
      <c r="Z77" s="156">
        <f t="shared" si="10"/>
        <v>216268.53123957416</v>
      </c>
      <c r="AA77" s="156">
        <f t="shared" si="10"/>
        <v>216268.53123957416</v>
      </c>
      <c r="AB77" s="156">
        <f t="shared" si="10"/>
        <v>216268.53123957416</v>
      </c>
    </row>
    <row r="78" spans="2:28" x14ac:dyDescent="0.3">
      <c r="B78" s="17">
        <v>443</v>
      </c>
      <c r="C78" s="137">
        <v>6</v>
      </c>
      <c r="D78" s="138" t="s">
        <v>106</v>
      </c>
      <c r="E78" s="153">
        <v>15.06</v>
      </c>
      <c r="F78" s="151">
        <v>15828.58</v>
      </c>
      <c r="G78" s="151">
        <v>0</v>
      </c>
      <c r="H78" s="151">
        <f t="shared" si="0"/>
        <v>15828.58</v>
      </c>
      <c r="I78" s="85">
        <f t="shared" si="1"/>
        <v>1051.0345285524568</v>
      </c>
      <c r="J78" s="131">
        <f t="shared" si="2"/>
        <v>7632.7662008614825</v>
      </c>
      <c r="K78" s="156"/>
      <c r="L78" s="156">
        <f>IFERROR(INDEX('Revised 2021 MFAM(2019 PYAs)'!AD$26:AD$278,MATCH(B78,'Revised 2021 MFAM(2019 PYAs)'!B$26:B$278,0)),0)</f>
        <v>-14.149050859179624</v>
      </c>
      <c r="M78" s="156">
        <f>IFERROR(INDEX('Revised 2020 MFAM(2018 PYAs)'!AF$26:AF$274,MATCH(B78,'Revised 2020 MFAM(2018 PYAs)'!B$26:B$274,0)),0)</f>
        <v>-0.11237989048458985</v>
      </c>
      <c r="N78" s="156">
        <f t="shared" si="8"/>
        <v>-2.6706284449771717E-2</v>
      </c>
      <c r="O78" s="156">
        <f t="shared" si="9"/>
        <v>-14.288137034113985</v>
      </c>
      <c r="P78" s="156"/>
      <c r="Q78" s="161">
        <f t="shared" si="3"/>
        <v>7618.4780638273687</v>
      </c>
      <c r="R78" s="162">
        <v>0</v>
      </c>
      <c r="S78" s="163">
        <f t="shared" si="4"/>
        <v>0</v>
      </c>
      <c r="T78" s="156">
        <f t="shared" si="5"/>
        <v>7618.4780638273687</v>
      </c>
      <c r="U78" s="90"/>
      <c r="V78" s="161">
        <v>0</v>
      </c>
      <c r="W78" s="156">
        <f t="shared" si="6"/>
        <v>7618.4780638273687</v>
      </c>
      <c r="X78" s="90"/>
      <c r="Y78" s="156">
        <f t="shared" si="10"/>
        <v>1904.6195159568422</v>
      </c>
      <c r="Z78" s="156">
        <f t="shared" si="10"/>
        <v>1904.6195159568422</v>
      </c>
      <c r="AA78" s="156">
        <f t="shared" si="10"/>
        <v>1904.6195159568422</v>
      </c>
      <c r="AB78" s="156">
        <f t="shared" si="10"/>
        <v>1904.6195159568422</v>
      </c>
    </row>
    <row r="79" spans="2:28" x14ac:dyDescent="0.3">
      <c r="B79" s="17">
        <v>562</v>
      </c>
      <c r="C79" s="137">
        <v>6</v>
      </c>
      <c r="D79" s="138" t="s">
        <v>107</v>
      </c>
      <c r="E79" s="153">
        <v>87.049812395029448</v>
      </c>
      <c r="F79" s="151">
        <v>46703.15</v>
      </c>
      <c r="G79" s="151">
        <v>0</v>
      </c>
      <c r="H79" s="151">
        <f t="shared" si="0"/>
        <v>46703.15</v>
      </c>
      <c r="I79" s="85">
        <f t="shared" si="1"/>
        <v>536.51063356762336</v>
      </c>
      <c r="J79" s="131">
        <f t="shared" si="2"/>
        <v>22520.922583943979</v>
      </c>
      <c r="K79" s="156"/>
      <c r="L79" s="156">
        <f>IFERROR(INDEX('Revised 2021 MFAM(2019 PYAs)'!AD$26:AD$278,MATCH(B79,'Revised 2021 MFAM(2019 PYAs)'!B$26:B$278,0)),0)</f>
        <v>-47.962922484708542</v>
      </c>
      <c r="M79" s="156">
        <f>IFERROR(INDEX('Revised 2020 MFAM(2018 PYAs)'!AF$26:AF$274,MATCH(B79,'Revised 2020 MFAM(2018 PYAs)'!B$26:B$274,0)),0)</f>
        <v>-11.330585322974002</v>
      </c>
      <c r="N79" s="156">
        <f t="shared" si="8"/>
        <v>-7.879845245753922E-2</v>
      </c>
      <c r="O79" s="156">
        <f t="shared" si="9"/>
        <v>-59.372306260140085</v>
      </c>
      <c r="P79" s="156"/>
      <c r="Q79" s="161">
        <f t="shared" si="3"/>
        <v>22461.55027768384</v>
      </c>
      <c r="R79" s="162">
        <v>0</v>
      </c>
      <c r="S79" s="163">
        <f t="shared" si="4"/>
        <v>0</v>
      </c>
      <c r="T79" s="156">
        <f t="shared" si="5"/>
        <v>22461.55027768384</v>
      </c>
      <c r="U79" s="90"/>
      <c r="V79" s="161">
        <v>0</v>
      </c>
      <c r="W79" s="156">
        <f t="shared" si="6"/>
        <v>22461.55027768384</v>
      </c>
      <c r="X79" s="90"/>
      <c r="Y79" s="156">
        <f t="shared" si="10"/>
        <v>5615.3875694209601</v>
      </c>
      <c r="Z79" s="156">
        <f t="shared" si="10"/>
        <v>5615.3875694209601</v>
      </c>
      <c r="AA79" s="156">
        <f t="shared" si="10"/>
        <v>5615.3875694209601</v>
      </c>
      <c r="AB79" s="156">
        <f t="shared" si="10"/>
        <v>5615.3875694209601</v>
      </c>
    </row>
    <row r="80" spans="2:28" x14ac:dyDescent="0.3">
      <c r="B80" s="17">
        <v>603</v>
      </c>
      <c r="C80" s="137">
        <v>6</v>
      </c>
      <c r="D80" s="138" t="s">
        <v>108</v>
      </c>
      <c r="E80" s="153">
        <v>104.05602741883</v>
      </c>
      <c r="F80" s="151">
        <v>87352.79</v>
      </c>
      <c r="G80" s="151">
        <v>0</v>
      </c>
      <c r="H80" s="151">
        <f t="shared" si="0"/>
        <v>87352.79</v>
      </c>
      <c r="I80" s="85">
        <f t="shared" si="1"/>
        <v>839.47842491046913</v>
      </c>
      <c r="J80" s="131">
        <f t="shared" si="2"/>
        <v>42122.756625227965</v>
      </c>
      <c r="K80" s="156"/>
      <c r="L80" s="156">
        <f>IFERROR(INDEX('Revised 2021 MFAM(2019 PYAs)'!AD$26:AD$278,MATCH(B80,'Revised 2021 MFAM(2019 PYAs)'!B$26:B$278,0)),0)</f>
        <v>-77.086795642677316</v>
      </c>
      <c r="M80" s="156">
        <f>IFERROR(INDEX('Revised 2020 MFAM(2018 PYAs)'!AF$26:AF$274,MATCH(B80,'Revised 2020 MFAM(2018 PYAs)'!B$26:B$274,0)),0)</f>
        <v>-19.779918984349933</v>
      </c>
      <c r="N80" s="156">
        <f t="shared" si="8"/>
        <v>-0.1473833064760815</v>
      </c>
      <c r="O80" s="156">
        <f t="shared" si="9"/>
        <v>-97.014097933503336</v>
      </c>
      <c r="P80" s="156"/>
      <c r="Q80" s="161">
        <f t="shared" si="3"/>
        <v>42025.74252729446</v>
      </c>
      <c r="R80" s="162">
        <v>0</v>
      </c>
      <c r="S80" s="163">
        <f t="shared" si="4"/>
        <v>0</v>
      </c>
      <c r="T80" s="156">
        <f t="shared" si="5"/>
        <v>42025.74252729446</v>
      </c>
      <c r="U80" s="90"/>
      <c r="V80" s="161">
        <v>0</v>
      </c>
      <c r="W80" s="156">
        <f t="shared" si="6"/>
        <v>42025.74252729446</v>
      </c>
      <c r="X80" s="90"/>
      <c r="Y80" s="156">
        <f t="shared" si="10"/>
        <v>10506.435631823615</v>
      </c>
      <c r="Z80" s="156">
        <f t="shared" si="10"/>
        <v>10506.435631823615</v>
      </c>
      <c r="AA80" s="156">
        <f t="shared" si="10"/>
        <v>10506.435631823615</v>
      </c>
      <c r="AB80" s="156">
        <f t="shared" si="10"/>
        <v>10506.435631823615</v>
      </c>
    </row>
    <row r="81" spans="2:28" x14ac:dyDescent="0.3">
      <c r="B81" s="17">
        <v>618</v>
      </c>
      <c r="C81" s="137">
        <v>6</v>
      </c>
      <c r="D81" s="138" t="s">
        <v>109</v>
      </c>
      <c r="E81" s="153">
        <v>19.804983772414104</v>
      </c>
      <c r="F81" s="151">
        <v>17634.439999999999</v>
      </c>
      <c r="G81" s="151">
        <v>0</v>
      </c>
      <c r="H81" s="151">
        <f t="shared" si="0"/>
        <v>17634.439999999999</v>
      </c>
      <c r="I81" s="85">
        <f t="shared" si="1"/>
        <v>890.40416304519249</v>
      </c>
      <c r="J81" s="131">
        <f t="shared" si="2"/>
        <v>8503.577554216472</v>
      </c>
      <c r="K81" s="156"/>
      <c r="L81" s="156">
        <f>IFERROR(INDEX('Revised 2021 MFAM(2019 PYAs)'!AD$26:AD$278,MATCH(B81,'Revised 2021 MFAM(2019 PYAs)'!B$26:B$278,0)),0)</f>
        <v>5410.1943005197681</v>
      </c>
      <c r="M81" s="156">
        <f>IFERROR(INDEX('Revised 2020 MFAM(2018 PYAs)'!AF$26:AF$274,MATCH(B81,'Revised 2020 MFAM(2018 PYAs)'!B$26:B$274,0)),0)</f>
        <v>-3.7419651116406385</v>
      </c>
      <c r="N81" s="156">
        <f t="shared" si="8"/>
        <v>-2.9753166155930117E-2</v>
      </c>
      <c r="O81" s="156">
        <f t="shared" si="9"/>
        <v>5406.4225822419712</v>
      </c>
      <c r="P81" s="156"/>
      <c r="Q81" s="161">
        <f t="shared" si="3"/>
        <v>13910.000136458442</v>
      </c>
      <c r="R81" s="162">
        <v>0</v>
      </c>
      <c r="S81" s="163">
        <f t="shared" si="4"/>
        <v>0</v>
      </c>
      <c r="T81" s="156">
        <f t="shared" si="5"/>
        <v>13910.000136458442</v>
      </c>
      <c r="U81" s="90"/>
      <c r="V81" s="161">
        <v>0</v>
      </c>
      <c r="W81" s="156">
        <f t="shared" si="6"/>
        <v>13910.000136458442</v>
      </c>
      <c r="X81" s="90"/>
      <c r="Y81" s="156">
        <f t="shared" si="10"/>
        <v>3477.5000341146106</v>
      </c>
      <c r="Z81" s="156">
        <f t="shared" si="10"/>
        <v>3477.5000341146106</v>
      </c>
      <c r="AA81" s="156">
        <f t="shared" si="10"/>
        <v>3477.5000341146106</v>
      </c>
      <c r="AB81" s="156">
        <f t="shared" si="10"/>
        <v>3477.5000341146106</v>
      </c>
    </row>
    <row r="82" spans="2:28" x14ac:dyDescent="0.3">
      <c r="B82" s="17">
        <v>620</v>
      </c>
      <c r="C82" s="137">
        <v>6</v>
      </c>
      <c r="D82" s="138" t="s">
        <v>110</v>
      </c>
      <c r="E82" s="153">
        <v>210.58980770377843</v>
      </c>
      <c r="F82" s="151">
        <v>127287.86</v>
      </c>
      <c r="G82" s="151">
        <v>0</v>
      </c>
      <c r="H82" s="151">
        <f t="shared" si="0"/>
        <v>127287.86</v>
      </c>
      <c r="I82" s="85">
        <f t="shared" si="1"/>
        <v>604.43504549397142</v>
      </c>
      <c r="J82" s="131">
        <f t="shared" si="2"/>
        <v>61380.014858438866</v>
      </c>
      <c r="K82" s="156"/>
      <c r="L82" s="156">
        <f>IFERROR(INDEX('Revised 2021 MFAM(2019 PYAs)'!AD$26:AD$278,MATCH(B82,'Revised 2021 MFAM(2019 PYAs)'!B$26:B$278,0)),0)</f>
        <v>-124.14857012683933</v>
      </c>
      <c r="M82" s="156">
        <f>IFERROR(INDEX('Revised 2020 MFAM(2018 PYAs)'!AF$26:AF$274,MATCH(B82,'Revised 2020 MFAM(2018 PYAs)'!B$26:B$274,0)),0)</f>
        <v>-29.325959687266732</v>
      </c>
      <c r="N82" s="156">
        <f t="shared" si="8"/>
        <v>-0.21476252425440054</v>
      </c>
      <c r="O82" s="156">
        <f t="shared" si="9"/>
        <v>-153.68929233836047</v>
      </c>
      <c r="P82" s="156"/>
      <c r="Q82" s="161">
        <f t="shared" si="3"/>
        <v>61226.325566100502</v>
      </c>
      <c r="R82" s="162">
        <v>0</v>
      </c>
      <c r="S82" s="163">
        <f t="shared" si="4"/>
        <v>0</v>
      </c>
      <c r="T82" s="156">
        <f t="shared" si="5"/>
        <v>61226.325566100502</v>
      </c>
      <c r="U82" s="90"/>
      <c r="V82" s="161">
        <v>0</v>
      </c>
      <c r="W82" s="156">
        <f t="shared" si="6"/>
        <v>61226.325566100502</v>
      </c>
      <c r="X82" s="90"/>
      <c r="Y82" s="156">
        <f t="shared" si="10"/>
        <v>15306.581391525126</v>
      </c>
      <c r="Z82" s="156">
        <f t="shared" si="10"/>
        <v>15306.581391525126</v>
      </c>
      <c r="AA82" s="156">
        <f t="shared" si="10"/>
        <v>15306.581391525126</v>
      </c>
      <c r="AB82" s="156">
        <f t="shared" si="10"/>
        <v>15306.581391525126</v>
      </c>
    </row>
    <row r="83" spans="2:28" x14ac:dyDescent="0.3">
      <c r="B83" s="17">
        <v>622</v>
      </c>
      <c r="C83" s="137">
        <v>6</v>
      </c>
      <c r="D83" s="138" t="s">
        <v>111</v>
      </c>
      <c r="E83" s="153">
        <v>107.7325071639393</v>
      </c>
      <c r="F83" s="151">
        <v>106405.48</v>
      </c>
      <c r="G83" s="151">
        <v>192</v>
      </c>
      <c r="H83" s="151">
        <f t="shared" ref="H83:H146" si="11">F83-G83</f>
        <v>106213.48</v>
      </c>
      <c r="I83" s="85">
        <f t="shared" ref="I83:I146" si="12">IFERROR(H83/E83,"n.a.")</f>
        <v>985.90001101870052</v>
      </c>
      <c r="J83" s="131">
        <f t="shared" ref="J83:J146" si="13">H83*(E$12/H$17)</f>
        <v>51217.649354514244</v>
      </c>
      <c r="K83" s="156"/>
      <c r="L83" s="156">
        <f>IFERROR(INDEX('Revised 2021 MFAM(2019 PYAs)'!AD$26:AD$278,MATCH(B83,'Revised 2021 MFAM(2019 PYAs)'!B$26:B$278,0)),0)</f>
        <v>-77.147100458263594</v>
      </c>
      <c r="M83" s="156">
        <f>IFERROR(INDEX('Revised 2020 MFAM(2018 PYAs)'!AF$26:AF$274,MATCH(B83,'Revised 2020 MFAM(2018 PYAs)'!B$26:B$274,0)),0)</f>
        <v>-18.863065139401442</v>
      </c>
      <c r="N83" s="156">
        <f t="shared" si="8"/>
        <v>-0.17920542520429117</v>
      </c>
      <c r="O83" s="156">
        <f t="shared" si="9"/>
        <v>-96.189371022869324</v>
      </c>
      <c r="P83" s="156"/>
      <c r="Q83" s="161">
        <f t="shared" ref="Q83:Q146" si="14">J83+O83</f>
        <v>51121.459983491375</v>
      </c>
      <c r="R83" s="162">
        <v>0</v>
      </c>
      <c r="S83" s="163">
        <f t="shared" ref="S83:S146" si="15">-$R$17*R83*Q83</f>
        <v>0</v>
      </c>
      <c r="T83" s="156">
        <f t="shared" ref="T83:T146" si="16">Q83+S83</f>
        <v>51121.459983491375</v>
      </c>
      <c r="U83" s="90"/>
      <c r="V83" s="161">
        <v>0</v>
      </c>
      <c r="W83" s="156">
        <f t="shared" ref="W83:W146" si="17">T83+V83</f>
        <v>51121.459983491375</v>
      </c>
      <c r="X83" s="90"/>
      <c r="Y83" s="156">
        <f t="shared" si="10"/>
        <v>12780.364995872844</v>
      </c>
      <c r="Z83" s="156">
        <f t="shared" si="10"/>
        <v>12780.364995872844</v>
      </c>
      <c r="AA83" s="156">
        <f t="shared" si="10"/>
        <v>12780.364995872844</v>
      </c>
      <c r="AB83" s="156">
        <f t="shared" si="10"/>
        <v>12780.364995872844</v>
      </c>
    </row>
    <row r="84" spans="2:28" x14ac:dyDescent="0.3">
      <c r="B84" s="17">
        <v>623</v>
      </c>
      <c r="C84" s="137">
        <v>6</v>
      </c>
      <c r="D84" s="138" t="s">
        <v>112</v>
      </c>
      <c r="E84" s="153">
        <v>250.8949918794944</v>
      </c>
      <c r="F84" s="151">
        <v>81786.11</v>
      </c>
      <c r="G84" s="151">
        <v>0</v>
      </c>
      <c r="H84" s="151">
        <f t="shared" si="11"/>
        <v>81786.11</v>
      </c>
      <c r="I84" s="85">
        <f t="shared" si="12"/>
        <v>325.97745131270739</v>
      </c>
      <c r="J84" s="131">
        <f t="shared" si="13"/>
        <v>39438.424426445032</v>
      </c>
      <c r="K84" s="156"/>
      <c r="L84" s="156">
        <f>IFERROR(INDEX('Revised 2021 MFAM(2019 PYAs)'!AD$26:AD$278,MATCH(B84,'Revised 2021 MFAM(2019 PYAs)'!B$26:B$278,0)),0)</f>
        <v>-84.200649254577002</v>
      </c>
      <c r="M84" s="156">
        <f>IFERROR(INDEX('Revised 2020 MFAM(2018 PYAs)'!AF$26:AF$274,MATCH(B84,'Revised 2020 MFAM(2018 PYAs)'!B$26:B$274,0)),0)</f>
        <v>-21.132268227782333</v>
      </c>
      <c r="N84" s="156">
        <f t="shared" ref="N84:N147" si="18">-$N$15*(J84/$E$12)</f>
        <v>-0.13799109697144779</v>
      </c>
      <c r="O84" s="156">
        <f t="shared" ref="O84:O147" si="19">SUM(L84:N84)</f>
        <v>-105.47090857933078</v>
      </c>
      <c r="P84" s="156"/>
      <c r="Q84" s="161">
        <f t="shared" si="14"/>
        <v>39332.953517865702</v>
      </c>
      <c r="R84" s="162">
        <v>0</v>
      </c>
      <c r="S84" s="163">
        <f t="shared" si="15"/>
        <v>0</v>
      </c>
      <c r="T84" s="156">
        <f t="shared" si="16"/>
        <v>39332.953517865702</v>
      </c>
      <c r="U84" s="90"/>
      <c r="V84" s="161">
        <v>0</v>
      </c>
      <c r="W84" s="156">
        <f t="shared" si="17"/>
        <v>39332.953517865702</v>
      </c>
      <c r="X84" s="90"/>
      <c r="Y84" s="156">
        <f t="shared" ref="Y84:AB115" si="20">$W84/4</f>
        <v>9833.2383794664256</v>
      </c>
      <c r="Z84" s="156">
        <f t="shared" si="20"/>
        <v>9833.2383794664256</v>
      </c>
      <c r="AA84" s="156">
        <f t="shared" si="20"/>
        <v>9833.2383794664256</v>
      </c>
      <c r="AB84" s="156">
        <f t="shared" si="20"/>
        <v>9833.2383794664256</v>
      </c>
    </row>
    <row r="85" spans="2:28" x14ac:dyDescent="0.3">
      <c r="B85" s="17">
        <v>626</v>
      </c>
      <c r="C85" s="137">
        <v>6</v>
      </c>
      <c r="D85" s="138" t="s">
        <v>113</v>
      </c>
      <c r="E85" s="153">
        <v>23.941522726196077</v>
      </c>
      <c r="F85" s="151">
        <v>18629.490000000002</v>
      </c>
      <c r="G85" s="151">
        <v>0</v>
      </c>
      <c r="H85" s="151">
        <f t="shared" si="11"/>
        <v>18629.490000000002</v>
      </c>
      <c r="I85" s="85">
        <f t="shared" si="12"/>
        <v>778.12469211142479</v>
      </c>
      <c r="J85" s="131">
        <f t="shared" si="13"/>
        <v>8983.4048039234713</v>
      </c>
      <c r="K85" s="156"/>
      <c r="L85" s="156">
        <f>IFERROR(INDEX('Revised 2021 MFAM(2019 PYAs)'!AD$26:AD$278,MATCH(B85,'Revised 2021 MFAM(2019 PYAs)'!B$26:B$278,0)),0)</f>
        <v>-15.753560518721315</v>
      </c>
      <c r="M85" s="156">
        <f>IFERROR(INDEX('Revised 2020 MFAM(2018 PYAs)'!AF$26:AF$274,MATCH(B85,'Revised 2020 MFAM(2018 PYAs)'!B$26:B$274,0)),0)</f>
        <v>-3.9333012066108495</v>
      </c>
      <c r="N85" s="156">
        <f t="shared" si="18"/>
        <v>-3.1432033643837773E-2</v>
      </c>
      <c r="O85" s="156">
        <f t="shared" si="19"/>
        <v>-19.718293758976003</v>
      </c>
      <c r="P85" s="156"/>
      <c r="Q85" s="161">
        <f t="shared" si="14"/>
        <v>8963.6865101644944</v>
      </c>
      <c r="R85" s="162">
        <v>0</v>
      </c>
      <c r="S85" s="163">
        <f t="shared" si="15"/>
        <v>0</v>
      </c>
      <c r="T85" s="156">
        <f t="shared" si="16"/>
        <v>8963.6865101644944</v>
      </c>
      <c r="U85" s="90"/>
      <c r="V85" s="161">
        <v>0</v>
      </c>
      <c r="W85" s="156">
        <f t="shared" si="17"/>
        <v>8963.6865101644944</v>
      </c>
      <c r="X85" s="90"/>
      <c r="Y85" s="156">
        <f t="shared" si="20"/>
        <v>2240.9216275411236</v>
      </c>
      <c r="Z85" s="156">
        <f t="shared" si="20"/>
        <v>2240.9216275411236</v>
      </c>
      <c r="AA85" s="156">
        <f t="shared" si="20"/>
        <v>2240.9216275411236</v>
      </c>
      <c r="AB85" s="156">
        <f t="shared" si="20"/>
        <v>2240.9216275411236</v>
      </c>
    </row>
    <row r="86" spans="2:28" x14ac:dyDescent="0.3">
      <c r="B86" s="17">
        <v>627</v>
      </c>
      <c r="C86" s="137">
        <v>6</v>
      </c>
      <c r="D86" s="138" t="s">
        <v>114</v>
      </c>
      <c r="E86" s="153">
        <v>160.83836755587552</v>
      </c>
      <c r="F86" s="151">
        <v>77264.61</v>
      </c>
      <c r="G86" s="151">
        <v>0</v>
      </c>
      <c r="H86" s="151">
        <f t="shared" si="11"/>
        <v>77264.61</v>
      </c>
      <c r="I86" s="85">
        <f t="shared" si="12"/>
        <v>480.38668368825705</v>
      </c>
      <c r="J86" s="131">
        <f t="shared" si="13"/>
        <v>37258.092875718736</v>
      </c>
      <c r="K86" s="156"/>
      <c r="L86" s="156">
        <f>IFERROR(INDEX('Revised 2021 MFAM(2019 PYAs)'!AD$26:AD$278,MATCH(B86,'Revised 2021 MFAM(2019 PYAs)'!B$26:B$278,0)),0)</f>
        <v>-79.76486294271308</v>
      </c>
      <c r="M86" s="156">
        <f>IFERROR(INDEX('Revised 2020 MFAM(2018 PYAs)'!AF$26:AF$274,MATCH(B86,'Revised 2020 MFAM(2018 PYAs)'!B$26:B$274,0)),0)</f>
        <v>-18.520308572642534</v>
      </c>
      <c r="N86" s="156">
        <f t="shared" si="18"/>
        <v>-0.1303623352543738</v>
      </c>
      <c r="O86" s="156">
        <f t="shared" si="19"/>
        <v>-98.415533850609989</v>
      </c>
      <c r="P86" s="156"/>
      <c r="Q86" s="161">
        <f t="shared" si="14"/>
        <v>37159.677341868126</v>
      </c>
      <c r="R86" s="162">
        <v>0</v>
      </c>
      <c r="S86" s="163">
        <f t="shared" si="15"/>
        <v>0</v>
      </c>
      <c r="T86" s="156">
        <f t="shared" si="16"/>
        <v>37159.677341868126</v>
      </c>
      <c r="U86" s="90"/>
      <c r="V86" s="161">
        <v>0</v>
      </c>
      <c r="W86" s="156">
        <f t="shared" si="17"/>
        <v>37159.677341868126</v>
      </c>
      <c r="X86" s="90"/>
      <c r="Y86" s="156">
        <f t="shared" si="20"/>
        <v>9289.9193354670315</v>
      </c>
      <c r="Z86" s="156">
        <f t="shared" si="20"/>
        <v>9289.9193354670315</v>
      </c>
      <c r="AA86" s="156">
        <f t="shared" si="20"/>
        <v>9289.9193354670315</v>
      </c>
      <c r="AB86" s="156">
        <f t="shared" si="20"/>
        <v>9289.9193354670315</v>
      </c>
    </row>
    <row r="87" spans="2:28" x14ac:dyDescent="0.3">
      <c r="B87" s="17">
        <v>634</v>
      </c>
      <c r="C87" s="137">
        <v>6</v>
      </c>
      <c r="D87" s="138" t="s">
        <v>115</v>
      </c>
      <c r="E87" s="153">
        <v>740.65427567911945</v>
      </c>
      <c r="F87" s="151">
        <v>642243.07999999996</v>
      </c>
      <c r="G87" s="151">
        <v>0</v>
      </c>
      <c r="H87" s="151">
        <f t="shared" si="11"/>
        <v>642243.07999999996</v>
      </c>
      <c r="I87" s="85">
        <f t="shared" si="12"/>
        <v>867.12937613317024</v>
      </c>
      <c r="J87" s="131">
        <f t="shared" si="13"/>
        <v>309698.73948017933</v>
      </c>
      <c r="K87" s="156"/>
      <c r="L87" s="156">
        <f>IFERROR(INDEX('Revised 2021 MFAM(2019 PYAs)'!AD$26:AD$278,MATCH(B87,'Revised 2021 MFAM(2019 PYAs)'!B$26:B$278,0)),0)</f>
        <v>-634.35980473645031</v>
      </c>
      <c r="M87" s="156">
        <f>IFERROR(INDEX('Revised 2020 MFAM(2018 PYAs)'!AF$26:AF$274,MATCH(B87,'Revised 2020 MFAM(2018 PYAs)'!B$26:B$274,0)),0)</f>
        <v>-150.05330249571125</v>
      </c>
      <c r="N87" s="156">
        <f t="shared" si="18"/>
        <v>-1.0836048704544243</v>
      </c>
      <c r="O87" s="156">
        <f t="shared" si="19"/>
        <v>-785.49671210261602</v>
      </c>
      <c r="P87" s="156"/>
      <c r="Q87" s="161">
        <f t="shared" si="14"/>
        <v>308913.24276807671</v>
      </c>
      <c r="R87" s="162">
        <v>0</v>
      </c>
      <c r="S87" s="163">
        <f t="shared" si="15"/>
        <v>0</v>
      </c>
      <c r="T87" s="156">
        <f t="shared" si="16"/>
        <v>308913.24276807671</v>
      </c>
      <c r="U87" s="90"/>
      <c r="V87" s="161">
        <v>0</v>
      </c>
      <c r="W87" s="156">
        <f t="shared" si="17"/>
        <v>308913.24276807671</v>
      </c>
      <c r="X87" s="90"/>
      <c r="Y87" s="156">
        <f t="shared" si="20"/>
        <v>77228.310692019179</v>
      </c>
      <c r="Z87" s="156">
        <f t="shared" si="20"/>
        <v>77228.310692019179</v>
      </c>
      <c r="AA87" s="156">
        <f t="shared" si="20"/>
        <v>77228.310692019179</v>
      </c>
      <c r="AB87" s="156">
        <f t="shared" si="20"/>
        <v>77228.310692019179</v>
      </c>
    </row>
    <row r="88" spans="2:28" x14ac:dyDescent="0.3">
      <c r="B88" s="17">
        <v>636</v>
      </c>
      <c r="C88" s="137">
        <v>6</v>
      </c>
      <c r="D88" s="138" t="s">
        <v>344</v>
      </c>
      <c r="E88" s="153">
        <v>52.010894198288028</v>
      </c>
      <c r="F88" s="151">
        <v>81915.839999999997</v>
      </c>
      <c r="G88" s="151">
        <v>76680</v>
      </c>
      <c r="H88" s="151">
        <f t="shared" si="11"/>
        <v>5235.8399999999965</v>
      </c>
      <c r="I88" s="85">
        <f t="shared" si="12"/>
        <v>100.66814040994392</v>
      </c>
      <c r="J88" s="131">
        <f t="shared" si="13"/>
        <v>2524.7964495310734</v>
      </c>
      <c r="K88" s="156"/>
      <c r="L88" s="156">
        <f>IFERROR(INDEX('Revised 2021 MFAM(2019 PYAs)'!AD$26:AD$278,MATCH(B88,'Revised 2021 MFAM(2019 PYAs)'!B$26:B$278,0)),0)</f>
        <v>0</v>
      </c>
      <c r="M88" s="156">
        <f>IFERROR(INDEX('Revised 2020 MFAM(2018 PYAs)'!AF$26:AF$274,MATCH(B88,'Revised 2020 MFAM(2018 PYAs)'!B$26:B$274,0)),0)</f>
        <v>-4.2724512123186287E-2</v>
      </c>
      <c r="N88" s="156">
        <f t="shared" si="18"/>
        <v>-8.8340098968759453E-3</v>
      </c>
      <c r="O88" s="156">
        <f t="shared" si="19"/>
        <v>-5.1558522020062232E-2</v>
      </c>
      <c r="P88" s="156"/>
      <c r="Q88" s="161">
        <f t="shared" si="14"/>
        <v>2524.7448910090534</v>
      </c>
      <c r="R88" s="162">
        <v>0</v>
      </c>
      <c r="S88" s="163">
        <f t="shared" si="15"/>
        <v>0</v>
      </c>
      <c r="T88" s="156">
        <f t="shared" si="16"/>
        <v>2524.7448910090534</v>
      </c>
      <c r="U88" s="90"/>
      <c r="V88" s="161">
        <v>0</v>
      </c>
      <c r="W88" s="156">
        <f t="shared" si="17"/>
        <v>2524.7448910090534</v>
      </c>
      <c r="X88" s="90"/>
      <c r="Y88" s="156">
        <f t="shared" si="20"/>
        <v>631.18622275226335</v>
      </c>
      <c r="Z88" s="156">
        <f t="shared" si="20"/>
        <v>631.18622275226335</v>
      </c>
      <c r="AA88" s="156">
        <f t="shared" si="20"/>
        <v>631.18622275226335</v>
      </c>
      <c r="AB88" s="156">
        <f t="shared" si="20"/>
        <v>631.18622275226335</v>
      </c>
    </row>
    <row r="89" spans="2:28" x14ac:dyDescent="0.3">
      <c r="B89" s="17">
        <v>641</v>
      </c>
      <c r="C89" s="137">
        <v>6</v>
      </c>
      <c r="D89" s="138" t="s">
        <v>309</v>
      </c>
      <c r="E89" s="153">
        <v>8.0818933340698198</v>
      </c>
      <c r="F89" s="151">
        <v>34364.78</v>
      </c>
      <c r="G89" s="151">
        <v>0</v>
      </c>
      <c r="H89" s="151">
        <f t="shared" si="11"/>
        <v>34364.78</v>
      </c>
      <c r="I89" s="85">
        <f t="shared" si="12"/>
        <v>4252.0704715481361</v>
      </c>
      <c r="J89" s="131">
        <f t="shared" si="13"/>
        <v>16571.185241129693</v>
      </c>
      <c r="K89" s="156"/>
      <c r="L89" s="156">
        <f>IFERROR(INDEX('Revised 2021 MFAM(2019 PYAs)'!AD$26:AD$278,MATCH(B89,'Revised 2021 MFAM(2019 PYAs)'!B$26:B$278,0)),0)</f>
        <v>-19.003353412811975</v>
      </c>
      <c r="M89" s="156">
        <f>IFERROR(INDEX('Revised 2020 MFAM(2018 PYAs)'!AF$26:AF$274,MATCH(B89,'Revised 2020 MFAM(2018 PYAs)'!B$26:B$274,0)),0)</f>
        <v>0</v>
      </c>
      <c r="N89" s="156">
        <f t="shared" si="18"/>
        <v>-5.7980917412290049E-2</v>
      </c>
      <c r="O89" s="156">
        <f t="shared" si="19"/>
        <v>-19.061334330224266</v>
      </c>
      <c r="P89" s="156"/>
      <c r="Q89" s="161">
        <f t="shared" si="14"/>
        <v>16552.123906799468</v>
      </c>
      <c r="R89" s="162">
        <v>0</v>
      </c>
      <c r="S89" s="163">
        <f t="shared" si="15"/>
        <v>0</v>
      </c>
      <c r="T89" s="156">
        <f t="shared" si="16"/>
        <v>16552.123906799468</v>
      </c>
      <c r="U89" s="90"/>
      <c r="V89" s="161">
        <v>0</v>
      </c>
      <c r="W89" s="156">
        <f t="shared" si="17"/>
        <v>16552.123906799468</v>
      </c>
      <c r="X89" s="90"/>
      <c r="Y89" s="156">
        <f t="shared" si="20"/>
        <v>4138.0309766998671</v>
      </c>
      <c r="Z89" s="156">
        <f t="shared" si="20"/>
        <v>4138.0309766998671</v>
      </c>
      <c r="AA89" s="156">
        <f t="shared" si="20"/>
        <v>4138.0309766998671</v>
      </c>
      <c r="AB89" s="156">
        <f t="shared" si="20"/>
        <v>4138.0309766998671</v>
      </c>
    </row>
    <row r="90" spans="2:28" x14ac:dyDescent="0.3">
      <c r="B90" s="17">
        <v>644</v>
      </c>
      <c r="C90" s="137">
        <v>6</v>
      </c>
      <c r="D90" s="138" t="s">
        <v>346</v>
      </c>
      <c r="E90" s="153">
        <v>4.7100926742643461</v>
      </c>
      <c r="F90" s="151">
        <v>44753.64</v>
      </c>
      <c r="G90" s="151">
        <v>0</v>
      </c>
      <c r="H90" s="151">
        <f t="shared" si="11"/>
        <v>44753.64</v>
      </c>
      <c r="I90" s="85">
        <f t="shared" si="12"/>
        <v>9501.6474398754635</v>
      </c>
      <c r="J90" s="131">
        <f t="shared" si="13"/>
        <v>21580.841159315773</v>
      </c>
      <c r="K90" s="156"/>
      <c r="L90" s="156">
        <f>IFERROR(INDEX('Revised 2021 MFAM(2019 PYAs)'!AD$26:AD$278,MATCH(B90,'Revised 2021 MFAM(2019 PYAs)'!B$26:B$278,0)),0)</f>
        <v>0</v>
      </c>
      <c r="M90" s="156">
        <f>IFERROR(INDEX('Revised 2020 MFAM(2018 PYAs)'!AF$26:AF$274,MATCH(B90,'Revised 2020 MFAM(2018 PYAs)'!B$26:B$274,0)),0)</f>
        <v>0</v>
      </c>
      <c r="N90" s="156">
        <f t="shared" si="18"/>
        <v>-7.5509201709987969E-2</v>
      </c>
      <c r="O90" s="156">
        <f t="shared" si="19"/>
        <v>-7.5509201709987969E-2</v>
      </c>
      <c r="P90" s="156"/>
      <c r="Q90" s="161">
        <f t="shared" si="14"/>
        <v>21580.765650114063</v>
      </c>
      <c r="R90" s="162">
        <v>0</v>
      </c>
      <c r="S90" s="163">
        <f t="shared" si="15"/>
        <v>0</v>
      </c>
      <c r="T90" s="156">
        <f t="shared" si="16"/>
        <v>21580.765650114063</v>
      </c>
      <c r="U90" s="90"/>
      <c r="V90" s="161">
        <v>0</v>
      </c>
      <c r="W90" s="156">
        <f t="shared" si="17"/>
        <v>21580.765650114063</v>
      </c>
      <c r="X90" s="90"/>
      <c r="Y90" s="156">
        <f t="shared" si="20"/>
        <v>5395.1914125285157</v>
      </c>
      <c r="Z90" s="156">
        <f t="shared" si="20"/>
        <v>5395.1914125285157</v>
      </c>
      <c r="AA90" s="156">
        <f t="shared" si="20"/>
        <v>5395.1914125285157</v>
      </c>
      <c r="AB90" s="156">
        <f t="shared" si="20"/>
        <v>5395.1914125285157</v>
      </c>
    </row>
    <row r="91" spans="2:28" x14ac:dyDescent="0.3">
      <c r="B91" s="17">
        <v>694</v>
      </c>
      <c r="C91" s="137">
        <v>6</v>
      </c>
      <c r="D91" s="138" t="s">
        <v>116</v>
      </c>
      <c r="E91" s="153">
        <v>19.03</v>
      </c>
      <c r="F91" s="151">
        <v>45782.7</v>
      </c>
      <c r="G91" s="151">
        <v>0</v>
      </c>
      <c r="H91" s="151">
        <f t="shared" si="11"/>
        <v>45782.7</v>
      </c>
      <c r="I91" s="85">
        <f t="shared" si="12"/>
        <v>2405.8171308460323</v>
      </c>
      <c r="J91" s="131">
        <f t="shared" si="13"/>
        <v>22077.068514306462</v>
      </c>
      <c r="K91" s="156"/>
      <c r="L91" s="156">
        <f>IFERROR(INDEX('Revised 2021 MFAM(2019 PYAs)'!AD$26:AD$278,MATCH(B91,'Revised 2021 MFAM(2019 PYAs)'!B$26:B$278,0)),0)</f>
        <v>-39.549156972188939</v>
      </c>
      <c r="M91" s="156">
        <f>IFERROR(INDEX('Revised 2020 MFAM(2018 PYAs)'!AF$26:AF$274,MATCH(B91,'Revised 2020 MFAM(2018 PYAs)'!B$26:B$274,0)),0)</f>
        <v>-0.10808813847597776</v>
      </c>
      <c r="N91" s="156">
        <f t="shared" si="18"/>
        <v>-7.724545152367196E-2</v>
      </c>
      <c r="O91" s="156">
        <f t="shared" si="19"/>
        <v>-39.73449056218859</v>
      </c>
      <c r="P91" s="156"/>
      <c r="Q91" s="161">
        <f t="shared" si="14"/>
        <v>22037.334023744272</v>
      </c>
      <c r="R91" s="162">
        <v>0</v>
      </c>
      <c r="S91" s="163">
        <f t="shared" si="15"/>
        <v>0</v>
      </c>
      <c r="T91" s="156">
        <f t="shared" si="16"/>
        <v>22037.334023744272</v>
      </c>
      <c r="U91" s="90"/>
      <c r="V91" s="161">
        <v>0</v>
      </c>
      <c r="W91" s="156">
        <f t="shared" si="17"/>
        <v>22037.334023744272</v>
      </c>
      <c r="X91" s="90"/>
      <c r="Y91" s="156">
        <f t="shared" si="20"/>
        <v>5509.3335059360679</v>
      </c>
      <c r="Z91" s="156">
        <f t="shared" si="20"/>
        <v>5509.3335059360679</v>
      </c>
      <c r="AA91" s="156">
        <f t="shared" si="20"/>
        <v>5509.3335059360679</v>
      </c>
      <c r="AB91" s="156">
        <f t="shared" si="20"/>
        <v>5509.3335059360679</v>
      </c>
    </row>
    <row r="92" spans="2:28" x14ac:dyDescent="0.3">
      <c r="B92" s="17">
        <v>706</v>
      </c>
      <c r="C92" s="137">
        <v>6</v>
      </c>
      <c r="D92" s="138" t="s">
        <v>221</v>
      </c>
      <c r="E92" s="153">
        <v>50.910157288145029</v>
      </c>
      <c r="F92" s="151">
        <v>63054.879999999997</v>
      </c>
      <c r="G92" s="151">
        <v>0</v>
      </c>
      <c r="H92" s="151">
        <f t="shared" si="11"/>
        <v>63054.879999999997</v>
      </c>
      <c r="I92" s="85">
        <f t="shared" si="12"/>
        <v>1238.5520563827249</v>
      </c>
      <c r="J92" s="131">
        <f t="shared" si="13"/>
        <v>30405.959148791404</v>
      </c>
      <c r="K92" s="156"/>
      <c r="L92" s="156">
        <f>IFERROR(INDEX('Revised 2021 MFAM(2019 PYAs)'!AD$26:AD$278,MATCH(B92,'Revised 2021 MFAM(2019 PYAs)'!B$26:B$278,0)),0)</f>
        <v>-55.971200704789226</v>
      </c>
      <c r="M92" s="156">
        <f>IFERROR(INDEX('Revised 2020 MFAM(2018 PYAs)'!AF$26:AF$274,MATCH(B92,'Revised 2020 MFAM(2018 PYAs)'!B$26:B$274,0)),0)</f>
        <v>-14.120693648823362</v>
      </c>
      <c r="N92" s="156">
        <f t="shared" si="18"/>
        <v>-0.10638740564385571</v>
      </c>
      <c r="O92" s="156">
        <f t="shared" si="19"/>
        <v>-70.198281759256446</v>
      </c>
      <c r="P92" s="156"/>
      <c r="Q92" s="161">
        <f t="shared" si="14"/>
        <v>30335.760867032146</v>
      </c>
      <c r="R92" s="162">
        <v>0</v>
      </c>
      <c r="S92" s="163">
        <f t="shared" si="15"/>
        <v>0</v>
      </c>
      <c r="T92" s="156">
        <f t="shared" si="16"/>
        <v>30335.760867032146</v>
      </c>
      <c r="U92" s="90"/>
      <c r="V92" s="161">
        <v>0</v>
      </c>
      <c r="W92" s="156">
        <f t="shared" si="17"/>
        <v>30335.760867032146</v>
      </c>
      <c r="X92" s="90"/>
      <c r="Y92" s="156">
        <f t="shared" si="20"/>
        <v>7583.9402167580365</v>
      </c>
      <c r="Z92" s="156">
        <f t="shared" si="20"/>
        <v>7583.9402167580365</v>
      </c>
      <c r="AA92" s="156">
        <f t="shared" si="20"/>
        <v>7583.9402167580365</v>
      </c>
      <c r="AB92" s="156">
        <f t="shared" si="20"/>
        <v>7583.9402167580365</v>
      </c>
    </row>
    <row r="93" spans="2:28" x14ac:dyDescent="0.3">
      <c r="B93" s="17">
        <v>710</v>
      </c>
      <c r="C93" s="137">
        <v>6</v>
      </c>
      <c r="D93" s="138" t="s">
        <v>117</v>
      </c>
      <c r="E93" s="153">
        <v>72.740000000000009</v>
      </c>
      <c r="F93" s="151">
        <v>75931.14</v>
      </c>
      <c r="G93" s="151">
        <v>0</v>
      </c>
      <c r="H93" s="151">
        <f t="shared" si="11"/>
        <v>75931.14</v>
      </c>
      <c r="I93" s="85">
        <f t="shared" si="12"/>
        <v>1043.8704976629087</v>
      </c>
      <c r="J93" s="131">
        <f t="shared" si="13"/>
        <v>36615.074693047725</v>
      </c>
      <c r="K93" s="156"/>
      <c r="L93" s="156">
        <f>IFERROR(INDEX('Revised 2021 MFAM(2019 PYAs)'!AD$26:AD$278,MATCH(B93,'Revised 2021 MFAM(2019 PYAs)'!B$26:B$278,0)),0)</f>
        <v>-58.488280604633474</v>
      </c>
      <c r="M93" s="156">
        <f>IFERROR(INDEX('Revised 2020 MFAM(2018 PYAs)'!AF$26:AF$274,MATCH(B93,'Revised 2020 MFAM(2018 PYAs)'!B$26:B$274,0)),0)</f>
        <v>-10.997209827361075</v>
      </c>
      <c r="N93" s="156">
        <f t="shared" si="18"/>
        <v>-0.12811247903699757</v>
      </c>
      <c r="O93" s="156">
        <f t="shared" si="19"/>
        <v>-69.613602911031549</v>
      </c>
      <c r="P93" s="156"/>
      <c r="Q93" s="161">
        <f t="shared" si="14"/>
        <v>36545.46109013669</v>
      </c>
      <c r="R93" s="162">
        <v>0</v>
      </c>
      <c r="S93" s="163">
        <f t="shared" si="15"/>
        <v>0</v>
      </c>
      <c r="T93" s="156">
        <f t="shared" si="16"/>
        <v>36545.46109013669</v>
      </c>
      <c r="U93" s="90"/>
      <c r="V93" s="161">
        <v>0</v>
      </c>
      <c r="W93" s="156">
        <f t="shared" si="17"/>
        <v>36545.46109013669</v>
      </c>
      <c r="X93" s="90"/>
      <c r="Y93" s="156">
        <f t="shared" si="20"/>
        <v>9136.3652725341726</v>
      </c>
      <c r="Z93" s="156">
        <f t="shared" si="20"/>
        <v>9136.3652725341726</v>
      </c>
      <c r="AA93" s="156">
        <f t="shared" si="20"/>
        <v>9136.3652725341726</v>
      </c>
      <c r="AB93" s="156">
        <f t="shared" si="20"/>
        <v>9136.3652725341726</v>
      </c>
    </row>
    <row r="94" spans="2:28" x14ac:dyDescent="0.3">
      <c r="B94" s="17">
        <v>747</v>
      </c>
      <c r="C94" s="137">
        <v>6</v>
      </c>
      <c r="D94" s="138" t="s">
        <v>119</v>
      </c>
      <c r="E94" s="153">
        <v>38</v>
      </c>
      <c r="F94" s="151">
        <v>45706.95</v>
      </c>
      <c r="G94" s="151">
        <v>0</v>
      </c>
      <c r="H94" s="151">
        <f t="shared" si="11"/>
        <v>45706.95</v>
      </c>
      <c r="I94" s="85">
        <f t="shared" si="12"/>
        <v>1202.8144736842105</v>
      </c>
      <c r="J94" s="131">
        <f t="shared" si="13"/>
        <v>22040.540787895421</v>
      </c>
      <c r="K94" s="156"/>
      <c r="L94" s="156">
        <f>IFERROR(INDEX('Revised 2021 MFAM(2019 PYAs)'!AD$26:AD$278,MATCH(B94,'Revised 2021 MFAM(2019 PYAs)'!B$26:B$278,0)),0)</f>
        <v>-99.137745933923725</v>
      </c>
      <c r="M94" s="156">
        <f>IFERROR(INDEX('Revised 2020 MFAM(2018 PYAs)'!AF$26:AF$274,MATCH(B94,'Revised 2020 MFAM(2018 PYAs)'!B$26:B$274,0)),0)</f>
        <v>-0.3489196801547223</v>
      </c>
      <c r="N94" s="156">
        <f t="shared" si="18"/>
        <v>-7.711764466752502E-2</v>
      </c>
      <c r="O94" s="156">
        <f t="shared" si="19"/>
        <v>-99.563783258745971</v>
      </c>
      <c r="P94" s="156"/>
      <c r="Q94" s="161">
        <f t="shared" si="14"/>
        <v>21940.977004636676</v>
      </c>
      <c r="R94" s="162">
        <v>0</v>
      </c>
      <c r="S94" s="163">
        <f t="shared" si="15"/>
        <v>0</v>
      </c>
      <c r="T94" s="156">
        <f t="shared" si="16"/>
        <v>21940.977004636676</v>
      </c>
      <c r="U94" s="90"/>
      <c r="V94" s="161">
        <v>0</v>
      </c>
      <c r="W94" s="156">
        <f t="shared" si="17"/>
        <v>21940.977004636676</v>
      </c>
      <c r="X94" s="90"/>
      <c r="Y94" s="156">
        <f t="shared" si="20"/>
        <v>5485.2442511591689</v>
      </c>
      <c r="Z94" s="156">
        <f t="shared" si="20"/>
        <v>5485.2442511591689</v>
      </c>
      <c r="AA94" s="156">
        <f t="shared" si="20"/>
        <v>5485.2442511591689</v>
      </c>
      <c r="AB94" s="156">
        <f t="shared" si="20"/>
        <v>5485.2442511591689</v>
      </c>
    </row>
    <row r="95" spans="2:28" x14ac:dyDescent="0.3">
      <c r="B95" s="17">
        <v>758</v>
      </c>
      <c r="C95" s="137">
        <v>6</v>
      </c>
      <c r="D95" s="138" t="s">
        <v>120</v>
      </c>
      <c r="E95" s="153">
        <v>310.97010643301292</v>
      </c>
      <c r="F95" s="151">
        <v>346195.68</v>
      </c>
      <c r="G95" s="151">
        <v>10.15</v>
      </c>
      <c r="H95" s="151">
        <f t="shared" si="11"/>
        <v>346185.52999999997</v>
      </c>
      <c r="I95" s="85">
        <f t="shared" si="12"/>
        <v>1113.2437582857274</v>
      </c>
      <c r="J95" s="131">
        <f t="shared" si="13"/>
        <v>166935.58187855882</v>
      </c>
      <c r="K95" s="156"/>
      <c r="L95" s="156">
        <f>IFERROR(INDEX('Revised 2021 MFAM(2019 PYAs)'!AD$26:AD$278,MATCH(B95,'Revised 2021 MFAM(2019 PYAs)'!B$26:B$278,0)),0)</f>
        <v>-311.64584739926795</v>
      </c>
      <c r="M95" s="156">
        <f>IFERROR(INDEX('Revised 2020 MFAM(2018 PYAs)'!AF$26:AF$274,MATCH(B95,'Revised 2020 MFAM(2018 PYAs)'!B$26:B$274,0)),0)</f>
        <v>-80.192991992036696</v>
      </c>
      <c r="N95" s="156">
        <f t="shared" si="18"/>
        <v>-0.58409088096184114</v>
      </c>
      <c r="O95" s="156">
        <f t="shared" si="19"/>
        <v>-392.42293027226651</v>
      </c>
      <c r="P95" s="156"/>
      <c r="Q95" s="161">
        <f t="shared" si="14"/>
        <v>166543.15894828655</v>
      </c>
      <c r="R95" s="162">
        <v>0</v>
      </c>
      <c r="S95" s="163">
        <f t="shared" si="15"/>
        <v>0</v>
      </c>
      <c r="T95" s="156">
        <f t="shared" si="16"/>
        <v>166543.15894828655</v>
      </c>
      <c r="U95" s="90"/>
      <c r="V95" s="161">
        <v>0</v>
      </c>
      <c r="W95" s="156">
        <f t="shared" si="17"/>
        <v>166543.15894828655</v>
      </c>
      <c r="X95" s="90"/>
      <c r="Y95" s="156">
        <f t="shared" si="20"/>
        <v>41635.789737071638</v>
      </c>
      <c r="Z95" s="156">
        <f t="shared" si="20"/>
        <v>41635.789737071638</v>
      </c>
      <c r="AA95" s="156">
        <f t="shared" si="20"/>
        <v>41635.789737071638</v>
      </c>
      <c r="AB95" s="156">
        <f t="shared" si="20"/>
        <v>41635.789737071638</v>
      </c>
    </row>
    <row r="96" spans="2:28" x14ac:dyDescent="0.3">
      <c r="B96" s="17">
        <v>765</v>
      </c>
      <c r="C96" s="137">
        <v>6</v>
      </c>
      <c r="D96" s="138" t="s">
        <v>121</v>
      </c>
      <c r="E96" s="153">
        <v>114.5</v>
      </c>
      <c r="F96" s="151">
        <v>93738.78</v>
      </c>
      <c r="G96" s="151">
        <v>0</v>
      </c>
      <c r="H96" s="151">
        <f t="shared" si="11"/>
        <v>93738.78</v>
      </c>
      <c r="I96" s="85">
        <f t="shared" si="12"/>
        <v>818.67930131004368</v>
      </c>
      <c r="J96" s="131">
        <f t="shared" si="13"/>
        <v>45202.171748444292</v>
      </c>
      <c r="K96" s="156"/>
      <c r="L96" s="156">
        <f>IFERROR(INDEX('Revised 2021 MFAM(2019 PYAs)'!AD$26:AD$278,MATCH(B96,'Revised 2021 MFAM(2019 PYAs)'!B$26:B$278,0)),0)</f>
        <v>-74.962873432283232</v>
      </c>
      <c r="M96" s="156">
        <f>IFERROR(INDEX('Revised 2020 MFAM(2018 PYAs)'!AF$26:AF$274,MATCH(B96,'Revised 2020 MFAM(2018 PYAs)'!B$26:B$274,0)),0)</f>
        <v>-19.652172100762982</v>
      </c>
      <c r="N96" s="156">
        <f t="shared" si="18"/>
        <v>-0.15815787156236202</v>
      </c>
      <c r="O96" s="156">
        <f t="shared" si="19"/>
        <v>-94.77320340460858</v>
      </c>
      <c r="P96" s="156"/>
      <c r="Q96" s="161">
        <f t="shared" si="14"/>
        <v>45107.398545039687</v>
      </c>
      <c r="R96" s="162">
        <v>0</v>
      </c>
      <c r="S96" s="163">
        <f t="shared" si="15"/>
        <v>0</v>
      </c>
      <c r="T96" s="156">
        <f t="shared" si="16"/>
        <v>45107.398545039687</v>
      </c>
      <c r="U96" s="90"/>
      <c r="V96" s="161">
        <v>0</v>
      </c>
      <c r="W96" s="156">
        <f t="shared" si="17"/>
        <v>45107.398545039687</v>
      </c>
      <c r="X96" s="90"/>
      <c r="Y96" s="156">
        <f t="shared" si="20"/>
        <v>11276.849636259922</v>
      </c>
      <c r="Z96" s="156">
        <f t="shared" si="20"/>
        <v>11276.849636259922</v>
      </c>
      <c r="AA96" s="156">
        <f t="shared" si="20"/>
        <v>11276.849636259922</v>
      </c>
      <c r="AB96" s="156">
        <f t="shared" si="20"/>
        <v>11276.849636259922</v>
      </c>
    </row>
    <row r="97" spans="2:28" x14ac:dyDescent="0.3">
      <c r="B97" s="17">
        <v>770</v>
      </c>
      <c r="C97" s="137">
        <v>6</v>
      </c>
      <c r="D97" s="138" t="s">
        <v>122</v>
      </c>
      <c r="E97" s="153">
        <v>42.24</v>
      </c>
      <c r="F97" s="151">
        <v>26544.54</v>
      </c>
      <c r="G97" s="151">
        <v>0</v>
      </c>
      <c r="H97" s="151">
        <f t="shared" si="11"/>
        <v>26544.54</v>
      </c>
      <c r="I97" s="85">
        <f t="shared" si="12"/>
        <v>628.421875</v>
      </c>
      <c r="J97" s="131">
        <f t="shared" si="13"/>
        <v>12800.154387153849</v>
      </c>
      <c r="K97" s="156"/>
      <c r="L97" s="156">
        <f>IFERROR(INDEX('Revised 2021 MFAM(2019 PYAs)'!AD$26:AD$278,MATCH(B97,'Revised 2021 MFAM(2019 PYAs)'!B$26:B$278,0)),0)</f>
        <v>-26.605834327338016</v>
      </c>
      <c r="M97" s="156">
        <f>IFERROR(INDEX('Revised 2020 MFAM(2018 PYAs)'!AF$26:AF$274,MATCH(B97,'Revised 2020 MFAM(2018 PYAs)'!B$26:B$274,0)),0)</f>
        <v>-5.687046087699855</v>
      </c>
      <c r="N97" s="156">
        <f t="shared" si="18"/>
        <v>-4.4786458155333157E-2</v>
      </c>
      <c r="O97" s="156">
        <f t="shared" si="19"/>
        <v>-32.337666873193207</v>
      </c>
      <c r="P97" s="156"/>
      <c r="Q97" s="161">
        <f t="shared" si="14"/>
        <v>12767.816720280656</v>
      </c>
      <c r="R97" s="162">
        <v>0</v>
      </c>
      <c r="S97" s="163">
        <f t="shared" si="15"/>
        <v>0</v>
      </c>
      <c r="T97" s="156">
        <f t="shared" si="16"/>
        <v>12767.816720280656</v>
      </c>
      <c r="U97" s="90"/>
      <c r="V97" s="161">
        <v>0</v>
      </c>
      <c r="W97" s="156">
        <f t="shared" si="17"/>
        <v>12767.816720280656</v>
      </c>
      <c r="X97" s="90"/>
      <c r="Y97" s="156">
        <f t="shared" si="20"/>
        <v>3191.9541800701641</v>
      </c>
      <c r="Z97" s="156">
        <f t="shared" si="20"/>
        <v>3191.9541800701641</v>
      </c>
      <c r="AA97" s="156">
        <f t="shared" si="20"/>
        <v>3191.9541800701641</v>
      </c>
      <c r="AB97" s="156">
        <f t="shared" si="20"/>
        <v>3191.9541800701641</v>
      </c>
    </row>
    <row r="98" spans="2:28" x14ac:dyDescent="0.3">
      <c r="B98" s="17">
        <v>774</v>
      </c>
      <c r="C98" s="137">
        <v>6</v>
      </c>
      <c r="D98" s="138" t="s">
        <v>123</v>
      </c>
      <c r="E98" s="153">
        <v>368.77053231096539</v>
      </c>
      <c r="F98" s="151">
        <v>332720.55</v>
      </c>
      <c r="G98" s="151">
        <v>0</v>
      </c>
      <c r="H98" s="151">
        <f t="shared" si="11"/>
        <v>332720.55</v>
      </c>
      <c r="I98" s="85">
        <f t="shared" si="12"/>
        <v>902.24277931034283</v>
      </c>
      <c r="J98" s="131">
        <f t="shared" si="13"/>
        <v>160442.57718456379</v>
      </c>
      <c r="K98" s="156"/>
      <c r="L98" s="156">
        <f>IFERROR(INDEX('Revised 2021 MFAM(2019 PYAs)'!AD$26:AD$278,MATCH(B98,'Revised 2021 MFAM(2019 PYAs)'!B$26:B$278,0)),0)</f>
        <v>-283.47335474990541</v>
      </c>
      <c r="M98" s="156">
        <f>IFERROR(INDEX('Revised 2020 MFAM(2018 PYAs)'!AF$26:AF$274,MATCH(B98,'Revised 2020 MFAM(2018 PYAs)'!B$26:B$274,0)),0)</f>
        <v>-75.293372682470363</v>
      </c>
      <c r="N98" s="156">
        <f t="shared" si="18"/>
        <v>-0.56137250786769832</v>
      </c>
      <c r="O98" s="156">
        <f t="shared" si="19"/>
        <v>-359.32809994024348</v>
      </c>
      <c r="P98" s="156"/>
      <c r="Q98" s="161">
        <f t="shared" si="14"/>
        <v>160083.24908462356</v>
      </c>
      <c r="R98" s="162">
        <v>0</v>
      </c>
      <c r="S98" s="163">
        <f t="shared" si="15"/>
        <v>0</v>
      </c>
      <c r="T98" s="156">
        <f t="shared" si="16"/>
        <v>160083.24908462356</v>
      </c>
      <c r="U98" s="90"/>
      <c r="V98" s="161">
        <v>0</v>
      </c>
      <c r="W98" s="156">
        <f t="shared" si="17"/>
        <v>160083.24908462356</v>
      </c>
      <c r="X98" s="90"/>
      <c r="Y98" s="156">
        <f t="shared" si="20"/>
        <v>40020.81227115589</v>
      </c>
      <c r="Z98" s="156">
        <f t="shared" si="20"/>
        <v>40020.81227115589</v>
      </c>
      <c r="AA98" s="156">
        <f t="shared" si="20"/>
        <v>40020.81227115589</v>
      </c>
      <c r="AB98" s="156">
        <f t="shared" si="20"/>
        <v>40020.81227115589</v>
      </c>
    </row>
    <row r="99" spans="2:28" x14ac:dyDescent="0.3">
      <c r="B99" s="17">
        <v>794</v>
      </c>
      <c r="C99" s="137">
        <v>6</v>
      </c>
      <c r="D99" s="138" t="s">
        <v>124</v>
      </c>
      <c r="E99" s="153">
        <v>20.222113750946743</v>
      </c>
      <c r="F99" s="151">
        <v>49916.800000000003</v>
      </c>
      <c r="G99" s="151">
        <v>0</v>
      </c>
      <c r="H99" s="151">
        <f t="shared" si="11"/>
        <v>49916.800000000003</v>
      </c>
      <c r="I99" s="85">
        <f t="shared" si="12"/>
        <v>2468.4264273641047</v>
      </c>
      <c r="J99" s="131">
        <f t="shared" si="13"/>
        <v>24070.590280060653</v>
      </c>
      <c r="K99" s="156"/>
      <c r="L99" s="156">
        <f>IFERROR(INDEX('Revised 2021 MFAM(2019 PYAs)'!AD$26:AD$278,MATCH(B99,'Revised 2021 MFAM(2019 PYAs)'!B$26:B$278,0)),0)</f>
        <v>-54.884167707214147</v>
      </c>
      <c r="M99" s="156">
        <f>IFERROR(INDEX('Revised 2020 MFAM(2018 PYAs)'!AF$26:AF$274,MATCH(B99,'Revised 2020 MFAM(2018 PYAs)'!B$26:B$274,0)),0)</f>
        <v>-0.23826573440874199</v>
      </c>
      <c r="N99" s="156">
        <f t="shared" si="18"/>
        <v>-8.4220584513731794E-2</v>
      </c>
      <c r="O99" s="156">
        <f t="shared" si="19"/>
        <v>-55.206654026136619</v>
      </c>
      <c r="P99" s="156"/>
      <c r="Q99" s="161">
        <f t="shared" si="14"/>
        <v>24015.383626034516</v>
      </c>
      <c r="R99" s="162">
        <v>0</v>
      </c>
      <c r="S99" s="163">
        <f t="shared" si="15"/>
        <v>0</v>
      </c>
      <c r="T99" s="156">
        <f t="shared" si="16"/>
        <v>24015.383626034516</v>
      </c>
      <c r="U99" s="90"/>
      <c r="V99" s="161">
        <v>0</v>
      </c>
      <c r="W99" s="156">
        <f t="shared" si="17"/>
        <v>24015.383626034516</v>
      </c>
      <c r="X99" s="90"/>
      <c r="Y99" s="156">
        <f t="shared" si="20"/>
        <v>6003.845906508629</v>
      </c>
      <c r="Z99" s="156">
        <f t="shared" si="20"/>
        <v>6003.845906508629</v>
      </c>
      <c r="AA99" s="156">
        <f t="shared" si="20"/>
        <v>6003.845906508629</v>
      </c>
      <c r="AB99" s="156">
        <f t="shared" si="20"/>
        <v>6003.845906508629</v>
      </c>
    </row>
    <row r="100" spans="2:28" x14ac:dyDescent="0.3">
      <c r="B100" s="17">
        <v>806</v>
      </c>
      <c r="C100" s="137">
        <v>6</v>
      </c>
      <c r="D100" s="138" t="s">
        <v>125</v>
      </c>
      <c r="E100" s="153">
        <v>38</v>
      </c>
      <c r="F100" s="151">
        <v>54684.83</v>
      </c>
      <c r="G100" s="151">
        <v>0</v>
      </c>
      <c r="H100" s="151">
        <f t="shared" si="11"/>
        <v>54684.83</v>
      </c>
      <c r="I100" s="85">
        <f t="shared" si="12"/>
        <v>1439.0744736842105</v>
      </c>
      <c r="J100" s="131">
        <f t="shared" si="13"/>
        <v>26369.802099989767</v>
      </c>
      <c r="K100" s="156"/>
      <c r="L100" s="156">
        <f>IFERROR(INDEX('Revised 2021 MFAM(2019 PYAs)'!AD$26:AD$278,MATCH(B100,'Revised 2021 MFAM(2019 PYAs)'!B$26:B$278,0)),0)</f>
        <v>-33.848430845066105</v>
      </c>
      <c r="M100" s="156">
        <f>IFERROR(INDEX('Revised 2020 MFAM(2018 PYAs)'!AF$26:AF$274,MATCH(B100,'Revised 2020 MFAM(2018 PYAs)'!B$26:B$274,0)),0)</f>
        <v>-0.2192897442218964</v>
      </c>
      <c r="N100" s="156">
        <f t="shared" si="18"/>
        <v>-9.2265296385867196E-2</v>
      </c>
      <c r="O100" s="156">
        <f t="shared" si="19"/>
        <v>-34.159985885673869</v>
      </c>
      <c r="P100" s="156"/>
      <c r="Q100" s="161">
        <f t="shared" si="14"/>
        <v>26335.642114104092</v>
      </c>
      <c r="R100" s="162">
        <v>0</v>
      </c>
      <c r="S100" s="163">
        <f t="shared" si="15"/>
        <v>0</v>
      </c>
      <c r="T100" s="156">
        <f t="shared" si="16"/>
        <v>26335.642114104092</v>
      </c>
      <c r="U100" s="90"/>
      <c r="V100" s="161">
        <v>0</v>
      </c>
      <c r="W100" s="156">
        <f t="shared" si="17"/>
        <v>26335.642114104092</v>
      </c>
      <c r="X100" s="90"/>
      <c r="Y100" s="156">
        <f t="shared" si="20"/>
        <v>6583.910528526023</v>
      </c>
      <c r="Z100" s="156">
        <f t="shared" si="20"/>
        <v>6583.910528526023</v>
      </c>
      <c r="AA100" s="156">
        <f t="shared" si="20"/>
        <v>6583.910528526023</v>
      </c>
      <c r="AB100" s="156">
        <f t="shared" si="20"/>
        <v>6583.910528526023</v>
      </c>
    </row>
    <row r="101" spans="2:28" x14ac:dyDescent="0.3">
      <c r="B101" s="17">
        <v>811</v>
      </c>
      <c r="C101" s="137">
        <v>6</v>
      </c>
      <c r="D101" s="138" t="s">
        <v>126</v>
      </c>
      <c r="E101" s="153">
        <v>628.76180768251299</v>
      </c>
      <c r="F101" s="151">
        <v>653705.11</v>
      </c>
      <c r="G101" s="151">
        <v>3336.7400000000002</v>
      </c>
      <c r="H101" s="151">
        <f t="shared" si="11"/>
        <v>650368.37</v>
      </c>
      <c r="I101" s="85">
        <f t="shared" si="12"/>
        <v>1034.3636684885878</v>
      </c>
      <c r="J101" s="131">
        <f t="shared" si="13"/>
        <v>313616.86977892992</v>
      </c>
      <c r="K101" s="156"/>
      <c r="L101" s="156">
        <f>IFERROR(INDEX('Revised 2021 MFAM(2019 PYAs)'!AD$26:AD$278,MATCH(B101,'Revised 2021 MFAM(2019 PYAs)'!B$26:B$278,0)),0)</f>
        <v>-6005.1871504389273</v>
      </c>
      <c r="M101" s="156">
        <f>IFERROR(INDEX('Revised 2020 MFAM(2018 PYAs)'!AF$26:AF$274,MATCH(B101,'Revised 2020 MFAM(2018 PYAs)'!B$26:B$274,0)),0)</f>
        <v>-124.80748553448939</v>
      </c>
      <c r="N101" s="156">
        <f t="shared" si="18"/>
        <v>-1.097314015935376</v>
      </c>
      <c r="O101" s="156">
        <f t="shared" si="19"/>
        <v>-6131.0919499893525</v>
      </c>
      <c r="P101" s="156"/>
      <c r="Q101" s="161">
        <f t="shared" si="14"/>
        <v>307485.77782894054</v>
      </c>
      <c r="R101" s="162">
        <v>0</v>
      </c>
      <c r="S101" s="163">
        <f t="shared" si="15"/>
        <v>0</v>
      </c>
      <c r="T101" s="156">
        <f t="shared" si="16"/>
        <v>307485.77782894054</v>
      </c>
      <c r="U101" s="90"/>
      <c r="V101" s="161">
        <v>41302.385237983835</v>
      </c>
      <c r="W101" s="156">
        <f t="shared" si="17"/>
        <v>348788.16306692438</v>
      </c>
      <c r="X101" s="90"/>
      <c r="Y101" s="156">
        <f t="shared" si="20"/>
        <v>87197.040766731094</v>
      </c>
      <c r="Z101" s="156">
        <f t="shared" si="20"/>
        <v>87197.040766731094</v>
      </c>
      <c r="AA101" s="156">
        <f t="shared" si="20"/>
        <v>87197.040766731094</v>
      </c>
      <c r="AB101" s="156">
        <f t="shared" si="20"/>
        <v>87197.040766731094</v>
      </c>
    </row>
    <row r="102" spans="2:28" x14ac:dyDescent="0.3">
      <c r="B102" s="17">
        <v>824</v>
      </c>
      <c r="C102" s="137">
        <v>6</v>
      </c>
      <c r="D102" s="138" t="s">
        <v>127</v>
      </c>
      <c r="E102" s="153">
        <v>32.54</v>
      </c>
      <c r="F102" s="151">
        <v>58741.05</v>
      </c>
      <c r="G102" s="151">
        <v>0</v>
      </c>
      <c r="H102" s="151">
        <f t="shared" si="11"/>
        <v>58741.05</v>
      </c>
      <c r="I102" s="85">
        <f t="shared" si="12"/>
        <v>1805.1951444376155</v>
      </c>
      <c r="J102" s="131">
        <f t="shared" si="13"/>
        <v>28325.769023065517</v>
      </c>
      <c r="K102" s="156"/>
      <c r="L102" s="156">
        <f>IFERROR(INDEX('Revised 2021 MFAM(2019 PYAs)'!AD$26:AD$278,MATCH(B102,'Revised 2021 MFAM(2019 PYAs)'!B$26:B$278,0)),0)</f>
        <v>-87.37717329086081</v>
      </c>
      <c r="M102" s="156">
        <f>IFERROR(INDEX('Revised 2020 MFAM(2018 PYAs)'!AF$26:AF$274,MATCH(B102,'Revised 2020 MFAM(2018 PYAs)'!B$26:B$274,0)),0)</f>
        <v>-0.34042382562802231</v>
      </c>
      <c r="N102" s="156">
        <f t="shared" si="18"/>
        <v>-9.9109028742834976E-2</v>
      </c>
      <c r="O102" s="156">
        <f t="shared" si="19"/>
        <v>-87.816706145231663</v>
      </c>
      <c r="P102" s="156"/>
      <c r="Q102" s="161">
        <f t="shared" si="14"/>
        <v>28237.952316920284</v>
      </c>
      <c r="R102" s="162">
        <v>0</v>
      </c>
      <c r="S102" s="163">
        <f t="shared" si="15"/>
        <v>0</v>
      </c>
      <c r="T102" s="156">
        <f t="shared" si="16"/>
        <v>28237.952316920284</v>
      </c>
      <c r="U102" s="90"/>
      <c r="V102" s="161">
        <v>0</v>
      </c>
      <c r="W102" s="156">
        <f t="shared" si="17"/>
        <v>28237.952316920284</v>
      </c>
      <c r="X102" s="90"/>
      <c r="Y102" s="156">
        <f t="shared" si="20"/>
        <v>7059.488079230071</v>
      </c>
      <c r="Z102" s="156">
        <f t="shared" si="20"/>
        <v>7059.488079230071</v>
      </c>
      <c r="AA102" s="156">
        <f t="shared" si="20"/>
        <v>7059.488079230071</v>
      </c>
      <c r="AB102" s="156">
        <f t="shared" si="20"/>
        <v>7059.488079230071</v>
      </c>
    </row>
    <row r="103" spans="2:28" x14ac:dyDescent="0.3">
      <c r="B103" s="17">
        <v>826</v>
      </c>
      <c r="C103" s="137">
        <v>6</v>
      </c>
      <c r="D103" s="138" t="s">
        <v>128</v>
      </c>
      <c r="E103" s="153">
        <v>45.95</v>
      </c>
      <c r="F103" s="151">
        <v>36376.480000000003</v>
      </c>
      <c r="G103" s="151">
        <v>0</v>
      </c>
      <c r="H103" s="151">
        <f t="shared" si="11"/>
        <v>36376.480000000003</v>
      </c>
      <c r="I103" s="85">
        <f t="shared" si="12"/>
        <v>791.653536452666</v>
      </c>
      <c r="J103" s="131">
        <f t="shared" si="13"/>
        <v>17541.255567480704</v>
      </c>
      <c r="K103" s="156"/>
      <c r="L103" s="156">
        <f>IFERROR(INDEX('Revised 2021 MFAM(2019 PYAs)'!AD$26:AD$278,MATCH(B103,'Revised 2021 MFAM(2019 PYAs)'!B$26:B$278,0)),0)</f>
        <v>-32.896547674314206</v>
      </c>
      <c r="M103" s="156">
        <f>IFERROR(INDEX('Revised 2020 MFAM(2018 PYAs)'!AF$26:AF$274,MATCH(B103,'Revised 2020 MFAM(2018 PYAs)'!B$26:B$274,0)),0)</f>
        <v>-8.2815160126683622</v>
      </c>
      <c r="N103" s="156">
        <f t="shared" si="18"/>
        <v>-6.1375096323323504E-2</v>
      </c>
      <c r="O103" s="156">
        <f t="shared" si="19"/>
        <v>-41.239438783305893</v>
      </c>
      <c r="P103" s="156"/>
      <c r="Q103" s="161">
        <f t="shared" si="14"/>
        <v>17500.0161286974</v>
      </c>
      <c r="R103" s="162">
        <v>0</v>
      </c>
      <c r="S103" s="163">
        <f t="shared" si="15"/>
        <v>0</v>
      </c>
      <c r="T103" s="156">
        <f t="shared" si="16"/>
        <v>17500.0161286974</v>
      </c>
      <c r="U103" s="90"/>
      <c r="V103" s="161">
        <v>0</v>
      </c>
      <c r="W103" s="156">
        <f t="shared" si="17"/>
        <v>17500.0161286974</v>
      </c>
      <c r="X103" s="90"/>
      <c r="Y103" s="156">
        <f t="shared" si="20"/>
        <v>4375.00403217435</v>
      </c>
      <c r="Z103" s="156">
        <f t="shared" si="20"/>
        <v>4375.00403217435</v>
      </c>
      <c r="AA103" s="156">
        <f t="shared" si="20"/>
        <v>4375.00403217435</v>
      </c>
      <c r="AB103" s="156">
        <f t="shared" si="20"/>
        <v>4375.00403217435</v>
      </c>
    </row>
    <row r="104" spans="2:28" x14ac:dyDescent="0.3">
      <c r="B104" s="17">
        <v>840</v>
      </c>
      <c r="C104" s="137">
        <v>6</v>
      </c>
      <c r="D104" s="138" t="s">
        <v>129</v>
      </c>
      <c r="E104" s="153">
        <v>148.27232695257985</v>
      </c>
      <c r="F104" s="151">
        <v>165320.72</v>
      </c>
      <c r="G104" s="151">
        <v>0</v>
      </c>
      <c r="H104" s="151">
        <f t="shared" si="11"/>
        <v>165320.72</v>
      </c>
      <c r="I104" s="85">
        <f t="shared" si="12"/>
        <v>1114.9802758061019</v>
      </c>
      <c r="J104" s="131">
        <f t="shared" si="13"/>
        <v>79720.000399156779</v>
      </c>
      <c r="K104" s="156"/>
      <c r="L104" s="156">
        <f>IFERROR(INDEX('Revised 2021 MFAM(2019 PYAs)'!AD$26:AD$278,MATCH(B104,'Revised 2021 MFAM(2019 PYAs)'!B$26:B$278,0)),0)</f>
        <v>-105.14233683827479</v>
      </c>
      <c r="M104" s="156">
        <f>IFERROR(INDEX('Revised 2020 MFAM(2018 PYAs)'!AF$26:AF$274,MATCH(B104,'Revised 2020 MFAM(2018 PYAs)'!B$26:B$274,0)),0)</f>
        <v>-21.550439694470697</v>
      </c>
      <c r="N104" s="156">
        <f t="shared" si="18"/>
        <v>-0.27893229675441916</v>
      </c>
      <c r="O104" s="156">
        <f t="shared" si="19"/>
        <v>-126.9717088294999</v>
      </c>
      <c r="P104" s="156"/>
      <c r="Q104" s="161">
        <f t="shared" si="14"/>
        <v>79593.028690327279</v>
      </c>
      <c r="R104" s="162">
        <v>0</v>
      </c>
      <c r="S104" s="163">
        <f t="shared" si="15"/>
        <v>0</v>
      </c>
      <c r="T104" s="156">
        <f t="shared" si="16"/>
        <v>79593.028690327279</v>
      </c>
      <c r="U104" s="90"/>
      <c r="V104" s="161">
        <v>0</v>
      </c>
      <c r="W104" s="156">
        <f t="shared" si="17"/>
        <v>79593.028690327279</v>
      </c>
      <c r="X104" s="90"/>
      <c r="Y104" s="156">
        <f t="shared" si="20"/>
        <v>19898.25717258182</v>
      </c>
      <c r="Z104" s="156">
        <f t="shared" si="20"/>
        <v>19898.25717258182</v>
      </c>
      <c r="AA104" s="156">
        <f t="shared" si="20"/>
        <v>19898.25717258182</v>
      </c>
      <c r="AB104" s="156">
        <f t="shared" si="20"/>
        <v>19898.25717258182</v>
      </c>
    </row>
    <row r="105" spans="2:28" x14ac:dyDescent="0.3">
      <c r="B105" s="17">
        <v>843</v>
      </c>
      <c r="C105" s="137">
        <v>6</v>
      </c>
      <c r="D105" s="138" t="s">
        <v>130</v>
      </c>
      <c r="E105" s="153">
        <v>25</v>
      </c>
      <c r="F105" s="151">
        <v>32482.07</v>
      </c>
      <c r="G105" s="151">
        <v>0</v>
      </c>
      <c r="H105" s="151">
        <f t="shared" si="11"/>
        <v>32482.07</v>
      </c>
      <c r="I105" s="85">
        <f t="shared" si="12"/>
        <v>1299.2828</v>
      </c>
      <c r="J105" s="131">
        <f t="shared" si="13"/>
        <v>15663.315725732613</v>
      </c>
      <c r="K105" s="156"/>
      <c r="L105" s="156">
        <f>IFERROR(INDEX('Revised 2021 MFAM(2019 PYAs)'!AD$26:AD$278,MATCH(B105,'Revised 2021 MFAM(2019 PYAs)'!B$26:B$278,0)),0)</f>
        <v>-27.213585144279932</v>
      </c>
      <c r="M105" s="156">
        <f>IFERROR(INDEX('Revised 2020 MFAM(2018 PYAs)'!AF$26:AF$274,MATCH(B105,'Revised 2020 MFAM(2018 PYAs)'!B$26:B$274,0)),0)</f>
        <v>-0.17891803960810648</v>
      </c>
      <c r="N105" s="156">
        <f t="shared" si="18"/>
        <v>-5.4804372908839341E-2</v>
      </c>
      <c r="O105" s="156">
        <f t="shared" si="19"/>
        <v>-27.447307556796879</v>
      </c>
      <c r="P105" s="156"/>
      <c r="Q105" s="161">
        <f t="shared" si="14"/>
        <v>15635.868418175816</v>
      </c>
      <c r="R105" s="162">
        <v>0</v>
      </c>
      <c r="S105" s="163">
        <f t="shared" si="15"/>
        <v>0</v>
      </c>
      <c r="T105" s="156">
        <f t="shared" si="16"/>
        <v>15635.868418175816</v>
      </c>
      <c r="U105" s="90"/>
      <c r="V105" s="161">
        <v>0</v>
      </c>
      <c r="W105" s="156">
        <f t="shared" si="17"/>
        <v>15635.868418175816</v>
      </c>
      <c r="X105" s="90"/>
      <c r="Y105" s="156">
        <f t="shared" si="20"/>
        <v>3908.9671045439541</v>
      </c>
      <c r="Z105" s="156">
        <f t="shared" si="20"/>
        <v>3908.9671045439541</v>
      </c>
      <c r="AA105" s="156">
        <f t="shared" si="20"/>
        <v>3908.9671045439541</v>
      </c>
      <c r="AB105" s="156">
        <f t="shared" si="20"/>
        <v>3908.9671045439541</v>
      </c>
    </row>
    <row r="106" spans="2:28" x14ac:dyDescent="0.3">
      <c r="B106" s="17">
        <v>846</v>
      </c>
      <c r="C106" s="137">
        <v>6</v>
      </c>
      <c r="D106" s="138" t="s">
        <v>131</v>
      </c>
      <c r="E106" s="153">
        <v>28.75</v>
      </c>
      <c r="F106" s="151">
        <v>38978.49</v>
      </c>
      <c r="G106" s="151">
        <v>0</v>
      </c>
      <c r="H106" s="151">
        <f t="shared" si="11"/>
        <v>38978.49</v>
      </c>
      <c r="I106" s="85">
        <f t="shared" si="12"/>
        <v>1355.7735652173913</v>
      </c>
      <c r="J106" s="131">
        <f t="shared" si="13"/>
        <v>18795.981764164397</v>
      </c>
      <c r="K106" s="156"/>
      <c r="L106" s="156">
        <f>IFERROR(INDEX('Revised 2021 MFAM(2019 PYAs)'!AD$26:AD$278,MATCH(B106,'Revised 2021 MFAM(2019 PYAs)'!B$26:B$278,0)),0)</f>
        <v>-29.63598504280526</v>
      </c>
      <c r="M106" s="156">
        <f>IFERROR(INDEX('Revised 2020 MFAM(2018 PYAs)'!AF$26:AF$274,MATCH(B106,'Revised 2020 MFAM(2018 PYAs)'!B$26:B$274,0)),0)</f>
        <v>-0.23483463991578901</v>
      </c>
      <c r="N106" s="156">
        <f t="shared" si="18"/>
        <v>-6.5765257613922559E-2</v>
      </c>
      <c r="O106" s="156">
        <f t="shared" si="19"/>
        <v>-29.936584940334971</v>
      </c>
      <c r="P106" s="156"/>
      <c r="Q106" s="161">
        <f t="shared" si="14"/>
        <v>18766.04517922406</v>
      </c>
      <c r="R106" s="162">
        <v>0</v>
      </c>
      <c r="S106" s="163">
        <f t="shared" si="15"/>
        <v>0</v>
      </c>
      <c r="T106" s="156">
        <f t="shared" si="16"/>
        <v>18766.04517922406</v>
      </c>
      <c r="U106" s="90"/>
      <c r="V106" s="161">
        <v>0</v>
      </c>
      <c r="W106" s="156">
        <f t="shared" si="17"/>
        <v>18766.04517922406</v>
      </c>
      <c r="X106" s="90"/>
      <c r="Y106" s="156">
        <f t="shared" si="20"/>
        <v>4691.511294806015</v>
      </c>
      <c r="Z106" s="156">
        <f t="shared" si="20"/>
        <v>4691.511294806015</v>
      </c>
      <c r="AA106" s="156">
        <f t="shared" si="20"/>
        <v>4691.511294806015</v>
      </c>
      <c r="AB106" s="156">
        <f t="shared" si="20"/>
        <v>4691.511294806015</v>
      </c>
    </row>
    <row r="107" spans="2:28" x14ac:dyDescent="0.3">
      <c r="B107" s="17">
        <v>888</v>
      </c>
      <c r="C107" s="137">
        <v>6</v>
      </c>
      <c r="D107" s="138" t="s">
        <v>132</v>
      </c>
      <c r="E107" s="153">
        <v>93.497946646513114</v>
      </c>
      <c r="F107" s="151">
        <v>73270.44</v>
      </c>
      <c r="G107" s="151">
        <v>0</v>
      </c>
      <c r="H107" s="151">
        <f t="shared" si="11"/>
        <v>73270.44</v>
      </c>
      <c r="I107" s="85">
        <f t="shared" si="12"/>
        <v>783.65827943808142</v>
      </c>
      <c r="J107" s="131">
        <f t="shared" si="13"/>
        <v>35332.047344376391</v>
      </c>
      <c r="K107" s="156"/>
      <c r="L107" s="156">
        <f>IFERROR(INDEX('Revised 2021 MFAM(2019 PYAs)'!AD$26:AD$278,MATCH(B107,'Revised 2021 MFAM(2019 PYAs)'!B$26:B$278,0)),0)</f>
        <v>-50.464779645062663</v>
      </c>
      <c r="M107" s="156">
        <f>IFERROR(INDEX('Revised 2020 MFAM(2018 PYAs)'!AF$26:AF$274,MATCH(B107,'Revised 2020 MFAM(2018 PYAs)'!B$26:B$274,0)),0)</f>
        <v>-12.085391487562447</v>
      </c>
      <c r="N107" s="156">
        <f t="shared" si="18"/>
        <v>-0.12362329485019703</v>
      </c>
      <c r="O107" s="156">
        <f t="shared" si="19"/>
        <v>-62.673794427475308</v>
      </c>
      <c r="P107" s="156"/>
      <c r="Q107" s="161">
        <f t="shared" si="14"/>
        <v>35269.373549948919</v>
      </c>
      <c r="R107" s="162">
        <v>0</v>
      </c>
      <c r="S107" s="163">
        <f t="shared" si="15"/>
        <v>0</v>
      </c>
      <c r="T107" s="156">
        <f t="shared" si="16"/>
        <v>35269.373549948919</v>
      </c>
      <c r="U107" s="90"/>
      <c r="V107" s="161">
        <v>0</v>
      </c>
      <c r="W107" s="156">
        <f t="shared" si="17"/>
        <v>35269.373549948919</v>
      </c>
      <c r="X107" s="90"/>
      <c r="Y107" s="156">
        <f t="shared" si="20"/>
        <v>8817.3433874872298</v>
      </c>
      <c r="Z107" s="156">
        <f t="shared" si="20"/>
        <v>8817.3433874872298</v>
      </c>
      <c r="AA107" s="156">
        <f t="shared" si="20"/>
        <v>8817.3433874872298</v>
      </c>
      <c r="AB107" s="156">
        <f t="shared" si="20"/>
        <v>8817.3433874872298</v>
      </c>
    </row>
    <row r="108" spans="2:28" x14ac:dyDescent="0.3">
      <c r="B108" s="17">
        <v>889</v>
      </c>
      <c r="C108" s="137">
        <v>6</v>
      </c>
      <c r="D108" s="138" t="s">
        <v>133</v>
      </c>
      <c r="E108" s="153">
        <v>36.290273990170526</v>
      </c>
      <c r="F108" s="151">
        <v>53122.93</v>
      </c>
      <c r="G108" s="151">
        <v>0</v>
      </c>
      <c r="H108" s="151">
        <f t="shared" si="11"/>
        <v>53122.93</v>
      </c>
      <c r="I108" s="85">
        <f t="shared" si="12"/>
        <v>1463.8338088709033</v>
      </c>
      <c r="J108" s="131">
        <f t="shared" si="13"/>
        <v>25616.631725317777</v>
      </c>
      <c r="K108" s="156"/>
      <c r="L108" s="156">
        <f>IFERROR(INDEX('Revised 2021 MFAM(2019 PYAs)'!AD$26:AD$278,MATCH(B108,'Revised 2021 MFAM(2019 PYAs)'!B$26:B$278,0)),0)</f>
        <v>-46.226180295256199</v>
      </c>
      <c r="M108" s="156">
        <f>IFERROR(INDEX('Revised 2020 MFAM(2018 PYAs)'!AF$26:AF$274,MATCH(B108,'Revised 2020 MFAM(2018 PYAs)'!B$26:B$274,0)),0)</f>
        <v>-0.43956228656497842</v>
      </c>
      <c r="N108" s="156">
        <f t="shared" si="18"/>
        <v>-8.9630028681366949E-2</v>
      </c>
      <c r="O108" s="156">
        <f t="shared" si="19"/>
        <v>-46.755372610502548</v>
      </c>
      <c r="P108" s="156"/>
      <c r="Q108" s="161">
        <f t="shared" si="14"/>
        <v>25569.876352707273</v>
      </c>
      <c r="R108" s="162">
        <v>0</v>
      </c>
      <c r="S108" s="163">
        <f t="shared" si="15"/>
        <v>0</v>
      </c>
      <c r="T108" s="156">
        <f t="shared" si="16"/>
        <v>25569.876352707273</v>
      </c>
      <c r="U108" s="90"/>
      <c r="V108" s="161">
        <v>0</v>
      </c>
      <c r="W108" s="156">
        <f t="shared" si="17"/>
        <v>25569.876352707273</v>
      </c>
      <c r="X108" s="90"/>
      <c r="Y108" s="156">
        <f t="shared" si="20"/>
        <v>6392.4690881768183</v>
      </c>
      <c r="Z108" s="156">
        <f t="shared" si="20"/>
        <v>6392.4690881768183</v>
      </c>
      <c r="AA108" s="156">
        <f t="shared" si="20"/>
        <v>6392.4690881768183</v>
      </c>
      <c r="AB108" s="156">
        <f t="shared" si="20"/>
        <v>6392.4690881768183</v>
      </c>
    </row>
    <row r="109" spans="2:28" x14ac:dyDescent="0.3">
      <c r="B109" s="17">
        <v>891</v>
      </c>
      <c r="C109" s="137">
        <v>6</v>
      </c>
      <c r="D109" s="138" t="s">
        <v>134</v>
      </c>
      <c r="E109" s="153">
        <v>273.0316618831543</v>
      </c>
      <c r="F109" s="151">
        <v>108583.36</v>
      </c>
      <c r="G109" s="151">
        <v>0</v>
      </c>
      <c r="H109" s="151">
        <f t="shared" si="11"/>
        <v>108583.36</v>
      </c>
      <c r="I109" s="85">
        <f t="shared" si="12"/>
        <v>397.69512169789658</v>
      </c>
      <c r="J109" s="131">
        <f t="shared" si="13"/>
        <v>52360.439166619792</v>
      </c>
      <c r="K109" s="156"/>
      <c r="L109" s="156">
        <f>IFERROR(INDEX('Revised 2021 MFAM(2019 PYAs)'!AD$26:AD$278,MATCH(B109,'Revised 2021 MFAM(2019 PYAs)'!B$26:B$278,0)),0)</f>
        <v>-109.28760035322921</v>
      </c>
      <c r="M109" s="156">
        <f>IFERROR(INDEX('Revised 2020 MFAM(2018 PYAs)'!AF$26:AF$274,MATCH(B109,'Revised 2020 MFAM(2018 PYAs)'!B$26:B$274,0)),0)</f>
        <v>-19.723682546777127</v>
      </c>
      <c r="N109" s="156">
        <f t="shared" si="18"/>
        <v>-0.18320393229664089</v>
      </c>
      <c r="O109" s="156">
        <f t="shared" si="19"/>
        <v>-129.19448683230297</v>
      </c>
      <c r="P109" s="156"/>
      <c r="Q109" s="161">
        <f t="shared" si="14"/>
        <v>52231.244679787487</v>
      </c>
      <c r="R109" s="162">
        <v>0</v>
      </c>
      <c r="S109" s="163">
        <f t="shared" si="15"/>
        <v>0</v>
      </c>
      <c r="T109" s="156">
        <f t="shared" si="16"/>
        <v>52231.244679787487</v>
      </c>
      <c r="U109" s="90"/>
      <c r="V109" s="161">
        <v>0</v>
      </c>
      <c r="W109" s="156">
        <f t="shared" si="17"/>
        <v>52231.244679787487</v>
      </c>
      <c r="X109" s="90"/>
      <c r="Y109" s="156">
        <f t="shared" si="20"/>
        <v>13057.811169946872</v>
      </c>
      <c r="Z109" s="156">
        <f t="shared" si="20"/>
        <v>13057.811169946872</v>
      </c>
      <c r="AA109" s="156">
        <f t="shared" si="20"/>
        <v>13057.811169946872</v>
      </c>
      <c r="AB109" s="156">
        <f t="shared" si="20"/>
        <v>13057.811169946872</v>
      </c>
    </row>
    <row r="110" spans="2:28" x14ac:dyDescent="0.3">
      <c r="B110" s="17">
        <v>904</v>
      </c>
      <c r="C110" s="137">
        <v>6</v>
      </c>
      <c r="D110" s="138" t="s">
        <v>135</v>
      </c>
      <c r="E110" s="153">
        <v>32.310192920507085</v>
      </c>
      <c r="F110" s="151">
        <v>14142.95</v>
      </c>
      <c r="G110" s="151">
        <v>0</v>
      </c>
      <c r="H110" s="151">
        <f t="shared" si="11"/>
        <v>14142.95</v>
      </c>
      <c r="I110" s="85">
        <f t="shared" si="12"/>
        <v>437.72409638023413</v>
      </c>
      <c r="J110" s="131">
        <f t="shared" si="13"/>
        <v>6819.9314619804118</v>
      </c>
      <c r="K110" s="156"/>
      <c r="L110" s="156">
        <f>IFERROR(INDEX('Revised 2021 MFAM(2019 PYAs)'!AD$26:AD$278,MATCH(B110,'Revised 2021 MFAM(2019 PYAs)'!B$26:B$278,0)),0)</f>
        <v>-12.919314192057755</v>
      </c>
      <c r="M110" s="156">
        <f>IFERROR(INDEX('Revised 2020 MFAM(2018 PYAs)'!AF$26:AF$274,MATCH(B110,'Revised 2020 MFAM(2018 PYAs)'!B$26:B$274,0)),0)</f>
        <v>-3.1188013148739628</v>
      </c>
      <c r="N110" s="156">
        <f t="shared" si="18"/>
        <v>-2.3862257110802039E-2</v>
      </c>
      <c r="O110" s="156">
        <f t="shared" si="19"/>
        <v>-16.061977764042521</v>
      </c>
      <c r="P110" s="156"/>
      <c r="Q110" s="161">
        <f t="shared" si="14"/>
        <v>6803.8694842163695</v>
      </c>
      <c r="R110" s="162">
        <v>0</v>
      </c>
      <c r="S110" s="163">
        <f t="shared" si="15"/>
        <v>0</v>
      </c>
      <c r="T110" s="156">
        <f t="shared" si="16"/>
        <v>6803.8694842163695</v>
      </c>
      <c r="U110" s="90"/>
      <c r="V110" s="161">
        <v>0</v>
      </c>
      <c r="W110" s="156">
        <f t="shared" si="17"/>
        <v>6803.8694842163695</v>
      </c>
      <c r="X110" s="90"/>
      <c r="Y110" s="156">
        <f t="shared" si="20"/>
        <v>1700.9673710540924</v>
      </c>
      <c r="Z110" s="156">
        <f t="shared" si="20"/>
        <v>1700.9673710540924</v>
      </c>
      <c r="AA110" s="156">
        <f t="shared" si="20"/>
        <v>1700.9673710540924</v>
      </c>
      <c r="AB110" s="156">
        <f t="shared" si="20"/>
        <v>1700.9673710540924</v>
      </c>
    </row>
    <row r="111" spans="2:28" x14ac:dyDescent="0.3">
      <c r="B111" s="17">
        <v>906</v>
      </c>
      <c r="C111" s="137">
        <v>6</v>
      </c>
      <c r="D111" s="138" t="s">
        <v>301</v>
      </c>
      <c r="E111" s="153">
        <v>219.6</v>
      </c>
      <c r="F111" s="151">
        <v>243035.85</v>
      </c>
      <c r="G111" s="151">
        <v>38252.300000000003</v>
      </c>
      <c r="H111" s="151">
        <f t="shared" si="11"/>
        <v>204783.55</v>
      </c>
      <c r="I111" s="85">
        <f t="shared" si="12"/>
        <v>932.52982695810567</v>
      </c>
      <c r="J111" s="131">
        <f t="shared" si="13"/>
        <v>98749.537793815194</v>
      </c>
      <c r="K111" s="156"/>
      <c r="L111" s="156">
        <f>IFERROR(INDEX('Revised 2021 MFAM(2019 PYAs)'!AD$26:AD$278,MATCH(B111,'Revised 2021 MFAM(2019 PYAs)'!B$26:B$278,0)),0)</f>
        <v>-12868.843347319904</v>
      </c>
      <c r="M111" s="156">
        <f>IFERROR(INDEX('Revised 2020 MFAM(2018 PYAs)'!AF$26:AF$274,MATCH(B111,'Revised 2020 MFAM(2018 PYAs)'!B$26:B$274,0)),0)</f>
        <v>-53.885007653690991</v>
      </c>
      <c r="N111" s="156">
        <f t="shared" si="18"/>
        <v>-0.34551474212683941</v>
      </c>
      <c r="O111" s="156">
        <f t="shared" si="19"/>
        <v>-12923.073869715721</v>
      </c>
      <c r="P111" s="156"/>
      <c r="Q111" s="161">
        <f t="shared" si="14"/>
        <v>85826.463924099473</v>
      </c>
      <c r="R111" s="162">
        <v>0</v>
      </c>
      <c r="S111" s="163">
        <f t="shared" si="15"/>
        <v>0</v>
      </c>
      <c r="T111" s="156">
        <f t="shared" si="16"/>
        <v>85826.463924099473</v>
      </c>
      <c r="U111" s="90"/>
      <c r="V111" s="161">
        <v>0</v>
      </c>
      <c r="W111" s="156">
        <f t="shared" si="17"/>
        <v>85826.463924099473</v>
      </c>
      <c r="X111" s="90"/>
      <c r="Y111" s="156">
        <f t="shared" si="20"/>
        <v>21456.615981024868</v>
      </c>
      <c r="Z111" s="156">
        <f t="shared" si="20"/>
        <v>21456.615981024868</v>
      </c>
      <c r="AA111" s="156">
        <f t="shared" si="20"/>
        <v>21456.615981024868</v>
      </c>
      <c r="AB111" s="156">
        <f t="shared" si="20"/>
        <v>21456.615981024868</v>
      </c>
    </row>
    <row r="112" spans="2:28" x14ac:dyDescent="0.3">
      <c r="B112" s="17">
        <v>917</v>
      </c>
      <c r="C112" s="137">
        <v>6</v>
      </c>
      <c r="D112" s="138" t="s">
        <v>136</v>
      </c>
      <c r="E112" s="153">
        <v>208.7606404745743</v>
      </c>
      <c r="F112" s="151">
        <v>55100.05</v>
      </c>
      <c r="G112" s="151">
        <v>249.67</v>
      </c>
      <c r="H112" s="151">
        <f t="shared" si="11"/>
        <v>54850.380000000005</v>
      </c>
      <c r="I112" s="85">
        <f t="shared" si="12"/>
        <v>262.742918757621</v>
      </c>
      <c r="J112" s="131">
        <f t="shared" si="13"/>
        <v>26449.632662463006</v>
      </c>
      <c r="K112" s="156"/>
      <c r="L112" s="156">
        <f>IFERROR(INDEX('Revised 2021 MFAM(2019 PYAs)'!AD$26:AD$278,MATCH(B112,'Revised 2021 MFAM(2019 PYAs)'!B$26:B$278,0)),0)</f>
        <v>-66.992699720092787</v>
      </c>
      <c r="M112" s="156">
        <f>IFERROR(INDEX('Revised 2020 MFAM(2018 PYAs)'!AF$26:AF$274,MATCH(B112,'Revised 2020 MFAM(2018 PYAs)'!B$26:B$274,0)),0)</f>
        <v>-12.918934724249993</v>
      </c>
      <c r="N112" s="156">
        <f t="shared" si="18"/>
        <v>-9.2544615528245097E-2</v>
      </c>
      <c r="O112" s="156">
        <f t="shared" si="19"/>
        <v>-80.004179059871021</v>
      </c>
      <c r="P112" s="156"/>
      <c r="Q112" s="161">
        <f t="shared" si="14"/>
        <v>26369.628483403136</v>
      </c>
      <c r="R112" s="162">
        <v>0</v>
      </c>
      <c r="S112" s="163">
        <f t="shared" si="15"/>
        <v>0</v>
      </c>
      <c r="T112" s="156">
        <f t="shared" si="16"/>
        <v>26369.628483403136</v>
      </c>
      <c r="U112" s="90"/>
      <c r="V112" s="161">
        <v>0</v>
      </c>
      <c r="W112" s="156">
        <f t="shared" si="17"/>
        <v>26369.628483403136</v>
      </c>
      <c r="X112" s="90"/>
      <c r="Y112" s="156">
        <f t="shared" si="20"/>
        <v>6592.4071208507839</v>
      </c>
      <c r="Z112" s="156">
        <f t="shared" si="20"/>
        <v>6592.4071208507839</v>
      </c>
      <c r="AA112" s="156">
        <f t="shared" si="20"/>
        <v>6592.4071208507839</v>
      </c>
      <c r="AB112" s="156">
        <f t="shared" si="20"/>
        <v>6592.4071208507839</v>
      </c>
    </row>
    <row r="113" spans="2:28" x14ac:dyDescent="0.3">
      <c r="B113" s="17">
        <v>957</v>
      </c>
      <c r="C113" s="137">
        <v>6</v>
      </c>
      <c r="D113" s="138" t="s">
        <v>137</v>
      </c>
      <c r="E113" s="153">
        <v>111.0869274079726</v>
      </c>
      <c r="F113" s="151">
        <v>42589.67</v>
      </c>
      <c r="G113" s="151">
        <v>0</v>
      </c>
      <c r="H113" s="151">
        <f t="shared" si="11"/>
        <v>42589.67</v>
      </c>
      <c r="I113" s="85">
        <f t="shared" si="12"/>
        <v>383.39047621316587</v>
      </c>
      <c r="J113" s="131">
        <f t="shared" si="13"/>
        <v>20537.344075200948</v>
      </c>
      <c r="K113" s="156"/>
      <c r="L113" s="156">
        <f>IFERROR(INDEX('Revised 2021 MFAM(2019 PYAs)'!AD$26:AD$278,MATCH(B113,'Revised 2021 MFAM(2019 PYAs)'!B$26:B$278,0)),0)</f>
        <v>-42.22973834205186</v>
      </c>
      <c r="M113" s="156">
        <f>IFERROR(INDEX('Revised 2020 MFAM(2018 PYAs)'!AF$26:AF$274,MATCH(B113,'Revised 2020 MFAM(2018 PYAs)'!B$26:B$274,0)),0)</f>
        <v>-9.140746402204968</v>
      </c>
      <c r="N113" s="156">
        <f t="shared" si="18"/>
        <v>-7.1858109927858904E-2</v>
      </c>
      <c r="O113" s="156">
        <f t="shared" si="19"/>
        <v>-51.442342854184687</v>
      </c>
      <c r="P113" s="156"/>
      <c r="Q113" s="161">
        <f t="shared" si="14"/>
        <v>20485.901732346763</v>
      </c>
      <c r="R113" s="162">
        <v>0</v>
      </c>
      <c r="S113" s="163">
        <f t="shared" si="15"/>
        <v>0</v>
      </c>
      <c r="T113" s="156">
        <f t="shared" si="16"/>
        <v>20485.901732346763</v>
      </c>
      <c r="U113" s="90"/>
      <c r="V113" s="161">
        <v>0</v>
      </c>
      <c r="W113" s="156">
        <f t="shared" si="17"/>
        <v>20485.901732346763</v>
      </c>
      <c r="X113" s="90"/>
      <c r="Y113" s="156">
        <f t="shared" si="20"/>
        <v>5121.4754330866908</v>
      </c>
      <c r="Z113" s="156">
        <f t="shared" si="20"/>
        <v>5121.4754330866908</v>
      </c>
      <c r="AA113" s="156">
        <f t="shared" si="20"/>
        <v>5121.4754330866908</v>
      </c>
      <c r="AB113" s="156">
        <f t="shared" si="20"/>
        <v>5121.4754330866908</v>
      </c>
    </row>
    <row r="114" spans="2:28" x14ac:dyDescent="0.3">
      <c r="B114" s="17">
        <v>959</v>
      </c>
      <c r="C114" s="137">
        <v>6</v>
      </c>
      <c r="D114" s="138" t="s">
        <v>138</v>
      </c>
      <c r="E114" s="153">
        <v>397.36171327000005</v>
      </c>
      <c r="F114" s="151">
        <v>129709.08</v>
      </c>
      <c r="G114" s="151">
        <v>0</v>
      </c>
      <c r="H114" s="151">
        <f t="shared" si="11"/>
        <v>129709.08</v>
      </c>
      <c r="I114" s="85">
        <f t="shared" si="12"/>
        <v>326.42571155783457</v>
      </c>
      <c r="J114" s="131">
        <f t="shared" si="13"/>
        <v>62547.561548088212</v>
      </c>
      <c r="K114" s="156"/>
      <c r="L114" s="156">
        <f>IFERROR(INDEX('Revised 2021 MFAM(2019 PYAs)'!AD$26:AD$278,MATCH(B114,'Revised 2021 MFAM(2019 PYAs)'!B$26:B$278,0)),0)</f>
        <v>-138.86288214233355</v>
      </c>
      <c r="M114" s="156">
        <f>IFERROR(INDEX('Revised 2020 MFAM(2018 PYAs)'!AF$26:AF$274,MATCH(B114,'Revised 2020 MFAM(2018 PYAs)'!B$26:B$274,0)),0)</f>
        <v>-31.042285761373932</v>
      </c>
      <c r="N114" s="156">
        <f t="shared" si="18"/>
        <v>-0.21884765318166227</v>
      </c>
      <c r="O114" s="156">
        <f t="shared" si="19"/>
        <v>-170.12401555688913</v>
      </c>
      <c r="P114" s="156"/>
      <c r="Q114" s="161">
        <f t="shared" si="14"/>
        <v>62377.437532531323</v>
      </c>
      <c r="R114" s="162">
        <v>0</v>
      </c>
      <c r="S114" s="163">
        <f t="shared" si="15"/>
        <v>0</v>
      </c>
      <c r="T114" s="156">
        <f t="shared" si="16"/>
        <v>62377.437532531323</v>
      </c>
      <c r="U114" s="90"/>
      <c r="V114" s="161">
        <v>0</v>
      </c>
      <c r="W114" s="156">
        <f t="shared" si="17"/>
        <v>62377.437532531323</v>
      </c>
      <c r="X114" s="90"/>
      <c r="Y114" s="156">
        <f t="shared" si="20"/>
        <v>15594.359383132831</v>
      </c>
      <c r="Z114" s="156">
        <f t="shared" si="20"/>
        <v>15594.359383132831</v>
      </c>
      <c r="AA114" s="156">
        <f t="shared" si="20"/>
        <v>15594.359383132831</v>
      </c>
      <c r="AB114" s="156">
        <f t="shared" si="20"/>
        <v>15594.359383132831</v>
      </c>
    </row>
    <row r="115" spans="2:28" x14ac:dyDescent="0.3">
      <c r="B115" s="17">
        <v>969</v>
      </c>
      <c r="C115" s="137">
        <v>6</v>
      </c>
      <c r="D115" s="138" t="s">
        <v>139</v>
      </c>
      <c r="E115" s="153">
        <v>22.471584714266651</v>
      </c>
      <c r="F115" s="151">
        <v>91911.13</v>
      </c>
      <c r="G115" s="151">
        <v>0</v>
      </c>
      <c r="H115" s="151">
        <f t="shared" si="11"/>
        <v>91911.13</v>
      </c>
      <c r="I115" s="85">
        <f t="shared" si="12"/>
        <v>4090.1045105932344</v>
      </c>
      <c r="J115" s="131">
        <f t="shared" si="13"/>
        <v>44320.852947452382</v>
      </c>
      <c r="K115" s="156"/>
      <c r="L115" s="156">
        <f>IFERROR(INDEX('Revised 2021 MFAM(2019 PYAs)'!AD$26:AD$278,MATCH(B115,'Revised 2021 MFAM(2019 PYAs)'!B$26:B$278,0)),0)</f>
        <v>-53.713539343219963</v>
      </c>
      <c r="M115" s="156">
        <f>IFERROR(INDEX('Revised 2020 MFAM(2018 PYAs)'!AF$26:AF$274,MATCH(B115,'Revised 2020 MFAM(2018 PYAs)'!B$26:B$274,0)),0)</f>
        <v>-0.21017755951652362</v>
      </c>
      <c r="N115" s="156">
        <f t="shared" si="18"/>
        <v>-0.15507422534933307</v>
      </c>
      <c r="O115" s="156">
        <f t="shared" si="19"/>
        <v>-54.078791128085818</v>
      </c>
      <c r="P115" s="156"/>
      <c r="Q115" s="161">
        <f t="shared" si="14"/>
        <v>44266.774156324296</v>
      </c>
      <c r="R115" s="162">
        <v>0</v>
      </c>
      <c r="S115" s="163">
        <f t="shared" si="15"/>
        <v>0</v>
      </c>
      <c r="T115" s="156">
        <f t="shared" si="16"/>
        <v>44266.774156324296</v>
      </c>
      <c r="U115" s="90"/>
      <c r="V115" s="161">
        <v>0</v>
      </c>
      <c r="W115" s="156">
        <f t="shared" si="17"/>
        <v>44266.774156324296</v>
      </c>
      <c r="X115" s="90"/>
      <c r="Y115" s="156">
        <f t="shared" si="20"/>
        <v>11066.693539081074</v>
      </c>
      <c r="Z115" s="156">
        <f t="shared" si="20"/>
        <v>11066.693539081074</v>
      </c>
      <c r="AA115" s="156">
        <f t="shared" si="20"/>
        <v>11066.693539081074</v>
      </c>
      <c r="AB115" s="156">
        <f t="shared" si="20"/>
        <v>11066.693539081074</v>
      </c>
    </row>
    <row r="116" spans="2:28" x14ac:dyDescent="0.3">
      <c r="B116" s="17">
        <v>970</v>
      </c>
      <c r="C116" s="137">
        <v>6</v>
      </c>
      <c r="D116" s="138" t="s">
        <v>140</v>
      </c>
      <c r="E116" s="153">
        <v>198.26881399507798</v>
      </c>
      <c r="F116" s="151">
        <v>75037.05</v>
      </c>
      <c r="G116" s="151">
        <v>280</v>
      </c>
      <c r="H116" s="151">
        <f t="shared" si="11"/>
        <v>74757.05</v>
      </c>
      <c r="I116" s="85">
        <f t="shared" si="12"/>
        <v>377.04895940849195</v>
      </c>
      <c r="J116" s="131">
        <f t="shared" si="13"/>
        <v>36048.911811173959</v>
      </c>
      <c r="K116" s="156"/>
      <c r="L116" s="156">
        <f>IFERROR(INDEX('Revised 2021 MFAM(2019 PYAs)'!AD$26:AD$278,MATCH(B116,'Revised 2021 MFAM(2019 PYAs)'!B$26:B$278,0)),0)</f>
        <v>-73.833339092139795</v>
      </c>
      <c r="M116" s="156">
        <f>IFERROR(INDEX('Revised 2020 MFAM(2018 PYAs)'!AF$26:AF$274,MATCH(B116,'Revised 2020 MFAM(2018 PYAs)'!B$26:B$274,0)),0)</f>
        <v>-17.40164119983092</v>
      </c>
      <c r="N116" s="156">
        <f t="shared" si="18"/>
        <v>-0.12613153181939293</v>
      </c>
      <c r="O116" s="156">
        <f t="shared" si="19"/>
        <v>-91.361111823790111</v>
      </c>
      <c r="P116" s="156"/>
      <c r="Q116" s="161">
        <f t="shared" si="14"/>
        <v>35957.550699350169</v>
      </c>
      <c r="R116" s="162">
        <v>0</v>
      </c>
      <c r="S116" s="163">
        <f t="shared" si="15"/>
        <v>0</v>
      </c>
      <c r="T116" s="156">
        <f t="shared" si="16"/>
        <v>35957.550699350169</v>
      </c>
      <c r="U116" s="90"/>
      <c r="V116" s="161">
        <v>0</v>
      </c>
      <c r="W116" s="156">
        <f t="shared" si="17"/>
        <v>35957.550699350169</v>
      </c>
      <c r="X116" s="90"/>
      <c r="Y116" s="156">
        <f t="shared" ref="Y116:AB147" si="21">$W116/4</f>
        <v>8989.3876748375424</v>
      </c>
      <c r="Z116" s="156">
        <f t="shared" si="21"/>
        <v>8989.3876748375424</v>
      </c>
      <c r="AA116" s="156">
        <f t="shared" si="21"/>
        <v>8989.3876748375424</v>
      </c>
      <c r="AB116" s="156">
        <f t="shared" si="21"/>
        <v>8989.3876748375424</v>
      </c>
    </row>
    <row r="117" spans="2:28" x14ac:dyDescent="0.3">
      <c r="B117" s="17">
        <v>980</v>
      </c>
      <c r="C117" s="137">
        <v>6</v>
      </c>
      <c r="D117" s="138" t="s">
        <v>141</v>
      </c>
      <c r="E117" s="153">
        <v>27.866291129542216</v>
      </c>
      <c r="F117" s="151">
        <v>40760.720000000001</v>
      </c>
      <c r="G117" s="151">
        <v>0</v>
      </c>
      <c r="H117" s="151">
        <f t="shared" si="11"/>
        <v>40760.720000000001</v>
      </c>
      <c r="I117" s="85">
        <f t="shared" si="12"/>
        <v>1462.7249751506351</v>
      </c>
      <c r="J117" s="131">
        <f t="shared" si="13"/>
        <v>19655.398395735981</v>
      </c>
      <c r="K117" s="156"/>
      <c r="L117" s="156">
        <f>IFERROR(INDEX('Revised 2021 MFAM(2019 PYAs)'!AD$26:AD$278,MATCH(B117,'Revised 2021 MFAM(2019 PYAs)'!B$26:B$278,0)),0)</f>
        <v>0</v>
      </c>
      <c r="M117" s="156">
        <f>IFERROR(INDEX('Revised 2020 MFAM(2018 PYAs)'!AF$26:AF$274,MATCH(B117,'Revised 2020 MFAM(2018 PYAs)'!B$26:B$274,0)),0)</f>
        <v>-8.7830062569264555</v>
      </c>
      <c r="N117" s="156">
        <f t="shared" si="18"/>
        <v>-6.8772270329840013E-2</v>
      </c>
      <c r="O117" s="156">
        <f t="shared" si="19"/>
        <v>-8.851778527256295</v>
      </c>
      <c r="P117" s="156"/>
      <c r="Q117" s="161">
        <f t="shared" si="14"/>
        <v>19646.546617208725</v>
      </c>
      <c r="R117" s="162">
        <v>0</v>
      </c>
      <c r="S117" s="163">
        <f t="shared" si="15"/>
        <v>0</v>
      </c>
      <c r="T117" s="156">
        <f t="shared" si="16"/>
        <v>19646.546617208725</v>
      </c>
      <c r="U117" s="90"/>
      <c r="V117" s="161">
        <v>0</v>
      </c>
      <c r="W117" s="156">
        <f t="shared" si="17"/>
        <v>19646.546617208725</v>
      </c>
      <c r="X117" s="90"/>
      <c r="Y117" s="156">
        <f t="shared" si="21"/>
        <v>4911.6366543021813</v>
      </c>
      <c r="Z117" s="156">
        <f t="shared" si="21"/>
        <v>4911.6366543021813</v>
      </c>
      <c r="AA117" s="156">
        <f t="shared" si="21"/>
        <v>4911.6366543021813</v>
      </c>
      <c r="AB117" s="156">
        <f t="shared" si="21"/>
        <v>4911.6366543021813</v>
      </c>
    </row>
    <row r="118" spans="2:28" x14ac:dyDescent="0.3">
      <c r="B118" s="17">
        <v>986</v>
      </c>
      <c r="C118" s="137">
        <v>6</v>
      </c>
      <c r="D118" s="138" t="s">
        <v>142</v>
      </c>
      <c r="E118" s="153">
        <v>8.3247874102767128</v>
      </c>
      <c r="F118" s="151">
        <v>44331</v>
      </c>
      <c r="G118" s="151">
        <v>0</v>
      </c>
      <c r="H118" s="151">
        <f t="shared" si="11"/>
        <v>44331</v>
      </c>
      <c r="I118" s="85">
        <f t="shared" si="12"/>
        <v>5325.1810304818891</v>
      </c>
      <c r="J118" s="131">
        <f t="shared" si="13"/>
        <v>21377.038145581624</v>
      </c>
      <c r="K118" s="156"/>
      <c r="L118" s="156">
        <f>IFERROR(INDEX('Revised 2021 MFAM(2019 PYAs)'!AD$26:AD$278,MATCH(B118,'Revised 2021 MFAM(2019 PYAs)'!B$26:B$278,0)),0)</f>
        <v>-20.052432893905916</v>
      </c>
      <c r="M118" s="156">
        <f>IFERROR(INDEX('Revised 2020 MFAM(2018 PYAs)'!AF$26:AF$274,MATCH(B118,'Revised 2020 MFAM(2018 PYAs)'!B$26:B$274,0)),0)</f>
        <v>-7.6370690970634314E-2</v>
      </c>
      <c r="N118" s="156">
        <f t="shared" si="18"/>
        <v>-7.4796115377553124E-2</v>
      </c>
      <c r="O118" s="156">
        <f t="shared" si="19"/>
        <v>-20.203599700254102</v>
      </c>
      <c r="P118" s="156"/>
      <c r="Q118" s="161">
        <f t="shared" si="14"/>
        <v>21356.834545881371</v>
      </c>
      <c r="R118" s="162">
        <v>0</v>
      </c>
      <c r="S118" s="163">
        <f t="shared" si="15"/>
        <v>0</v>
      </c>
      <c r="T118" s="156">
        <f t="shared" si="16"/>
        <v>21356.834545881371</v>
      </c>
      <c r="U118" s="90"/>
      <c r="V118" s="161">
        <v>0</v>
      </c>
      <c r="W118" s="156">
        <f t="shared" si="17"/>
        <v>21356.834545881371</v>
      </c>
      <c r="X118" s="90"/>
      <c r="Y118" s="156">
        <f t="shared" si="21"/>
        <v>5339.2086364703428</v>
      </c>
      <c r="Z118" s="156">
        <f t="shared" si="21"/>
        <v>5339.2086364703428</v>
      </c>
      <c r="AA118" s="156">
        <f t="shared" si="21"/>
        <v>5339.2086364703428</v>
      </c>
      <c r="AB118" s="156">
        <f t="shared" si="21"/>
        <v>5339.2086364703428</v>
      </c>
    </row>
    <row r="119" spans="2:28" x14ac:dyDescent="0.3">
      <c r="B119" s="17">
        <v>988</v>
      </c>
      <c r="C119" s="137">
        <v>6</v>
      </c>
      <c r="D119" s="138" t="s">
        <v>143</v>
      </c>
      <c r="E119" s="153">
        <v>139.37355407721697</v>
      </c>
      <c r="F119" s="151">
        <v>133216.54999999999</v>
      </c>
      <c r="G119" s="151">
        <v>0</v>
      </c>
      <c r="H119" s="151">
        <f t="shared" si="11"/>
        <v>133216.54999999999</v>
      </c>
      <c r="I119" s="85">
        <f t="shared" si="12"/>
        <v>955.82372769366407</v>
      </c>
      <c r="J119" s="131">
        <f t="shared" si="13"/>
        <v>64238.913423400816</v>
      </c>
      <c r="K119" s="156"/>
      <c r="L119" s="156">
        <f>IFERROR(INDEX('Revised 2021 MFAM(2019 PYAs)'!AD$26:AD$278,MATCH(B119,'Revised 2021 MFAM(2019 PYAs)'!B$26:B$278,0)),0)</f>
        <v>-126.50277980741521</v>
      </c>
      <c r="M119" s="156">
        <f>IFERROR(INDEX('Revised 2020 MFAM(2018 PYAs)'!AF$26:AF$274,MATCH(B119,'Revised 2020 MFAM(2018 PYAs)'!B$26:B$274,0)),0)</f>
        <v>-21.097938470535155</v>
      </c>
      <c r="N119" s="156">
        <f t="shared" si="18"/>
        <v>-0.22476552398997485</v>
      </c>
      <c r="O119" s="156">
        <f t="shared" si="19"/>
        <v>-147.82548380194035</v>
      </c>
      <c r="P119" s="156"/>
      <c r="Q119" s="161">
        <f t="shared" si="14"/>
        <v>64091.087939598874</v>
      </c>
      <c r="R119" s="162">
        <v>0</v>
      </c>
      <c r="S119" s="163">
        <f t="shared" si="15"/>
        <v>0</v>
      </c>
      <c r="T119" s="156">
        <f t="shared" si="16"/>
        <v>64091.087939598874</v>
      </c>
      <c r="U119" s="90"/>
      <c r="V119" s="161">
        <v>0</v>
      </c>
      <c r="W119" s="156">
        <f t="shared" si="17"/>
        <v>64091.087939598874</v>
      </c>
      <c r="X119" s="90"/>
      <c r="Y119" s="156">
        <f t="shared" si="21"/>
        <v>16022.771984899719</v>
      </c>
      <c r="Z119" s="156">
        <f t="shared" si="21"/>
        <v>16022.771984899719</v>
      </c>
      <c r="AA119" s="156">
        <f t="shared" si="21"/>
        <v>16022.771984899719</v>
      </c>
      <c r="AB119" s="156">
        <f t="shared" si="21"/>
        <v>16022.771984899719</v>
      </c>
    </row>
    <row r="120" spans="2:28" x14ac:dyDescent="0.3">
      <c r="B120" s="17">
        <v>989</v>
      </c>
      <c r="C120" s="137">
        <v>6</v>
      </c>
      <c r="D120" s="138" t="s">
        <v>144</v>
      </c>
      <c r="E120" s="153">
        <v>122.45296824942317</v>
      </c>
      <c r="F120" s="151">
        <v>196742.79</v>
      </c>
      <c r="G120" s="151">
        <v>6553.83</v>
      </c>
      <c r="H120" s="151">
        <f t="shared" si="11"/>
        <v>190188.96000000002</v>
      </c>
      <c r="I120" s="85">
        <f t="shared" si="12"/>
        <v>1553.1592473332792</v>
      </c>
      <c r="J120" s="131">
        <f t="shared" si="13"/>
        <v>91711.819106009294</v>
      </c>
      <c r="K120" s="156"/>
      <c r="L120" s="156">
        <f>IFERROR(INDEX('Revised 2021 MFAM(2019 PYAs)'!AD$26:AD$278,MATCH(B120,'Revised 2021 MFAM(2019 PYAs)'!B$26:B$278,0)),0)</f>
        <v>-7670.8045091671665</v>
      </c>
      <c r="M120" s="156">
        <f>IFERROR(INDEX('Revised 2020 MFAM(2018 PYAs)'!AF$26:AF$274,MATCH(B120,'Revised 2020 MFAM(2018 PYAs)'!B$26:B$274,0)),0)</f>
        <v>6565.8990162169503</v>
      </c>
      <c r="N120" s="156">
        <f t="shared" si="18"/>
        <v>-0.3208904693261338</v>
      </c>
      <c r="O120" s="156">
        <f t="shared" si="19"/>
        <v>-1105.2263834195423</v>
      </c>
      <c r="P120" s="156"/>
      <c r="Q120" s="161">
        <f t="shared" si="14"/>
        <v>90606.592722589747</v>
      </c>
      <c r="R120" s="162">
        <v>0</v>
      </c>
      <c r="S120" s="163">
        <f t="shared" si="15"/>
        <v>0</v>
      </c>
      <c r="T120" s="156">
        <f t="shared" si="16"/>
        <v>90606.592722589747</v>
      </c>
      <c r="U120" s="90"/>
      <c r="V120" s="161">
        <v>0</v>
      </c>
      <c r="W120" s="156">
        <f t="shared" si="17"/>
        <v>90606.592722589747</v>
      </c>
      <c r="X120" s="90"/>
      <c r="Y120" s="156">
        <f t="shared" si="21"/>
        <v>22651.648180647437</v>
      </c>
      <c r="Z120" s="156">
        <f t="shared" si="21"/>
        <v>22651.648180647437</v>
      </c>
      <c r="AA120" s="156">
        <f t="shared" si="21"/>
        <v>22651.648180647437</v>
      </c>
      <c r="AB120" s="156">
        <f t="shared" si="21"/>
        <v>22651.648180647437</v>
      </c>
    </row>
    <row r="121" spans="2:28" x14ac:dyDescent="0.3">
      <c r="B121" s="17">
        <v>39</v>
      </c>
      <c r="C121" s="137">
        <v>7</v>
      </c>
      <c r="D121" s="138" t="s">
        <v>145</v>
      </c>
      <c r="E121" s="153">
        <v>278.90708471167227</v>
      </c>
      <c r="F121" s="151">
        <v>134974.64000000001</v>
      </c>
      <c r="G121" s="151">
        <v>2125.6799999999998</v>
      </c>
      <c r="H121" s="151">
        <f t="shared" si="11"/>
        <v>132848.96000000002</v>
      </c>
      <c r="I121" s="85">
        <f t="shared" si="12"/>
        <v>476.31977558883534</v>
      </c>
      <c r="J121" s="131">
        <f t="shared" si="13"/>
        <v>64061.656301929754</v>
      </c>
      <c r="K121" s="156"/>
      <c r="L121" s="156">
        <f>IFERROR(INDEX('Revised 2021 MFAM(2019 PYAs)'!AD$26:AD$278,MATCH(B121,'Revised 2021 MFAM(2019 PYAs)'!B$26:B$278,0)),0)</f>
        <v>-139.47084641877882</v>
      </c>
      <c r="M121" s="156">
        <f>IFERROR(INDEX('Revised 2020 MFAM(2018 PYAs)'!AF$26:AF$274,MATCH(B121,'Revised 2020 MFAM(2018 PYAs)'!B$26:B$274,0)),0)</f>
        <v>-27.538266452480457</v>
      </c>
      <c r="N121" s="156">
        <f t="shared" si="18"/>
        <v>-0.22414531907576959</v>
      </c>
      <c r="O121" s="156">
        <f t="shared" si="19"/>
        <v>-167.23325819033505</v>
      </c>
      <c r="P121" s="156"/>
      <c r="Q121" s="161">
        <f t="shared" si="14"/>
        <v>63894.423043739422</v>
      </c>
      <c r="R121" s="162">
        <v>0</v>
      </c>
      <c r="S121" s="163">
        <f t="shared" si="15"/>
        <v>0</v>
      </c>
      <c r="T121" s="156">
        <f t="shared" si="16"/>
        <v>63894.423043739422</v>
      </c>
      <c r="U121" s="90"/>
      <c r="V121" s="161">
        <v>0</v>
      </c>
      <c r="W121" s="156">
        <f t="shared" si="17"/>
        <v>63894.423043739422</v>
      </c>
      <c r="X121" s="90"/>
      <c r="Y121" s="156">
        <f t="shared" si="21"/>
        <v>15973.605760934855</v>
      </c>
      <c r="Z121" s="156">
        <f t="shared" si="21"/>
        <v>15973.605760934855</v>
      </c>
      <c r="AA121" s="156">
        <f t="shared" si="21"/>
        <v>15973.605760934855</v>
      </c>
      <c r="AB121" s="156">
        <f t="shared" si="21"/>
        <v>15973.605760934855</v>
      </c>
    </row>
    <row r="122" spans="2:28" x14ac:dyDescent="0.3">
      <c r="B122" s="17">
        <v>59</v>
      </c>
      <c r="C122" s="137">
        <v>7</v>
      </c>
      <c r="D122" s="138" t="s">
        <v>146</v>
      </c>
      <c r="E122" s="153">
        <v>239.48070840653955</v>
      </c>
      <c r="F122" s="151">
        <v>184266.4</v>
      </c>
      <c r="G122" s="151">
        <v>0</v>
      </c>
      <c r="H122" s="151">
        <f t="shared" si="11"/>
        <v>184266.4</v>
      </c>
      <c r="I122" s="85">
        <f t="shared" si="12"/>
        <v>769.44151880155448</v>
      </c>
      <c r="J122" s="131">
        <f t="shared" si="13"/>
        <v>88855.876514154923</v>
      </c>
      <c r="K122" s="156"/>
      <c r="L122" s="156">
        <f>IFERROR(INDEX('Revised 2021 MFAM(2019 PYAs)'!AD$26:AD$278,MATCH(B122,'Revised 2021 MFAM(2019 PYAs)'!B$26:B$278,0)),0)</f>
        <v>-584.65647970846476</v>
      </c>
      <c r="M122" s="156">
        <f>IFERROR(INDEX('Revised 2020 MFAM(2018 PYAs)'!AF$26:AF$274,MATCH(B122,'Revised 2020 MFAM(2018 PYAs)'!B$26:B$274,0)),0)</f>
        <v>-44.056944173840748</v>
      </c>
      <c r="N122" s="156">
        <f t="shared" si="18"/>
        <v>-0.31089781224439689</v>
      </c>
      <c r="O122" s="156">
        <f t="shared" si="19"/>
        <v>-629.02432169454994</v>
      </c>
      <c r="P122" s="156"/>
      <c r="Q122" s="161">
        <f t="shared" si="14"/>
        <v>88226.85219246037</v>
      </c>
      <c r="R122" s="162">
        <v>0</v>
      </c>
      <c r="S122" s="163">
        <f t="shared" si="15"/>
        <v>0</v>
      </c>
      <c r="T122" s="156">
        <f t="shared" si="16"/>
        <v>88226.85219246037</v>
      </c>
      <c r="U122" s="90"/>
      <c r="V122" s="161">
        <v>0</v>
      </c>
      <c r="W122" s="156">
        <f t="shared" si="17"/>
        <v>88226.85219246037</v>
      </c>
      <c r="X122" s="90"/>
      <c r="Y122" s="156">
        <f t="shared" si="21"/>
        <v>22056.713048115093</v>
      </c>
      <c r="Z122" s="156">
        <f t="shared" si="21"/>
        <v>22056.713048115093</v>
      </c>
      <c r="AA122" s="156">
        <f t="shared" si="21"/>
        <v>22056.713048115093</v>
      </c>
      <c r="AB122" s="156">
        <f t="shared" si="21"/>
        <v>22056.713048115093</v>
      </c>
    </row>
    <row r="123" spans="2:28" x14ac:dyDescent="0.3">
      <c r="B123" s="17">
        <v>128</v>
      </c>
      <c r="C123" s="137">
        <v>7</v>
      </c>
      <c r="D123" s="138" t="s">
        <v>147</v>
      </c>
      <c r="E123" s="153">
        <v>130.72434272489517</v>
      </c>
      <c r="F123" s="151">
        <v>117552.35</v>
      </c>
      <c r="G123" s="151">
        <v>305.25</v>
      </c>
      <c r="H123" s="151">
        <f t="shared" si="11"/>
        <v>117247.1</v>
      </c>
      <c r="I123" s="85">
        <f t="shared" si="12"/>
        <v>896.90334298901348</v>
      </c>
      <c r="J123" s="131">
        <f t="shared" si="13"/>
        <v>56538.217706770054</v>
      </c>
      <c r="K123" s="156"/>
      <c r="L123" s="156">
        <f>IFERROR(INDEX('Revised 2021 MFAM(2019 PYAs)'!AD$26:AD$278,MATCH(B123,'Revised 2021 MFAM(2019 PYAs)'!B$26:B$278,0)),0)</f>
        <v>-81.330620441032806</v>
      </c>
      <c r="M123" s="156">
        <f>IFERROR(INDEX('Revised 2020 MFAM(2018 PYAs)'!AF$26:AF$274,MATCH(B123,'Revised 2020 MFAM(2018 PYAs)'!B$26:B$274,0)),0)</f>
        <v>-21.08944585644349</v>
      </c>
      <c r="N123" s="156">
        <f t="shared" si="18"/>
        <v>-0.19782156096825043</v>
      </c>
      <c r="O123" s="156">
        <f t="shared" si="19"/>
        <v>-102.61788785844455</v>
      </c>
      <c r="P123" s="156"/>
      <c r="Q123" s="161">
        <f t="shared" si="14"/>
        <v>56435.599818911607</v>
      </c>
      <c r="R123" s="162">
        <v>0</v>
      </c>
      <c r="S123" s="163">
        <f t="shared" si="15"/>
        <v>0</v>
      </c>
      <c r="T123" s="156">
        <f t="shared" si="16"/>
        <v>56435.599818911607</v>
      </c>
      <c r="U123" s="90"/>
      <c r="V123" s="161">
        <v>0</v>
      </c>
      <c r="W123" s="156">
        <f t="shared" si="17"/>
        <v>56435.599818911607</v>
      </c>
      <c r="X123" s="90"/>
      <c r="Y123" s="156">
        <f t="shared" si="21"/>
        <v>14108.899954727902</v>
      </c>
      <c r="Z123" s="156">
        <f t="shared" si="21"/>
        <v>14108.899954727902</v>
      </c>
      <c r="AA123" s="156">
        <f t="shared" si="21"/>
        <v>14108.899954727902</v>
      </c>
      <c r="AB123" s="156">
        <f t="shared" si="21"/>
        <v>14108.899954727902</v>
      </c>
    </row>
    <row r="124" spans="2:28" x14ac:dyDescent="0.3">
      <c r="B124" s="17">
        <v>152</v>
      </c>
      <c r="C124" s="137">
        <v>7</v>
      </c>
      <c r="D124" s="138" t="s">
        <v>148</v>
      </c>
      <c r="E124" s="153">
        <v>346.05477418044865</v>
      </c>
      <c r="F124" s="151">
        <v>181493.75</v>
      </c>
      <c r="G124" s="151">
        <v>0</v>
      </c>
      <c r="H124" s="151">
        <f t="shared" si="11"/>
        <v>181493.75</v>
      </c>
      <c r="I124" s="85">
        <f t="shared" si="12"/>
        <v>524.46538392607442</v>
      </c>
      <c r="J124" s="131">
        <f t="shared" si="13"/>
        <v>87518.865284668849</v>
      </c>
      <c r="K124" s="156"/>
      <c r="L124" s="156">
        <f>IFERROR(INDEX('Revised 2021 MFAM(2019 PYAs)'!AD$26:AD$278,MATCH(B124,'Revised 2021 MFAM(2019 PYAs)'!B$26:B$278,0)),0)</f>
        <v>-209.64358137485397</v>
      </c>
      <c r="M124" s="156">
        <f>IFERROR(INDEX('Revised 2020 MFAM(2018 PYAs)'!AF$26:AF$274,MATCH(B124,'Revised 2020 MFAM(2018 PYAs)'!B$26:B$274,0)),0)</f>
        <v>-31.603353459584469</v>
      </c>
      <c r="N124" s="156">
        <f t="shared" si="18"/>
        <v>-0.30621974386557449</v>
      </c>
      <c r="O124" s="156">
        <f t="shared" si="19"/>
        <v>-241.553154578304</v>
      </c>
      <c r="P124" s="156"/>
      <c r="Q124" s="161">
        <f t="shared" si="14"/>
        <v>87277.312130090548</v>
      </c>
      <c r="R124" s="162">
        <v>0</v>
      </c>
      <c r="S124" s="163">
        <f t="shared" si="15"/>
        <v>0</v>
      </c>
      <c r="T124" s="156">
        <f t="shared" si="16"/>
        <v>87277.312130090548</v>
      </c>
      <c r="U124" s="90"/>
      <c r="V124" s="161">
        <v>0</v>
      </c>
      <c r="W124" s="156">
        <f t="shared" si="17"/>
        <v>87277.312130090548</v>
      </c>
      <c r="X124" s="90"/>
      <c r="Y124" s="156">
        <f t="shared" si="21"/>
        <v>21819.328032522637</v>
      </c>
      <c r="Z124" s="156">
        <f t="shared" si="21"/>
        <v>21819.328032522637</v>
      </c>
      <c r="AA124" s="156">
        <f t="shared" si="21"/>
        <v>21819.328032522637</v>
      </c>
      <c r="AB124" s="156">
        <f t="shared" si="21"/>
        <v>21819.328032522637</v>
      </c>
    </row>
    <row r="125" spans="2:28" x14ac:dyDescent="0.3">
      <c r="B125" s="17">
        <v>162</v>
      </c>
      <c r="C125" s="137">
        <v>7</v>
      </c>
      <c r="D125" s="138" t="s">
        <v>149</v>
      </c>
      <c r="E125" s="153">
        <v>1228.55</v>
      </c>
      <c r="F125" s="151">
        <v>530581.69999999995</v>
      </c>
      <c r="G125" s="151">
        <v>25872.33</v>
      </c>
      <c r="H125" s="151">
        <f t="shared" si="11"/>
        <v>504709.36999999994</v>
      </c>
      <c r="I125" s="85">
        <f t="shared" si="12"/>
        <v>410.81711774042566</v>
      </c>
      <c r="J125" s="131">
        <f t="shared" si="13"/>
        <v>243378.03015773316</v>
      </c>
      <c r="K125" s="156"/>
      <c r="L125" s="156">
        <f>IFERROR(INDEX('Revised 2021 MFAM(2019 PYAs)'!AD$26:AD$278,MATCH(B125,'Revised 2021 MFAM(2019 PYAs)'!B$26:B$278,0)),0)</f>
        <v>-422.74076357283047</v>
      </c>
      <c r="M125" s="156">
        <f>IFERROR(INDEX('Revised 2020 MFAM(2018 PYAs)'!AF$26:AF$274,MATCH(B125,'Revised 2020 MFAM(2018 PYAs)'!B$26:B$274,0)),0)</f>
        <v>-96.153487395582488</v>
      </c>
      <c r="N125" s="156">
        <f t="shared" si="18"/>
        <v>-0.85155535112341585</v>
      </c>
      <c r="O125" s="156">
        <f t="shared" si="19"/>
        <v>-519.74580631953643</v>
      </c>
      <c r="P125" s="156"/>
      <c r="Q125" s="161">
        <f t="shared" si="14"/>
        <v>242858.28435141363</v>
      </c>
      <c r="R125" s="162">
        <v>0</v>
      </c>
      <c r="S125" s="163">
        <f t="shared" si="15"/>
        <v>0</v>
      </c>
      <c r="T125" s="156">
        <f t="shared" si="16"/>
        <v>242858.28435141363</v>
      </c>
      <c r="U125" s="90"/>
      <c r="V125" s="161">
        <v>0</v>
      </c>
      <c r="W125" s="156">
        <f t="shared" si="17"/>
        <v>242858.28435141363</v>
      </c>
      <c r="X125" s="90"/>
      <c r="Y125" s="156">
        <f t="shared" si="21"/>
        <v>60714.571087853408</v>
      </c>
      <c r="Z125" s="156">
        <f t="shared" si="21"/>
        <v>60714.571087853408</v>
      </c>
      <c r="AA125" s="156">
        <f t="shared" si="21"/>
        <v>60714.571087853408</v>
      </c>
      <c r="AB125" s="156">
        <f t="shared" si="21"/>
        <v>60714.571087853408</v>
      </c>
    </row>
    <row r="126" spans="2:28" x14ac:dyDescent="0.3">
      <c r="B126" s="17">
        <v>166</v>
      </c>
      <c r="C126" s="137">
        <v>7</v>
      </c>
      <c r="D126" s="138" t="s">
        <v>150</v>
      </c>
      <c r="E126" s="153">
        <v>836.58679999999993</v>
      </c>
      <c r="F126" s="151">
        <v>504997.16</v>
      </c>
      <c r="G126" s="151">
        <v>66467.06</v>
      </c>
      <c r="H126" s="151">
        <f t="shared" si="11"/>
        <v>438530.1</v>
      </c>
      <c r="I126" s="85">
        <f t="shared" si="12"/>
        <v>524.18959993153135</v>
      </c>
      <c r="J126" s="131">
        <f t="shared" si="13"/>
        <v>211465.44575321386</v>
      </c>
      <c r="K126" s="156"/>
      <c r="L126" s="156">
        <f>IFERROR(INDEX('Revised 2021 MFAM(2019 PYAs)'!AD$26:AD$278,MATCH(B126,'Revised 2021 MFAM(2019 PYAs)'!B$26:B$278,0)),0)</f>
        <v>-432.28460833718418</v>
      </c>
      <c r="M126" s="156">
        <f>IFERROR(INDEX('Revised 2020 MFAM(2018 PYAs)'!AF$26:AF$274,MATCH(B126,'Revised 2020 MFAM(2018 PYAs)'!B$26:B$274,0)),0)</f>
        <v>-91.528672162647126</v>
      </c>
      <c r="N126" s="156">
        <f t="shared" si="18"/>
        <v>-0.73989641461121813</v>
      </c>
      <c r="O126" s="156">
        <f t="shared" si="19"/>
        <v>-524.55317691444247</v>
      </c>
      <c r="P126" s="156"/>
      <c r="Q126" s="161">
        <f t="shared" si="14"/>
        <v>210940.89257629943</v>
      </c>
      <c r="R126" s="162">
        <v>0</v>
      </c>
      <c r="S126" s="163">
        <f t="shared" si="15"/>
        <v>0</v>
      </c>
      <c r="T126" s="156">
        <f t="shared" si="16"/>
        <v>210940.89257629943</v>
      </c>
      <c r="U126" s="90"/>
      <c r="V126" s="161">
        <v>0</v>
      </c>
      <c r="W126" s="156">
        <f t="shared" si="17"/>
        <v>210940.89257629943</v>
      </c>
      <c r="X126" s="90"/>
      <c r="Y126" s="156">
        <f t="shared" si="21"/>
        <v>52735.223144074858</v>
      </c>
      <c r="Z126" s="156">
        <f t="shared" si="21"/>
        <v>52735.223144074858</v>
      </c>
      <c r="AA126" s="156">
        <f t="shared" si="21"/>
        <v>52735.223144074858</v>
      </c>
      <c r="AB126" s="156">
        <f t="shared" si="21"/>
        <v>52735.223144074858</v>
      </c>
    </row>
    <row r="127" spans="2:28" x14ac:dyDescent="0.3">
      <c r="B127" s="17">
        <v>192</v>
      </c>
      <c r="C127" s="137">
        <v>7</v>
      </c>
      <c r="D127" s="138" t="s">
        <v>151</v>
      </c>
      <c r="E127" s="153">
        <v>233.99</v>
      </c>
      <c r="F127" s="151">
        <v>166918.9</v>
      </c>
      <c r="G127" s="151">
        <v>18483.46</v>
      </c>
      <c r="H127" s="151">
        <f t="shared" si="11"/>
        <v>148435.44</v>
      </c>
      <c r="I127" s="85">
        <f t="shared" si="12"/>
        <v>634.36659686311384</v>
      </c>
      <c r="J127" s="131">
        <f t="shared" si="13"/>
        <v>71577.678442538905</v>
      </c>
      <c r="K127" s="156"/>
      <c r="L127" s="156">
        <f>IFERROR(INDEX('Revised 2021 MFAM(2019 PYAs)'!AD$26:AD$278,MATCH(B127,'Revised 2021 MFAM(2019 PYAs)'!B$26:B$278,0)),0)</f>
        <v>-117.19468083382526</v>
      </c>
      <c r="M127" s="156">
        <f>IFERROR(INDEX('Revised 2020 MFAM(2018 PYAs)'!AF$26:AF$274,MATCH(B127,'Revised 2020 MFAM(2018 PYAs)'!B$26:B$274,0)),0)</f>
        <v>-24.377493732565199</v>
      </c>
      <c r="N127" s="156">
        <f t="shared" si="18"/>
        <v>-0.25044312775163802</v>
      </c>
      <c r="O127" s="156">
        <f t="shared" si="19"/>
        <v>-141.82261769414211</v>
      </c>
      <c r="P127" s="156"/>
      <c r="Q127" s="161">
        <f t="shared" si="14"/>
        <v>71435.855824844766</v>
      </c>
      <c r="R127" s="162">
        <v>0</v>
      </c>
      <c r="S127" s="163">
        <f t="shared" si="15"/>
        <v>0</v>
      </c>
      <c r="T127" s="156">
        <f t="shared" si="16"/>
        <v>71435.855824844766</v>
      </c>
      <c r="U127" s="90"/>
      <c r="V127" s="161">
        <v>0</v>
      </c>
      <c r="W127" s="156">
        <f t="shared" si="17"/>
        <v>71435.855824844766</v>
      </c>
      <c r="X127" s="90"/>
      <c r="Y127" s="156">
        <f t="shared" si="21"/>
        <v>17858.963956211192</v>
      </c>
      <c r="Z127" s="156">
        <f t="shared" si="21"/>
        <v>17858.963956211192</v>
      </c>
      <c r="AA127" s="156">
        <f t="shared" si="21"/>
        <v>17858.963956211192</v>
      </c>
      <c r="AB127" s="156">
        <f t="shared" si="21"/>
        <v>17858.963956211192</v>
      </c>
    </row>
    <row r="128" spans="2:28" x14ac:dyDescent="0.3">
      <c r="B128" s="17">
        <v>205</v>
      </c>
      <c r="C128" s="137">
        <v>7</v>
      </c>
      <c r="D128" s="138" t="s">
        <v>152</v>
      </c>
      <c r="E128" s="153">
        <v>524.57570883633412</v>
      </c>
      <c r="F128" s="151">
        <v>468614.34</v>
      </c>
      <c r="G128" s="151">
        <v>0</v>
      </c>
      <c r="H128" s="151">
        <f t="shared" si="11"/>
        <v>468614.34</v>
      </c>
      <c r="I128" s="85">
        <f t="shared" si="12"/>
        <v>893.32070110437792</v>
      </c>
      <c r="J128" s="131">
        <f t="shared" si="13"/>
        <v>225972.49377967016</v>
      </c>
      <c r="K128" s="156"/>
      <c r="L128" s="156">
        <f>IFERROR(INDEX('Revised 2021 MFAM(2019 PYAs)'!AD$26:AD$278,MATCH(B128,'Revised 2021 MFAM(2019 PYAs)'!B$26:B$278,0)),0)</f>
        <v>-381.87335435024579</v>
      </c>
      <c r="M128" s="156">
        <f>IFERROR(INDEX('Revised 2020 MFAM(2018 PYAs)'!AF$26:AF$274,MATCH(B128,'Revised 2020 MFAM(2018 PYAs)'!B$26:B$274,0)),0)</f>
        <v>-100.05338407229283</v>
      </c>
      <c r="N128" s="156">
        <f t="shared" si="18"/>
        <v>-0.79065512265042326</v>
      </c>
      <c r="O128" s="156">
        <f t="shared" si="19"/>
        <v>-482.71739354518905</v>
      </c>
      <c r="P128" s="156"/>
      <c r="Q128" s="161">
        <f t="shared" si="14"/>
        <v>225489.77638612496</v>
      </c>
      <c r="R128" s="162">
        <v>0</v>
      </c>
      <c r="S128" s="163">
        <f t="shared" si="15"/>
        <v>0</v>
      </c>
      <c r="T128" s="156">
        <f t="shared" si="16"/>
        <v>225489.77638612496</v>
      </c>
      <c r="U128" s="90"/>
      <c r="V128" s="161">
        <v>0</v>
      </c>
      <c r="W128" s="156">
        <f t="shared" si="17"/>
        <v>225489.77638612496</v>
      </c>
      <c r="X128" s="90"/>
      <c r="Y128" s="156">
        <f t="shared" si="21"/>
        <v>56372.444096531239</v>
      </c>
      <c r="Z128" s="156">
        <f t="shared" si="21"/>
        <v>56372.444096531239</v>
      </c>
      <c r="AA128" s="156">
        <f t="shared" si="21"/>
        <v>56372.444096531239</v>
      </c>
      <c r="AB128" s="156">
        <f t="shared" si="21"/>
        <v>56372.444096531239</v>
      </c>
    </row>
    <row r="129" spans="2:28" x14ac:dyDescent="0.3">
      <c r="B129" s="17">
        <v>212</v>
      </c>
      <c r="C129" s="137">
        <v>7</v>
      </c>
      <c r="D129" s="138" t="s">
        <v>153</v>
      </c>
      <c r="E129" s="153">
        <v>475.16909844194475</v>
      </c>
      <c r="F129" s="151">
        <v>272134.62</v>
      </c>
      <c r="G129" s="151">
        <v>699</v>
      </c>
      <c r="H129" s="151">
        <f t="shared" si="11"/>
        <v>271435.62</v>
      </c>
      <c r="I129" s="85">
        <f t="shared" si="12"/>
        <v>571.24005094191432</v>
      </c>
      <c r="J129" s="131">
        <f t="shared" si="13"/>
        <v>130890.1130768446</v>
      </c>
      <c r="K129" s="156"/>
      <c r="L129" s="156">
        <f>IFERROR(INDEX('Revised 2021 MFAM(2019 PYAs)'!AD$26:AD$278,MATCH(B129,'Revised 2021 MFAM(2019 PYAs)'!B$26:B$278,0)),0)</f>
        <v>-212.76919698383426</v>
      </c>
      <c r="M129" s="156">
        <f>IFERROR(INDEX('Revised 2020 MFAM(2018 PYAs)'!AF$26:AF$274,MATCH(B129,'Revised 2020 MFAM(2018 PYAs)'!B$26:B$274,0)),0)</f>
        <v>-56.628934591935831</v>
      </c>
      <c r="N129" s="156">
        <f t="shared" si="18"/>
        <v>-0.45797139588770092</v>
      </c>
      <c r="O129" s="156">
        <f t="shared" si="19"/>
        <v>-269.85610297165778</v>
      </c>
      <c r="P129" s="156"/>
      <c r="Q129" s="161">
        <f t="shared" si="14"/>
        <v>130620.25697387295</v>
      </c>
      <c r="R129" s="162">
        <v>0</v>
      </c>
      <c r="S129" s="163">
        <f t="shared" si="15"/>
        <v>0</v>
      </c>
      <c r="T129" s="156">
        <f t="shared" si="16"/>
        <v>130620.25697387295</v>
      </c>
      <c r="U129" s="90"/>
      <c r="V129" s="161">
        <v>0</v>
      </c>
      <c r="W129" s="156">
        <f t="shared" si="17"/>
        <v>130620.25697387295</v>
      </c>
      <c r="X129" s="90"/>
      <c r="Y129" s="156">
        <f t="shared" si="21"/>
        <v>32655.064243468238</v>
      </c>
      <c r="Z129" s="156">
        <f t="shared" si="21"/>
        <v>32655.064243468238</v>
      </c>
      <c r="AA129" s="156">
        <f t="shared" si="21"/>
        <v>32655.064243468238</v>
      </c>
      <c r="AB129" s="156">
        <f t="shared" si="21"/>
        <v>32655.064243468238</v>
      </c>
    </row>
    <row r="130" spans="2:28" x14ac:dyDescent="0.3">
      <c r="B130" s="17">
        <v>216</v>
      </c>
      <c r="C130" s="137">
        <v>7</v>
      </c>
      <c r="D130" s="138" t="s">
        <v>154</v>
      </c>
      <c r="E130" s="153">
        <v>929.2004782208769</v>
      </c>
      <c r="F130" s="151">
        <v>361803.18</v>
      </c>
      <c r="G130" s="151">
        <v>475</v>
      </c>
      <c r="H130" s="151">
        <f t="shared" si="11"/>
        <v>361328.18</v>
      </c>
      <c r="I130" s="85">
        <f t="shared" si="12"/>
        <v>388.85922733469579</v>
      </c>
      <c r="J130" s="131">
        <f t="shared" si="13"/>
        <v>174237.58288632295</v>
      </c>
      <c r="K130" s="156"/>
      <c r="L130" s="156">
        <f>IFERROR(INDEX('Revised 2021 MFAM(2019 PYAs)'!AD$26:AD$278,MATCH(B130,'Revised 2021 MFAM(2019 PYAs)'!B$26:B$278,0)),0)</f>
        <v>-340.79007974997512</v>
      </c>
      <c r="M130" s="156">
        <f>IFERROR(INDEX('Revised 2020 MFAM(2018 PYAs)'!AF$26:AF$274,MATCH(B130,'Revised 2020 MFAM(2018 PYAs)'!B$26:B$274,0)),0)</f>
        <v>-81.649052306485828</v>
      </c>
      <c r="N130" s="156">
        <f t="shared" si="18"/>
        <v>-0.60963985112993813</v>
      </c>
      <c r="O130" s="156">
        <f t="shared" si="19"/>
        <v>-423.04877190759089</v>
      </c>
      <c r="P130" s="156"/>
      <c r="Q130" s="161">
        <f t="shared" si="14"/>
        <v>173814.53411441535</v>
      </c>
      <c r="R130" s="162">
        <v>0</v>
      </c>
      <c r="S130" s="163">
        <f t="shared" si="15"/>
        <v>0</v>
      </c>
      <c r="T130" s="156">
        <f t="shared" si="16"/>
        <v>173814.53411441535</v>
      </c>
      <c r="U130" s="90"/>
      <c r="V130" s="161">
        <v>0</v>
      </c>
      <c r="W130" s="156">
        <f t="shared" si="17"/>
        <v>173814.53411441535</v>
      </c>
      <c r="X130" s="90"/>
      <c r="Y130" s="156">
        <f t="shared" si="21"/>
        <v>43453.633528603837</v>
      </c>
      <c r="Z130" s="156">
        <f t="shared" si="21"/>
        <v>43453.633528603837</v>
      </c>
      <c r="AA130" s="156">
        <f t="shared" si="21"/>
        <v>43453.633528603837</v>
      </c>
      <c r="AB130" s="156">
        <f t="shared" si="21"/>
        <v>43453.633528603837</v>
      </c>
    </row>
    <row r="131" spans="2:28" x14ac:dyDescent="0.3">
      <c r="B131" s="17">
        <v>229</v>
      </c>
      <c r="C131" s="137">
        <v>7</v>
      </c>
      <c r="D131" s="138" t="s">
        <v>155</v>
      </c>
      <c r="E131" s="153">
        <v>854.67000000000007</v>
      </c>
      <c r="F131" s="151">
        <v>452494.41</v>
      </c>
      <c r="G131" s="151">
        <v>63559.890000000007</v>
      </c>
      <c r="H131" s="151">
        <f t="shared" si="11"/>
        <v>388934.51999999996</v>
      </c>
      <c r="I131" s="85">
        <f t="shared" si="12"/>
        <v>455.06981642037272</v>
      </c>
      <c r="J131" s="131">
        <f t="shared" si="13"/>
        <v>187549.75232170441</v>
      </c>
      <c r="K131" s="156"/>
      <c r="L131" s="156">
        <f>IFERROR(INDEX('Revised 2021 MFAM(2019 PYAs)'!AD$26:AD$278,MATCH(B131,'Revised 2021 MFAM(2019 PYAs)'!B$26:B$278,0)),0)</f>
        <v>-465.75604315058445</v>
      </c>
      <c r="M131" s="156">
        <f>IFERROR(INDEX('Revised 2020 MFAM(2018 PYAs)'!AF$26:AF$274,MATCH(B131,'Revised 2020 MFAM(2018 PYAs)'!B$26:B$274,0)),0)</f>
        <v>-89.142520508350572</v>
      </c>
      <c r="N131" s="156">
        <f t="shared" si="18"/>
        <v>-0.65621779865631824</v>
      </c>
      <c r="O131" s="156">
        <f t="shared" si="19"/>
        <v>-555.55478145759139</v>
      </c>
      <c r="P131" s="156"/>
      <c r="Q131" s="161">
        <f t="shared" si="14"/>
        <v>186994.19754024682</v>
      </c>
      <c r="R131" s="162">
        <v>0</v>
      </c>
      <c r="S131" s="163">
        <f t="shared" si="15"/>
        <v>0</v>
      </c>
      <c r="T131" s="156">
        <f t="shared" si="16"/>
        <v>186994.19754024682</v>
      </c>
      <c r="U131" s="90"/>
      <c r="V131" s="161">
        <v>0</v>
      </c>
      <c r="W131" s="156">
        <f t="shared" si="17"/>
        <v>186994.19754024682</v>
      </c>
      <c r="X131" s="90"/>
      <c r="Y131" s="156">
        <f t="shared" si="21"/>
        <v>46748.549385061706</v>
      </c>
      <c r="Z131" s="156">
        <f t="shared" si="21"/>
        <v>46748.549385061706</v>
      </c>
      <c r="AA131" s="156">
        <f t="shared" si="21"/>
        <v>46748.549385061706</v>
      </c>
      <c r="AB131" s="156">
        <f t="shared" si="21"/>
        <v>46748.549385061706</v>
      </c>
    </row>
    <row r="132" spans="2:28" x14ac:dyDescent="0.3">
      <c r="B132" s="17">
        <v>236</v>
      </c>
      <c r="C132" s="137">
        <v>7</v>
      </c>
      <c r="D132" s="138" t="s">
        <v>156</v>
      </c>
      <c r="E132" s="153">
        <v>1136.2899999999997</v>
      </c>
      <c r="F132" s="151">
        <v>683938.6</v>
      </c>
      <c r="G132" s="151">
        <v>123459.02</v>
      </c>
      <c r="H132" s="151">
        <f t="shared" si="11"/>
        <v>560479.57999999996</v>
      </c>
      <c r="I132" s="85">
        <f t="shared" si="12"/>
        <v>493.25399325876327</v>
      </c>
      <c r="J132" s="131">
        <f t="shared" si="13"/>
        <v>270271.21791702346</v>
      </c>
      <c r="K132" s="156"/>
      <c r="L132" s="156">
        <f>IFERROR(INDEX('Revised 2021 MFAM(2019 PYAs)'!AD$26:AD$278,MATCH(B132,'Revised 2021 MFAM(2019 PYAs)'!B$26:B$278,0)),0)</f>
        <v>-548.83742491219891</v>
      </c>
      <c r="M132" s="156">
        <f>IFERROR(INDEX('Revised 2020 MFAM(2018 PYAs)'!AF$26:AF$274,MATCH(B132,'Revised 2020 MFAM(2018 PYAs)'!B$26:B$274,0)),0)</f>
        <v>-121.23565983315348</v>
      </c>
      <c r="N132" s="156">
        <f t="shared" si="18"/>
        <v>-0.94565192150960997</v>
      </c>
      <c r="O132" s="156">
        <f t="shared" si="19"/>
        <v>-671.01873666686197</v>
      </c>
      <c r="P132" s="156"/>
      <c r="Q132" s="161">
        <f t="shared" si="14"/>
        <v>269600.19918035658</v>
      </c>
      <c r="R132" s="162">
        <v>0</v>
      </c>
      <c r="S132" s="163">
        <f t="shared" si="15"/>
        <v>0</v>
      </c>
      <c r="T132" s="156">
        <f t="shared" si="16"/>
        <v>269600.19918035658</v>
      </c>
      <c r="U132" s="90"/>
      <c r="V132" s="161">
        <v>0</v>
      </c>
      <c r="W132" s="156">
        <f t="shared" si="17"/>
        <v>269600.19918035658</v>
      </c>
      <c r="X132" s="90"/>
      <c r="Y132" s="156">
        <f t="shared" si="21"/>
        <v>67400.049795089144</v>
      </c>
      <c r="Z132" s="156">
        <f t="shared" si="21"/>
        <v>67400.049795089144</v>
      </c>
      <c r="AA132" s="156">
        <f t="shared" si="21"/>
        <v>67400.049795089144</v>
      </c>
      <c r="AB132" s="156">
        <f t="shared" si="21"/>
        <v>67400.049795089144</v>
      </c>
    </row>
    <row r="133" spans="2:28" x14ac:dyDescent="0.3">
      <c r="B133" s="17">
        <v>238</v>
      </c>
      <c r="C133" s="137">
        <v>7</v>
      </c>
      <c r="D133" s="138" t="s">
        <v>292</v>
      </c>
      <c r="E133" s="153">
        <v>46.657726140452539</v>
      </c>
      <c r="F133" s="151">
        <v>23555.94</v>
      </c>
      <c r="G133" s="151">
        <v>0</v>
      </c>
      <c r="H133" s="151">
        <f t="shared" si="11"/>
        <v>23555.94</v>
      </c>
      <c r="I133" s="85">
        <f t="shared" si="12"/>
        <v>504.86686661690641</v>
      </c>
      <c r="J133" s="131">
        <f t="shared" si="13"/>
        <v>11359.008999008187</v>
      </c>
      <c r="K133" s="156"/>
      <c r="L133" s="156">
        <f>IFERROR(INDEX('Revised 2021 MFAM(2019 PYAs)'!AD$26:AD$278,MATCH(B133,'Revised 2021 MFAM(2019 PYAs)'!B$26:B$278,0)),0)</f>
        <v>-36.247365886336411</v>
      </c>
      <c r="M133" s="156">
        <f>IFERROR(INDEX('Revised 2020 MFAM(2018 PYAs)'!AF$26:AF$274,MATCH(B133,'Revised 2020 MFAM(2018 PYAs)'!B$26:B$274,0)),0)</f>
        <v>-13.744724633430451</v>
      </c>
      <c r="N133" s="156">
        <f t="shared" si="18"/>
        <v>-3.9744034785290622E-2</v>
      </c>
      <c r="O133" s="156">
        <f t="shared" si="19"/>
        <v>-50.031834554552155</v>
      </c>
      <c r="P133" s="156"/>
      <c r="Q133" s="161">
        <f t="shared" si="14"/>
        <v>11308.977164453634</v>
      </c>
      <c r="R133" s="162">
        <v>0</v>
      </c>
      <c r="S133" s="163">
        <f t="shared" si="15"/>
        <v>0</v>
      </c>
      <c r="T133" s="156">
        <f t="shared" si="16"/>
        <v>11308.977164453634</v>
      </c>
      <c r="U133" s="90"/>
      <c r="V133" s="161">
        <v>0</v>
      </c>
      <c r="W133" s="156">
        <f t="shared" si="17"/>
        <v>11308.977164453634</v>
      </c>
      <c r="X133" s="90"/>
      <c r="Y133" s="156">
        <f t="shared" si="21"/>
        <v>2827.2442911134085</v>
      </c>
      <c r="Z133" s="156">
        <f t="shared" si="21"/>
        <v>2827.2442911134085</v>
      </c>
      <c r="AA133" s="156">
        <f t="shared" si="21"/>
        <v>2827.2442911134085</v>
      </c>
      <c r="AB133" s="156">
        <f t="shared" si="21"/>
        <v>2827.2442911134085</v>
      </c>
    </row>
    <row r="134" spans="2:28" x14ac:dyDescent="0.3">
      <c r="B134" s="17">
        <v>239</v>
      </c>
      <c r="C134" s="137">
        <v>7</v>
      </c>
      <c r="D134" s="138" t="s">
        <v>157</v>
      </c>
      <c r="E134" s="153">
        <v>3041.54</v>
      </c>
      <c r="F134" s="151">
        <v>1896919.1</v>
      </c>
      <c r="G134" s="151">
        <v>294548.64</v>
      </c>
      <c r="H134" s="151">
        <f t="shared" si="11"/>
        <v>1602370.46</v>
      </c>
      <c r="I134" s="85">
        <f t="shared" si="12"/>
        <v>526.82866574169668</v>
      </c>
      <c r="J134" s="131">
        <f t="shared" si="13"/>
        <v>772685.80557111662</v>
      </c>
      <c r="K134" s="156"/>
      <c r="L134" s="156">
        <f>IFERROR(INDEX('Revised 2021 MFAM(2019 PYAs)'!AD$26:AD$278,MATCH(B134,'Revised 2021 MFAM(2019 PYAs)'!B$26:B$278,0)),0)</f>
        <v>-1725.5830775817158</v>
      </c>
      <c r="M134" s="156">
        <f>IFERROR(INDEX('Revised 2020 MFAM(2018 PYAs)'!AF$26:AF$274,MATCH(B134,'Revised 2020 MFAM(2018 PYAs)'!B$26:B$274,0)),0)</f>
        <v>-365.74079073627945</v>
      </c>
      <c r="N134" s="156">
        <f t="shared" si="18"/>
        <v>-2.7035502425783959</v>
      </c>
      <c r="O134" s="156">
        <f t="shared" si="19"/>
        <v>-2094.0274185605736</v>
      </c>
      <c r="P134" s="156"/>
      <c r="Q134" s="161">
        <f t="shared" si="14"/>
        <v>770591.77815255604</v>
      </c>
      <c r="R134" s="162">
        <v>0</v>
      </c>
      <c r="S134" s="163">
        <f t="shared" si="15"/>
        <v>0</v>
      </c>
      <c r="T134" s="156">
        <f t="shared" si="16"/>
        <v>770591.77815255604</v>
      </c>
      <c r="U134" s="90"/>
      <c r="V134" s="161">
        <v>0</v>
      </c>
      <c r="W134" s="156">
        <f t="shared" si="17"/>
        <v>770591.77815255604</v>
      </c>
      <c r="X134" s="90"/>
      <c r="Y134" s="156">
        <f t="shared" si="21"/>
        <v>192647.94453813901</v>
      </c>
      <c r="Z134" s="156">
        <f t="shared" si="21"/>
        <v>192647.94453813901</v>
      </c>
      <c r="AA134" s="156">
        <f t="shared" si="21"/>
        <v>192647.94453813901</v>
      </c>
      <c r="AB134" s="156">
        <f t="shared" si="21"/>
        <v>192647.94453813901</v>
      </c>
    </row>
    <row r="135" spans="2:28" x14ac:dyDescent="0.3">
      <c r="B135" s="17">
        <v>249</v>
      </c>
      <c r="C135" s="137">
        <v>7</v>
      </c>
      <c r="D135" s="138" t="s">
        <v>158</v>
      </c>
      <c r="E135" s="153">
        <v>1163.0819162110436</v>
      </c>
      <c r="F135" s="151">
        <v>811899.34</v>
      </c>
      <c r="G135" s="151">
        <v>0</v>
      </c>
      <c r="H135" s="151">
        <f t="shared" si="11"/>
        <v>811899.34</v>
      </c>
      <c r="I135" s="85">
        <f t="shared" si="12"/>
        <v>698.05860505931832</v>
      </c>
      <c r="J135" s="131">
        <f t="shared" si="13"/>
        <v>391509.39887556212</v>
      </c>
      <c r="K135" s="156"/>
      <c r="L135" s="156">
        <f>IFERROR(INDEX('Revised 2021 MFAM(2019 PYAs)'!AD$26:AD$278,MATCH(B135,'Revised 2021 MFAM(2019 PYAs)'!B$26:B$278,0)),0)</f>
        <v>-680.98689422738971</v>
      </c>
      <c r="M135" s="156">
        <f>IFERROR(INDEX('Revised 2020 MFAM(2018 PYAs)'!AF$26:AF$274,MATCH(B135,'Revised 2020 MFAM(2018 PYAs)'!B$26:B$274,0)),0)</f>
        <v>-155.95145657868125</v>
      </c>
      <c r="N135" s="156">
        <f t="shared" si="18"/>
        <v>-1.3698521736391969</v>
      </c>
      <c r="O135" s="156">
        <f t="shared" si="19"/>
        <v>-838.30820297971013</v>
      </c>
      <c r="P135" s="156"/>
      <c r="Q135" s="161">
        <f t="shared" si="14"/>
        <v>390671.09067258239</v>
      </c>
      <c r="R135" s="162">
        <v>0</v>
      </c>
      <c r="S135" s="163">
        <f t="shared" si="15"/>
        <v>0</v>
      </c>
      <c r="T135" s="156">
        <f t="shared" si="16"/>
        <v>390671.09067258239</v>
      </c>
      <c r="U135" s="90"/>
      <c r="V135" s="161">
        <v>0</v>
      </c>
      <c r="W135" s="156">
        <f t="shared" si="17"/>
        <v>390671.09067258239</v>
      </c>
      <c r="X135" s="90"/>
      <c r="Y135" s="156">
        <f t="shared" si="21"/>
        <v>97667.772668145597</v>
      </c>
      <c r="Z135" s="156">
        <f t="shared" si="21"/>
        <v>97667.772668145597</v>
      </c>
      <c r="AA135" s="156">
        <f t="shared" si="21"/>
        <v>97667.772668145597</v>
      </c>
      <c r="AB135" s="156">
        <f t="shared" si="21"/>
        <v>97667.772668145597</v>
      </c>
    </row>
    <row r="136" spans="2:28" x14ac:dyDescent="0.3">
      <c r="B136" s="17">
        <v>271</v>
      </c>
      <c r="C136" s="137">
        <v>7</v>
      </c>
      <c r="D136" s="138" t="s">
        <v>159</v>
      </c>
      <c r="E136" s="153">
        <v>841.90000000000009</v>
      </c>
      <c r="F136" s="151">
        <v>928558.99</v>
      </c>
      <c r="G136" s="151">
        <v>186887.22999999998</v>
      </c>
      <c r="H136" s="151">
        <f t="shared" si="11"/>
        <v>741671.76</v>
      </c>
      <c r="I136" s="85">
        <f t="shared" si="12"/>
        <v>880.94994654947141</v>
      </c>
      <c r="J136" s="131">
        <f t="shared" si="13"/>
        <v>357644.66186236852</v>
      </c>
      <c r="K136" s="156"/>
      <c r="L136" s="156">
        <f>IFERROR(INDEX('Revised 2021 MFAM(2019 PYAs)'!AD$26:AD$278,MATCH(B136,'Revised 2021 MFAM(2019 PYAs)'!B$26:B$278,0)),0)</f>
        <v>-2477.959048552817</v>
      </c>
      <c r="M136" s="156">
        <f>IFERROR(INDEX('Revised 2020 MFAM(2018 PYAs)'!AF$26:AF$274,MATCH(B136,'Revised 2020 MFAM(2018 PYAs)'!B$26:B$274,0)),0)</f>
        <v>-221.51085962256184</v>
      </c>
      <c r="N136" s="156">
        <f t="shared" si="18"/>
        <v>-1.2513628506740857</v>
      </c>
      <c r="O136" s="156">
        <f t="shared" si="19"/>
        <v>-2700.7212710260528</v>
      </c>
      <c r="P136" s="156"/>
      <c r="Q136" s="161">
        <f t="shared" si="14"/>
        <v>354943.94059134246</v>
      </c>
      <c r="R136" s="162">
        <v>0</v>
      </c>
      <c r="S136" s="163">
        <f t="shared" si="15"/>
        <v>0</v>
      </c>
      <c r="T136" s="156">
        <f t="shared" si="16"/>
        <v>354943.94059134246</v>
      </c>
      <c r="U136" s="90"/>
      <c r="V136" s="161">
        <v>0</v>
      </c>
      <c r="W136" s="156">
        <f t="shared" si="17"/>
        <v>354943.94059134246</v>
      </c>
      <c r="X136" s="90"/>
      <c r="Y136" s="156">
        <f t="shared" si="21"/>
        <v>88735.985147835614</v>
      </c>
      <c r="Z136" s="156">
        <f t="shared" si="21"/>
        <v>88735.985147835614</v>
      </c>
      <c r="AA136" s="156">
        <f t="shared" si="21"/>
        <v>88735.985147835614</v>
      </c>
      <c r="AB136" s="156">
        <f t="shared" si="21"/>
        <v>88735.985147835614</v>
      </c>
    </row>
    <row r="137" spans="2:28" x14ac:dyDescent="0.3">
      <c r="B137" s="17">
        <v>275</v>
      </c>
      <c r="C137" s="137">
        <v>7</v>
      </c>
      <c r="D137" s="138" t="s">
        <v>160</v>
      </c>
      <c r="E137" s="153">
        <v>692.28</v>
      </c>
      <c r="F137" s="151">
        <v>469715.12</v>
      </c>
      <c r="G137" s="151">
        <v>81956.409999999989</v>
      </c>
      <c r="H137" s="151">
        <f t="shared" si="11"/>
        <v>387758.71</v>
      </c>
      <c r="I137" s="85">
        <f t="shared" si="12"/>
        <v>560.11831917721156</v>
      </c>
      <c r="J137" s="131">
        <f t="shared" si="13"/>
        <v>186982.76003138939</v>
      </c>
      <c r="K137" s="156"/>
      <c r="L137" s="156">
        <f>IFERROR(INDEX('Revised 2021 MFAM(2019 PYAs)'!AD$26:AD$278,MATCH(B137,'Revised 2021 MFAM(2019 PYAs)'!B$26:B$278,0)),0)</f>
        <v>342.12253904508543</v>
      </c>
      <c r="M137" s="156">
        <f>IFERROR(INDEX('Revised 2020 MFAM(2018 PYAs)'!AF$26:AF$274,MATCH(B137,'Revised 2020 MFAM(2018 PYAs)'!B$26:B$274,0)),0)</f>
        <v>-66.269560138956876</v>
      </c>
      <c r="N137" s="156">
        <f t="shared" si="18"/>
        <v>-0.65423394942165003</v>
      </c>
      <c r="O137" s="156">
        <f t="shared" si="19"/>
        <v>275.19874495670689</v>
      </c>
      <c r="P137" s="156"/>
      <c r="Q137" s="161">
        <f t="shared" si="14"/>
        <v>187257.95877634609</v>
      </c>
      <c r="R137" s="162">
        <v>0</v>
      </c>
      <c r="S137" s="163">
        <f t="shared" si="15"/>
        <v>0</v>
      </c>
      <c r="T137" s="156">
        <f t="shared" si="16"/>
        <v>187257.95877634609</v>
      </c>
      <c r="U137" s="90"/>
      <c r="V137" s="161">
        <v>0</v>
      </c>
      <c r="W137" s="156">
        <f t="shared" si="17"/>
        <v>187257.95877634609</v>
      </c>
      <c r="X137" s="90"/>
      <c r="Y137" s="156">
        <f t="shared" si="21"/>
        <v>46814.489694086522</v>
      </c>
      <c r="Z137" s="156">
        <f t="shared" si="21"/>
        <v>46814.489694086522</v>
      </c>
      <c r="AA137" s="156">
        <f t="shared" si="21"/>
        <v>46814.489694086522</v>
      </c>
      <c r="AB137" s="156">
        <f t="shared" si="21"/>
        <v>46814.489694086522</v>
      </c>
    </row>
    <row r="138" spans="2:28" x14ac:dyDescent="0.3">
      <c r="B138" s="17">
        <v>282</v>
      </c>
      <c r="C138" s="137">
        <v>7</v>
      </c>
      <c r="D138" s="138" t="s">
        <v>161</v>
      </c>
      <c r="E138" s="153">
        <v>125.62564520141217</v>
      </c>
      <c r="F138" s="151">
        <v>65689.240000000005</v>
      </c>
      <c r="G138" s="151">
        <v>0</v>
      </c>
      <c r="H138" s="151">
        <f t="shared" si="11"/>
        <v>65689.240000000005</v>
      </c>
      <c r="I138" s="85">
        <f t="shared" si="12"/>
        <v>522.89673732367498</v>
      </c>
      <c r="J138" s="131">
        <f t="shared" si="13"/>
        <v>31676.284975170114</v>
      </c>
      <c r="K138" s="156"/>
      <c r="L138" s="156">
        <f>IFERROR(INDEX('Revised 2021 MFAM(2019 PYAs)'!AD$26:AD$278,MATCH(B138,'Revised 2021 MFAM(2019 PYAs)'!B$26:B$278,0)),0)</f>
        <v>-55.380624943347357</v>
      </c>
      <c r="M138" s="156">
        <f>IFERROR(INDEX('Revised 2020 MFAM(2018 PYAs)'!AF$26:AF$274,MATCH(B138,'Revised 2020 MFAM(2018 PYAs)'!B$26:B$274,0)),0)</f>
        <v>-12.987007990828715</v>
      </c>
      <c r="N138" s="156">
        <f t="shared" si="18"/>
        <v>-0.11083214847632084</v>
      </c>
      <c r="O138" s="156">
        <f t="shared" si="19"/>
        <v>-68.478465082652392</v>
      </c>
      <c r="P138" s="156"/>
      <c r="Q138" s="161">
        <f t="shared" si="14"/>
        <v>31607.806510087463</v>
      </c>
      <c r="R138" s="162">
        <v>0</v>
      </c>
      <c r="S138" s="163">
        <f t="shared" si="15"/>
        <v>0</v>
      </c>
      <c r="T138" s="156">
        <f t="shared" si="16"/>
        <v>31607.806510087463</v>
      </c>
      <c r="U138" s="90"/>
      <c r="V138" s="161">
        <v>0</v>
      </c>
      <c r="W138" s="156">
        <f t="shared" si="17"/>
        <v>31607.806510087463</v>
      </c>
      <c r="X138" s="90"/>
      <c r="Y138" s="156">
        <f t="shared" si="21"/>
        <v>7901.9516275218657</v>
      </c>
      <c r="Z138" s="156">
        <f t="shared" si="21"/>
        <v>7901.9516275218657</v>
      </c>
      <c r="AA138" s="156">
        <f t="shared" si="21"/>
        <v>7901.9516275218657</v>
      </c>
      <c r="AB138" s="156">
        <f t="shared" si="21"/>
        <v>7901.9516275218657</v>
      </c>
    </row>
    <row r="139" spans="2:28" x14ac:dyDescent="0.3">
      <c r="B139" s="17">
        <v>287</v>
      </c>
      <c r="C139" s="137">
        <v>7</v>
      </c>
      <c r="D139" s="138" t="s">
        <v>162</v>
      </c>
      <c r="E139" s="153">
        <v>152.73047186443509</v>
      </c>
      <c r="F139" s="151">
        <v>115146.34</v>
      </c>
      <c r="G139" s="151">
        <v>102</v>
      </c>
      <c r="H139" s="151">
        <f t="shared" si="11"/>
        <v>115044.34</v>
      </c>
      <c r="I139" s="85">
        <f t="shared" si="12"/>
        <v>753.2507337639496</v>
      </c>
      <c r="J139" s="131">
        <f t="shared" si="13"/>
        <v>55476.015533447513</v>
      </c>
      <c r="K139" s="156"/>
      <c r="L139" s="156">
        <f>IFERROR(INDEX('Revised 2021 MFAM(2019 PYAs)'!AD$26:AD$278,MATCH(B139,'Revised 2021 MFAM(2019 PYAs)'!B$26:B$278,0)),0)</f>
        <v>-109.32293239551655</v>
      </c>
      <c r="M139" s="156">
        <f>IFERROR(INDEX('Revised 2020 MFAM(2018 PYAs)'!AF$26:AF$274,MATCH(B139,'Revised 2020 MFAM(2018 PYAs)'!B$26:B$274,0)),0)</f>
        <v>-22.989240121314651</v>
      </c>
      <c r="N139" s="156">
        <f t="shared" si="18"/>
        <v>-0.19410502195245877</v>
      </c>
      <c r="O139" s="156">
        <f t="shared" si="19"/>
        <v>-132.50627753878365</v>
      </c>
      <c r="P139" s="156"/>
      <c r="Q139" s="161">
        <f t="shared" si="14"/>
        <v>55343.509255908728</v>
      </c>
      <c r="R139" s="162">
        <v>0</v>
      </c>
      <c r="S139" s="163">
        <f t="shared" si="15"/>
        <v>0</v>
      </c>
      <c r="T139" s="156">
        <f t="shared" si="16"/>
        <v>55343.509255908728</v>
      </c>
      <c r="U139" s="90"/>
      <c r="V139" s="161">
        <v>0</v>
      </c>
      <c r="W139" s="156">
        <f t="shared" si="17"/>
        <v>55343.509255908728</v>
      </c>
      <c r="X139" s="90"/>
      <c r="Y139" s="156">
        <f t="shared" si="21"/>
        <v>13835.877313977182</v>
      </c>
      <c r="Z139" s="156">
        <f t="shared" si="21"/>
        <v>13835.877313977182</v>
      </c>
      <c r="AA139" s="156">
        <f t="shared" si="21"/>
        <v>13835.877313977182</v>
      </c>
      <c r="AB139" s="156">
        <f t="shared" si="21"/>
        <v>13835.877313977182</v>
      </c>
    </row>
    <row r="140" spans="2:28" x14ac:dyDescent="0.3">
      <c r="B140" s="17">
        <v>290</v>
      </c>
      <c r="C140" s="137">
        <v>7</v>
      </c>
      <c r="D140" s="138" t="s">
        <v>163</v>
      </c>
      <c r="E140" s="153">
        <v>320.95069482223562</v>
      </c>
      <c r="F140" s="151">
        <v>241596.62</v>
      </c>
      <c r="G140" s="151">
        <v>19503.5</v>
      </c>
      <c r="H140" s="151">
        <f t="shared" si="11"/>
        <v>222093.12</v>
      </c>
      <c r="I140" s="85">
        <f t="shared" si="12"/>
        <v>691.98516651602927</v>
      </c>
      <c r="J140" s="131">
        <f t="shared" si="13"/>
        <v>107096.45841761379</v>
      </c>
      <c r="K140" s="156"/>
      <c r="L140" s="156">
        <f>IFERROR(INDEX('Revised 2021 MFAM(2019 PYAs)'!AD$26:AD$278,MATCH(B140,'Revised 2021 MFAM(2019 PYAs)'!B$26:B$278,0)),0)</f>
        <v>-126.13568676013529</v>
      </c>
      <c r="M140" s="156">
        <f>IFERROR(INDEX('Revised 2020 MFAM(2018 PYAs)'!AF$26:AF$274,MATCH(B140,'Revised 2020 MFAM(2018 PYAs)'!B$26:B$274,0)),0)</f>
        <v>-36.242555734657799</v>
      </c>
      <c r="N140" s="156">
        <f t="shared" si="18"/>
        <v>-0.37471978137377349</v>
      </c>
      <c r="O140" s="156">
        <f t="shared" si="19"/>
        <v>-162.75296227616687</v>
      </c>
      <c r="P140" s="156"/>
      <c r="Q140" s="161">
        <f t="shared" si="14"/>
        <v>106933.70545533762</v>
      </c>
      <c r="R140" s="162">
        <v>0</v>
      </c>
      <c r="S140" s="163">
        <f t="shared" si="15"/>
        <v>0</v>
      </c>
      <c r="T140" s="156">
        <f t="shared" si="16"/>
        <v>106933.70545533762</v>
      </c>
      <c r="U140" s="90"/>
      <c r="V140" s="161">
        <v>0</v>
      </c>
      <c r="W140" s="156">
        <f t="shared" si="17"/>
        <v>106933.70545533762</v>
      </c>
      <c r="X140" s="90"/>
      <c r="Y140" s="156">
        <f t="shared" si="21"/>
        <v>26733.426363834405</v>
      </c>
      <c r="Z140" s="156">
        <f t="shared" si="21"/>
        <v>26733.426363834405</v>
      </c>
      <c r="AA140" s="156">
        <f t="shared" si="21"/>
        <v>26733.426363834405</v>
      </c>
      <c r="AB140" s="156">
        <f t="shared" si="21"/>
        <v>26733.426363834405</v>
      </c>
    </row>
    <row r="141" spans="2:28" x14ac:dyDescent="0.3">
      <c r="B141" s="17">
        <v>294</v>
      </c>
      <c r="C141" s="137">
        <v>7</v>
      </c>
      <c r="D141" s="138" t="s">
        <v>164</v>
      </c>
      <c r="E141" s="153">
        <v>1096.2002031679949</v>
      </c>
      <c r="F141" s="151">
        <v>656278.9</v>
      </c>
      <c r="G141" s="151">
        <v>746</v>
      </c>
      <c r="H141" s="151">
        <f t="shared" si="11"/>
        <v>655532.9</v>
      </c>
      <c r="I141" s="85">
        <f t="shared" si="12"/>
        <v>598.00472405088419</v>
      </c>
      <c r="J141" s="131">
        <f t="shared" si="13"/>
        <v>316107.27953314257</v>
      </c>
      <c r="K141" s="156"/>
      <c r="L141" s="156">
        <f>IFERROR(INDEX('Revised 2021 MFAM(2019 PYAs)'!AD$26:AD$278,MATCH(B141,'Revised 2021 MFAM(2019 PYAs)'!B$26:B$278,0)),0)</f>
        <v>582.04817734385142</v>
      </c>
      <c r="M141" s="156">
        <f>IFERROR(INDEX('Revised 2020 MFAM(2018 PYAs)'!AF$26:AF$274,MATCH(B141,'Revised 2020 MFAM(2018 PYAs)'!B$26:B$274,0)),0)</f>
        <v>-165.0798607377219</v>
      </c>
      <c r="N141" s="156">
        <f t="shared" si="18"/>
        <v>-1.1060277102294556</v>
      </c>
      <c r="O141" s="156">
        <f t="shared" si="19"/>
        <v>415.86228889590006</v>
      </c>
      <c r="P141" s="156"/>
      <c r="Q141" s="161">
        <f t="shared" si="14"/>
        <v>316523.14182203845</v>
      </c>
      <c r="R141" s="162">
        <v>0</v>
      </c>
      <c r="S141" s="163">
        <f t="shared" si="15"/>
        <v>0</v>
      </c>
      <c r="T141" s="156">
        <f t="shared" si="16"/>
        <v>316523.14182203845</v>
      </c>
      <c r="U141" s="90"/>
      <c r="V141" s="161">
        <v>0</v>
      </c>
      <c r="W141" s="156">
        <f t="shared" si="17"/>
        <v>316523.14182203845</v>
      </c>
      <c r="X141" s="90"/>
      <c r="Y141" s="156">
        <f t="shared" si="21"/>
        <v>79130.785455509613</v>
      </c>
      <c r="Z141" s="156">
        <f t="shared" si="21"/>
        <v>79130.785455509613</v>
      </c>
      <c r="AA141" s="156">
        <f t="shared" si="21"/>
        <v>79130.785455509613</v>
      </c>
      <c r="AB141" s="156">
        <f t="shared" si="21"/>
        <v>79130.785455509613</v>
      </c>
    </row>
    <row r="142" spans="2:28" x14ac:dyDescent="0.3">
      <c r="B142" s="17">
        <v>296</v>
      </c>
      <c r="C142" s="137">
        <v>7</v>
      </c>
      <c r="D142" s="138" t="s">
        <v>165</v>
      </c>
      <c r="E142" s="153">
        <v>801.5</v>
      </c>
      <c r="F142" s="151">
        <v>899174.32</v>
      </c>
      <c r="G142" s="151">
        <v>122809.44</v>
      </c>
      <c r="H142" s="151">
        <f t="shared" si="11"/>
        <v>776364.87999999989</v>
      </c>
      <c r="I142" s="85">
        <f t="shared" si="12"/>
        <v>968.63990018714901</v>
      </c>
      <c r="J142" s="131">
        <f t="shared" si="13"/>
        <v>374374.17731722491</v>
      </c>
      <c r="K142" s="156"/>
      <c r="L142" s="156">
        <f>IFERROR(INDEX('Revised 2021 MFAM(2019 PYAs)'!AD$26:AD$278,MATCH(B142,'Revised 2021 MFAM(2019 PYAs)'!B$26:B$278,0)),0)</f>
        <v>-2532.8171065522183</v>
      </c>
      <c r="M142" s="156">
        <f>IFERROR(INDEX('Revised 2020 MFAM(2018 PYAs)'!AF$26:AF$274,MATCH(B142,'Revised 2020 MFAM(2018 PYAs)'!B$26:B$274,0)),0)</f>
        <v>-184.55792623091838</v>
      </c>
      <c r="N142" s="156">
        <f t="shared" si="18"/>
        <v>-1.3098977496460755</v>
      </c>
      <c r="O142" s="156">
        <f t="shared" si="19"/>
        <v>-2718.6849305327828</v>
      </c>
      <c r="P142" s="156"/>
      <c r="Q142" s="161">
        <f t="shared" si="14"/>
        <v>371655.49238669215</v>
      </c>
      <c r="R142" s="162">
        <v>0</v>
      </c>
      <c r="S142" s="163">
        <f t="shared" si="15"/>
        <v>0</v>
      </c>
      <c r="T142" s="156">
        <f t="shared" si="16"/>
        <v>371655.49238669215</v>
      </c>
      <c r="U142" s="90"/>
      <c r="V142" s="161">
        <v>0</v>
      </c>
      <c r="W142" s="156">
        <f t="shared" si="17"/>
        <v>371655.49238669215</v>
      </c>
      <c r="X142" s="90"/>
      <c r="Y142" s="156">
        <f t="shared" si="21"/>
        <v>92913.873096673036</v>
      </c>
      <c r="Z142" s="156">
        <f t="shared" si="21"/>
        <v>92913.873096673036</v>
      </c>
      <c r="AA142" s="156">
        <f t="shared" si="21"/>
        <v>92913.873096673036</v>
      </c>
      <c r="AB142" s="156">
        <f t="shared" si="21"/>
        <v>92913.873096673036</v>
      </c>
    </row>
    <row r="143" spans="2:28" x14ac:dyDescent="0.3">
      <c r="B143" s="17">
        <v>301</v>
      </c>
      <c r="C143" s="137">
        <v>7</v>
      </c>
      <c r="D143" s="138" t="s">
        <v>166</v>
      </c>
      <c r="E143" s="153">
        <v>622.0088866393462</v>
      </c>
      <c r="F143" s="151">
        <v>491037.6</v>
      </c>
      <c r="G143" s="151">
        <v>37594.660000000003</v>
      </c>
      <c r="H143" s="151">
        <f t="shared" si="11"/>
        <v>453442.93999999994</v>
      </c>
      <c r="I143" s="85">
        <f t="shared" si="12"/>
        <v>728.99752678761274</v>
      </c>
      <c r="J143" s="131">
        <f t="shared" si="13"/>
        <v>218656.62911336712</v>
      </c>
      <c r="K143" s="156"/>
      <c r="L143" s="156">
        <f>IFERROR(INDEX('Revised 2021 MFAM(2019 PYAs)'!AD$26:AD$278,MATCH(B143,'Revised 2021 MFAM(2019 PYAs)'!B$26:B$278,0)),0)</f>
        <v>-287.11865957344708</v>
      </c>
      <c r="M143" s="156">
        <f>IFERROR(INDEX('Revised 2020 MFAM(2018 PYAs)'!AF$26:AF$274,MATCH(B143,'Revised 2020 MFAM(2018 PYAs)'!B$26:B$274,0)),0)</f>
        <v>-55.579421975533478</v>
      </c>
      <c r="N143" s="156">
        <f t="shared" si="18"/>
        <v>-0.76505764492966311</v>
      </c>
      <c r="O143" s="156">
        <f t="shared" si="19"/>
        <v>-343.46313919391019</v>
      </c>
      <c r="P143" s="156"/>
      <c r="Q143" s="161">
        <f t="shared" si="14"/>
        <v>218313.1659741732</v>
      </c>
      <c r="R143" s="162">
        <v>0</v>
      </c>
      <c r="S143" s="163">
        <f t="shared" si="15"/>
        <v>0</v>
      </c>
      <c r="T143" s="156">
        <f t="shared" si="16"/>
        <v>218313.1659741732</v>
      </c>
      <c r="U143" s="90"/>
      <c r="V143" s="161">
        <v>0</v>
      </c>
      <c r="W143" s="156">
        <f t="shared" si="17"/>
        <v>218313.1659741732</v>
      </c>
      <c r="X143" s="90"/>
      <c r="Y143" s="156">
        <f t="shared" si="21"/>
        <v>54578.2914935433</v>
      </c>
      <c r="Z143" s="156">
        <f t="shared" si="21"/>
        <v>54578.2914935433</v>
      </c>
      <c r="AA143" s="156">
        <f t="shared" si="21"/>
        <v>54578.2914935433</v>
      </c>
      <c r="AB143" s="156">
        <f t="shared" si="21"/>
        <v>54578.2914935433</v>
      </c>
    </row>
    <row r="144" spans="2:28" x14ac:dyDescent="0.3">
      <c r="B144" s="17">
        <v>321</v>
      </c>
      <c r="C144" s="137">
        <v>7</v>
      </c>
      <c r="D144" s="138" t="s">
        <v>167</v>
      </c>
      <c r="E144" s="153">
        <v>735.59</v>
      </c>
      <c r="F144" s="151">
        <v>453466.55</v>
      </c>
      <c r="G144" s="151">
        <v>20867.23</v>
      </c>
      <c r="H144" s="151">
        <f t="shared" si="11"/>
        <v>432599.32</v>
      </c>
      <c r="I144" s="85">
        <f t="shared" si="12"/>
        <v>588.09842439402382</v>
      </c>
      <c r="J144" s="131">
        <f t="shared" si="13"/>
        <v>208605.53936055291</v>
      </c>
      <c r="K144" s="156"/>
      <c r="L144" s="156">
        <f>IFERROR(INDEX('Revised 2021 MFAM(2019 PYAs)'!AD$26:AD$278,MATCH(B144,'Revised 2021 MFAM(2019 PYAs)'!B$26:B$278,0)),0)</f>
        <v>-1154.8373566318623</v>
      </c>
      <c r="M144" s="156">
        <f>IFERROR(INDEX('Revised 2020 MFAM(2018 PYAs)'!AF$26:AF$274,MATCH(B144,'Revised 2020 MFAM(2018 PYAs)'!B$26:B$274,0)),0)</f>
        <v>-89.578296009320184</v>
      </c>
      <c r="N144" s="156">
        <f t="shared" si="18"/>
        <v>-0.72988988858746762</v>
      </c>
      <c r="O144" s="156">
        <f t="shared" si="19"/>
        <v>-1245.14554252977</v>
      </c>
      <c r="P144" s="156"/>
      <c r="Q144" s="161">
        <f t="shared" si="14"/>
        <v>207360.39381802315</v>
      </c>
      <c r="R144" s="162">
        <v>0</v>
      </c>
      <c r="S144" s="163">
        <f t="shared" si="15"/>
        <v>0</v>
      </c>
      <c r="T144" s="156">
        <f t="shared" si="16"/>
        <v>207360.39381802315</v>
      </c>
      <c r="U144" s="90"/>
      <c r="V144" s="161">
        <v>0</v>
      </c>
      <c r="W144" s="156">
        <f t="shared" si="17"/>
        <v>207360.39381802315</v>
      </c>
      <c r="X144" s="90"/>
      <c r="Y144" s="156">
        <f t="shared" si="21"/>
        <v>51840.098454505787</v>
      </c>
      <c r="Z144" s="156">
        <f t="shared" si="21"/>
        <v>51840.098454505787</v>
      </c>
      <c r="AA144" s="156">
        <f t="shared" si="21"/>
        <v>51840.098454505787</v>
      </c>
      <c r="AB144" s="156">
        <f t="shared" si="21"/>
        <v>51840.098454505787</v>
      </c>
    </row>
    <row r="145" spans="2:28" x14ac:dyDescent="0.3">
      <c r="B145" s="17">
        <v>325</v>
      </c>
      <c r="C145" s="137">
        <v>7</v>
      </c>
      <c r="D145" s="138" t="s">
        <v>168</v>
      </c>
      <c r="E145" s="153">
        <v>385.2456057985475</v>
      </c>
      <c r="F145" s="151">
        <v>321114.27</v>
      </c>
      <c r="G145" s="151">
        <v>420</v>
      </c>
      <c r="H145" s="151">
        <f t="shared" si="11"/>
        <v>320694.27</v>
      </c>
      <c r="I145" s="85">
        <f t="shared" si="12"/>
        <v>832.44108478604517</v>
      </c>
      <c r="J145" s="131">
        <f t="shared" si="13"/>
        <v>154643.33407456303</v>
      </c>
      <c r="K145" s="156"/>
      <c r="L145" s="156">
        <f>IFERROR(INDEX('Revised 2021 MFAM(2019 PYAs)'!AD$26:AD$278,MATCH(B145,'Revised 2021 MFAM(2019 PYAs)'!B$26:B$278,0)),0)</f>
        <v>-160.76110809664533</v>
      </c>
      <c r="M145" s="156">
        <f>IFERROR(INDEX('Revised 2020 MFAM(2018 PYAs)'!AF$26:AF$274,MATCH(B145,'Revised 2020 MFAM(2018 PYAs)'!B$26:B$274,0)),0)</f>
        <v>-42.143962141184602</v>
      </c>
      <c r="N145" s="156">
        <f t="shared" si="18"/>
        <v>-0.54108153706977458</v>
      </c>
      <c r="O145" s="156">
        <f t="shared" si="19"/>
        <v>-203.4461517748997</v>
      </c>
      <c r="P145" s="156"/>
      <c r="Q145" s="161">
        <f t="shared" si="14"/>
        <v>154439.88792278813</v>
      </c>
      <c r="R145" s="162">
        <v>0</v>
      </c>
      <c r="S145" s="163">
        <f t="shared" si="15"/>
        <v>0</v>
      </c>
      <c r="T145" s="156">
        <f t="shared" si="16"/>
        <v>154439.88792278813</v>
      </c>
      <c r="U145" s="90"/>
      <c r="V145" s="161">
        <v>0</v>
      </c>
      <c r="W145" s="156">
        <f t="shared" si="17"/>
        <v>154439.88792278813</v>
      </c>
      <c r="X145" s="90"/>
      <c r="Y145" s="156">
        <f t="shared" si="21"/>
        <v>38609.971980697032</v>
      </c>
      <c r="Z145" s="156">
        <f t="shared" si="21"/>
        <v>38609.971980697032</v>
      </c>
      <c r="AA145" s="156">
        <f t="shared" si="21"/>
        <v>38609.971980697032</v>
      </c>
      <c r="AB145" s="156">
        <f t="shared" si="21"/>
        <v>38609.971980697032</v>
      </c>
    </row>
    <row r="146" spans="2:28" x14ac:dyDescent="0.3">
      <c r="B146" s="17">
        <v>346</v>
      </c>
      <c r="C146" s="137">
        <v>7</v>
      </c>
      <c r="D146" s="138" t="s">
        <v>169</v>
      </c>
      <c r="E146" s="153">
        <v>227.74</v>
      </c>
      <c r="F146" s="151">
        <v>184009.64</v>
      </c>
      <c r="G146" s="151">
        <v>17890.460000000003</v>
      </c>
      <c r="H146" s="151">
        <f t="shared" si="11"/>
        <v>166119.18000000002</v>
      </c>
      <c r="I146" s="85">
        <f t="shared" si="12"/>
        <v>729.42469482743491</v>
      </c>
      <c r="J146" s="131">
        <f t="shared" si="13"/>
        <v>80105.029157310695</v>
      </c>
      <c r="K146" s="156"/>
      <c r="L146" s="156">
        <f>IFERROR(INDEX('Revised 2021 MFAM(2019 PYAs)'!AD$26:AD$278,MATCH(B146,'Revised 2021 MFAM(2019 PYAs)'!B$26:B$278,0)),0)</f>
        <v>-123.62061107169575</v>
      </c>
      <c r="M146" s="156">
        <f>IFERROR(INDEX('Revised 2020 MFAM(2018 PYAs)'!AF$26:AF$274,MATCH(B146,'Revised 2020 MFAM(2018 PYAs)'!B$26:B$274,0)),0)</f>
        <v>-23.966766311554238</v>
      </c>
      <c r="N146" s="156">
        <f t="shared" si="18"/>
        <v>-0.28027947381526513</v>
      </c>
      <c r="O146" s="156">
        <f t="shared" si="19"/>
        <v>-147.86765685706524</v>
      </c>
      <c r="P146" s="156"/>
      <c r="Q146" s="161">
        <f t="shared" si="14"/>
        <v>79957.161500453629</v>
      </c>
      <c r="R146" s="162">
        <v>0</v>
      </c>
      <c r="S146" s="163">
        <f t="shared" si="15"/>
        <v>0</v>
      </c>
      <c r="T146" s="156">
        <f t="shared" si="16"/>
        <v>79957.161500453629</v>
      </c>
      <c r="U146" s="90"/>
      <c r="V146" s="161">
        <v>0</v>
      </c>
      <c r="W146" s="156">
        <f t="shared" si="17"/>
        <v>79957.161500453629</v>
      </c>
      <c r="X146" s="90"/>
      <c r="Y146" s="156">
        <f t="shared" si="21"/>
        <v>19989.290375113407</v>
      </c>
      <c r="Z146" s="156">
        <f t="shared" si="21"/>
        <v>19989.290375113407</v>
      </c>
      <c r="AA146" s="156">
        <f t="shared" si="21"/>
        <v>19989.290375113407</v>
      </c>
      <c r="AB146" s="156">
        <f t="shared" si="21"/>
        <v>19989.290375113407</v>
      </c>
    </row>
    <row r="147" spans="2:28" x14ac:dyDescent="0.3">
      <c r="B147" s="17">
        <v>358</v>
      </c>
      <c r="C147" s="137">
        <v>7</v>
      </c>
      <c r="D147" s="138" t="s">
        <v>170</v>
      </c>
      <c r="E147" s="153">
        <v>329.13</v>
      </c>
      <c r="F147" s="151">
        <v>252248.3</v>
      </c>
      <c r="G147" s="151">
        <v>25760.270000000004</v>
      </c>
      <c r="H147" s="151">
        <f t="shared" ref="H147:H210" si="22">F147-G147</f>
        <v>226488.02999999997</v>
      </c>
      <c r="I147" s="85">
        <f t="shared" ref="I147:I210" si="23">IFERROR(H147/E147,"n.a.")</f>
        <v>688.14155500865911</v>
      </c>
      <c r="J147" s="131">
        <f t="shared" ref="J147:J210" si="24">H147*(E$12/H$17)</f>
        <v>109215.74647149026</v>
      </c>
      <c r="K147" s="156"/>
      <c r="L147" s="156">
        <f>IFERROR(INDEX('Revised 2021 MFAM(2019 PYAs)'!AD$26:AD$278,MATCH(B147,'Revised 2021 MFAM(2019 PYAs)'!B$26:B$278,0)),0)</f>
        <v>-226.9750442388904</v>
      </c>
      <c r="M147" s="156">
        <f>IFERROR(INDEX('Revised 2020 MFAM(2018 PYAs)'!AF$26:AF$274,MATCH(B147,'Revised 2020 MFAM(2018 PYAs)'!B$26:B$274,0)),0)</f>
        <v>-50.611223284868174</v>
      </c>
      <c r="N147" s="156">
        <f t="shared" si="18"/>
        <v>-0.38213495800940006</v>
      </c>
      <c r="O147" s="156">
        <f t="shared" si="19"/>
        <v>-277.96840248176795</v>
      </c>
      <c r="P147" s="156"/>
      <c r="Q147" s="161">
        <f t="shared" ref="Q147:Q210" si="25">J147+O147</f>
        <v>108937.77806900849</v>
      </c>
      <c r="R147" s="162">
        <v>0</v>
      </c>
      <c r="S147" s="163">
        <f t="shared" ref="S147:S210" si="26">-$R$17*R147*Q147</f>
        <v>0</v>
      </c>
      <c r="T147" s="156">
        <f t="shared" ref="T147:T210" si="27">Q147+S147</f>
        <v>108937.77806900849</v>
      </c>
      <c r="U147" s="90"/>
      <c r="V147" s="161">
        <v>0</v>
      </c>
      <c r="W147" s="156">
        <f t="shared" ref="W147:W210" si="28">T147+V147</f>
        <v>108937.77806900849</v>
      </c>
      <c r="X147" s="90"/>
      <c r="Y147" s="156">
        <f t="shared" si="21"/>
        <v>27234.444517252123</v>
      </c>
      <c r="Z147" s="156">
        <f t="shared" si="21"/>
        <v>27234.444517252123</v>
      </c>
      <c r="AA147" s="156">
        <f t="shared" si="21"/>
        <v>27234.444517252123</v>
      </c>
      <c r="AB147" s="156">
        <f t="shared" si="21"/>
        <v>27234.444517252123</v>
      </c>
    </row>
    <row r="148" spans="2:28" x14ac:dyDescent="0.3">
      <c r="B148" s="17">
        <v>361</v>
      </c>
      <c r="C148" s="137">
        <v>7</v>
      </c>
      <c r="D148" s="138" t="s">
        <v>171</v>
      </c>
      <c r="E148" s="153">
        <v>1661.2809709614248</v>
      </c>
      <c r="F148" s="151">
        <v>1053513.96</v>
      </c>
      <c r="G148" s="151">
        <v>9561.06</v>
      </c>
      <c r="H148" s="151">
        <f t="shared" si="22"/>
        <v>1043952.8999999999</v>
      </c>
      <c r="I148" s="85">
        <f t="shared" si="23"/>
        <v>628.4023703683539</v>
      </c>
      <c r="J148" s="131">
        <f t="shared" si="24"/>
        <v>503408.92299949372</v>
      </c>
      <c r="K148" s="156"/>
      <c r="L148" s="156">
        <f>IFERROR(INDEX('Revised 2021 MFAM(2019 PYAs)'!AD$26:AD$278,MATCH(B148,'Revised 2021 MFAM(2019 PYAs)'!B$26:B$278,0)),0)</f>
        <v>-892.77661868691212</v>
      </c>
      <c r="M148" s="156">
        <f>IFERROR(INDEX('Revised 2020 MFAM(2018 PYAs)'!AF$26:AF$274,MATCH(B148,'Revised 2020 MFAM(2018 PYAs)'!B$26:B$274,0)),0)</f>
        <v>-213.85301855567377</v>
      </c>
      <c r="N148" s="156">
        <f t="shared" ref="N148:N211" si="29">-$N$15*(J148/$E$12)</f>
        <v>-1.761377400851124</v>
      </c>
      <c r="O148" s="156">
        <f t="shared" ref="O148:O211" si="30">SUM(L148:N148)</f>
        <v>-1108.3910146434371</v>
      </c>
      <c r="P148" s="156"/>
      <c r="Q148" s="161">
        <f t="shared" si="25"/>
        <v>502300.5319848503</v>
      </c>
      <c r="R148" s="162">
        <v>0</v>
      </c>
      <c r="S148" s="163">
        <f t="shared" si="26"/>
        <v>0</v>
      </c>
      <c r="T148" s="156">
        <f t="shared" si="27"/>
        <v>502300.5319848503</v>
      </c>
      <c r="U148" s="90"/>
      <c r="V148" s="161">
        <v>0</v>
      </c>
      <c r="W148" s="156">
        <f t="shared" si="28"/>
        <v>502300.5319848503</v>
      </c>
      <c r="X148" s="90"/>
      <c r="Y148" s="156">
        <f t="shared" ref="Y148:AB179" si="31">$W148/4</f>
        <v>125575.13299621257</v>
      </c>
      <c r="Z148" s="156">
        <f t="shared" si="31"/>
        <v>125575.13299621257</v>
      </c>
      <c r="AA148" s="156">
        <f t="shared" si="31"/>
        <v>125575.13299621257</v>
      </c>
      <c r="AB148" s="156">
        <f t="shared" si="31"/>
        <v>125575.13299621257</v>
      </c>
    </row>
    <row r="149" spans="2:28" x14ac:dyDescent="0.3">
      <c r="B149" s="17">
        <v>376</v>
      </c>
      <c r="C149" s="137">
        <v>7</v>
      </c>
      <c r="D149" s="138" t="s">
        <v>172</v>
      </c>
      <c r="E149" s="153">
        <v>730.1929708766545</v>
      </c>
      <c r="F149" s="151">
        <v>404075.88</v>
      </c>
      <c r="G149" s="151">
        <v>240</v>
      </c>
      <c r="H149" s="151">
        <f t="shared" si="22"/>
        <v>403835.88</v>
      </c>
      <c r="I149" s="85">
        <f t="shared" si="23"/>
        <v>553.05363938954804</v>
      </c>
      <c r="J149" s="131">
        <f t="shared" si="24"/>
        <v>194735.39986272639</v>
      </c>
      <c r="K149" s="156"/>
      <c r="L149" s="156">
        <f>IFERROR(INDEX('Revised 2021 MFAM(2019 PYAs)'!AD$26:AD$278,MATCH(B149,'Revised 2021 MFAM(2019 PYAs)'!B$26:B$278,0)),0)</f>
        <v>-308.91048563891673</v>
      </c>
      <c r="M149" s="156">
        <f>IFERROR(INDEX('Revised 2020 MFAM(2018 PYAs)'!AF$26:AF$274,MATCH(B149,'Revised 2020 MFAM(2018 PYAs)'!B$26:B$274,0)),0)</f>
        <v>-70.334372494166018</v>
      </c>
      <c r="N149" s="156">
        <f t="shared" si="29"/>
        <v>-0.68135965969808276</v>
      </c>
      <c r="O149" s="156">
        <f t="shared" si="30"/>
        <v>-379.92621779278085</v>
      </c>
      <c r="P149" s="156"/>
      <c r="Q149" s="161">
        <f t="shared" si="25"/>
        <v>194355.47364493361</v>
      </c>
      <c r="R149" s="162">
        <v>0</v>
      </c>
      <c r="S149" s="163">
        <f t="shared" si="26"/>
        <v>0</v>
      </c>
      <c r="T149" s="156">
        <f t="shared" si="27"/>
        <v>194355.47364493361</v>
      </c>
      <c r="U149" s="90"/>
      <c r="V149" s="161">
        <v>0</v>
      </c>
      <c r="W149" s="156">
        <f t="shared" si="28"/>
        <v>194355.47364493361</v>
      </c>
      <c r="X149" s="90"/>
      <c r="Y149" s="156">
        <f t="shared" si="31"/>
        <v>48588.868411233401</v>
      </c>
      <c r="Z149" s="156">
        <f t="shared" si="31"/>
        <v>48588.868411233401</v>
      </c>
      <c r="AA149" s="156">
        <f t="shared" si="31"/>
        <v>48588.868411233401</v>
      </c>
      <c r="AB149" s="156">
        <f t="shared" si="31"/>
        <v>48588.868411233401</v>
      </c>
    </row>
    <row r="150" spans="2:28" x14ac:dyDescent="0.3">
      <c r="B150" s="17">
        <v>382</v>
      </c>
      <c r="C150" s="137">
        <v>7</v>
      </c>
      <c r="D150" s="138" t="s">
        <v>173</v>
      </c>
      <c r="E150" s="153">
        <v>221.7</v>
      </c>
      <c r="F150" s="151">
        <v>117105.77</v>
      </c>
      <c r="G150" s="151">
        <v>17625.36</v>
      </c>
      <c r="H150" s="151">
        <f t="shared" si="22"/>
        <v>99480.41</v>
      </c>
      <c r="I150" s="85">
        <f t="shared" si="23"/>
        <v>448.71632837167346</v>
      </c>
      <c r="J150" s="131">
        <f t="shared" si="24"/>
        <v>47970.867323274906</v>
      </c>
      <c r="K150" s="156"/>
      <c r="L150" s="156">
        <f>IFERROR(INDEX('Revised 2021 MFAM(2019 PYAs)'!AD$26:AD$278,MATCH(B150,'Revised 2021 MFAM(2019 PYAs)'!B$26:B$278,0)),0)</f>
        <v>1578.2338054933571</v>
      </c>
      <c r="M150" s="156">
        <f>IFERROR(INDEX('Revised 2020 MFAM(2018 PYAs)'!AF$26:AF$274,MATCH(B150,'Revised 2020 MFAM(2018 PYAs)'!B$26:B$274,0)),0)</f>
        <v>-19.608703553152736</v>
      </c>
      <c r="N150" s="156">
        <f t="shared" si="29"/>
        <v>-0.16784526007007039</v>
      </c>
      <c r="O150" s="156">
        <f t="shared" si="30"/>
        <v>1558.4572566801342</v>
      </c>
      <c r="P150" s="156"/>
      <c r="Q150" s="161">
        <f t="shared" si="25"/>
        <v>49529.324579955042</v>
      </c>
      <c r="R150" s="162">
        <v>0</v>
      </c>
      <c r="S150" s="163">
        <f t="shared" si="26"/>
        <v>0</v>
      </c>
      <c r="T150" s="156">
        <f t="shared" si="27"/>
        <v>49529.324579955042</v>
      </c>
      <c r="U150" s="90"/>
      <c r="V150" s="161">
        <v>0</v>
      </c>
      <c r="W150" s="156">
        <f t="shared" si="28"/>
        <v>49529.324579955042</v>
      </c>
      <c r="X150" s="90"/>
      <c r="Y150" s="156">
        <f t="shared" si="31"/>
        <v>12382.331144988761</v>
      </c>
      <c r="Z150" s="156">
        <f t="shared" si="31"/>
        <v>12382.331144988761</v>
      </c>
      <c r="AA150" s="156">
        <f t="shared" si="31"/>
        <v>12382.331144988761</v>
      </c>
      <c r="AB150" s="156">
        <f t="shared" si="31"/>
        <v>12382.331144988761</v>
      </c>
    </row>
    <row r="151" spans="2:28" x14ac:dyDescent="0.3">
      <c r="B151" s="17">
        <v>389</v>
      </c>
      <c r="C151" s="137">
        <v>7</v>
      </c>
      <c r="D151" s="138" t="s">
        <v>174</v>
      </c>
      <c r="E151" s="153">
        <v>843.78442490843361</v>
      </c>
      <c r="F151" s="151">
        <v>637409.41</v>
      </c>
      <c r="G151" s="151">
        <v>612</v>
      </c>
      <c r="H151" s="151">
        <f t="shared" si="22"/>
        <v>636797.41</v>
      </c>
      <c r="I151" s="85">
        <f t="shared" si="23"/>
        <v>754.69206494194827</v>
      </c>
      <c r="J151" s="131">
        <f t="shared" si="24"/>
        <v>307072.7600229542</v>
      </c>
      <c r="K151" s="156"/>
      <c r="L151" s="156">
        <f>IFERROR(INDEX('Revised 2021 MFAM(2019 PYAs)'!AD$26:AD$278,MATCH(B151,'Revised 2021 MFAM(2019 PYAs)'!B$26:B$278,0)),0)</f>
        <v>-221.31032358258381</v>
      </c>
      <c r="M151" s="156">
        <f>IFERROR(INDEX('Revised 2020 MFAM(2018 PYAs)'!AF$26:AF$274,MATCH(B151,'Revised 2020 MFAM(2018 PYAs)'!B$26:B$274,0)),0)</f>
        <v>-44.566193532431498</v>
      </c>
      <c r="N151" s="156">
        <f t="shared" si="29"/>
        <v>-1.0744168313479734</v>
      </c>
      <c r="O151" s="156">
        <f t="shared" si="30"/>
        <v>-266.95093394636325</v>
      </c>
      <c r="P151" s="156"/>
      <c r="Q151" s="161">
        <f t="shared" si="25"/>
        <v>306805.80908900785</v>
      </c>
      <c r="R151" s="162">
        <v>0</v>
      </c>
      <c r="S151" s="163">
        <f t="shared" si="26"/>
        <v>0</v>
      </c>
      <c r="T151" s="156">
        <f t="shared" si="27"/>
        <v>306805.80908900785</v>
      </c>
      <c r="U151" s="90"/>
      <c r="V151" s="161">
        <v>0</v>
      </c>
      <c r="W151" s="156">
        <f t="shared" si="28"/>
        <v>306805.80908900785</v>
      </c>
      <c r="X151" s="90"/>
      <c r="Y151" s="156">
        <f t="shared" si="31"/>
        <v>76701.452272251961</v>
      </c>
      <c r="Z151" s="156">
        <f t="shared" si="31"/>
        <v>76701.452272251961</v>
      </c>
      <c r="AA151" s="156">
        <f t="shared" si="31"/>
        <v>76701.452272251961</v>
      </c>
      <c r="AB151" s="156">
        <f t="shared" si="31"/>
        <v>76701.452272251961</v>
      </c>
    </row>
    <row r="152" spans="2:28" x14ac:dyDescent="0.3">
      <c r="B152" s="17">
        <v>434</v>
      </c>
      <c r="C152" s="137">
        <v>7</v>
      </c>
      <c r="D152" s="138" t="s">
        <v>175</v>
      </c>
      <c r="E152" s="153">
        <v>280.52473359432912</v>
      </c>
      <c r="F152" s="151">
        <v>139116.31</v>
      </c>
      <c r="G152" s="151">
        <v>0</v>
      </c>
      <c r="H152" s="151">
        <f t="shared" si="22"/>
        <v>139116.31</v>
      </c>
      <c r="I152" s="85">
        <f t="shared" si="23"/>
        <v>495.91459625509566</v>
      </c>
      <c r="J152" s="131">
        <f t="shared" si="24"/>
        <v>67083.861531266113</v>
      </c>
      <c r="K152" s="156"/>
      <c r="L152" s="156">
        <f>IFERROR(INDEX('Revised 2021 MFAM(2019 PYAs)'!AD$26:AD$278,MATCH(B152,'Revised 2021 MFAM(2019 PYAs)'!B$26:B$278,0)),0)</f>
        <v>-131.58307527297438</v>
      </c>
      <c r="M152" s="156">
        <f>IFERROR(INDEX('Revised 2020 MFAM(2018 PYAs)'!AF$26:AF$274,MATCH(B152,'Revised 2020 MFAM(2018 PYAs)'!B$26:B$274,0)),0)</f>
        <v>-31.268273092224263</v>
      </c>
      <c r="N152" s="156">
        <f t="shared" si="29"/>
        <v>-0.23471971247342599</v>
      </c>
      <c r="O152" s="156">
        <f t="shared" si="30"/>
        <v>-163.08606807767208</v>
      </c>
      <c r="P152" s="156"/>
      <c r="Q152" s="161">
        <f t="shared" si="25"/>
        <v>66920.775463188445</v>
      </c>
      <c r="R152" s="162">
        <v>0</v>
      </c>
      <c r="S152" s="163">
        <f t="shared" si="26"/>
        <v>0</v>
      </c>
      <c r="T152" s="156">
        <f t="shared" si="27"/>
        <v>66920.775463188445</v>
      </c>
      <c r="U152" s="90"/>
      <c r="V152" s="161">
        <v>0</v>
      </c>
      <c r="W152" s="156">
        <f t="shared" si="28"/>
        <v>66920.775463188445</v>
      </c>
      <c r="X152" s="90"/>
      <c r="Y152" s="156">
        <f t="shared" si="31"/>
        <v>16730.193865797111</v>
      </c>
      <c r="Z152" s="156">
        <f t="shared" si="31"/>
        <v>16730.193865797111</v>
      </c>
      <c r="AA152" s="156">
        <f t="shared" si="31"/>
        <v>16730.193865797111</v>
      </c>
      <c r="AB152" s="156">
        <f t="shared" si="31"/>
        <v>16730.193865797111</v>
      </c>
    </row>
    <row r="153" spans="2:28" x14ac:dyDescent="0.3">
      <c r="B153" s="17">
        <v>437</v>
      </c>
      <c r="C153" s="137">
        <v>7</v>
      </c>
      <c r="D153" s="138" t="s">
        <v>176</v>
      </c>
      <c r="E153" s="153">
        <v>361.91078539818926</v>
      </c>
      <c r="F153" s="151">
        <v>249176.09</v>
      </c>
      <c r="G153" s="151">
        <v>0</v>
      </c>
      <c r="H153" s="151">
        <f t="shared" si="22"/>
        <v>249176.09</v>
      </c>
      <c r="I153" s="85">
        <f t="shared" si="23"/>
        <v>688.50142093954491</v>
      </c>
      <c r="J153" s="131">
        <f t="shared" si="24"/>
        <v>120156.2514018831</v>
      </c>
      <c r="K153" s="156"/>
      <c r="L153" s="156">
        <f>IFERROR(INDEX('Revised 2021 MFAM(2019 PYAs)'!AD$26:AD$278,MATCH(B153,'Revised 2021 MFAM(2019 PYAs)'!B$26:B$278,0)),0)</f>
        <v>-941.4402498431009</v>
      </c>
      <c r="M153" s="156">
        <f>IFERROR(INDEX('Revised 2020 MFAM(2018 PYAs)'!AF$26:AF$274,MATCH(B153,'Revised 2020 MFAM(2018 PYAs)'!B$26:B$274,0)),0)</f>
        <v>-55.103400777283241</v>
      </c>
      <c r="N153" s="156">
        <f t="shared" si="29"/>
        <v>-0.42041468897537987</v>
      </c>
      <c r="O153" s="156">
        <f t="shared" si="30"/>
        <v>-996.96406530935951</v>
      </c>
      <c r="P153" s="156"/>
      <c r="Q153" s="161">
        <f t="shared" si="25"/>
        <v>119159.28733657373</v>
      </c>
      <c r="R153" s="162">
        <v>0</v>
      </c>
      <c r="S153" s="163">
        <f t="shared" si="26"/>
        <v>0</v>
      </c>
      <c r="T153" s="156">
        <f t="shared" si="27"/>
        <v>119159.28733657373</v>
      </c>
      <c r="U153" s="90"/>
      <c r="V153" s="161">
        <v>0</v>
      </c>
      <c r="W153" s="156">
        <f t="shared" si="28"/>
        <v>119159.28733657373</v>
      </c>
      <c r="X153" s="90"/>
      <c r="Y153" s="156">
        <f t="shared" si="31"/>
        <v>29789.821834143433</v>
      </c>
      <c r="Z153" s="156">
        <f t="shared" si="31"/>
        <v>29789.821834143433</v>
      </c>
      <c r="AA153" s="156">
        <f t="shared" si="31"/>
        <v>29789.821834143433</v>
      </c>
      <c r="AB153" s="156">
        <f t="shared" si="31"/>
        <v>29789.821834143433</v>
      </c>
    </row>
    <row r="154" spans="2:28" x14ac:dyDescent="0.3">
      <c r="B154" s="17">
        <v>502</v>
      </c>
      <c r="C154" s="137">
        <v>7</v>
      </c>
      <c r="D154" s="138" t="s">
        <v>177</v>
      </c>
      <c r="E154" s="153">
        <v>558.081234097368</v>
      </c>
      <c r="F154" s="151">
        <v>493805.26</v>
      </c>
      <c r="G154" s="151">
        <v>41271.96</v>
      </c>
      <c r="H154" s="151">
        <f t="shared" si="22"/>
        <v>452533.3</v>
      </c>
      <c r="I154" s="85">
        <f t="shared" si="23"/>
        <v>810.8735294278805</v>
      </c>
      <c r="J154" s="131">
        <f t="shared" si="24"/>
        <v>218217.98777934024</v>
      </c>
      <c r="K154" s="156"/>
      <c r="L154" s="156">
        <f>IFERROR(INDEX('Revised 2021 MFAM(2019 PYAs)'!AD$26:AD$278,MATCH(B154,'Revised 2021 MFAM(2019 PYAs)'!B$26:B$278,0)),0)</f>
        <v>-277.59765445927042</v>
      </c>
      <c r="M154" s="156">
        <f>IFERROR(INDEX('Revised 2020 MFAM(2018 PYAs)'!AF$26:AF$274,MATCH(B154,'Revised 2020 MFAM(2018 PYAs)'!B$26:B$274,0)),0)</f>
        <v>-76.67414742015535</v>
      </c>
      <c r="N154" s="156">
        <f t="shared" si="29"/>
        <v>-0.76352288283559733</v>
      </c>
      <c r="O154" s="156">
        <f t="shared" si="30"/>
        <v>-355.03532476226138</v>
      </c>
      <c r="P154" s="156"/>
      <c r="Q154" s="161">
        <f t="shared" si="25"/>
        <v>217862.95245457799</v>
      </c>
      <c r="R154" s="162">
        <v>0</v>
      </c>
      <c r="S154" s="163">
        <f t="shared" si="26"/>
        <v>0</v>
      </c>
      <c r="T154" s="156">
        <f t="shared" si="27"/>
        <v>217862.95245457799</v>
      </c>
      <c r="U154" s="90"/>
      <c r="V154" s="161">
        <v>0</v>
      </c>
      <c r="W154" s="156">
        <f t="shared" si="28"/>
        <v>217862.95245457799</v>
      </c>
      <c r="X154" s="90"/>
      <c r="Y154" s="156">
        <f t="shared" si="31"/>
        <v>54465.738113644496</v>
      </c>
      <c r="Z154" s="156">
        <f t="shared" si="31"/>
        <v>54465.738113644496</v>
      </c>
      <c r="AA154" s="156">
        <f t="shared" si="31"/>
        <v>54465.738113644496</v>
      </c>
      <c r="AB154" s="156">
        <f t="shared" si="31"/>
        <v>54465.738113644496</v>
      </c>
    </row>
    <row r="155" spans="2:28" x14ac:dyDescent="0.3">
      <c r="B155" s="17">
        <v>503</v>
      </c>
      <c r="C155" s="137">
        <v>7</v>
      </c>
      <c r="D155" s="138" t="s">
        <v>178</v>
      </c>
      <c r="E155" s="153">
        <v>419.21999999999997</v>
      </c>
      <c r="F155" s="151">
        <v>225429.69</v>
      </c>
      <c r="G155" s="151">
        <v>32661.7</v>
      </c>
      <c r="H155" s="151">
        <f t="shared" si="22"/>
        <v>192767.99</v>
      </c>
      <c r="I155" s="85">
        <f t="shared" si="23"/>
        <v>459.82536615619483</v>
      </c>
      <c r="J155" s="131">
        <f t="shared" si="24"/>
        <v>92955.464020146101</v>
      </c>
      <c r="K155" s="156"/>
      <c r="L155" s="156">
        <f>IFERROR(INDEX('Revised 2021 MFAM(2019 PYAs)'!AD$26:AD$278,MATCH(B155,'Revised 2021 MFAM(2019 PYAs)'!B$26:B$278,0)),0)</f>
        <v>-192.56156352974358</v>
      </c>
      <c r="M155" s="156">
        <f>IFERROR(INDEX('Revised 2020 MFAM(2018 PYAs)'!AF$26:AF$274,MATCH(B155,'Revised 2020 MFAM(2018 PYAs)'!B$26:B$274,0)),0)</f>
        <v>-39.035324524134921</v>
      </c>
      <c r="N155" s="156">
        <f t="shared" si="29"/>
        <v>-0.32524185831898689</v>
      </c>
      <c r="O155" s="156">
        <f t="shared" si="30"/>
        <v>-231.92212991219748</v>
      </c>
      <c r="P155" s="156"/>
      <c r="Q155" s="161">
        <f t="shared" si="25"/>
        <v>92723.541890233901</v>
      </c>
      <c r="R155" s="162">
        <v>0</v>
      </c>
      <c r="S155" s="163">
        <f t="shared" si="26"/>
        <v>0</v>
      </c>
      <c r="T155" s="156">
        <f t="shared" si="27"/>
        <v>92723.541890233901</v>
      </c>
      <c r="U155" s="90"/>
      <c r="V155" s="161">
        <v>0</v>
      </c>
      <c r="W155" s="156">
        <f t="shared" si="28"/>
        <v>92723.541890233901</v>
      </c>
      <c r="X155" s="90"/>
      <c r="Y155" s="156">
        <f t="shared" si="31"/>
        <v>23180.885472558475</v>
      </c>
      <c r="Z155" s="156">
        <f t="shared" si="31"/>
        <v>23180.885472558475</v>
      </c>
      <c r="AA155" s="156">
        <f t="shared" si="31"/>
        <v>23180.885472558475</v>
      </c>
      <c r="AB155" s="156">
        <f t="shared" si="31"/>
        <v>23180.885472558475</v>
      </c>
    </row>
    <row r="156" spans="2:28" x14ac:dyDescent="0.3">
      <c r="B156" s="17">
        <v>510</v>
      </c>
      <c r="C156" s="137">
        <v>7</v>
      </c>
      <c r="D156" s="138" t="s">
        <v>179</v>
      </c>
      <c r="E156" s="153">
        <v>530.77</v>
      </c>
      <c r="F156" s="151">
        <v>414847.06</v>
      </c>
      <c r="G156" s="151">
        <v>49771.329999999994</v>
      </c>
      <c r="H156" s="151">
        <f t="shared" si="22"/>
        <v>365075.73</v>
      </c>
      <c r="I156" s="85">
        <f t="shared" si="23"/>
        <v>687.82284228573576</v>
      </c>
      <c r="J156" s="131">
        <f t="shared" si="24"/>
        <v>176044.70474918358</v>
      </c>
      <c r="K156" s="156"/>
      <c r="L156" s="156">
        <f>IFERROR(INDEX('Revised 2021 MFAM(2019 PYAs)'!AD$26:AD$278,MATCH(B156,'Revised 2021 MFAM(2019 PYAs)'!B$26:B$278,0)),0)</f>
        <v>6746.1896297086205</v>
      </c>
      <c r="M156" s="156">
        <f>IFERROR(INDEX('Revised 2020 MFAM(2018 PYAs)'!AF$26:AF$274,MATCH(B156,'Revised 2020 MFAM(2018 PYAs)'!B$26:B$274,0)),0)</f>
        <v>-56.127665036852704</v>
      </c>
      <c r="N156" s="156">
        <f t="shared" si="29"/>
        <v>-0.61596278952932337</v>
      </c>
      <c r="O156" s="156">
        <f t="shared" si="30"/>
        <v>6689.4460018822383</v>
      </c>
      <c r="P156" s="156"/>
      <c r="Q156" s="161">
        <f t="shared" si="25"/>
        <v>182734.15075106581</v>
      </c>
      <c r="R156" s="162">
        <v>0</v>
      </c>
      <c r="S156" s="163">
        <f t="shared" si="26"/>
        <v>0</v>
      </c>
      <c r="T156" s="156">
        <f t="shared" si="27"/>
        <v>182734.15075106581</v>
      </c>
      <c r="U156" s="90"/>
      <c r="V156" s="161">
        <v>0</v>
      </c>
      <c r="W156" s="156">
        <f t="shared" si="28"/>
        <v>182734.15075106581</v>
      </c>
      <c r="X156" s="90"/>
      <c r="Y156" s="156">
        <f t="shared" si="31"/>
        <v>45683.537687766453</v>
      </c>
      <c r="Z156" s="156">
        <f t="shared" si="31"/>
        <v>45683.537687766453</v>
      </c>
      <c r="AA156" s="156">
        <f t="shared" si="31"/>
        <v>45683.537687766453</v>
      </c>
      <c r="AB156" s="156">
        <f t="shared" si="31"/>
        <v>45683.537687766453</v>
      </c>
    </row>
    <row r="157" spans="2:28" x14ac:dyDescent="0.3">
      <c r="B157" s="17">
        <v>531</v>
      </c>
      <c r="C157" s="137">
        <v>7</v>
      </c>
      <c r="D157" s="138" t="s">
        <v>180</v>
      </c>
      <c r="E157" s="153">
        <v>1846.9199999999998</v>
      </c>
      <c r="F157" s="151">
        <v>626860.81000000006</v>
      </c>
      <c r="G157" s="151">
        <v>4289.12</v>
      </c>
      <c r="H157" s="151">
        <f t="shared" si="22"/>
        <v>622571.69000000006</v>
      </c>
      <c r="I157" s="85">
        <f t="shared" si="23"/>
        <v>337.08644121023116</v>
      </c>
      <c r="J157" s="131">
        <f t="shared" si="24"/>
        <v>300212.91569080821</v>
      </c>
      <c r="K157" s="156"/>
      <c r="L157" s="156">
        <f>IFERROR(INDEX('Revised 2021 MFAM(2019 PYAs)'!AD$26:AD$278,MATCH(B157,'Revised 2021 MFAM(2019 PYAs)'!B$26:B$278,0)),0)</f>
        <v>-751.98472852708073</v>
      </c>
      <c r="M157" s="156">
        <f>IFERROR(INDEX('Revised 2020 MFAM(2018 PYAs)'!AF$26:AF$274,MATCH(B157,'Revised 2020 MFAM(2018 PYAs)'!B$26:B$274,0)),0)</f>
        <v>-167.41075051977532</v>
      </c>
      <c r="N157" s="156">
        <f t="shared" si="29"/>
        <v>-1.0504149231020785</v>
      </c>
      <c r="O157" s="156">
        <f t="shared" si="30"/>
        <v>-920.44589396995809</v>
      </c>
      <c r="P157" s="156"/>
      <c r="Q157" s="161">
        <f t="shared" si="25"/>
        <v>299292.46979683824</v>
      </c>
      <c r="R157" s="162">
        <v>0</v>
      </c>
      <c r="S157" s="163">
        <f t="shared" si="26"/>
        <v>0</v>
      </c>
      <c r="T157" s="156">
        <f t="shared" si="27"/>
        <v>299292.46979683824</v>
      </c>
      <c r="U157" s="90"/>
      <c r="V157" s="161">
        <v>0</v>
      </c>
      <c r="W157" s="156">
        <f t="shared" si="28"/>
        <v>299292.46979683824</v>
      </c>
      <c r="X157" s="90"/>
      <c r="Y157" s="156">
        <f t="shared" si="31"/>
        <v>74823.11744920956</v>
      </c>
      <c r="Z157" s="156">
        <f t="shared" si="31"/>
        <v>74823.11744920956</v>
      </c>
      <c r="AA157" s="156">
        <f t="shared" si="31"/>
        <v>74823.11744920956</v>
      </c>
      <c r="AB157" s="156">
        <f t="shared" si="31"/>
        <v>74823.11744920956</v>
      </c>
    </row>
    <row r="158" spans="2:28" x14ac:dyDescent="0.3">
      <c r="B158" s="17">
        <v>550</v>
      </c>
      <c r="C158" s="137">
        <v>7</v>
      </c>
      <c r="D158" s="138" t="s">
        <v>181</v>
      </c>
      <c r="E158" s="153">
        <v>299.51</v>
      </c>
      <c r="F158" s="151">
        <v>465069.58</v>
      </c>
      <c r="G158" s="151">
        <v>799.83</v>
      </c>
      <c r="H158" s="151">
        <f t="shared" si="22"/>
        <v>464269.75</v>
      </c>
      <c r="I158" s="85">
        <f t="shared" si="23"/>
        <v>1550.097659510534</v>
      </c>
      <c r="J158" s="131">
        <f t="shared" si="24"/>
        <v>223877.47074484322</v>
      </c>
      <c r="K158" s="156"/>
      <c r="L158" s="156">
        <f>IFERROR(INDEX('Revised 2021 MFAM(2019 PYAs)'!AD$26:AD$278,MATCH(B158,'Revised 2021 MFAM(2019 PYAs)'!B$26:B$278,0)),0)</f>
        <v>-233.08404810036882</v>
      </c>
      <c r="M158" s="156">
        <f>IFERROR(INDEX('Revised 2020 MFAM(2018 PYAs)'!AF$26:AF$274,MATCH(B158,'Revised 2020 MFAM(2018 PYAs)'!B$26:B$274,0)),0)</f>
        <v>-56.282845166628249</v>
      </c>
      <c r="N158" s="156">
        <f t="shared" si="29"/>
        <v>-0.78332484688610116</v>
      </c>
      <c r="O158" s="156">
        <f t="shared" si="30"/>
        <v>-290.15021811388317</v>
      </c>
      <c r="P158" s="156"/>
      <c r="Q158" s="161">
        <f t="shared" si="25"/>
        <v>223587.32052672934</v>
      </c>
      <c r="R158" s="162">
        <v>0</v>
      </c>
      <c r="S158" s="163">
        <f t="shared" si="26"/>
        <v>0</v>
      </c>
      <c r="T158" s="156">
        <f t="shared" si="27"/>
        <v>223587.32052672934</v>
      </c>
      <c r="U158" s="90"/>
      <c r="V158" s="161">
        <v>0</v>
      </c>
      <c r="W158" s="156">
        <f t="shared" si="28"/>
        <v>223587.32052672934</v>
      </c>
      <c r="X158" s="90"/>
      <c r="Y158" s="156">
        <f t="shared" si="31"/>
        <v>55896.830131682334</v>
      </c>
      <c r="Z158" s="156">
        <f t="shared" si="31"/>
        <v>55896.830131682334</v>
      </c>
      <c r="AA158" s="156">
        <f t="shared" si="31"/>
        <v>55896.830131682334</v>
      </c>
      <c r="AB158" s="156">
        <f t="shared" si="31"/>
        <v>55896.830131682334</v>
      </c>
    </row>
    <row r="159" spans="2:28" x14ac:dyDescent="0.3">
      <c r="B159" s="17">
        <v>551</v>
      </c>
      <c r="C159" s="137">
        <v>7</v>
      </c>
      <c r="D159" s="138" t="s">
        <v>182</v>
      </c>
      <c r="E159" s="153">
        <v>168.57265257450149</v>
      </c>
      <c r="F159" s="151">
        <v>198834.28</v>
      </c>
      <c r="G159" s="151">
        <v>0</v>
      </c>
      <c r="H159" s="151">
        <f t="shared" si="22"/>
        <v>198834.28</v>
      </c>
      <c r="I159" s="85">
        <f t="shared" si="23"/>
        <v>1179.5168253173465</v>
      </c>
      <c r="J159" s="131">
        <f t="shared" si="24"/>
        <v>95880.715260410492</v>
      </c>
      <c r="K159" s="156"/>
      <c r="L159" s="156">
        <f>IFERROR(INDEX('Revised 2021 MFAM(2019 PYAs)'!AD$26:AD$278,MATCH(B159,'Revised 2021 MFAM(2019 PYAs)'!B$26:B$278,0)),0)</f>
        <v>-111.19924143012759</v>
      </c>
      <c r="M159" s="156">
        <f>IFERROR(INDEX('Revised 2020 MFAM(2018 PYAs)'!AF$26:AF$274,MATCH(B159,'Revised 2020 MFAM(2018 PYAs)'!B$26:B$274,0)),0)</f>
        <v>-21.528678300812317</v>
      </c>
      <c r="N159" s="156">
        <f t="shared" si="29"/>
        <v>-0.33547701941965458</v>
      </c>
      <c r="O159" s="156">
        <f t="shared" si="30"/>
        <v>-133.06339675035954</v>
      </c>
      <c r="P159" s="156"/>
      <c r="Q159" s="161">
        <f t="shared" si="25"/>
        <v>95747.651863660139</v>
      </c>
      <c r="R159" s="162">
        <v>0</v>
      </c>
      <c r="S159" s="163">
        <f t="shared" si="26"/>
        <v>0</v>
      </c>
      <c r="T159" s="156">
        <f t="shared" si="27"/>
        <v>95747.651863660139</v>
      </c>
      <c r="U159" s="90"/>
      <c r="V159" s="161">
        <v>0</v>
      </c>
      <c r="W159" s="156">
        <f t="shared" si="28"/>
        <v>95747.651863660139</v>
      </c>
      <c r="X159" s="90"/>
      <c r="Y159" s="156">
        <f t="shared" si="31"/>
        <v>23936.912965915035</v>
      </c>
      <c r="Z159" s="156">
        <f t="shared" si="31"/>
        <v>23936.912965915035</v>
      </c>
      <c r="AA159" s="156">
        <f t="shared" si="31"/>
        <v>23936.912965915035</v>
      </c>
      <c r="AB159" s="156">
        <f t="shared" si="31"/>
        <v>23936.912965915035</v>
      </c>
    </row>
    <row r="160" spans="2:28" x14ac:dyDescent="0.3">
      <c r="B160" s="17">
        <v>555</v>
      </c>
      <c r="C160" s="137">
        <v>7</v>
      </c>
      <c r="D160" s="138" t="s">
        <v>183</v>
      </c>
      <c r="E160" s="153">
        <v>681.19804882222115</v>
      </c>
      <c r="F160" s="151">
        <v>581748.55000000005</v>
      </c>
      <c r="G160" s="151">
        <v>331.81</v>
      </c>
      <c r="H160" s="151">
        <f t="shared" si="22"/>
        <v>581416.74</v>
      </c>
      <c r="I160" s="85">
        <f t="shared" si="23"/>
        <v>853.52085345114949</v>
      </c>
      <c r="J160" s="131">
        <f t="shared" si="24"/>
        <v>280367.41398704547</v>
      </c>
      <c r="K160" s="156"/>
      <c r="L160" s="156">
        <f>IFERROR(INDEX('Revised 2021 MFAM(2019 PYAs)'!AD$26:AD$278,MATCH(B160,'Revised 2021 MFAM(2019 PYAs)'!B$26:B$278,0)),0)</f>
        <v>-1689.7687583611696</v>
      </c>
      <c r="M160" s="156">
        <f>IFERROR(INDEX('Revised 2020 MFAM(2018 PYAs)'!AF$26:AF$274,MATCH(B160,'Revised 2020 MFAM(2018 PYAs)'!B$26:B$274,0)),0)</f>
        <v>-129.81344004717539</v>
      </c>
      <c r="N160" s="156">
        <f t="shared" si="29"/>
        <v>-0.98097750033793085</v>
      </c>
      <c r="O160" s="156">
        <f t="shared" si="30"/>
        <v>-1820.563175908683</v>
      </c>
      <c r="P160" s="156"/>
      <c r="Q160" s="161">
        <f t="shared" si="25"/>
        <v>278546.85081113677</v>
      </c>
      <c r="R160" s="162">
        <v>0</v>
      </c>
      <c r="S160" s="163">
        <f t="shared" si="26"/>
        <v>0</v>
      </c>
      <c r="T160" s="156">
        <f t="shared" si="27"/>
        <v>278546.85081113677</v>
      </c>
      <c r="U160" s="90"/>
      <c r="V160" s="161">
        <v>0</v>
      </c>
      <c r="W160" s="156">
        <f t="shared" si="28"/>
        <v>278546.85081113677</v>
      </c>
      <c r="X160" s="90"/>
      <c r="Y160" s="156">
        <f t="shared" si="31"/>
        <v>69636.712702784193</v>
      </c>
      <c r="Z160" s="156">
        <f t="shared" si="31"/>
        <v>69636.712702784193</v>
      </c>
      <c r="AA160" s="156">
        <f t="shared" si="31"/>
        <v>69636.712702784193</v>
      </c>
      <c r="AB160" s="156">
        <f t="shared" si="31"/>
        <v>69636.712702784193</v>
      </c>
    </row>
    <row r="161" spans="2:28" x14ac:dyDescent="0.3">
      <c r="B161" s="17">
        <v>556</v>
      </c>
      <c r="C161" s="137">
        <v>7</v>
      </c>
      <c r="D161" s="138" t="s">
        <v>184</v>
      </c>
      <c r="E161" s="153">
        <v>419.35467175147664</v>
      </c>
      <c r="F161" s="151">
        <v>333429.65999999997</v>
      </c>
      <c r="G161" s="151">
        <v>417.72</v>
      </c>
      <c r="H161" s="151">
        <f t="shared" si="22"/>
        <v>333011.94</v>
      </c>
      <c r="I161" s="85">
        <f t="shared" si="23"/>
        <v>794.10571154279125</v>
      </c>
      <c r="J161" s="131">
        <f t="shared" si="24"/>
        <v>160583.08958322933</v>
      </c>
      <c r="K161" s="156"/>
      <c r="L161" s="156">
        <f>IFERROR(INDEX('Revised 2021 MFAM(2019 PYAs)'!AD$26:AD$278,MATCH(B161,'Revised 2021 MFAM(2019 PYAs)'!B$26:B$278,0)),0)</f>
        <v>-198.80204961112759</v>
      </c>
      <c r="M161" s="156">
        <f>IFERROR(INDEX('Revised 2020 MFAM(2018 PYAs)'!AF$26:AF$274,MATCH(B161,'Revised 2020 MFAM(2018 PYAs)'!B$26:B$274,0)),0)</f>
        <v>-38.563057995976123</v>
      </c>
      <c r="N161" s="156">
        <f t="shared" si="29"/>
        <v>-0.56186414667710638</v>
      </c>
      <c r="O161" s="156">
        <f t="shared" si="30"/>
        <v>-237.9269717537808</v>
      </c>
      <c r="P161" s="156"/>
      <c r="Q161" s="161">
        <f t="shared" si="25"/>
        <v>160345.16261147556</v>
      </c>
      <c r="R161" s="162">
        <v>0</v>
      </c>
      <c r="S161" s="163">
        <f t="shared" si="26"/>
        <v>0</v>
      </c>
      <c r="T161" s="156">
        <f t="shared" si="27"/>
        <v>160345.16261147556</v>
      </c>
      <c r="U161" s="90"/>
      <c r="V161" s="161">
        <v>0</v>
      </c>
      <c r="W161" s="156">
        <f t="shared" si="28"/>
        <v>160345.16261147556</v>
      </c>
      <c r="X161" s="90"/>
      <c r="Y161" s="156">
        <f t="shared" si="31"/>
        <v>40086.290652868891</v>
      </c>
      <c r="Z161" s="156">
        <f t="shared" si="31"/>
        <v>40086.290652868891</v>
      </c>
      <c r="AA161" s="156">
        <f t="shared" si="31"/>
        <v>40086.290652868891</v>
      </c>
      <c r="AB161" s="156">
        <f t="shared" si="31"/>
        <v>40086.290652868891</v>
      </c>
    </row>
    <row r="162" spans="2:28" x14ac:dyDescent="0.3">
      <c r="B162" s="17">
        <v>558</v>
      </c>
      <c r="C162" s="137">
        <v>7</v>
      </c>
      <c r="D162" s="138" t="s">
        <v>185</v>
      </c>
      <c r="E162" s="153">
        <v>420.7794699722358</v>
      </c>
      <c r="F162" s="151">
        <v>566834.79</v>
      </c>
      <c r="G162" s="151">
        <v>0</v>
      </c>
      <c r="H162" s="151">
        <f t="shared" si="22"/>
        <v>566834.79</v>
      </c>
      <c r="I162" s="85">
        <f t="shared" si="23"/>
        <v>1347.1065735155789</v>
      </c>
      <c r="J162" s="131">
        <f t="shared" si="24"/>
        <v>273335.79048685456</v>
      </c>
      <c r="K162" s="156"/>
      <c r="L162" s="156">
        <f>IFERROR(INDEX('Revised 2021 MFAM(2019 PYAs)'!AD$26:AD$278,MATCH(B162,'Revised 2021 MFAM(2019 PYAs)'!B$26:B$278,0)),0)</f>
        <v>-217.53364001972659</v>
      </c>
      <c r="M162" s="156">
        <f>IFERROR(INDEX('Revised 2020 MFAM(2018 PYAs)'!AF$26:AF$274,MATCH(B162,'Revised 2020 MFAM(2018 PYAs)'!B$26:B$274,0)),0)</f>
        <v>-48.888310794645804</v>
      </c>
      <c r="N162" s="156">
        <f t="shared" si="29"/>
        <v>-0.9563745539882047</v>
      </c>
      <c r="O162" s="156">
        <f t="shared" si="30"/>
        <v>-267.37832536836061</v>
      </c>
      <c r="P162" s="156"/>
      <c r="Q162" s="161">
        <f t="shared" si="25"/>
        <v>273068.41216148622</v>
      </c>
      <c r="R162" s="162">
        <v>0</v>
      </c>
      <c r="S162" s="163">
        <f t="shared" si="26"/>
        <v>0</v>
      </c>
      <c r="T162" s="156">
        <f t="shared" si="27"/>
        <v>273068.41216148622</v>
      </c>
      <c r="U162" s="90"/>
      <c r="V162" s="161">
        <v>0</v>
      </c>
      <c r="W162" s="156">
        <f t="shared" si="28"/>
        <v>273068.41216148622</v>
      </c>
      <c r="X162" s="90"/>
      <c r="Y162" s="156">
        <f t="shared" si="31"/>
        <v>68267.103040371556</v>
      </c>
      <c r="Z162" s="156">
        <f t="shared" si="31"/>
        <v>68267.103040371556</v>
      </c>
      <c r="AA162" s="156">
        <f t="shared" si="31"/>
        <v>68267.103040371556</v>
      </c>
      <c r="AB162" s="156">
        <f t="shared" si="31"/>
        <v>68267.103040371556</v>
      </c>
    </row>
    <row r="163" spans="2:28" x14ac:dyDescent="0.3">
      <c r="B163" s="17">
        <v>600</v>
      </c>
      <c r="C163" s="137">
        <v>7</v>
      </c>
      <c r="D163" s="138" t="s">
        <v>186</v>
      </c>
      <c r="E163" s="153">
        <v>704.76</v>
      </c>
      <c r="F163" s="151">
        <v>327027.7</v>
      </c>
      <c r="G163" s="151">
        <v>0</v>
      </c>
      <c r="H163" s="151">
        <f t="shared" si="22"/>
        <v>327027.7</v>
      </c>
      <c r="I163" s="85">
        <f t="shared" si="23"/>
        <v>464.0270446676883</v>
      </c>
      <c r="J163" s="131">
        <f t="shared" si="24"/>
        <v>157697.40401889928</v>
      </c>
      <c r="K163" s="156"/>
      <c r="L163" s="156">
        <f>IFERROR(INDEX('Revised 2021 MFAM(2019 PYAs)'!AD$26:AD$278,MATCH(B163,'Revised 2021 MFAM(2019 PYAs)'!B$26:B$278,0)),0)</f>
        <v>-332.23282570997253</v>
      </c>
      <c r="M163" s="156">
        <f>IFERROR(INDEX('Revised 2020 MFAM(2018 PYAs)'!AF$26:AF$274,MATCH(B163,'Revised 2020 MFAM(2018 PYAs)'!B$26:B$274,0)),0)</f>
        <v>-67.523641054809559</v>
      </c>
      <c r="N163" s="156">
        <f t="shared" si="29"/>
        <v>-0.55176742191369099</v>
      </c>
      <c r="O163" s="156">
        <f t="shared" si="30"/>
        <v>-400.30823418669576</v>
      </c>
      <c r="P163" s="156"/>
      <c r="Q163" s="161">
        <f t="shared" si="25"/>
        <v>157297.09578471258</v>
      </c>
      <c r="R163" s="162">
        <v>0</v>
      </c>
      <c r="S163" s="163">
        <f t="shared" si="26"/>
        <v>0</v>
      </c>
      <c r="T163" s="156">
        <f t="shared" si="27"/>
        <v>157297.09578471258</v>
      </c>
      <c r="U163" s="90"/>
      <c r="V163" s="161">
        <v>0</v>
      </c>
      <c r="W163" s="156">
        <f t="shared" si="28"/>
        <v>157297.09578471258</v>
      </c>
      <c r="X163" s="90"/>
      <c r="Y163" s="156">
        <f t="shared" si="31"/>
        <v>39324.273946178146</v>
      </c>
      <c r="Z163" s="156">
        <f t="shared" si="31"/>
        <v>39324.273946178146</v>
      </c>
      <c r="AA163" s="156">
        <f t="shared" si="31"/>
        <v>39324.273946178146</v>
      </c>
      <c r="AB163" s="156">
        <f t="shared" si="31"/>
        <v>39324.273946178146</v>
      </c>
    </row>
    <row r="164" spans="2:28" x14ac:dyDescent="0.3">
      <c r="B164" s="17">
        <v>604</v>
      </c>
      <c r="C164" s="137">
        <v>7</v>
      </c>
      <c r="D164" s="138" t="s">
        <v>187</v>
      </c>
      <c r="E164" s="153">
        <v>546.2846059247853</v>
      </c>
      <c r="F164" s="151">
        <v>221760.71</v>
      </c>
      <c r="G164" s="151">
        <v>440</v>
      </c>
      <c r="H164" s="151">
        <f t="shared" si="22"/>
        <v>221320.71</v>
      </c>
      <c r="I164" s="85">
        <f t="shared" si="23"/>
        <v>405.13810493585891</v>
      </c>
      <c r="J164" s="131">
        <f t="shared" si="24"/>
        <v>106723.9913396316</v>
      </c>
      <c r="K164" s="156"/>
      <c r="L164" s="156">
        <f>IFERROR(INDEX('Revised 2021 MFAM(2019 PYAs)'!AD$26:AD$278,MATCH(B164,'Revised 2021 MFAM(2019 PYAs)'!B$26:B$278,0)),0)</f>
        <v>-233.68078936592792</v>
      </c>
      <c r="M164" s="156">
        <f>IFERROR(INDEX('Revised 2020 MFAM(2018 PYAs)'!AF$26:AF$274,MATCH(B164,'Revised 2020 MFAM(2018 PYAs)'!B$26:B$274,0)),0)</f>
        <v>-54.416522414147039</v>
      </c>
      <c r="N164" s="156">
        <f t="shared" si="29"/>
        <v>-0.37341655637368831</v>
      </c>
      <c r="O164" s="156">
        <f t="shared" si="30"/>
        <v>-288.47072833644864</v>
      </c>
      <c r="P164" s="156"/>
      <c r="Q164" s="161">
        <f t="shared" si="25"/>
        <v>106435.52061129514</v>
      </c>
      <c r="R164" s="162">
        <v>0</v>
      </c>
      <c r="S164" s="163">
        <f t="shared" si="26"/>
        <v>0</v>
      </c>
      <c r="T164" s="156">
        <f t="shared" si="27"/>
        <v>106435.52061129514</v>
      </c>
      <c r="U164" s="90"/>
      <c r="V164" s="161">
        <v>0</v>
      </c>
      <c r="W164" s="156">
        <f t="shared" si="28"/>
        <v>106435.52061129514</v>
      </c>
      <c r="X164" s="90"/>
      <c r="Y164" s="156">
        <f t="shared" si="31"/>
        <v>26608.880152823785</v>
      </c>
      <c r="Z164" s="156">
        <f t="shared" si="31"/>
        <v>26608.880152823785</v>
      </c>
      <c r="AA164" s="156">
        <f t="shared" si="31"/>
        <v>26608.880152823785</v>
      </c>
      <c r="AB164" s="156">
        <f t="shared" si="31"/>
        <v>26608.880152823785</v>
      </c>
    </row>
    <row r="165" spans="2:28" x14ac:dyDescent="0.3">
      <c r="B165" s="17">
        <v>612</v>
      </c>
      <c r="C165" s="137">
        <v>7</v>
      </c>
      <c r="D165" s="138" t="s">
        <v>188</v>
      </c>
      <c r="E165" s="153">
        <v>465.08168418311266</v>
      </c>
      <c r="F165" s="151">
        <v>335060.58</v>
      </c>
      <c r="G165" s="151">
        <v>6380.83</v>
      </c>
      <c r="H165" s="151">
        <f t="shared" si="22"/>
        <v>328679.75</v>
      </c>
      <c r="I165" s="85">
        <f t="shared" si="23"/>
        <v>706.714027187086</v>
      </c>
      <c r="J165" s="131">
        <f t="shared" si="24"/>
        <v>158494.04600460696</v>
      </c>
      <c r="K165" s="156"/>
      <c r="L165" s="156">
        <f>IFERROR(INDEX('Revised 2021 MFAM(2019 PYAs)'!AD$26:AD$278,MATCH(B165,'Revised 2021 MFAM(2019 PYAs)'!B$26:B$278,0)),0)</f>
        <v>-311.41805601284432</v>
      </c>
      <c r="M165" s="156">
        <f>IFERROR(INDEX('Revised 2020 MFAM(2018 PYAs)'!AF$26:AF$274,MATCH(B165,'Revised 2020 MFAM(2018 PYAs)'!B$26:B$274,0)),0)</f>
        <v>80.910386174728046</v>
      </c>
      <c r="N165" s="156">
        <f t="shared" si="29"/>
        <v>-0.55455479243115013</v>
      </c>
      <c r="O165" s="156">
        <f t="shared" si="30"/>
        <v>-231.06222463054743</v>
      </c>
      <c r="P165" s="156"/>
      <c r="Q165" s="161">
        <f t="shared" si="25"/>
        <v>158262.98377997641</v>
      </c>
      <c r="R165" s="162">
        <v>0</v>
      </c>
      <c r="S165" s="163">
        <f t="shared" si="26"/>
        <v>0</v>
      </c>
      <c r="T165" s="156">
        <f t="shared" si="27"/>
        <v>158262.98377997641</v>
      </c>
      <c r="U165" s="90"/>
      <c r="V165" s="161">
        <v>3173.6639999999998</v>
      </c>
      <c r="W165" s="156">
        <f t="shared" si="28"/>
        <v>161436.6477799764</v>
      </c>
      <c r="X165" s="90"/>
      <c r="Y165" s="156">
        <f t="shared" si="31"/>
        <v>40359.161944994099</v>
      </c>
      <c r="Z165" s="156">
        <f t="shared" si="31"/>
        <v>40359.161944994099</v>
      </c>
      <c r="AA165" s="156">
        <f t="shared" si="31"/>
        <v>40359.161944994099</v>
      </c>
      <c r="AB165" s="156">
        <f t="shared" si="31"/>
        <v>40359.161944994099</v>
      </c>
    </row>
    <row r="166" spans="2:28" x14ac:dyDescent="0.3">
      <c r="B166" s="17">
        <v>635</v>
      </c>
      <c r="C166" s="137">
        <v>7</v>
      </c>
      <c r="D166" s="138" t="s">
        <v>293</v>
      </c>
      <c r="E166" s="153">
        <v>57.509999999999991</v>
      </c>
      <c r="F166" s="151">
        <v>38441.699999999997</v>
      </c>
      <c r="G166" s="151">
        <v>0</v>
      </c>
      <c r="H166" s="151">
        <f t="shared" si="22"/>
        <v>38441.699999999997</v>
      </c>
      <c r="I166" s="85">
        <f t="shared" si="23"/>
        <v>668.43505477308304</v>
      </c>
      <c r="J166" s="131">
        <f t="shared" si="24"/>
        <v>18537.133998353409</v>
      </c>
      <c r="K166" s="156"/>
      <c r="L166" s="156">
        <f>IFERROR(INDEX('Revised 2021 MFAM(2019 PYAs)'!AD$26:AD$278,MATCH(B166,'Revised 2021 MFAM(2019 PYAs)'!B$26:B$278,0)),0)</f>
        <v>-36.352917699241516</v>
      </c>
      <c r="M166" s="156">
        <f>IFERROR(INDEX('Revised 2020 MFAM(2018 PYAs)'!AF$26:AF$274,MATCH(B166,'Revised 2020 MFAM(2018 PYAs)'!B$26:B$274,0)),0)</f>
        <v>-8.3956851221882971</v>
      </c>
      <c r="N166" s="156">
        <f t="shared" si="29"/>
        <v>-6.4859575207175196E-2</v>
      </c>
      <c r="O166" s="156">
        <f t="shared" si="30"/>
        <v>-44.813462396636986</v>
      </c>
      <c r="P166" s="156"/>
      <c r="Q166" s="161">
        <f t="shared" si="25"/>
        <v>18492.320535956773</v>
      </c>
      <c r="R166" s="162">
        <v>0</v>
      </c>
      <c r="S166" s="163">
        <f t="shared" si="26"/>
        <v>0</v>
      </c>
      <c r="T166" s="156">
        <f t="shared" si="27"/>
        <v>18492.320535956773</v>
      </c>
      <c r="U166" s="90"/>
      <c r="V166" s="161">
        <v>0</v>
      </c>
      <c r="W166" s="156">
        <f t="shared" si="28"/>
        <v>18492.320535956773</v>
      </c>
      <c r="X166" s="90"/>
      <c r="Y166" s="156">
        <f t="shared" si="31"/>
        <v>4623.0801339891932</v>
      </c>
      <c r="Z166" s="156">
        <f t="shared" si="31"/>
        <v>4623.0801339891932</v>
      </c>
      <c r="AA166" s="156">
        <f t="shared" si="31"/>
        <v>4623.0801339891932</v>
      </c>
      <c r="AB166" s="156">
        <f t="shared" si="31"/>
        <v>4623.0801339891932</v>
      </c>
    </row>
    <row r="167" spans="2:28" x14ac:dyDescent="0.3">
      <c r="B167" s="17">
        <v>642</v>
      </c>
      <c r="C167" s="137">
        <v>7</v>
      </c>
      <c r="D167" s="138" t="s">
        <v>310</v>
      </c>
      <c r="E167" s="153">
        <v>110.85473097754361</v>
      </c>
      <c r="F167" s="151">
        <v>77168.75</v>
      </c>
      <c r="G167" s="151">
        <v>0</v>
      </c>
      <c r="H167" s="151">
        <f t="shared" si="22"/>
        <v>77168.75</v>
      </c>
      <c r="I167" s="85">
        <f t="shared" si="23"/>
        <v>696.12500359260673</v>
      </c>
      <c r="J167" s="131">
        <f t="shared" si="24"/>
        <v>37211.867821543659</v>
      </c>
      <c r="K167" s="156"/>
      <c r="L167" s="156">
        <f>IFERROR(INDEX('Revised 2021 MFAM(2019 PYAs)'!AD$26:AD$278,MATCH(B167,'Revised 2021 MFAM(2019 PYAs)'!B$26:B$278,0)),0)</f>
        <v>2803.2944451695439</v>
      </c>
      <c r="M167" s="156">
        <f>IFERROR(INDEX('Revised 2020 MFAM(2018 PYAs)'!AF$26:AF$274,MATCH(B167,'Revised 2020 MFAM(2018 PYAs)'!B$26:B$274,0)),0)</f>
        <v>0</v>
      </c>
      <c r="N167" s="156">
        <f t="shared" si="29"/>
        <v>-0.13020059841965109</v>
      </c>
      <c r="O167" s="156">
        <f t="shared" si="30"/>
        <v>2803.1642445711241</v>
      </c>
      <c r="P167" s="156"/>
      <c r="Q167" s="161">
        <f t="shared" si="25"/>
        <v>40015.032066114785</v>
      </c>
      <c r="R167" s="162">
        <v>0</v>
      </c>
      <c r="S167" s="163">
        <f t="shared" si="26"/>
        <v>0</v>
      </c>
      <c r="T167" s="156">
        <f t="shared" si="27"/>
        <v>40015.032066114785</v>
      </c>
      <c r="U167" s="90"/>
      <c r="V167" s="161">
        <v>0</v>
      </c>
      <c r="W167" s="156">
        <f t="shared" si="28"/>
        <v>40015.032066114785</v>
      </c>
      <c r="X167" s="90"/>
      <c r="Y167" s="156">
        <f t="shared" si="31"/>
        <v>10003.758016528696</v>
      </c>
      <c r="Z167" s="156">
        <f t="shared" si="31"/>
        <v>10003.758016528696</v>
      </c>
      <c r="AA167" s="156">
        <f t="shared" si="31"/>
        <v>10003.758016528696</v>
      </c>
      <c r="AB167" s="156">
        <f t="shared" si="31"/>
        <v>10003.758016528696</v>
      </c>
    </row>
    <row r="168" spans="2:28" x14ac:dyDescent="0.3">
      <c r="B168" s="17">
        <v>643</v>
      </c>
      <c r="C168" s="137">
        <v>7</v>
      </c>
      <c r="D168" s="138" t="s">
        <v>311</v>
      </c>
      <c r="E168" s="153">
        <v>6.900025061560684</v>
      </c>
      <c r="F168" s="151">
        <v>26111.29</v>
      </c>
      <c r="G168" s="151">
        <v>0</v>
      </c>
      <c r="H168" s="151">
        <f t="shared" si="22"/>
        <v>26111.29</v>
      </c>
      <c r="I168" s="85">
        <f t="shared" si="23"/>
        <v>3784.2311827913873</v>
      </c>
      <c r="J168" s="131">
        <f t="shared" si="24"/>
        <v>12591.235080651102</v>
      </c>
      <c r="K168" s="156"/>
      <c r="L168" s="156">
        <f>IFERROR(INDEX('Revised 2021 MFAM(2019 PYAs)'!AD$26:AD$278,MATCH(B168,'Revised 2021 MFAM(2019 PYAs)'!B$26:B$278,0)),0)</f>
        <v>-26.203291239443388</v>
      </c>
      <c r="M168" s="156">
        <f>IFERROR(INDEX('Revised 2020 MFAM(2018 PYAs)'!AF$26:AF$274,MATCH(B168,'Revised 2020 MFAM(2018 PYAs)'!B$26:B$274,0)),0)</f>
        <v>0</v>
      </c>
      <c r="N168" s="156">
        <f t="shared" si="29"/>
        <v>-4.4055470426941634E-2</v>
      </c>
      <c r="O168" s="156">
        <f t="shared" si="30"/>
        <v>-26.247346709870328</v>
      </c>
      <c r="P168" s="156"/>
      <c r="Q168" s="161">
        <f t="shared" si="25"/>
        <v>12564.987733941232</v>
      </c>
      <c r="R168" s="162">
        <v>0</v>
      </c>
      <c r="S168" s="163">
        <f t="shared" si="26"/>
        <v>0</v>
      </c>
      <c r="T168" s="156">
        <f t="shared" si="27"/>
        <v>12564.987733941232</v>
      </c>
      <c r="U168" s="90"/>
      <c r="V168" s="161">
        <v>0</v>
      </c>
      <c r="W168" s="156">
        <f t="shared" si="28"/>
        <v>12564.987733941232</v>
      </c>
      <c r="X168" s="90"/>
      <c r="Y168" s="156">
        <f t="shared" si="31"/>
        <v>3141.2469334853081</v>
      </c>
      <c r="Z168" s="156">
        <f t="shared" si="31"/>
        <v>3141.2469334853081</v>
      </c>
      <c r="AA168" s="156">
        <f t="shared" si="31"/>
        <v>3141.2469334853081</v>
      </c>
      <c r="AB168" s="156">
        <f t="shared" si="31"/>
        <v>3141.2469334853081</v>
      </c>
    </row>
    <row r="169" spans="2:28" x14ac:dyDescent="0.3">
      <c r="B169" s="17">
        <v>711</v>
      </c>
      <c r="C169" s="137">
        <v>7</v>
      </c>
      <c r="D169" s="138" t="s">
        <v>189</v>
      </c>
      <c r="E169" s="153">
        <v>446.28</v>
      </c>
      <c r="F169" s="151">
        <v>236844.49</v>
      </c>
      <c r="G169" s="151">
        <v>12751.15</v>
      </c>
      <c r="H169" s="151">
        <f t="shared" si="22"/>
        <v>224093.34</v>
      </c>
      <c r="I169" s="85">
        <f t="shared" si="23"/>
        <v>502.13619252487229</v>
      </c>
      <c r="J169" s="131">
        <f t="shared" si="24"/>
        <v>108060.99292483347</v>
      </c>
      <c r="K169" s="156"/>
      <c r="L169" s="156">
        <f>IFERROR(INDEX('Revised 2021 MFAM(2019 PYAs)'!AD$26:AD$278,MATCH(B169,'Revised 2021 MFAM(2019 PYAs)'!B$26:B$278,0)),0)</f>
        <v>-247.37996493116952</v>
      </c>
      <c r="M169" s="156">
        <f>IFERROR(INDEX('Revised 2020 MFAM(2018 PYAs)'!AF$26:AF$274,MATCH(B169,'Revised 2020 MFAM(2018 PYAs)'!B$26:B$274,0)),0)</f>
        <v>-52.660682703557541</v>
      </c>
      <c r="N169" s="156">
        <f t="shared" si="29"/>
        <v>-0.3780945910081262</v>
      </c>
      <c r="O169" s="156">
        <f t="shared" si="30"/>
        <v>-300.41874222573517</v>
      </c>
      <c r="P169" s="156"/>
      <c r="Q169" s="161">
        <f t="shared" si="25"/>
        <v>107760.57418260773</v>
      </c>
      <c r="R169" s="162">
        <v>0</v>
      </c>
      <c r="S169" s="163">
        <f t="shared" si="26"/>
        <v>0</v>
      </c>
      <c r="T169" s="156">
        <f t="shared" si="27"/>
        <v>107760.57418260773</v>
      </c>
      <c r="U169" s="90"/>
      <c r="V169" s="161">
        <v>0</v>
      </c>
      <c r="W169" s="156">
        <f t="shared" si="28"/>
        <v>107760.57418260773</v>
      </c>
      <c r="X169" s="90"/>
      <c r="Y169" s="156">
        <f t="shared" si="31"/>
        <v>26940.143545651932</v>
      </c>
      <c r="Z169" s="156">
        <f t="shared" si="31"/>
        <v>26940.143545651932</v>
      </c>
      <c r="AA169" s="156">
        <f t="shared" si="31"/>
        <v>26940.143545651932</v>
      </c>
      <c r="AB169" s="156">
        <f t="shared" si="31"/>
        <v>26940.143545651932</v>
      </c>
    </row>
    <row r="170" spans="2:28" x14ac:dyDescent="0.3">
      <c r="B170" s="17">
        <v>712</v>
      </c>
      <c r="C170" s="137">
        <v>7</v>
      </c>
      <c r="D170" s="138" t="s">
        <v>190</v>
      </c>
      <c r="E170" s="153">
        <v>802.26999999999987</v>
      </c>
      <c r="F170" s="151">
        <v>381628.55</v>
      </c>
      <c r="G170" s="151">
        <v>0</v>
      </c>
      <c r="H170" s="151">
        <f t="shared" si="22"/>
        <v>381628.55</v>
      </c>
      <c r="I170" s="85">
        <f t="shared" si="23"/>
        <v>475.685928677378</v>
      </c>
      <c r="J170" s="131">
        <f t="shared" si="24"/>
        <v>184026.70976952932</v>
      </c>
      <c r="K170" s="156"/>
      <c r="L170" s="156">
        <f>IFERROR(INDEX('Revised 2021 MFAM(2019 PYAs)'!AD$26:AD$278,MATCH(B170,'Revised 2021 MFAM(2019 PYAs)'!B$26:B$278,0)),0)</f>
        <v>-331.6531041104754</v>
      </c>
      <c r="M170" s="156">
        <f>IFERROR(INDEX('Revised 2020 MFAM(2018 PYAs)'!AF$26:AF$274,MATCH(B170,'Revised 2020 MFAM(2018 PYAs)'!B$26:B$274,0)),0)</f>
        <v>-75.95434052211931</v>
      </c>
      <c r="N170" s="156">
        <f t="shared" si="29"/>
        <v>-0.64389102562920542</v>
      </c>
      <c r="O170" s="156">
        <f t="shared" si="30"/>
        <v>-408.25133565822392</v>
      </c>
      <c r="P170" s="156"/>
      <c r="Q170" s="161">
        <f t="shared" si="25"/>
        <v>183618.4584338711</v>
      </c>
      <c r="R170" s="162">
        <v>0</v>
      </c>
      <c r="S170" s="163">
        <f t="shared" si="26"/>
        <v>0</v>
      </c>
      <c r="T170" s="156">
        <f t="shared" si="27"/>
        <v>183618.4584338711</v>
      </c>
      <c r="U170" s="90"/>
      <c r="V170" s="161">
        <v>0</v>
      </c>
      <c r="W170" s="156">
        <f t="shared" si="28"/>
        <v>183618.4584338711</v>
      </c>
      <c r="X170" s="90"/>
      <c r="Y170" s="156">
        <f t="shared" si="31"/>
        <v>45904.614608467775</v>
      </c>
      <c r="Z170" s="156">
        <f t="shared" si="31"/>
        <v>45904.614608467775</v>
      </c>
      <c r="AA170" s="156">
        <f t="shared" si="31"/>
        <v>45904.614608467775</v>
      </c>
      <c r="AB170" s="156">
        <f t="shared" si="31"/>
        <v>45904.614608467775</v>
      </c>
    </row>
    <row r="171" spans="2:28" x14ac:dyDescent="0.3">
      <c r="B171" s="17">
        <v>718</v>
      </c>
      <c r="C171" s="137">
        <v>7</v>
      </c>
      <c r="D171" s="138" t="s">
        <v>191</v>
      </c>
      <c r="E171" s="153">
        <v>39.640028044351531</v>
      </c>
      <c r="F171" s="151">
        <v>24676.86</v>
      </c>
      <c r="G171" s="151">
        <v>0</v>
      </c>
      <c r="H171" s="151">
        <f t="shared" si="22"/>
        <v>24676.86</v>
      </c>
      <c r="I171" s="85">
        <f t="shared" si="23"/>
        <v>622.52377754097745</v>
      </c>
      <c r="J171" s="131">
        <f t="shared" si="24"/>
        <v>11899.53255133377</v>
      </c>
      <c r="K171" s="156"/>
      <c r="L171" s="156">
        <f>IFERROR(INDEX('Revised 2021 MFAM(2019 PYAs)'!AD$26:AD$278,MATCH(B171,'Revised 2021 MFAM(2019 PYAs)'!B$26:B$278,0)),0)</f>
        <v>-21.723754677876059</v>
      </c>
      <c r="M171" s="156">
        <f>IFERROR(INDEX('Revised 2020 MFAM(2018 PYAs)'!AF$26:AF$274,MATCH(B171,'Revised 2020 MFAM(2018 PYAs)'!B$26:B$274,0)),0)</f>
        <v>-5.683079849760361</v>
      </c>
      <c r="N171" s="156">
        <f t="shared" si="29"/>
        <v>-4.1635272556805075E-2</v>
      </c>
      <c r="O171" s="156">
        <f t="shared" si="30"/>
        <v>-27.448469800193227</v>
      </c>
      <c r="P171" s="156"/>
      <c r="Q171" s="161">
        <f t="shared" si="25"/>
        <v>11872.084081533578</v>
      </c>
      <c r="R171" s="162">
        <v>0</v>
      </c>
      <c r="S171" s="163">
        <f t="shared" si="26"/>
        <v>0</v>
      </c>
      <c r="T171" s="156">
        <f t="shared" si="27"/>
        <v>11872.084081533578</v>
      </c>
      <c r="U171" s="90"/>
      <c r="V171" s="161">
        <v>0</v>
      </c>
      <c r="W171" s="156">
        <f t="shared" si="28"/>
        <v>11872.084081533578</v>
      </c>
      <c r="X171" s="90"/>
      <c r="Y171" s="156">
        <f t="shared" si="31"/>
        <v>2968.0210203833944</v>
      </c>
      <c r="Z171" s="156">
        <f t="shared" si="31"/>
        <v>2968.0210203833944</v>
      </c>
      <c r="AA171" s="156">
        <f t="shared" si="31"/>
        <v>2968.0210203833944</v>
      </c>
      <c r="AB171" s="156">
        <f t="shared" si="31"/>
        <v>2968.0210203833944</v>
      </c>
    </row>
    <row r="172" spans="2:28" x14ac:dyDescent="0.3">
      <c r="B172" s="17">
        <v>736</v>
      </c>
      <c r="C172" s="137">
        <v>7</v>
      </c>
      <c r="D172" s="138" t="s">
        <v>192</v>
      </c>
      <c r="E172" s="153">
        <v>131.56105718761611</v>
      </c>
      <c r="F172" s="151">
        <v>170008.1</v>
      </c>
      <c r="G172" s="151">
        <v>144</v>
      </c>
      <c r="H172" s="151">
        <f t="shared" si="22"/>
        <v>169864.1</v>
      </c>
      <c r="I172" s="85">
        <f t="shared" si="23"/>
        <v>1291.1427107016998</v>
      </c>
      <c r="J172" s="131">
        <f t="shared" si="24"/>
        <v>81910.882796798891</v>
      </c>
      <c r="K172" s="156"/>
      <c r="L172" s="156">
        <f>IFERROR(INDEX('Revised 2021 MFAM(2019 PYAs)'!AD$26:AD$278,MATCH(B172,'Revised 2021 MFAM(2019 PYAs)'!B$26:B$278,0)),0)</f>
        <v>-355.44477334986004</v>
      </c>
      <c r="M172" s="156">
        <f>IFERROR(INDEX('Revised 2020 MFAM(2018 PYAs)'!AF$26:AF$274,MATCH(B172,'Revised 2020 MFAM(2018 PYAs)'!B$26:B$274,0)),0)</f>
        <v>-13.511557680969418</v>
      </c>
      <c r="N172" s="156">
        <f t="shared" si="29"/>
        <v>-0.28659797482809374</v>
      </c>
      <c r="O172" s="156">
        <f t="shared" si="30"/>
        <v>-369.24292900565757</v>
      </c>
      <c r="P172" s="156"/>
      <c r="Q172" s="161">
        <f t="shared" si="25"/>
        <v>81541.63986779323</v>
      </c>
      <c r="R172" s="162">
        <v>0</v>
      </c>
      <c r="S172" s="163">
        <f t="shared" si="26"/>
        <v>0</v>
      </c>
      <c r="T172" s="156">
        <f t="shared" si="27"/>
        <v>81541.63986779323</v>
      </c>
      <c r="U172" s="90"/>
      <c r="V172" s="161">
        <v>0</v>
      </c>
      <c r="W172" s="156">
        <f t="shared" si="28"/>
        <v>81541.63986779323</v>
      </c>
      <c r="X172" s="90"/>
      <c r="Y172" s="156">
        <f t="shared" si="31"/>
        <v>20385.409966948308</v>
      </c>
      <c r="Z172" s="156">
        <f t="shared" si="31"/>
        <v>20385.409966948308</v>
      </c>
      <c r="AA172" s="156">
        <f t="shared" si="31"/>
        <v>20385.409966948308</v>
      </c>
      <c r="AB172" s="156">
        <f t="shared" si="31"/>
        <v>20385.409966948308</v>
      </c>
    </row>
    <row r="173" spans="2:28" x14ac:dyDescent="0.3">
      <c r="B173" s="17">
        <v>757</v>
      </c>
      <c r="C173" s="137">
        <v>7</v>
      </c>
      <c r="D173" s="138" t="s">
        <v>193</v>
      </c>
      <c r="E173" s="153">
        <v>463.09248804220078</v>
      </c>
      <c r="F173" s="151">
        <v>284396.12</v>
      </c>
      <c r="G173" s="151">
        <v>608</v>
      </c>
      <c r="H173" s="151">
        <f t="shared" si="22"/>
        <v>283788.12</v>
      </c>
      <c r="I173" s="85">
        <f t="shared" si="23"/>
        <v>612.81089054102495</v>
      </c>
      <c r="J173" s="131">
        <f t="shared" si="24"/>
        <v>136846.66410644684</v>
      </c>
      <c r="K173" s="156"/>
      <c r="L173" s="156">
        <f>IFERROR(INDEX('Revised 2021 MFAM(2019 PYAs)'!AD$26:AD$278,MATCH(B173,'Revised 2021 MFAM(2019 PYAs)'!B$26:B$278,0)),0)</f>
        <v>-279.49812433354964</v>
      </c>
      <c r="M173" s="156">
        <f>IFERROR(INDEX('Revised 2020 MFAM(2018 PYAs)'!AF$26:AF$274,MATCH(B173,'Revised 2020 MFAM(2018 PYAs)'!B$26:B$274,0)),0)</f>
        <v>-71.310710749821737</v>
      </c>
      <c r="N173" s="156">
        <f t="shared" si="29"/>
        <v>-0.47881277134057187</v>
      </c>
      <c r="O173" s="156">
        <f t="shared" si="30"/>
        <v>-351.28764785471196</v>
      </c>
      <c r="P173" s="156"/>
      <c r="Q173" s="161">
        <f t="shared" si="25"/>
        <v>136495.37645859213</v>
      </c>
      <c r="R173" s="162">
        <v>0</v>
      </c>
      <c r="S173" s="163">
        <f t="shared" si="26"/>
        <v>0</v>
      </c>
      <c r="T173" s="156">
        <f t="shared" si="27"/>
        <v>136495.37645859213</v>
      </c>
      <c r="U173" s="90"/>
      <c r="V173" s="161">
        <v>0</v>
      </c>
      <c r="W173" s="156">
        <f t="shared" si="28"/>
        <v>136495.37645859213</v>
      </c>
      <c r="X173" s="90"/>
      <c r="Y173" s="156">
        <f t="shared" si="31"/>
        <v>34123.844114648033</v>
      </c>
      <c r="Z173" s="156">
        <f t="shared" si="31"/>
        <v>34123.844114648033</v>
      </c>
      <c r="AA173" s="156">
        <f t="shared" si="31"/>
        <v>34123.844114648033</v>
      </c>
      <c r="AB173" s="156">
        <f t="shared" si="31"/>
        <v>34123.844114648033</v>
      </c>
    </row>
    <row r="174" spans="2:28" x14ac:dyDescent="0.3">
      <c r="B174" s="17">
        <v>786</v>
      </c>
      <c r="C174" s="137">
        <v>7</v>
      </c>
      <c r="D174" s="138" t="s">
        <v>194</v>
      </c>
      <c r="E174" s="153">
        <v>3058.6000000000004</v>
      </c>
      <c r="F174" s="151">
        <v>1646967.46</v>
      </c>
      <c r="G174" s="151">
        <v>167373.51999999999</v>
      </c>
      <c r="H174" s="151">
        <f t="shared" si="22"/>
        <v>1479593.94</v>
      </c>
      <c r="I174" s="85">
        <f t="shared" si="23"/>
        <v>483.74875433204727</v>
      </c>
      <c r="J174" s="131">
        <f t="shared" si="24"/>
        <v>713481.22296703001</v>
      </c>
      <c r="K174" s="156"/>
      <c r="L174" s="156">
        <f>IFERROR(INDEX('Revised 2021 MFAM(2019 PYAs)'!AD$26:AD$278,MATCH(B174,'Revised 2021 MFAM(2019 PYAs)'!B$26:B$278,0)),0)</f>
        <v>-1625.9809393575415</v>
      </c>
      <c r="M174" s="156">
        <f>IFERROR(INDEX('Revised 2020 MFAM(2018 PYAs)'!AF$26:AF$274,MATCH(B174,'Revised 2020 MFAM(2018 PYAs)'!B$26:B$274,0)),0)</f>
        <v>-341.97922803077381</v>
      </c>
      <c r="N174" s="156">
        <f t="shared" si="29"/>
        <v>-2.496399337893763</v>
      </c>
      <c r="O174" s="156">
        <f t="shared" si="30"/>
        <v>-1970.4565667262091</v>
      </c>
      <c r="P174" s="156"/>
      <c r="Q174" s="161">
        <f t="shared" si="25"/>
        <v>711510.76640030381</v>
      </c>
      <c r="R174" s="162">
        <v>0</v>
      </c>
      <c r="S174" s="163">
        <f t="shared" si="26"/>
        <v>0</v>
      </c>
      <c r="T174" s="156">
        <f t="shared" si="27"/>
        <v>711510.76640030381</v>
      </c>
      <c r="U174" s="90"/>
      <c r="V174" s="161">
        <v>0</v>
      </c>
      <c r="W174" s="156">
        <f t="shared" si="28"/>
        <v>711510.76640030381</v>
      </c>
      <c r="X174" s="90"/>
      <c r="Y174" s="156">
        <f t="shared" si="31"/>
        <v>177877.69160007595</v>
      </c>
      <c r="Z174" s="156">
        <f t="shared" si="31"/>
        <v>177877.69160007595</v>
      </c>
      <c r="AA174" s="156">
        <f t="shared" si="31"/>
        <v>177877.69160007595</v>
      </c>
      <c r="AB174" s="156">
        <f t="shared" si="31"/>
        <v>177877.69160007595</v>
      </c>
    </row>
    <row r="175" spans="2:28" x14ac:dyDescent="0.3">
      <c r="B175" s="17">
        <v>854</v>
      </c>
      <c r="C175" s="137">
        <v>7</v>
      </c>
      <c r="D175" s="138" t="s">
        <v>195</v>
      </c>
      <c r="E175" s="153">
        <v>1034.6772209405242</v>
      </c>
      <c r="F175" s="151">
        <v>752199.32</v>
      </c>
      <c r="G175" s="151">
        <v>17207.98</v>
      </c>
      <c r="H175" s="151">
        <f t="shared" si="22"/>
        <v>734991.34</v>
      </c>
      <c r="I175" s="85">
        <f t="shared" si="23"/>
        <v>710.35809537963053</v>
      </c>
      <c r="J175" s="131">
        <f t="shared" si="24"/>
        <v>354423.26840928814</v>
      </c>
      <c r="K175" s="156"/>
      <c r="L175" s="156">
        <f>IFERROR(INDEX('Revised 2021 MFAM(2019 PYAs)'!AD$26:AD$278,MATCH(B175,'Revised 2021 MFAM(2019 PYAs)'!B$26:B$278,0)),0)</f>
        <v>-538.00262489620945</v>
      </c>
      <c r="M175" s="156">
        <f>IFERROR(INDEX('Revised 2020 MFAM(2018 PYAs)'!AF$26:AF$274,MATCH(B175,'Revised 2020 MFAM(2018 PYAs)'!B$26:B$274,0)),0)</f>
        <v>-117.34197004127782</v>
      </c>
      <c r="N175" s="156">
        <f t="shared" si="29"/>
        <v>-1.2400915176319591</v>
      </c>
      <c r="O175" s="156">
        <f t="shared" si="30"/>
        <v>-656.58468645511925</v>
      </c>
      <c r="P175" s="156"/>
      <c r="Q175" s="161">
        <f t="shared" si="25"/>
        <v>353766.683722833</v>
      </c>
      <c r="R175" s="162">
        <v>0</v>
      </c>
      <c r="S175" s="163">
        <f t="shared" si="26"/>
        <v>0</v>
      </c>
      <c r="T175" s="156">
        <f t="shared" si="27"/>
        <v>353766.683722833</v>
      </c>
      <c r="U175" s="90"/>
      <c r="V175" s="161">
        <v>0</v>
      </c>
      <c r="W175" s="156">
        <f t="shared" si="28"/>
        <v>353766.683722833</v>
      </c>
      <c r="X175" s="90"/>
      <c r="Y175" s="156">
        <f t="shared" si="31"/>
        <v>88441.670930708249</v>
      </c>
      <c r="Z175" s="156">
        <f t="shared" si="31"/>
        <v>88441.670930708249</v>
      </c>
      <c r="AA175" s="156">
        <f t="shared" si="31"/>
        <v>88441.670930708249</v>
      </c>
      <c r="AB175" s="156">
        <f t="shared" si="31"/>
        <v>88441.670930708249</v>
      </c>
    </row>
    <row r="176" spans="2:28" x14ac:dyDescent="0.3">
      <c r="B176" s="17">
        <v>855</v>
      </c>
      <c r="C176" s="137">
        <v>7</v>
      </c>
      <c r="D176" s="138" t="s">
        <v>196</v>
      </c>
      <c r="E176" s="153">
        <v>225.15</v>
      </c>
      <c r="F176" s="151">
        <v>160179.32999999999</v>
      </c>
      <c r="G176" s="151">
        <v>530</v>
      </c>
      <c r="H176" s="151">
        <f t="shared" si="22"/>
        <v>159649.32999999999</v>
      </c>
      <c r="I176" s="85">
        <f t="shared" si="23"/>
        <v>709.07985787252937</v>
      </c>
      <c r="J176" s="131">
        <f t="shared" si="24"/>
        <v>76985.175550439832</v>
      </c>
      <c r="K176" s="156"/>
      <c r="L176" s="156">
        <f>IFERROR(INDEX('Revised 2021 MFAM(2019 PYAs)'!AD$26:AD$278,MATCH(B176,'Revised 2021 MFAM(2019 PYAs)'!B$26:B$278,0)),0)</f>
        <v>-474.25589880495681</v>
      </c>
      <c r="M176" s="156">
        <f>IFERROR(INDEX('Revised 2020 MFAM(2018 PYAs)'!AF$26:AF$274,MATCH(B176,'Revised 2020 MFAM(2018 PYAs)'!B$26:B$274,0)),0)</f>
        <v>-31.81544184312952</v>
      </c>
      <c r="N176" s="156">
        <f t="shared" si="29"/>
        <v>-0.26936341852493856</v>
      </c>
      <c r="O176" s="156">
        <f t="shared" si="30"/>
        <v>-506.34070406661129</v>
      </c>
      <c r="P176" s="156"/>
      <c r="Q176" s="161">
        <f t="shared" si="25"/>
        <v>76478.834846373225</v>
      </c>
      <c r="R176" s="162">
        <v>0</v>
      </c>
      <c r="S176" s="163">
        <f t="shared" si="26"/>
        <v>0</v>
      </c>
      <c r="T176" s="156">
        <f t="shared" si="27"/>
        <v>76478.834846373225</v>
      </c>
      <c r="U176" s="90"/>
      <c r="V176" s="161">
        <v>0</v>
      </c>
      <c r="W176" s="156">
        <f t="shared" si="28"/>
        <v>76478.834846373225</v>
      </c>
      <c r="X176" s="90"/>
      <c r="Y176" s="156">
        <f t="shared" si="31"/>
        <v>19119.708711593306</v>
      </c>
      <c r="Z176" s="156">
        <f t="shared" si="31"/>
        <v>19119.708711593306</v>
      </c>
      <c r="AA176" s="156">
        <f t="shared" si="31"/>
        <v>19119.708711593306</v>
      </c>
      <c r="AB176" s="156">
        <f t="shared" si="31"/>
        <v>19119.708711593306</v>
      </c>
    </row>
    <row r="177" spans="2:28" x14ac:dyDescent="0.3">
      <c r="B177" s="17">
        <v>862</v>
      </c>
      <c r="C177" s="137">
        <v>7</v>
      </c>
      <c r="D177" s="138" t="s">
        <v>197</v>
      </c>
      <c r="E177" s="153">
        <v>13.03531182914487</v>
      </c>
      <c r="F177" s="151">
        <v>11293.56</v>
      </c>
      <c r="G177" s="151">
        <v>10454.92</v>
      </c>
      <c r="H177" s="151">
        <f t="shared" si="22"/>
        <v>838.63999999999942</v>
      </c>
      <c r="I177" s="85">
        <f t="shared" si="23"/>
        <v>64.336013667500822</v>
      </c>
      <c r="J177" s="131">
        <f t="shared" si="24"/>
        <v>404.40412511359006</v>
      </c>
      <c r="K177" s="156"/>
      <c r="L177" s="156">
        <f>IFERROR(INDEX('Revised 2021 MFAM(2019 PYAs)'!AD$26:AD$278,MATCH(B177,'Revised 2021 MFAM(2019 PYAs)'!B$26:B$278,0)),0)</f>
        <v>-3.7004300175472054</v>
      </c>
      <c r="M177" s="156">
        <f>IFERROR(INDEX('Revised 2020 MFAM(2018 PYAs)'!AF$26:AF$274,MATCH(B177,'Revised 2020 MFAM(2018 PYAs)'!B$26:B$274,0)),0)</f>
        <v>-0.68184622017656693</v>
      </c>
      <c r="N177" s="156">
        <f t="shared" si="29"/>
        <v>-1.4149695292285558E-3</v>
      </c>
      <c r="O177" s="156">
        <f t="shared" si="30"/>
        <v>-4.3836912072530012</v>
      </c>
      <c r="P177" s="156"/>
      <c r="Q177" s="161">
        <f t="shared" si="25"/>
        <v>400.02043390633708</v>
      </c>
      <c r="R177" s="162">
        <v>0</v>
      </c>
      <c r="S177" s="163">
        <f t="shared" si="26"/>
        <v>0</v>
      </c>
      <c r="T177" s="156">
        <f t="shared" si="27"/>
        <v>400.02043390633708</v>
      </c>
      <c r="U177" s="90"/>
      <c r="V177" s="161">
        <v>0</v>
      </c>
      <c r="W177" s="156">
        <f t="shared" si="28"/>
        <v>400.02043390633708</v>
      </c>
      <c r="X177" s="90"/>
      <c r="Y177" s="156">
        <f t="shared" si="31"/>
        <v>100.00510847658427</v>
      </c>
      <c r="Z177" s="156">
        <f t="shared" si="31"/>
        <v>100.00510847658427</v>
      </c>
      <c r="AA177" s="156">
        <f t="shared" si="31"/>
        <v>100.00510847658427</v>
      </c>
      <c r="AB177" s="156">
        <f t="shared" si="31"/>
        <v>100.00510847658427</v>
      </c>
    </row>
    <row r="178" spans="2:28" x14ac:dyDescent="0.3">
      <c r="B178" s="17">
        <v>958</v>
      </c>
      <c r="C178" s="137">
        <v>7</v>
      </c>
      <c r="D178" s="138" t="s">
        <v>198</v>
      </c>
      <c r="E178" s="153">
        <v>497.66213501309295</v>
      </c>
      <c r="F178" s="151">
        <v>204341.06</v>
      </c>
      <c r="G178" s="151">
        <v>123.4</v>
      </c>
      <c r="H178" s="151">
        <f t="shared" si="22"/>
        <v>204217.66</v>
      </c>
      <c r="I178" s="85">
        <f t="shared" si="23"/>
        <v>410.35402461275714</v>
      </c>
      <c r="J178" s="131">
        <f t="shared" si="24"/>
        <v>98476.657594491859</v>
      </c>
      <c r="K178" s="156"/>
      <c r="L178" s="156">
        <f>IFERROR(INDEX('Revised 2021 MFAM(2019 PYAs)'!AD$26:AD$278,MATCH(B178,'Revised 2021 MFAM(2019 PYAs)'!B$26:B$278,0)),0)</f>
        <v>-135.86569458973827</v>
      </c>
      <c r="M178" s="156">
        <f>IFERROR(INDEX('Revised 2020 MFAM(2018 PYAs)'!AF$26:AF$274,MATCH(B178,'Revised 2020 MFAM(2018 PYAs)'!B$26:B$274,0)),0)</f>
        <v>-44.712889563728822</v>
      </c>
      <c r="N178" s="156">
        <f t="shared" si="29"/>
        <v>-0.34455996164070102</v>
      </c>
      <c r="O178" s="156">
        <f t="shared" si="30"/>
        <v>-180.92314411510779</v>
      </c>
      <c r="P178" s="156"/>
      <c r="Q178" s="161">
        <f t="shared" si="25"/>
        <v>98295.734450376753</v>
      </c>
      <c r="R178" s="162">
        <v>0</v>
      </c>
      <c r="S178" s="163">
        <f t="shared" si="26"/>
        <v>0</v>
      </c>
      <c r="T178" s="156">
        <f t="shared" si="27"/>
        <v>98295.734450376753</v>
      </c>
      <c r="U178" s="90"/>
      <c r="V178" s="161">
        <v>0</v>
      </c>
      <c r="W178" s="156">
        <f t="shared" si="28"/>
        <v>98295.734450376753</v>
      </c>
      <c r="X178" s="90"/>
      <c r="Y178" s="156">
        <f t="shared" si="31"/>
        <v>24573.933612594188</v>
      </c>
      <c r="Z178" s="156">
        <f t="shared" si="31"/>
        <v>24573.933612594188</v>
      </c>
      <c r="AA178" s="156">
        <f t="shared" si="31"/>
        <v>24573.933612594188</v>
      </c>
      <c r="AB178" s="156">
        <f t="shared" si="31"/>
        <v>24573.933612594188</v>
      </c>
    </row>
    <row r="179" spans="2:28" x14ac:dyDescent="0.3">
      <c r="B179" s="17">
        <v>967</v>
      </c>
      <c r="C179" s="137">
        <v>7</v>
      </c>
      <c r="D179" s="138" t="s">
        <v>199</v>
      </c>
      <c r="E179" s="153">
        <v>180.04372698414895</v>
      </c>
      <c r="F179" s="151">
        <v>99984.01</v>
      </c>
      <c r="G179" s="151">
        <v>0</v>
      </c>
      <c r="H179" s="151">
        <f t="shared" si="22"/>
        <v>99984.01</v>
      </c>
      <c r="I179" s="85">
        <f t="shared" si="23"/>
        <v>555.3318167469539</v>
      </c>
      <c r="J179" s="131">
        <f t="shared" si="24"/>
        <v>48213.71039945443</v>
      </c>
      <c r="K179" s="156"/>
      <c r="L179" s="156">
        <f>IFERROR(INDEX('Revised 2021 MFAM(2019 PYAs)'!AD$26:AD$278,MATCH(B179,'Revised 2021 MFAM(2019 PYAs)'!B$26:B$278,0)),0)</f>
        <v>2239.8645641563053</v>
      </c>
      <c r="M179" s="156">
        <f>IFERROR(INDEX('Revised 2020 MFAM(2018 PYAs)'!AF$26:AF$274,MATCH(B179,'Revised 2020 MFAM(2018 PYAs)'!B$26:B$274,0)),0)</f>
        <v>1393.0877101393526</v>
      </c>
      <c r="N179" s="156">
        <f t="shared" si="29"/>
        <v>-0.16869494367080429</v>
      </c>
      <c r="O179" s="156">
        <f t="shared" si="30"/>
        <v>3632.7835793519871</v>
      </c>
      <c r="P179" s="156"/>
      <c r="Q179" s="161">
        <f t="shared" si="25"/>
        <v>51846.493978806415</v>
      </c>
      <c r="R179" s="162">
        <v>0</v>
      </c>
      <c r="S179" s="163">
        <f t="shared" si="26"/>
        <v>0</v>
      </c>
      <c r="T179" s="156">
        <f t="shared" si="27"/>
        <v>51846.493978806415</v>
      </c>
      <c r="U179" s="90"/>
      <c r="V179" s="161">
        <v>0</v>
      </c>
      <c r="W179" s="156">
        <f t="shared" si="28"/>
        <v>51846.493978806415</v>
      </c>
      <c r="X179" s="90"/>
      <c r="Y179" s="156">
        <f t="shared" si="31"/>
        <v>12961.623494701604</v>
      </c>
      <c r="Z179" s="156">
        <f t="shared" si="31"/>
        <v>12961.623494701604</v>
      </c>
      <c r="AA179" s="156">
        <f t="shared" si="31"/>
        <v>12961.623494701604</v>
      </c>
      <c r="AB179" s="156">
        <f t="shared" si="31"/>
        <v>12961.623494701604</v>
      </c>
    </row>
    <row r="180" spans="2:28" x14ac:dyDescent="0.3">
      <c r="B180" s="17">
        <v>971</v>
      </c>
      <c r="C180" s="137">
        <v>7</v>
      </c>
      <c r="D180" s="138" t="s">
        <v>200</v>
      </c>
      <c r="E180" s="153">
        <v>902.95999999999992</v>
      </c>
      <c r="F180" s="151">
        <v>644373.35</v>
      </c>
      <c r="G180" s="151">
        <v>91228.23</v>
      </c>
      <c r="H180" s="151">
        <f t="shared" si="22"/>
        <v>553145.12</v>
      </c>
      <c r="I180" s="85">
        <f t="shared" si="23"/>
        <v>612.59094533534164</v>
      </c>
      <c r="J180" s="131">
        <f t="shared" si="24"/>
        <v>266734.43708200409</v>
      </c>
      <c r="K180" s="156"/>
      <c r="L180" s="156">
        <f>IFERROR(INDEX('Revised 2021 MFAM(2019 PYAs)'!AD$26:AD$278,MATCH(B180,'Revised 2021 MFAM(2019 PYAs)'!B$26:B$278,0)),0)</f>
        <v>-486.58081474760547</v>
      </c>
      <c r="M180" s="156">
        <f>IFERROR(INDEX('Revised 2020 MFAM(2018 PYAs)'!AF$26:AF$274,MATCH(B180,'Revised 2020 MFAM(2018 PYAs)'!B$26:B$274,0)),0)</f>
        <v>-100.17941686348058</v>
      </c>
      <c r="N180" s="156">
        <f t="shared" si="29"/>
        <v>-0.93327707960683204</v>
      </c>
      <c r="O180" s="156">
        <f t="shared" si="30"/>
        <v>-587.69350869069285</v>
      </c>
      <c r="P180" s="156"/>
      <c r="Q180" s="161">
        <f t="shared" si="25"/>
        <v>266146.7435733134</v>
      </c>
      <c r="R180" s="162">
        <v>0</v>
      </c>
      <c r="S180" s="163">
        <f t="shared" si="26"/>
        <v>0</v>
      </c>
      <c r="T180" s="156">
        <f t="shared" si="27"/>
        <v>266146.7435733134</v>
      </c>
      <c r="U180" s="90"/>
      <c r="V180" s="161">
        <v>0</v>
      </c>
      <c r="W180" s="156">
        <f t="shared" si="28"/>
        <v>266146.7435733134</v>
      </c>
      <c r="X180" s="90"/>
      <c r="Y180" s="156">
        <f t="shared" ref="Y180:AB211" si="32">$W180/4</f>
        <v>66536.685893328351</v>
      </c>
      <c r="Z180" s="156">
        <f t="shared" si="32"/>
        <v>66536.685893328351</v>
      </c>
      <c r="AA180" s="156">
        <f t="shared" si="32"/>
        <v>66536.685893328351</v>
      </c>
      <c r="AB180" s="156">
        <f t="shared" si="32"/>
        <v>66536.685893328351</v>
      </c>
    </row>
    <row r="181" spans="2:28" x14ac:dyDescent="0.3">
      <c r="B181" s="17">
        <v>975</v>
      </c>
      <c r="C181" s="137">
        <v>7</v>
      </c>
      <c r="D181" s="138" t="s">
        <v>201</v>
      </c>
      <c r="E181" s="153">
        <v>19.552967743717307</v>
      </c>
      <c r="F181" s="151">
        <v>83056.259999999995</v>
      </c>
      <c r="G181" s="151">
        <v>0</v>
      </c>
      <c r="H181" s="151">
        <f t="shared" si="22"/>
        <v>83056.259999999995</v>
      </c>
      <c r="I181" s="85">
        <f t="shared" si="23"/>
        <v>4247.7572248175647</v>
      </c>
      <c r="J181" s="131">
        <f t="shared" si="24"/>
        <v>40050.908805335886</v>
      </c>
      <c r="K181" s="156"/>
      <c r="L181" s="156">
        <f>IFERROR(INDEX('Revised 2021 MFAM(2019 PYAs)'!AD$26:AD$278,MATCH(B181,'Revised 2021 MFAM(2019 PYAs)'!B$26:B$278,0)),0)</f>
        <v>-89.28546918754364</v>
      </c>
      <c r="M181" s="156">
        <f>IFERROR(INDEX('Revised 2020 MFAM(2018 PYAs)'!AF$26:AF$274,MATCH(B181,'Revised 2020 MFAM(2018 PYAs)'!B$26:B$274,0)),0)</f>
        <v>-3.767314229468866</v>
      </c>
      <c r="N181" s="156">
        <f t="shared" si="29"/>
        <v>-0.14013411846761975</v>
      </c>
      <c r="O181" s="156">
        <f t="shared" si="30"/>
        <v>-93.19291753548012</v>
      </c>
      <c r="P181" s="156"/>
      <c r="Q181" s="161">
        <f t="shared" si="25"/>
        <v>39957.715887800405</v>
      </c>
      <c r="R181" s="162">
        <v>0</v>
      </c>
      <c r="S181" s="163">
        <f t="shared" si="26"/>
        <v>0</v>
      </c>
      <c r="T181" s="156">
        <f t="shared" si="27"/>
        <v>39957.715887800405</v>
      </c>
      <c r="U181" s="90"/>
      <c r="V181" s="161">
        <v>0</v>
      </c>
      <c r="W181" s="156">
        <f t="shared" si="28"/>
        <v>39957.715887800405</v>
      </c>
      <c r="X181" s="90"/>
      <c r="Y181" s="156">
        <f t="shared" si="32"/>
        <v>9989.4289719501012</v>
      </c>
      <c r="Z181" s="156">
        <f t="shared" si="32"/>
        <v>9989.4289719501012</v>
      </c>
      <c r="AA181" s="156">
        <f t="shared" si="32"/>
        <v>9989.4289719501012</v>
      </c>
      <c r="AB181" s="156">
        <f t="shared" si="32"/>
        <v>9989.4289719501012</v>
      </c>
    </row>
    <row r="182" spans="2:28" x14ac:dyDescent="0.3">
      <c r="B182" s="17">
        <v>976</v>
      </c>
      <c r="C182" s="137">
        <v>7</v>
      </c>
      <c r="D182" s="138" t="s">
        <v>202</v>
      </c>
      <c r="E182" s="153">
        <v>16.321466792467358</v>
      </c>
      <c r="F182" s="151">
        <v>69846.58</v>
      </c>
      <c r="G182" s="151">
        <v>0</v>
      </c>
      <c r="H182" s="151">
        <f t="shared" si="22"/>
        <v>69846.58</v>
      </c>
      <c r="I182" s="85">
        <f t="shared" si="23"/>
        <v>4279.4303286660124</v>
      </c>
      <c r="J182" s="131">
        <f t="shared" si="24"/>
        <v>33681.013399165786</v>
      </c>
      <c r="K182" s="156"/>
      <c r="L182" s="156">
        <f>IFERROR(INDEX('Revised 2021 MFAM(2019 PYAs)'!AD$26:AD$278,MATCH(B182,'Revised 2021 MFAM(2019 PYAs)'!B$26:B$278,0)),0)</f>
        <v>-93.450267791207807</v>
      </c>
      <c r="M182" s="156">
        <f>IFERROR(INDEX('Revised 2020 MFAM(2018 PYAs)'!AF$26:AF$274,MATCH(B182,'Revised 2020 MFAM(2018 PYAs)'!B$26:B$274,0)),0)</f>
        <v>-5.9474278708521524</v>
      </c>
      <c r="N182" s="156">
        <f t="shared" si="29"/>
        <v>-0.11784649244112461</v>
      </c>
      <c r="O182" s="156">
        <f t="shared" si="30"/>
        <v>-99.515542154501091</v>
      </c>
      <c r="P182" s="156"/>
      <c r="Q182" s="161">
        <f t="shared" si="25"/>
        <v>33581.497857011287</v>
      </c>
      <c r="R182" s="162">
        <v>0</v>
      </c>
      <c r="S182" s="163">
        <f t="shared" si="26"/>
        <v>0</v>
      </c>
      <c r="T182" s="156">
        <f t="shared" si="27"/>
        <v>33581.497857011287</v>
      </c>
      <c r="U182" s="90"/>
      <c r="V182" s="161">
        <v>0</v>
      </c>
      <c r="W182" s="156">
        <f t="shared" si="28"/>
        <v>33581.497857011287</v>
      </c>
      <c r="X182" s="90"/>
      <c r="Y182" s="156">
        <f t="shared" si="32"/>
        <v>8395.3744642528218</v>
      </c>
      <c r="Z182" s="156">
        <f t="shared" si="32"/>
        <v>8395.3744642528218</v>
      </c>
      <c r="AA182" s="156">
        <f t="shared" si="32"/>
        <v>8395.3744642528218</v>
      </c>
      <c r="AB182" s="156">
        <f t="shared" si="32"/>
        <v>8395.3744642528218</v>
      </c>
    </row>
    <row r="183" spans="2:28" x14ac:dyDescent="0.3">
      <c r="B183" s="17">
        <v>977</v>
      </c>
      <c r="C183" s="137">
        <v>7</v>
      </c>
      <c r="D183" s="138" t="s">
        <v>203</v>
      </c>
      <c r="E183" s="153">
        <v>47.431154642315136</v>
      </c>
      <c r="F183" s="151">
        <v>71574.62</v>
      </c>
      <c r="G183" s="151">
        <v>0</v>
      </c>
      <c r="H183" s="151">
        <f t="shared" si="22"/>
        <v>71574.62</v>
      </c>
      <c r="I183" s="85">
        <f t="shared" si="23"/>
        <v>1509.0212443646808</v>
      </c>
      <c r="J183" s="131">
        <f t="shared" si="24"/>
        <v>34514.298842694938</v>
      </c>
      <c r="K183" s="156"/>
      <c r="L183" s="156">
        <f>IFERROR(INDEX('Revised 2021 MFAM(2019 PYAs)'!AD$26:AD$278,MATCH(B183,'Revised 2021 MFAM(2019 PYAs)'!B$26:B$278,0)),0)</f>
        <v>-140.17976346845717</v>
      </c>
      <c r="M183" s="156">
        <f>IFERROR(INDEX('Revised 2020 MFAM(2018 PYAs)'!AF$26:AF$274,MATCH(B183,'Revised 2020 MFAM(2018 PYAs)'!B$26:B$274,0)),0)</f>
        <v>-8.2460143287826213</v>
      </c>
      <c r="N183" s="156">
        <f t="shared" si="29"/>
        <v>-0.12076207474734434</v>
      </c>
      <c r="O183" s="156">
        <f t="shared" si="30"/>
        <v>-148.54653987198714</v>
      </c>
      <c r="P183" s="156"/>
      <c r="Q183" s="161">
        <f t="shared" si="25"/>
        <v>34365.752302822948</v>
      </c>
      <c r="R183" s="162">
        <v>0</v>
      </c>
      <c r="S183" s="163">
        <f t="shared" si="26"/>
        <v>0</v>
      </c>
      <c r="T183" s="156">
        <f t="shared" si="27"/>
        <v>34365.752302822948</v>
      </c>
      <c r="U183" s="90"/>
      <c r="V183" s="161">
        <v>0</v>
      </c>
      <c r="W183" s="156">
        <f t="shared" si="28"/>
        <v>34365.752302822948</v>
      </c>
      <c r="X183" s="90"/>
      <c r="Y183" s="156">
        <f t="shared" si="32"/>
        <v>8591.438075705737</v>
      </c>
      <c r="Z183" s="156">
        <f t="shared" si="32"/>
        <v>8591.438075705737</v>
      </c>
      <c r="AA183" s="156">
        <f t="shared" si="32"/>
        <v>8591.438075705737</v>
      </c>
      <c r="AB183" s="156">
        <f t="shared" si="32"/>
        <v>8591.438075705737</v>
      </c>
    </row>
    <row r="184" spans="2:28" x14ac:dyDescent="0.3">
      <c r="B184" s="17">
        <v>981</v>
      </c>
      <c r="C184" s="137">
        <v>7</v>
      </c>
      <c r="D184" s="138" t="s">
        <v>204</v>
      </c>
      <c r="E184" s="153">
        <v>228.7088911462898</v>
      </c>
      <c r="F184" s="151">
        <v>153688.72</v>
      </c>
      <c r="G184" s="151">
        <v>26749</v>
      </c>
      <c r="H184" s="151">
        <f t="shared" si="22"/>
        <v>126939.72</v>
      </c>
      <c r="I184" s="85">
        <f t="shared" si="23"/>
        <v>555.0274821576794</v>
      </c>
      <c r="J184" s="131">
        <f t="shared" si="24"/>
        <v>61212.136803353198</v>
      </c>
      <c r="K184" s="156"/>
      <c r="L184" s="156">
        <f>IFERROR(INDEX('Revised 2021 MFAM(2019 PYAs)'!AD$26:AD$278,MATCH(B184,'Revised 2021 MFAM(2019 PYAs)'!B$26:B$278,0)),0)</f>
        <v>-92.64821895842033</v>
      </c>
      <c r="M184" s="156">
        <f>IFERROR(INDEX('Revised 2020 MFAM(2018 PYAs)'!AF$26:AF$274,MATCH(B184,'Revised 2020 MFAM(2018 PYAs)'!B$26:B$274,0)),0)</f>
        <v>0</v>
      </c>
      <c r="N184" s="156">
        <f t="shared" si="29"/>
        <v>-0.21417513575408381</v>
      </c>
      <c r="O184" s="156">
        <f t="shared" si="30"/>
        <v>-92.862394094174419</v>
      </c>
      <c r="P184" s="156"/>
      <c r="Q184" s="161">
        <f t="shared" si="25"/>
        <v>61119.274409259022</v>
      </c>
      <c r="R184" s="162">
        <v>0</v>
      </c>
      <c r="S184" s="163">
        <f t="shared" si="26"/>
        <v>0</v>
      </c>
      <c r="T184" s="156">
        <f t="shared" si="27"/>
        <v>61119.274409259022</v>
      </c>
      <c r="U184" s="90"/>
      <c r="V184" s="161">
        <v>0</v>
      </c>
      <c r="W184" s="156">
        <f t="shared" si="28"/>
        <v>61119.274409259022</v>
      </c>
      <c r="X184" s="90"/>
      <c r="Y184" s="156">
        <f t="shared" si="32"/>
        <v>15279.818602314755</v>
      </c>
      <c r="Z184" s="156">
        <f t="shared" si="32"/>
        <v>15279.818602314755</v>
      </c>
      <c r="AA184" s="156">
        <f t="shared" si="32"/>
        <v>15279.818602314755</v>
      </c>
      <c r="AB184" s="156">
        <f t="shared" si="32"/>
        <v>15279.818602314755</v>
      </c>
    </row>
    <row r="185" spans="2:28" x14ac:dyDescent="0.3">
      <c r="B185" s="17">
        <v>983</v>
      </c>
      <c r="C185" s="137">
        <v>7</v>
      </c>
      <c r="D185" s="138" t="s">
        <v>205</v>
      </c>
      <c r="E185" s="153">
        <v>54.732997336310582</v>
      </c>
      <c r="F185" s="151">
        <v>48719.55</v>
      </c>
      <c r="G185" s="151">
        <v>0</v>
      </c>
      <c r="H185" s="151">
        <f t="shared" si="22"/>
        <v>48719.55</v>
      </c>
      <c r="I185" s="85">
        <f t="shared" si="23"/>
        <v>890.13122560490251</v>
      </c>
      <c r="J185" s="131">
        <f t="shared" si="24"/>
        <v>23493.259317082207</v>
      </c>
      <c r="K185" s="156"/>
      <c r="L185" s="156">
        <f>IFERROR(INDEX('Revised 2021 MFAM(2019 PYAs)'!AD$26:AD$278,MATCH(B185,'Revised 2021 MFAM(2019 PYAs)'!B$26:B$278,0)),0)</f>
        <v>-33.665983706832776</v>
      </c>
      <c r="M185" s="156">
        <f>IFERROR(INDEX('Revised 2020 MFAM(2018 PYAs)'!AF$26:AF$274,MATCH(B185,'Revised 2020 MFAM(2018 PYAs)'!B$26:B$274,0)),0)</f>
        <v>-7.4159455645658454</v>
      </c>
      <c r="N185" s="156">
        <f t="shared" si="29"/>
        <v>-8.2200561298921046E-2</v>
      </c>
      <c r="O185" s="156">
        <f t="shared" si="30"/>
        <v>-41.16412983269754</v>
      </c>
      <c r="P185" s="156"/>
      <c r="Q185" s="161">
        <f t="shared" si="25"/>
        <v>23452.09518724951</v>
      </c>
      <c r="R185" s="162">
        <v>0</v>
      </c>
      <c r="S185" s="163">
        <f t="shared" si="26"/>
        <v>0</v>
      </c>
      <c r="T185" s="156">
        <f t="shared" si="27"/>
        <v>23452.09518724951</v>
      </c>
      <c r="U185" s="90"/>
      <c r="V185" s="161">
        <v>0</v>
      </c>
      <c r="W185" s="156">
        <f t="shared" si="28"/>
        <v>23452.09518724951</v>
      </c>
      <c r="X185" s="90"/>
      <c r="Y185" s="156">
        <f t="shared" si="32"/>
        <v>5863.0237968123774</v>
      </c>
      <c r="Z185" s="156">
        <f t="shared" si="32"/>
        <v>5863.0237968123774</v>
      </c>
      <c r="AA185" s="156">
        <f t="shared" si="32"/>
        <v>5863.0237968123774</v>
      </c>
      <c r="AB185" s="156">
        <f t="shared" si="32"/>
        <v>5863.0237968123774</v>
      </c>
    </row>
    <row r="186" spans="2:28" x14ac:dyDescent="0.3">
      <c r="B186" s="17">
        <v>984</v>
      </c>
      <c r="C186" s="137">
        <v>7</v>
      </c>
      <c r="D186" s="138" t="s">
        <v>312</v>
      </c>
      <c r="E186" s="153">
        <v>21.299699528822721</v>
      </c>
      <c r="F186" s="151">
        <v>16433.05</v>
      </c>
      <c r="G186" s="151">
        <v>0</v>
      </c>
      <c r="H186" s="151">
        <f t="shared" si="22"/>
        <v>16433.05</v>
      </c>
      <c r="I186" s="85">
        <f t="shared" si="23"/>
        <v>771.51557831897208</v>
      </c>
      <c r="J186" s="131">
        <f t="shared" si="24"/>
        <v>7924.2502244084299</v>
      </c>
      <c r="K186" s="156"/>
      <c r="L186" s="156">
        <f>IFERROR(INDEX('Revised 2021 MFAM(2019 PYAs)'!AD$26:AD$278,MATCH(B186,'Revised 2021 MFAM(2019 PYAs)'!B$26:B$278,0)),0)</f>
        <v>-8.2271331458027817</v>
      </c>
      <c r="M186" s="156">
        <f>IFERROR(INDEX('Revised 2020 MFAM(2018 PYAs)'!AF$26:AF$274,MATCH(B186,'Revised 2020 MFAM(2018 PYAs)'!B$26:B$274,0)),0)</f>
        <v>0</v>
      </c>
      <c r="N186" s="156">
        <f t="shared" si="29"/>
        <v>-2.7726157853535889E-2</v>
      </c>
      <c r="O186" s="156">
        <f t="shared" si="30"/>
        <v>-8.2548593036563176</v>
      </c>
      <c r="P186" s="156"/>
      <c r="Q186" s="161">
        <f t="shared" si="25"/>
        <v>7915.9953651047736</v>
      </c>
      <c r="R186" s="162">
        <v>0</v>
      </c>
      <c r="S186" s="163">
        <f t="shared" si="26"/>
        <v>0</v>
      </c>
      <c r="T186" s="156">
        <f t="shared" si="27"/>
        <v>7915.9953651047736</v>
      </c>
      <c r="U186" s="90"/>
      <c r="V186" s="161">
        <v>0</v>
      </c>
      <c r="W186" s="156">
        <f t="shared" si="28"/>
        <v>7915.9953651047736</v>
      </c>
      <c r="X186" s="90"/>
      <c r="Y186" s="156">
        <f t="shared" si="32"/>
        <v>1978.9988412761934</v>
      </c>
      <c r="Z186" s="156">
        <f t="shared" si="32"/>
        <v>1978.9988412761934</v>
      </c>
      <c r="AA186" s="156">
        <f t="shared" si="32"/>
        <v>1978.9988412761934</v>
      </c>
      <c r="AB186" s="156">
        <f t="shared" si="32"/>
        <v>1978.9988412761934</v>
      </c>
    </row>
    <row r="187" spans="2:28" x14ac:dyDescent="0.3">
      <c r="B187" s="17">
        <v>188</v>
      </c>
      <c r="C187" s="137">
        <v>8</v>
      </c>
      <c r="D187" s="138" t="s">
        <v>206</v>
      </c>
      <c r="E187" s="153">
        <v>176.85</v>
      </c>
      <c r="F187" s="151">
        <v>138796.34</v>
      </c>
      <c r="G187" s="151">
        <v>8321.23</v>
      </c>
      <c r="H187" s="151">
        <f t="shared" si="22"/>
        <v>130475.11</v>
      </c>
      <c r="I187" s="85">
        <f t="shared" si="23"/>
        <v>737.77274526434837</v>
      </c>
      <c r="J187" s="131">
        <f t="shared" si="24"/>
        <v>62916.952099410308</v>
      </c>
      <c r="K187" s="156"/>
      <c r="L187" s="156">
        <f>IFERROR(INDEX('Revised 2021 MFAM(2019 PYAs)'!AD$26:AD$278,MATCH(B187,'Revised 2021 MFAM(2019 PYAs)'!B$26:B$278,0)),0)</f>
        <v>-125.89261833065393</v>
      </c>
      <c r="M187" s="156">
        <f>IFERROR(INDEX('Revised 2020 MFAM(2018 PYAs)'!AF$26:AF$274,MATCH(B187,'Revised 2020 MFAM(2018 PYAs)'!B$26:B$274,0)),0)</f>
        <v>-26.545921576092951</v>
      </c>
      <c r="N187" s="156">
        <f t="shared" si="29"/>
        <v>-0.22014011372310427</v>
      </c>
      <c r="O187" s="156">
        <f t="shared" si="30"/>
        <v>-152.65868002046997</v>
      </c>
      <c r="P187" s="156"/>
      <c r="Q187" s="161">
        <f t="shared" si="25"/>
        <v>62764.29341938984</v>
      </c>
      <c r="R187" s="162">
        <v>0</v>
      </c>
      <c r="S187" s="163">
        <f t="shared" si="26"/>
        <v>0</v>
      </c>
      <c r="T187" s="156">
        <f t="shared" si="27"/>
        <v>62764.29341938984</v>
      </c>
      <c r="U187" s="90"/>
      <c r="V187" s="161">
        <v>0</v>
      </c>
      <c r="W187" s="156">
        <f t="shared" si="28"/>
        <v>62764.29341938984</v>
      </c>
      <c r="X187" s="90"/>
      <c r="Y187" s="156">
        <f t="shared" si="32"/>
        <v>15691.07335484746</v>
      </c>
      <c r="Z187" s="156">
        <f t="shared" si="32"/>
        <v>15691.07335484746</v>
      </c>
      <c r="AA187" s="156">
        <f t="shared" si="32"/>
        <v>15691.07335484746</v>
      </c>
      <c r="AB187" s="156">
        <f t="shared" si="32"/>
        <v>15691.07335484746</v>
      </c>
    </row>
    <row r="188" spans="2:28" x14ac:dyDescent="0.3">
      <c r="B188" s="17">
        <v>232</v>
      </c>
      <c r="C188" s="137">
        <v>8</v>
      </c>
      <c r="D188" s="138" t="s">
        <v>207</v>
      </c>
      <c r="E188" s="153">
        <v>92.941773341802914</v>
      </c>
      <c r="F188" s="151">
        <v>144439.21</v>
      </c>
      <c r="G188" s="151">
        <v>0</v>
      </c>
      <c r="H188" s="151">
        <f t="shared" si="22"/>
        <v>144439.21</v>
      </c>
      <c r="I188" s="85">
        <f t="shared" si="23"/>
        <v>1554.0827854533179</v>
      </c>
      <c r="J188" s="131">
        <f t="shared" si="24"/>
        <v>69650.639549923857</v>
      </c>
      <c r="K188" s="156"/>
      <c r="L188" s="156">
        <f>IFERROR(INDEX('Revised 2021 MFAM(2019 PYAs)'!AD$26:AD$278,MATCH(B188,'Revised 2021 MFAM(2019 PYAs)'!B$26:B$278,0)),0)</f>
        <v>-103.5032615672535</v>
      </c>
      <c r="M188" s="156">
        <f>IFERROR(INDEX('Revised 2020 MFAM(2018 PYAs)'!AF$26:AF$274,MATCH(B188,'Revised 2020 MFAM(2018 PYAs)'!B$26:B$274,0)),0)</f>
        <v>-23.205639743991924</v>
      </c>
      <c r="N188" s="156">
        <f t="shared" si="29"/>
        <v>-0.24370061167586171</v>
      </c>
      <c r="O188" s="156">
        <f t="shared" si="30"/>
        <v>-126.95260192292129</v>
      </c>
      <c r="P188" s="156"/>
      <c r="Q188" s="161">
        <f t="shared" si="25"/>
        <v>69523.686948000934</v>
      </c>
      <c r="R188" s="162">
        <v>0</v>
      </c>
      <c r="S188" s="163">
        <f t="shared" si="26"/>
        <v>0</v>
      </c>
      <c r="T188" s="156">
        <f t="shared" si="27"/>
        <v>69523.686948000934</v>
      </c>
      <c r="U188" s="90"/>
      <c r="V188" s="161">
        <v>0</v>
      </c>
      <c r="W188" s="156">
        <f t="shared" si="28"/>
        <v>69523.686948000934</v>
      </c>
      <c r="X188" s="90"/>
      <c r="Y188" s="156">
        <f t="shared" si="32"/>
        <v>17380.921737000233</v>
      </c>
      <c r="Z188" s="156">
        <f t="shared" si="32"/>
        <v>17380.921737000233</v>
      </c>
      <c r="AA188" s="156">
        <f t="shared" si="32"/>
        <v>17380.921737000233</v>
      </c>
      <c r="AB188" s="156">
        <f t="shared" si="32"/>
        <v>17380.921737000233</v>
      </c>
    </row>
    <row r="189" spans="2:28" x14ac:dyDescent="0.3">
      <c r="B189" s="17">
        <v>245</v>
      </c>
      <c r="C189" s="137">
        <v>8</v>
      </c>
      <c r="D189" s="138" t="s">
        <v>208</v>
      </c>
      <c r="E189" s="153">
        <v>224.32999999999998</v>
      </c>
      <c r="F189" s="151">
        <v>721067.3</v>
      </c>
      <c r="G189" s="151">
        <v>0</v>
      </c>
      <c r="H189" s="151">
        <f t="shared" si="22"/>
        <v>721067.3</v>
      </c>
      <c r="I189" s="85">
        <f t="shared" si="23"/>
        <v>3214.315071546383</v>
      </c>
      <c r="J189" s="131">
        <f t="shared" si="24"/>
        <v>347708.8984600291</v>
      </c>
      <c r="K189" s="156"/>
      <c r="L189" s="156">
        <f>IFERROR(INDEX('Revised 2021 MFAM(2019 PYAs)'!AD$26:AD$278,MATCH(B189,'Revised 2021 MFAM(2019 PYAs)'!B$26:B$278,0)),0)</f>
        <v>-437.13840512352181</v>
      </c>
      <c r="M189" s="156">
        <f>IFERROR(INDEX('Revised 2020 MFAM(2018 PYAs)'!AF$26:AF$274,MATCH(B189,'Revised 2020 MFAM(2018 PYAs)'!B$26:B$274,0)),0)</f>
        <v>-547.62631423438143</v>
      </c>
      <c r="N189" s="156">
        <f t="shared" si="29"/>
        <v>-1.2165986096812778</v>
      </c>
      <c r="O189" s="156">
        <f t="shared" si="30"/>
        <v>-985.98131796758446</v>
      </c>
      <c r="P189" s="156"/>
      <c r="Q189" s="161">
        <f t="shared" si="25"/>
        <v>346722.91714206152</v>
      </c>
      <c r="R189" s="162">
        <v>0</v>
      </c>
      <c r="S189" s="163">
        <f t="shared" si="26"/>
        <v>0</v>
      </c>
      <c r="T189" s="156">
        <f t="shared" si="27"/>
        <v>346722.91714206152</v>
      </c>
      <c r="U189" s="90"/>
      <c r="V189" s="161">
        <v>0</v>
      </c>
      <c r="W189" s="156">
        <f t="shared" si="28"/>
        <v>346722.91714206152</v>
      </c>
      <c r="X189" s="90"/>
      <c r="Y189" s="156">
        <f t="shared" si="32"/>
        <v>86680.729285515379</v>
      </c>
      <c r="Z189" s="156">
        <f t="shared" si="32"/>
        <v>86680.729285515379</v>
      </c>
      <c r="AA189" s="156">
        <f t="shared" si="32"/>
        <v>86680.729285515379</v>
      </c>
      <c r="AB189" s="156">
        <f t="shared" si="32"/>
        <v>86680.729285515379</v>
      </c>
    </row>
    <row r="190" spans="2:28" x14ac:dyDescent="0.3">
      <c r="B190" s="17">
        <v>372</v>
      </c>
      <c r="C190" s="137">
        <v>8</v>
      </c>
      <c r="D190" s="138" t="s">
        <v>209</v>
      </c>
      <c r="E190" s="153">
        <v>146.79999999999998</v>
      </c>
      <c r="F190" s="151">
        <v>119428.68</v>
      </c>
      <c r="G190" s="151">
        <v>0</v>
      </c>
      <c r="H190" s="151">
        <f t="shared" si="22"/>
        <v>119428.68</v>
      </c>
      <c r="I190" s="85">
        <f t="shared" si="23"/>
        <v>813.54686648501365</v>
      </c>
      <c r="J190" s="131">
        <f t="shared" si="24"/>
        <v>57590.2065831238</v>
      </c>
      <c r="K190" s="156"/>
      <c r="L190" s="156">
        <f>IFERROR(INDEX('Revised 2021 MFAM(2019 PYAs)'!AD$26:AD$278,MATCH(B190,'Revised 2021 MFAM(2019 PYAs)'!B$26:B$278,0)),0)</f>
        <v>-82.238513681997574</v>
      </c>
      <c r="M190" s="156">
        <f>IFERROR(INDEX('Revised 2020 MFAM(2018 PYAs)'!AF$26:AF$274,MATCH(B190,'Revised 2020 MFAM(2018 PYAs)'!B$26:B$274,0)),0)</f>
        <v>-19.477636746567441</v>
      </c>
      <c r="N190" s="156">
        <f t="shared" si="29"/>
        <v>-0.20150236468089761</v>
      </c>
      <c r="O190" s="156">
        <f t="shared" si="30"/>
        <v>-101.91765279324591</v>
      </c>
      <c r="P190" s="156"/>
      <c r="Q190" s="161">
        <f t="shared" si="25"/>
        <v>57488.288930330556</v>
      </c>
      <c r="R190" s="162">
        <v>0</v>
      </c>
      <c r="S190" s="163">
        <f t="shared" si="26"/>
        <v>0</v>
      </c>
      <c r="T190" s="156">
        <f t="shared" si="27"/>
        <v>57488.288930330556</v>
      </c>
      <c r="U190" s="90"/>
      <c r="V190" s="161">
        <v>0</v>
      </c>
      <c r="W190" s="156">
        <f t="shared" si="28"/>
        <v>57488.288930330556</v>
      </c>
      <c r="X190" s="90"/>
      <c r="Y190" s="156">
        <f t="shared" si="32"/>
        <v>14372.072232582639</v>
      </c>
      <c r="Z190" s="156">
        <f t="shared" si="32"/>
        <v>14372.072232582639</v>
      </c>
      <c r="AA190" s="156">
        <f t="shared" si="32"/>
        <v>14372.072232582639</v>
      </c>
      <c r="AB190" s="156">
        <f t="shared" si="32"/>
        <v>14372.072232582639</v>
      </c>
    </row>
    <row r="191" spans="2:28" x14ac:dyDescent="0.3">
      <c r="B191" s="17">
        <v>375</v>
      </c>
      <c r="C191" s="137">
        <v>8</v>
      </c>
      <c r="D191" s="138" t="s">
        <v>210</v>
      </c>
      <c r="E191" s="153">
        <v>165.67999999999998</v>
      </c>
      <c r="F191" s="151">
        <v>256512.41</v>
      </c>
      <c r="G191" s="151">
        <v>0</v>
      </c>
      <c r="H191" s="151">
        <f t="shared" si="22"/>
        <v>256512.41</v>
      </c>
      <c r="I191" s="85">
        <f t="shared" si="23"/>
        <v>1548.2400410429746</v>
      </c>
      <c r="J191" s="131">
        <f t="shared" si="24"/>
        <v>123693.92915533314</v>
      </c>
      <c r="K191" s="156"/>
      <c r="L191" s="156">
        <f>IFERROR(INDEX('Revised 2021 MFAM(2019 PYAs)'!AD$26:AD$278,MATCH(B191,'Revised 2021 MFAM(2019 PYAs)'!B$26:B$278,0)),0)</f>
        <v>-199.68206897268828</v>
      </c>
      <c r="M191" s="156">
        <f>IFERROR(INDEX('Revised 2020 MFAM(2018 PYAs)'!AF$26:AF$274,MATCH(B191,'Revised 2020 MFAM(2018 PYAs)'!B$26:B$274,0)),0)</f>
        <v>-57.581897597730858</v>
      </c>
      <c r="N191" s="156">
        <f t="shared" si="29"/>
        <v>-0.43279266910591269</v>
      </c>
      <c r="O191" s="156">
        <f t="shared" si="30"/>
        <v>-257.69675923952508</v>
      </c>
      <c r="P191" s="156"/>
      <c r="Q191" s="161">
        <f t="shared" si="25"/>
        <v>123436.23239609362</v>
      </c>
      <c r="R191" s="162">
        <v>0</v>
      </c>
      <c r="S191" s="163">
        <f t="shared" si="26"/>
        <v>0</v>
      </c>
      <c r="T191" s="156">
        <f t="shared" si="27"/>
        <v>123436.23239609362</v>
      </c>
      <c r="U191" s="90"/>
      <c r="V191" s="161">
        <v>0</v>
      </c>
      <c r="W191" s="156">
        <f t="shared" si="28"/>
        <v>123436.23239609362</v>
      </c>
      <c r="X191" s="90"/>
      <c r="Y191" s="156">
        <f t="shared" si="32"/>
        <v>30859.058099023405</v>
      </c>
      <c r="Z191" s="156">
        <f t="shared" si="32"/>
        <v>30859.058099023405</v>
      </c>
      <c r="AA191" s="156">
        <f t="shared" si="32"/>
        <v>30859.058099023405</v>
      </c>
      <c r="AB191" s="156">
        <f t="shared" si="32"/>
        <v>30859.058099023405</v>
      </c>
    </row>
    <row r="192" spans="2:28" x14ac:dyDescent="0.3">
      <c r="B192" s="17">
        <v>404</v>
      </c>
      <c r="C192" s="137">
        <v>8</v>
      </c>
      <c r="D192" s="138" t="s">
        <v>211</v>
      </c>
      <c r="E192" s="153">
        <v>637.91</v>
      </c>
      <c r="F192" s="151">
        <v>352203.44</v>
      </c>
      <c r="G192" s="151">
        <v>10126.56</v>
      </c>
      <c r="H192" s="151">
        <f t="shared" si="22"/>
        <v>342076.88</v>
      </c>
      <c r="I192" s="85">
        <f t="shared" si="23"/>
        <v>536.24630433760251</v>
      </c>
      <c r="J192" s="131">
        <f t="shared" si="24"/>
        <v>164954.33246445033</v>
      </c>
      <c r="K192" s="156"/>
      <c r="L192" s="156">
        <f>IFERROR(INDEX('Revised 2021 MFAM(2019 PYAs)'!AD$26:AD$278,MATCH(B192,'Revised 2021 MFAM(2019 PYAs)'!B$26:B$278,0)),0)</f>
        <v>-269.2572564050206</v>
      </c>
      <c r="M192" s="156">
        <f>IFERROR(INDEX('Revised 2020 MFAM(2018 PYAs)'!AF$26:AF$274,MATCH(B192,'Revised 2020 MFAM(2018 PYAs)'!B$26:B$274,0)),0)</f>
        <v>-55.345285621267976</v>
      </c>
      <c r="N192" s="156">
        <f t="shared" si="29"/>
        <v>-0.5771586877010082</v>
      </c>
      <c r="O192" s="156">
        <f t="shared" si="30"/>
        <v>-325.17970071398958</v>
      </c>
      <c r="P192" s="156"/>
      <c r="Q192" s="161">
        <f t="shared" si="25"/>
        <v>164629.15276373635</v>
      </c>
      <c r="R192" s="162">
        <v>0</v>
      </c>
      <c r="S192" s="163">
        <f t="shared" si="26"/>
        <v>0</v>
      </c>
      <c r="T192" s="156">
        <f t="shared" si="27"/>
        <v>164629.15276373635</v>
      </c>
      <c r="U192" s="90"/>
      <c r="V192" s="161">
        <v>0</v>
      </c>
      <c r="W192" s="156">
        <f t="shared" si="28"/>
        <v>164629.15276373635</v>
      </c>
      <c r="X192" s="90"/>
      <c r="Y192" s="156">
        <f t="shared" si="32"/>
        <v>41157.288190934087</v>
      </c>
      <c r="Z192" s="156">
        <f t="shared" si="32"/>
        <v>41157.288190934087</v>
      </c>
      <c r="AA192" s="156">
        <f t="shared" si="32"/>
        <v>41157.288190934087</v>
      </c>
      <c r="AB192" s="156">
        <f t="shared" si="32"/>
        <v>41157.288190934087</v>
      </c>
    </row>
    <row r="193" spans="2:28" x14ac:dyDescent="0.3">
      <c r="B193" s="17">
        <v>413</v>
      </c>
      <c r="C193" s="137">
        <v>8</v>
      </c>
      <c r="D193" s="138" t="s">
        <v>212</v>
      </c>
      <c r="E193" s="153">
        <v>82.92</v>
      </c>
      <c r="F193" s="151">
        <v>71315.58</v>
      </c>
      <c r="G193" s="151">
        <v>44</v>
      </c>
      <c r="H193" s="151">
        <f t="shared" si="22"/>
        <v>71271.58</v>
      </c>
      <c r="I193" s="85">
        <f t="shared" si="23"/>
        <v>859.52219006271105</v>
      </c>
      <c r="J193" s="131">
        <f t="shared" si="24"/>
        <v>34368.16864848238</v>
      </c>
      <c r="K193" s="156"/>
      <c r="L193" s="156">
        <f>IFERROR(INDEX('Revised 2021 MFAM(2019 PYAs)'!AD$26:AD$278,MATCH(B193,'Revised 2021 MFAM(2019 PYAs)'!B$26:B$278,0)),0)</f>
        <v>-81.437134571639035</v>
      </c>
      <c r="M193" s="156">
        <f>IFERROR(INDEX('Revised 2020 MFAM(2018 PYAs)'!AF$26:AF$274,MATCH(B193,'Revised 2020 MFAM(2018 PYAs)'!B$26:B$274,0)),0)</f>
        <v>-14.346873518192297</v>
      </c>
      <c r="N193" s="156">
        <f t="shared" si="29"/>
        <v>-0.1202507798339877</v>
      </c>
      <c r="O193" s="156">
        <f t="shared" si="30"/>
        <v>-95.904258869665313</v>
      </c>
      <c r="P193" s="156"/>
      <c r="Q193" s="161">
        <f t="shared" si="25"/>
        <v>34272.264389612712</v>
      </c>
      <c r="R193" s="162">
        <v>0</v>
      </c>
      <c r="S193" s="163">
        <f t="shared" si="26"/>
        <v>0</v>
      </c>
      <c r="T193" s="156">
        <f t="shared" si="27"/>
        <v>34272.264389612712</v>
      </c>
      <c r="U193" s="90"/>
      <c r="V193" s="161">
        <v>0</v>
      </c>
      <c r="W193" s="156">
        <f t="shared" si="28"/>
        <v>34272.264389612712</v>
      </c>
      <c r="X193" s="90"/>
      <c r="Y193" s="156">
        <f t="shared" si="32"/>
        <v>8568.066097403178</v>
      </c>
      <c r="Z193" s="156">
        <f t="shared" si="32"/>
        <v>8568.066097403178</v>
      </c>
      <c r="AA193" s="156">
        <f t="shared" si="32"/>
        <v>8568.066097403178</v>
      </c>
      <c r="AB193" s="156">
        <f t="shared" si="32"/>
        <v>8568.066097403178</v>
      </c>
    </row>
    <row r="194" spans="2:28" x14ac:dyDescent="0.3">
      <c r="B194" s="17">
        <v>537</v>
      </c>
      <c r="C194" s="137">
        <v>8</v>
      </c>
      <c r="D194" s="138" t="s">
        <v>213</v>
      </c>
      <c r="E194" s="153">
        <v>11.850041107387474</v>
      </c>
      <c r="F194" s="151">
        <v>9233.09</v>
      </c>
      <c r="G194" s="151">
        <v>0</v>
      </c>
      <c r="H194" s="151">
        <f t="shared" si="22"/>
        <v>9233.09</v>
      </c>
      <c r="I194" s="85">
        <f t="shared" si="23"/>
        <v>779.16101018788606</v>
      </c>
      <c r="J194" s="131">
        <f t="shared" si="24"/>
        <v>4452.3272006403695</v>
      </c>
      <c r="K194" s="156"/>
      <c r="L194" s="156">
        <f>IFERROR(INDEX('Revised 2021 MFAM(2019 PYAs)'!AD$26:AD$278,MATCH(B194,'Revised 2021 MFAM(2019 PYAs)'!B$26:B$278,0)),0)</f>
        <v>-7.1431679099337089</v>
      </c>
      <c r="M194" s="156">
        <f>IFERROR(INDEX('Revised 2020 MFAM(2018 PYAs)'!AF$26:AF$274,MATCH(B194,'Revised 2020 MFAM(2018 PYAs)'!B$26:B$274,0)),0)</f>
        <v>-1.9361095449226013</v>
      </c>
      <c r="N194" s="156">
        <f t="shared" si="29"/>
        <v>-1.5578246936259773E-2</v>
      </c>
      <c r="O194" s="156">
        <f t="shared" si="30"/>
        <v>-9.0948557017925697</v>
      </c>
      <c r="P194" s="156"/>
      <c r="Q194" s="161">
        <f t="shared" si="25"/>
        <v>4443.2323449385767</v>
      </c>
      <c r="R194" s="162">
        <v>0</v>
      </c>
      <c r="S194" s="163">
        <f t="shared" si="26"/>
        <v>0</v>
      </c>
      <c r="T194" s="156">
        <f t="shared" si="27"/>
        <v>4443.2323449385767</v>
      </c>
      <c r="U194" s="90"/>
      <c r="V194" s="161">
        <v>0</v>
      </c>
      <c r="W194" s="156">
        <f t="shared" si="28"/>
        <v>4443.2323449385767</v>
      </c>
      <c r="X194" s="90"/>
      <c r="Y194" s="156">
        <f t="shared" si="32"/>
        <v>1110.8080862346442</v>
      </c>
      <c r="Z194" s="156">
        <f t="shared" si="32"/>
        <v>1110.8080862346442</v>
      </c>
      <c r="AA194" s="156">
        <f t="shared" si="32"/>
        <v>1110.8080862346442</v>
      </c>
      <c r="AB194" s="156">
        <f t="shared" si="32"/>
        <v>1110.8080862346442</v>
      </c>
    </row>
    <row r="195" spans="2:28" x14ac:dyDescent="0.3">
      <c r="B195" s="17">
        <v>545</v>
      </c>
      <c r="C195" s="137">
        <v>8</v>
      </c>
      <c r="D195" s="138" t="s">
        <v>214</v>
      </c>
      <c r="E195" s="153">
        <v>15.78141752115139</v>
      </c>
      <c r="F195" s="151">
        <v>8210.99</v>
      </c>
      <c r="G195" s="151">
        <v>0</v>
      </c>
      <c r="H195" s="151">
        <f t="shared" si="22"/>
        <v>8210.99</v>
      </c>
      <c r="I195" s="85">
        <f t="shared" si="23"/>
        <v>520.29483340105799</v>
      </c>
      <c r="J195" s="131">
        <f t="shared" si="24"/>
        <v>3959.4560565516063</v>
      </c>
      <c r="K195" s="156"/>
      <c r="L195" s="156">
        <f>IFERROR(INDEX('Revised 2021 MFAM(2019 PYAs)'!AD$26:AD$278,MATCH(B195,'Revised 2021 MFAM(2019 PYAs)'!B$26:B$278,0)),0)</f>
        <v>-8.1563474760018835</v>
      </c>
      <c r="M195" s="156">
        <f>IFERROR(INDEX('Revised 2020 MFAM(2018 PYAs)'!AF$26:AF$274,MATCH(B195,'Revised 2020 MFAM(2018 PYAs)'!B$26:B$274,0)),0)</f>
        <v>-1.6992054134971113</v>
      </c>
      <c r="N195" s="156">
        <f t="shared" si="29"/>
        <v>-1.3853740168368297E-2</v>
      </c>
      <c r="O195" s="156">
        <f t="shared" si="30"/>
        <v>-9.8694066296673633</v>
      </c>
      <c r="P195" s="156"/>
      <c r="Q195" s="161">
        <f t="shared" si="25"/>
        <v>3949.5866499219387</v>
      </c>
      <c r="R195" s="162">
        <v>0</v>
      </c>
      <c r="S195" s="163">
        <f t="shared" si="26"/>
        <v>0</v>
      </c>
      <c r="T195" s="156">
        <f t="shared" si="27"/>
        <v>3949.5866499219387</v>
      </c>
      <c r="U195" s="90"/>
      <c r="V195" s="161">
        <v>0</v>
      </c>
      <c r="W195" s="156">
        <f t="shared" si="28"/>
        <v>3949.5866499219387</v>
      </c>
      <c r="X195" s="90"/>
      <c r="Y195" s="156">
        <f t="shared" si="32"/>
        <v>987.39666248048468</v>
      </c>
      <c r="Z195" s="156">
        <f t="shared" si="32"/>
        <v>987.39666248048468</v>
      </c>
      <c r="AA195" s="156">
        <f t="shared" si="32"/>
        <v>987.39666248048468</v>
      </c>
      <c r="AB195" s="156">
        <f t="shared" si="32"/>
        <v>987.39666248048468</v>
      </c>
    </row>
    <row r="196" spans="2:28" x14ac:dyDescent="0.3">
      <c r="B196" s="17">
        <v>605</v>
      </c>
      <c r="C196" s="137">
        <v>8</v>
      </c>
      <c r="D196" s="138" t="s">
        <v>216</v>
      </c>
      <c r="E196" s="153">
        <v>11.644019787426455</v>
      </c>
      <c r="F196" s="151">
        <v>9297.0300000000007</v>
      </c>
      <c r="G196" s="151">
        <v>0</v>
      </c>
      <c r="H196" s="151">
        <f t="shared" si="22"/>
        <v>9297.0300000000007</v>
      </c>
      <c r="I196" s="85">
        <f t="shared" si="23"/>
        <v>798.43818283778592</v>
      </c>
      <c r="J196" s="131">
        <f t="shared" si="24"/>
        <v>4483.1599772307582</v>
      </c>
      <c r="K196" s="156"/>
      <c r="L196" s="156">
        <f>IFERROR(INDEX('Revised 2021 MFAM(2019 PYAs)'!AD$26:AD$278,MATCH(B196,'Revised 2021 MFAM(2019 PYAs)'!B$26:B$278,0)),0)</f>
        <v>-7.6527533355856576</v>
      </c>
      <c r="M196" s="156">
        <f>IFERROR(INDEX('Revised 2020 MFAM(2018 PYAs)'!AF$26:AF$274,MATCH(B196,'Revised 2020 MFAM(2018 PYAs)'!B$26:B$274,0)),0)</f>
        <v>-1.7085125704270467</v>
      </c>
      <c r="N196" s="156">
        <f t="shared" si="29"/>
        <v>-1.5686127733382349E-2</v>
      </c>
      <c r="O196" s="156">
        <f t="shared" si="30"/>
        <v>-9.3769520337460861</v>
      </c>
      <c r="P196" s="156"/>
      <c r="Q196" s="161">
        <f t="shared" si="25"/>
        <v>4473.7830251970117</v>
      </c>
      <c r="R196" s="162">
        <v>0</v>
      </c>
      <c r="S196" s="163">
        <f t="shared" si="26"/>
        <v>0</v>
      </c>
      <c r="T196" s="156">
        <f t="shared" si="27"/>
        <v>4473.7830251970117</v>
      </c>
      <c r="U196" s="90"/>
      <c r="V196" s="161">
        <v>0</v>
      </c>
      <c r="W196" s="156">
        <f t="shared" si="28"/>
        <v>4473.7830251970117</v>
      </c>
      <c r="X196" s="90"/>
      <c r="Y196" s="156">
        <f t="shared" si="32"/>
        <v>1118.4457562992529</v>
      </c>
      <c r="Z196" s="156">
        <f t="shared" si="32"/>
        <v>1118.4457562992529</v>
      </c>
      <c r="AA196" s="156">
        <f t="shared" si="32"/>
        <v>1118.4457562992529</v>
      </c>
      <c r="AB196" s="156">
        <f t="shared" si="32"/>
        <v>1118.4457562992529</v>
      </c>
    </row>
    <row r="197" spans="2:28" x14ac:dyDescent="0.3">
      <c r="B197" s="17">
        <v>607</v>
      </c>
      <c r="C197" s="137">
        <v>8</v>
      </c>
      <c r="D197" s="138" t="s">
        <v>217</v>
      </c>
      <c r="E197" s="153">
        <v>17.473660100397499</v>
      </c>
      <c r="F197" s="151">
        <v>13913.45</v>
      </c>
      <c r="G197" s="151">
        <v>0</v>
      </c>
      <c r="H197" s="151">
        <f t="shared" si="22"/>
        <v>13913.45</v>
      </c>
      <c r="I197" s="85">
        <f t="shared" si="23"/>
        <v>796.25275529329372</v>
      </c>
      <c r="J197" s="131">
        <f t="shared" si="24"/>
        <v>6709.2633007746872</v>
      </c>
      <c r="K197" s="156"/>
      <c r="L197" s="156">
        <f>IFERROR(INDEX('Revised 2021 MFAM(2019 PYAs)'!AD$26:AD$278,MATCH(B197,'Revised 2021 MFAM(2019 PYAs)'!B$26:B$278,0)),0)</f>
        <v>-11.558760580080161</v>
      </c>
      <c r="M197" s="156">
        <f>IFERROR(INDEX('Revised 2020 MFAM(2018 PYAs)'!AF$26:AF$274,MATCH(B197,'Revised 2020 MFAM(2018 PYAs)'!B$26:B$274,0)),0)</f>
        <v>-2.576598070927048</v>
      </c>
      <c r="N197" s="156">
        <f t="shared" si="29"/>
        <v>-2.3475040299109351E-2</v>
      </c>
      <c r="O197" s="156">
        <f t="shared" si="30"/>
        <v>-14.158833691306318</v>
      </c>
      <c r="P197" s="156"/>
      <c r="Q197" s="161">
        <f t="shared" si="25"/>
        <v>6695.1044670833808</v>
      </c>
      <c r="R197" s="162">
        <v>0</v>
      </c>
      <c r="S197" s="163">
        <f t="shared" si="26"/>
        <v>0</v>
      </c>
      <c r="T197" s="156">
        <f t="shared" si="27"/>
        <v>6695.1044670833808</v>
      </c>
      <c r="U197" s="90"/>
      <c r="V197" s="161">
        <v>0</v>
      </c>
      <c r="W197" s="156">
        <f t="shared" si="28"/>
        <v>6695.1044670833808</v>
      </c>
      <c r="X197" s="90"/>
      <c r="Y197" s="156">
        <f t="shared" si="32"/>
        <v>1673.7761167708452</v>
      </c>
      <c r="Z197" s="156">
        <f t="shared" si="32"/>
        <v>1673.7761167708452</v>
      </c>
      <c r="AA197" s="156">
        <f t="shared" si="32"/>
        <v>1673.7761167708452</v>
      </c>
      <c r="AB197" s="156">
        <f t="shared" si="32"/>
        <v>1673.7761167708452</v>
      </c>
    </row>
    <row r="198" spans="2:28" x14ac:dyDescent="0.3">
      <c r="B198" s="17">
        <v>610</v>
      </c>
      <c r="C198" s="137">
        <v>8</v>
      </c>
      <c r="D198" s="138" t="s">
        <v>218</v>
      </c>
      <c r="E198" s="153">
        <v>75.19636883839371</v>
      </c>
      <c r="F198" s="151">
        <v>39795.599999999999</v>
      </c>
      <c r="G198" s="151">
        <v>0</v>
      </c>
      <c r="H198" s="151">
        <f t="shared" si="22"/>
        <v>39795.599999999999</v>
      </c>
      <c r="I198" s="85">
        <f t="shared" si="23"/>
        <v>529.22236292454045</v>
      </c>
      <c r="J198" s="131">
        <f t="shared" si="24"/>
        <v>19190.003817335681</v>
      </c>
      <c r="K198" s="156"/>
      <c r="L198" s="156">
        <f>IFERROR(INDEX('Revised 2021 MFAM(2019 PYAs)'!AD$26:AD$278,MATCH(B198,'Revised 2021 MFAM(2019 PYAs)'!B$26:B$278,0)),0)</f>
        <v>-38.176905874097429</v>
      </c>
      <c r="M198" s="156">
        <f>IFERROR(INDEX('Revised 2020 MFAM(2018 PYAs)'!AF$26:AF$274,MATCH(B198,'Revised 2020 MFAM(2018 PYAs)'!B$26:B$274,0)),0)</f>
        <v>-7.392594650391402</v>
      </c>
      <c r="N198" s="156">
        <f t="shared" si="29"/>
        <v>-6.7143901313278589E-2</v>
      </c>
      <c r="O198" s="156">
        <f t="shared" si="30"/>
        <v>-45.63664442580211</v>
      </c>
      <c r="P198" s="156"/>
      <c r="Q198" s="161">
        <f t="shared" si="25"/>
        <v>19144.367172909879</v>
      </c>
      <c r="R198" s="162">
        <v>0</v>
      </c>
      <c r="S198" s="163">
        <f t="shared" si="26"/>
        <v>0</v>
      </c>
      <c r="T198" s="156">
        <f t="shared" si="27"/>
        <v>19144.367172909879</v>
      </c>
      <c r="U198" s="90"/>
      <c r="V198" s="161">
        <v>0</v>
      </c>
      <c r="W198" s="156">
        <f t="shared" si="28"/>
        <v>19144.367172909879</v>
      </c>
      <c r="X198" s="90"/>
      <c r="Y198" s="156">
        <f t="shared" si="32"/>
        <v>4786.0917932274697</v>
      </c>
      <c r="Z198" s="156">
        <f t="shared" si="32"/>
        <v>4786.0917932274697</v>
      </c>
      <c r="AA198" s="156">
        <f t="shared" si="32"/>
        <v>4786.0917932274697</v>
      </c>
      <c r="AB198" s="156">
        <f t="shared" si="32"/>
        <v>4786.0917932274697</v>
      </c>
    </row>
    <row r="199" spans="2:28" x14ac:dyDescent="0.3">
      <c r="B199" s="17">
        <v>611</v>
      </c>
      <c r="C199" s="137">
        <v>8</v>
      </c>
      <c r="D199" s="138" t="s">
        <v>219</v>
      </c>
      <c r="E199" s="153">
        <v>13.408990768247023</v>
      </c>
      <c r="F199" s="151">
        <v>23816.77</v>
      </c>
      <c r="G199" s="151">
        <v>0</v>
      </c>
      <c r="H199" s="151">
        <f t="shared" si="22"/>
        <v>23816.77</v>
      </c>
      <c r="I199" s="85">
        <f t="shared" si="23"/>
        <v>1776.1791630432751</v>
      </c>
      <c r="J199" s="131">
        <f t="shared" si="24"/>
        <v>11484.784931414677</v>
      </c>
      <c r="K199" s="156"/>
      <c r="L199" s="156">
        <f>IFERROR(INDEX('Revised 2021 MFAM(2019 PYAs)'!AD$26:AD$278,MATCH(B199,'Revised 2021 MFAM(2019 PYAs)'!B$26:B$278,0)),0)</f>
        <v>-34.709055918890954</v>
      </c>
      <c r="M199" s="156">
        <f>IFERROR(INDEX('Revised 2020 MFAM(2018 PYAs)'!AF$26:AF$274,MATCH(B199,'Revised 2020 MFAM(2018 PYAs)'!B$26:B$274,0)),0)</f>
        <v>-7.5204381326002476</v>
      </c>
      <c r="N199" s="156">
        <f t="shared" si="29"/>
        <v>-4.0184112175241843E-2</v>
      </c>
      <c r="O199" s="156">
        <f t="shared" si="30"/>
        <v>-42.269678163666441</v>
      </c>
      <c r="P199" s="156"/>
      <c r="Q199" s="161">
        <f t="shared" si="25"/>
        <v>11442.515253251011</v>
      </c>
      <c r="R199" s="162">
        <v>0</v>
      </c>
      <c r="S199" s="163">
        <f t="shared" si="26"/>
        <v>0</v>
      </c>
      <c r="T199" s="156">
        <f t="shared" si="27"/>
        <v>11442.515253251011</v>
      </c>
      <c r="U199" s="90"/>
      <c r="V199" s="161">
        <v>0</v>
      </c>
      <c r="W199" s="156">
        <f t="shared" si="28"/>
        <v>11442.515253251011</v>
      </c>
      <c r="X199" s="90"/>
      <c r="Y199" s="156">
        <f t="shared" si="32"/>
        <v>2860.6288133127528</v>
      </c>
      <c r="Z199" s="156">
        <f t="shared" si="32"/>
        <v>2860.6288133127528</v>
      </c>
      <c r="AA199" s="156">
        <f t="shared" si="32"/>
        <v>2860.6288133127528</v>
      </c>
      <c r="AB199" s="156">
        <f t="shared" si="32"/>
        <v>2860.6288133127528</v>
      </c>
    </row>
    <row r="200" spans="2:28" x14ac:dyDescent="0.3">
      <c r="B200" s="17">
        <v>616</v>
      </c>
      <c r="C200" s="137">
        <v>8</v>
      </c>
      <c r="D200" s="138" t="s">
        <v>220</v>
      </c>
      <c r="E200" s="153">
        <v>180.31</v>
      </c>
      <c r="F200" s="151">
        <v>223457.03</v>
      </c>
      <c r="G200" s="151">
        <v>0</v>
      </c>
      <c r="H200" s="151">
        <f t="shared" si="22"/>
        <v>223457.03</v>
      </c>
      <c r="I200" s="85">
        <f t="shared" si="23"/>
        <v>1239.2936054572681</v>
      </c>
      <c r="J200" s="131">
        <f t="shared" si="24"/>
        <v>107754.15520083864</v>
      </c>
      <c r="K200" s="156"/>
      <c r="L200" s="156">
        <f>IFERROR(INDEX('Revised 2021 MFAM(2019 PYAs)'!AD$26:AD$278,MATCH(B200,'Revised 2021 MFAM(2019 PYAs)'!B$26:B$278,0)),0)</f>
        <v>-232.89223394435248</v>
      </c>
      <c r="M200" s="156">
        <f>IFERROR(INDEX('Revised 2020 MFAM(2018 PYAs)'!AF$26:AF$274,MATCH(B200,'Revised 2020 MFAM(2018 PYAs)'!B$26:B$274,0)),0)</f>
        <v>-60.445582697313512</v>
      </c>
      <c r="N200" s="156">
        <f t="shared" si="29"/>
        <v>-0.37702099654429977</v>
      </c>
      <c r="O200" s="156">
        <f t="shared" si="30"/>
        <v>-293.71483763821027</v>
      </c>
      <c r="P200" s="156"/>
      <c r="Q200" s="161">
        <f t="shared" si="25"/>
        <v>107460.44036320043</v>
      </c>
      <c r="R200" s="162">
        <v>0</v>
      </c>
      <c r="S200" s="163">
        <f t="shared" si="26"/>
        <v>0</v>
      </c>
      <c r="T200" s="156">
        <f t="shared" si="27"/>
        <v>107460.44036320043</v>
      </c>
      <c r="U200" s="90"/>
      <c r="V200" s="161">
        <v>0</v>
      </c>
      <c r="W200" s="156">
        <f t="shared" si="28"/>
        <v>107460.44036320043</v>
      </c>
      <c r="X200" s="90"/>
      <c r="Y200" s="156">
        <f t="shared" si="32"/>
        <v>26865.110090800106</v>
      </c>
      <c r="Z200" s="156">
        <f t="shared" si="32"/>
        <v>26865.110090800106</v>
      </c>
      <c r="AA200" s="156">
        <f t="shared" si="32"/>
        <v>26865.110090800106</v>
      </c>
      <c r="AB200" s="156">
        <f t="shared" si="32"/>
        <v>26865.110090800106</v>
      </c>
    </row>
    <row r="201" spans="2:28" x14ac:dyDescent="0.3">
      <c r="B201" s="17">
        <v>637</v>
      </c>
      <c r="C201" s="137">
        <v>8</v>
      </c>
      <c r="D201" s="138" t="s">
        <v>345</v>
      </c>
      <c r="E201" s="153">
        <v>15.33</v>
      </c>
      <c r="F201" s="151">
        <v>24131.66</v>
      </c>
      <c r="G201" s="151">
        <v>0</v>
      </c>
      <c r="H201" s="151">
        <f t="shared" si="22"/>
        <v>24131.66</v>
      </c>
      <c r="I201" s="85">
        <f t="shared" si="23"/>
        <v>1574.1461187214611</v>
      </c>
      <c r="J201" s="131">
        <f t="shared" si="24"/>
        <v>11636.629364016293</v>
      </c>
      <c r="K201" s="156"/>
      <c r="L201" s="156">
        <f>IFERROR(INDEX('Revised 2021 MFAM(2019 PYAs)'!AD$26:AD$278,MATCH(B201,'Revised 2021 MFAM(2019 PYAs)'!B$26:B$278,0)),0)</f>
        <v>-19.209282072699352</v>
      </c>
      <c r="M201" s="156">
        <f>IFERROR(INDEX('Revised 2020 MFAM(2018 PYAs)'!AF$26:AF$274,MATCH(B201,'Revised 2020 MFAM(2018 PYAs)'!B$26:B$274,0)),0)</f>
        <v>-6.1284665224891341</v>
      </c>
      <c r="N201" s="156">
        <f t="shared" si="29"/>
        <v>-4.0715400636391778E-2</v>
      </c>
      <c r="O201" s="156">
        <f t="shared" si="30"/>
        <v>-25.378463995824877</v>
      </c>
      <c r="P201" s="156"/>
      <c r="Q201" s="161">
        <f t="shared" si="25"/>
        <v>11611.250900020468</v>
      </c>
      <c r="R201" s="162">
        <v>0</v>
      </c>
      <c r="S201" s="163">
        <f t="shared" si="26"/>
        <v>0</v>
      </c>
      <c r="T201" s="156">
        <f t="shared" si="27"/>
        <v>11611.250900020468</v>
      </c>
      <c r="U201" s="90"/>
      <c r="V201" s="161">
        <v>0</v>
      </c>
      <c r="W201" s="156">
        <f t="shared" si="28"/>
        <v>11611.250900020468</v>
      </c>
      <c r="X201" s="90"/>
      <c r="Y201" s="156">
        <f t="shared" si="32"/>
        <v>2902.812725005117</v>
      </c>
      <c r="Z201" s="156">
        <f t="shared" si="32"/>
        <v>2902.812725005117</v>
      </c>
      <c r="AA201" s="156">
        <f t="shared" si="32"/>
        <v>2902.812725005117</v>
      </c>
      <c r="AB201" s="156">
        <f t="shared" si="32"/>
        <v>2902.812725005117</v>
      </c>
    </row>
    <row r="202" spans="2:28" x14ac:dyDescent="0.3">
      <c r="B202" s="17">
        <v>638</v>
      </c>
      <c r="C202" s="137">
        <v>8</v>
      </c>
      <c r="D202" s="138" t="s">
        <v>296</v>
      </c>
      <c r="E202" s="153">
        <v>11.437998467465437</v>
      </c>
      <c r="F202" s="151">
        <v>17396.490000000002</v>
      </c>
      <c r="G202" s="151">
        <v>0</v>
      </c>
      <c r="H202" s="151">
        <f t="shared" si="22"/>
        <v>17396.490000000002</v>
      </c>
      <c r="I202" s="85">
        <f t="shared" si="23"/>
        <v>1520.9383048514183</v>
      </c>
      <c r="J202" s="131">
        <f t="shared" si="24"/>
        <v>8388.8346829358525</v>
      </c>
      <c r="K202" s="156"/>
      <c r="L202" s="156">
        <f>IFERROR(INDEX('Revised 2021 MFAM(2019 PYAs)'!AD$26:AD$278,MATCH(B202,'Revised 2021 MFAM(2019 PYAs)'!B$26:B$278,0)),0)</f>
        <v>-17.691328768165477</v>
      </c>
      <c r="M202" s="156">
        <f>IFERROR(INDEX('Revised 2020 MFAM(2018 PYAs)'!AF$26:AF$274,MATCH(B202,'Revised 2020 MFAM(2018 PYAs)'!B$26:B$274,0)),0)</f>
        <v>-30.808873297683931</v>
      </c>
      <c r="N202" s="156">
        <f t="shared" si="29"/>
        <v>-2.9351692341802561E-2</v>
      </c>
      <c r="O202" s="156">
        <f t="shared" si="30"/>
        <v>-48.529553758191213</v>
      </c>
      <c r="P202" s="156"/>
      <c r="Q202" s="161">
        <f t="shared" si="25"/>
        <v>8340.305129177661</v>
      </c>
      <c r="R202" s="162">
        <v>0</v>
      </c>
      <c r="S202" s="163">
        <f t="shared" si="26"/>
        <v>0</v>
      </c>
      <c r="T202" s="156">
        <f t="shared" si="27"/>
        <v>8340.305129177661</v>
      </c>
      <c r="U202" s="90"/>
      <c r="V202" s="161">
        <v>0</v>
      </c>
      <c r="W202" s="156">
        <f t="shared" si="28"/>
        <v>8340.305129177661</v>
      </c>
      <c r="X202" s="90"/>
      <c r="Y202" s="156">
        <f t="shared" si="32"/>
        <v>2085.0762822944153</v>
      </c>
      <c r="Z202" s="156">
        <f t="shared" si="32"/>
        <v>2085.0762822944153</v>
      </c>
      <c r="AA202" s="156">
        <f t="shared" si="32"/>
        <v>2085.0762822944153</v>
      </c>
      <c r="AB202" s="156">
        <f t="shared" si="32"/>
        <v>2085.0762822944153</v>
      </c>
    </row>
    <row r="203" spans="2:28" x14ac:dyDescent="0.3">
      <c r="B203" s="17">
        <v>645</v>
      </c>
      <c r="C203" s="137">
        <v>8</v>
      </c>
      <c r="D203" s="138" t="s">
        <v>313</v>
      </c>
      <c r="E203" s="153">
        <v>9.713523715199134</v>
      </c>
      <c r="F203" s="151">
        <v>8931.35</v>
      </c>
      <c r="G203" s="151">
        <v>0</v>
      </c>
      <c r="H203" s="151">
        <f t="shared" si="22"/>
        <v>8931.35</v>
      </c>
      <c r="I203" s="85">
        <f t="shared" si="23"/>
        <v>919.4758011477096</v>
      </c>
      <c r="J203" s="131">
        <f t="shared" si="24"/>
        <v>4306.8238849008694</v>
      </c>
      <c r="K203" s="156"/>
      <c r="L203" s="156">
        <f>IFERROR(INDEX('Revised 2021 MFAM(2019 PYAs)'!AD$26:AD$278,MATCH(B203,'Revised 2021 MFAM(2019 PYAs)'!B$26:B$278,0)),0)</f>
        <v>-7.4668582028402852</v>
      </c>
      <c r="M203" s="156">
        <f>IFERROR(INDEX('Revised 2020 MFAM(2018 PYAs)'!AF$26:AF$274,MATCH(B203,'Revised 2020 MFAM(2018 PYAs)'!B$26:B$274,0)),0)</f>
        <v>0</v>
      </c>
      <c r="N203" s="156">
        <f t="shared" si="29"/>
        <v>-1.5069145407893104E-2</v>
      </c>
      <c r="O203" s="156">
        <f t="shared" si="30"/>
        <v>-7.4819273482481785</v>
      </c>
      <c r="P203" s="156"/>
      <c r="Q203" s="161">
        <f t="shared" si="25"/>
        <v>4299.3419575526214</v>
      </c>
      <c r="R203" s="162">
        <v>0</v>
      </c>
      <c r="S203" s="163">
        <f t="shared" si="26"/>
        <v>0</v>
      </c>
      <c r="T203" s="156">
        <f t="shared" si="27"/>
        <v>4299.3419575526214</v>
      </c>
      <c r="U203" s="90"/>
      <c r="V203" s="161">
        <v>0</v>
      </c>
      <c r="W203" s="156">
        <f t="shared" si="28"/>
        <v>4299.3419575526214</v>
      </c>
      <c r="X203" s="90"/>
      <c r="Y203" s="156">
        <f t="shared" si="32"/>
        <v>1074.8354893881553</v>
      </c>
      <c r="Z203" s="156">
        <f t="shared" si="32"/>
        <v>1074.8354893881553</v>
      </c>
      <c r="AA203" s="156">
        <f t="shared" si="32"/>
        <v>1074.8354893881553</v>
      </c>
      <c r="AB203" s="156">
        <f t="shared" si="32"/>
        <v>1074.8354893881553</v>
      </c>
    </row>
    <row r="204" spans="2:28" x14ac:dyDescent="0.3">
      <c r="B204" s="17">
        <v>709</v>
      </c>
      <c r="C204" s="137">
        <v>8</v>
      </c>
      <c r="D204" s="138" t="s">
        <v>222</v>
      </c>
      <c r="E204" s="153">
        <v>70.12997764079941</v>
      </c>
      <c r="F204" s="151">
        <v>54476.53</v>
      </c>
      <c r="G204" s="151">
        <v>0</v>
      </c>
      <c r="H204" s="151">
        <f t="shared" si="22"/>
        <v>54476.53</v>
      </c>
      <c r="I204" s="85">
        <f t="shared" si="23"/>
        <v>776.7937739695966</v>
      </c>
      <c r="J204" s="131">
        <f t="shared" si="24"/>
        <v>26269.356880037034</v>
      </c>
      <c r="K204" s="156"/>
      <c r="L204" s="156">
        <f>IFERROR(INDEX('Revised 2021 MFAM(2019 PYAs)'!AD$26:AD$278,MATCH(B204,'Revised 2021 MFAM(2019 PYAs)'!B$26:B$278,0)),0)</f>
        <v>-42.226908103228197</v>
      </c>
      <c r="M204" s="156">
        <f>IFERROR(INDEX('Revised 2020 MFAM(2018 PYAs)'!AF$26:AF$274,MATCH(B204,'Revised 2020 MFAM(2018 PYAs)'!B$26:B$274,0)),0)</f>
        <v>-10.883394136802963</v>
      </c>
      <c r="N204" s="156">
        <f t="shared" si="29"/>
        <v>-9.1913848621703431E-2</v>
      </c>
      <c r="O204" s="156">
        <f t="shared" si="30"/>
        <v>-53.202216088652861</v>
      </c>
      <c r="P204" s="156"/>
      <c r="Q204" s="161">
        <f t="shared" si="25"/>
        <v>26216.154663948382</v>
      </c>
      <c r="R204" s="162">
        <v>0</v>
      </c>
      <c r="S204" s="163">
        <f t="shared" si="26"/>
        <v>0</v>
      </c>
      <c r="T204" s="156">
        <f t="shared" si="27"/>
        <v>26216.154663948382</v>
      </c>
      <c r="U204" s="90"/>
      <c r="V204" s="161">
        <v>0</v>
      </c>
      <c r="W204" s="156">
        <f t="shared" si="28"/>
        <v>26216.154663948382</v>
      </c>
      <c r="X204" s="90"/>
      <c r="Y204" s="156">
        <f t="shared" si="32"/>
        <v>6554.0386659870956</v>
      </c>
      <c r="Z204" s="156">
        <f t="shared" si="32"/>
        <v>6554.0386659870956</v>
      </c>
      <c r="AA204" s="156">
        <f t="shared" si="32"/>
        <v>6554.0386659870956</v>
      </c>
      <c r="AB204" s="156">
        <f t="shared" si="32"/>
        <v>6554.0386659870956</v>
      </c>
    </row>
    <row r="205" spans="2:28" x14ac:dyDescent="0.3">
      <c r="B205" s="17">
        <v>714</v>
      </c>
      <c r="C205" s="137">
        <v>8</v>
      </c>
      <c r="D205" s="138" t="s">
        <v>223</v>
      </c>
      <c r="E205" s="153">
        <v>52.871224779011598</v>
      </c>
      <c r="F205" s="151">
        <v>111327.15</v>
      </c>
      <c r="G205" s="151">
        <v>0</v>
      </c>
      <c r="H205" s="151">
        <f t="shared" si="22"/>
        <v>111327.15</v>
      </c>
      <c r="I205" s="85">
        <f t="shared" si="23"/>
        <v>2105.6283538979746</v>
      </c>
      <c r="J205" s="131">
        <f t="shared" si="24"/>
        <v>53683.533694003905</v>
      </c>
      <c r="K205" s="156"/>
      <c r="L205" s="156">
        <f>IFERROR(INDEX('Revised 2021 MFAM(2019 PYAs)'!AD$26:AD$278,MATCH(B205,'Revised 2021 MFAM(2019 PYAs)'!B$26:B$278,0)),0)</f>
        <v>-55.294337731163978</v>
      </c>
      <c r="M205" s="156">
        <f>IFERROR(INDEX('Revised 2020 MFAM(2018 PYAs)'!AF$26:AF$274,MATCH(B205,'Revised 2020 MFAM(2018 PYAs)'!B$26:B$274,0)),0)</f>
        <v>-11.583453754608854</v>
      </c>
      <c r="N205" s="156">
        <f t="shared" si="29"/>
        <v>-0.18783330752868566</v>
      </c>
      <c r="O205" s="156">
        <f t="shared" si="30"/>
        <v>-67.065624793301524</v>
      </c>
      <c r="P205" s="156"/>
      <c r="Q205" s="161">
        <f t="shared" si="25"/>
        <v>53616.468069210605</v>
      </c>
      <c r="R205" s="162">
        <v>0</v>
      </c>
      <c r="S205" s="163">
        <f t="shared" si="26"/>
        <v>0</v>
      </c>
      <c r="T205" s="156">
        <f t="shared" si="27"/>
        <v>53616.468069210605</v>
      </c>
      <c r="U205" s="90"/>
      <c r="V205" s="161">
        <v>0</v>
      </c>
      <c r="W205" s="156">
        <f t="shared" si="28"/>
        <v>53616.468069210605</v>
      </c>
      <c r="X205" s="90"/>
      <c r="Y205" s="156">
        <f t="shared" si="32"/>
        <v>13404.117017302651</v>
      </c>
      <c r="Z205" s="156">
        <f t="shared" si="32"/>
        <v>13404.117017302651</v>
      </c>
      <c r="AA205" s="156">
        <f t="shared" si="32"/>
        <v>13404.117017302651</v>
      </c>
      <c r="AB205" s="156">
        <f t="shared" si="32"/>
        <v>13404.117017302651</v>
      </c>
    </row>
    <row r="206" spans="2:28" x14ac:dyDescent="0.3">
      <c r="B206" s="31">
        <v>749</v>
      </c>
      <c r="C206" s="137">
        <v>8</v>
      </c>
      <c r="D206" s="138" t="s">
        <v>224</v>
      </c>
      <c r="E206" s="153">
        <v>38.992962784915356</v>
      </c>
      <c r="F206" s="151">
        <v>13262.23</v>
      </c>
      <c r="G206" s="151">
        <v>0</v>
      </c>
      <c r="H206" s="151">
        <f t="shared" si="22"/>
        <v>13262.23</v>
      </c>
      <c r="I206" s="85">
        <f t="shared" si="23"/>
        <v>340.11855095890706</v>
      </c>
      <c r="J206" s="131">
        <f t="shared" si="24"/>
        <v>6395.2357629080543</v>
      </c>
      <c r="K206" s="156"/>
      <c r="L206" s="156">
        <f>IFERROR(INDEX('Revised 2021 MFAM(2019 PYAs)'!AD$26:AD$278,MATCH(B206,'Revised 2021 MFAM(2019 PYAs)'!B$26:B$278,0)),0)</f>
        <v>-6.0371309785614358</v>
      </c>
      <c r="M206" s="156">
        <f>IFERROR(INDEX('Revised 2020 MFAM(2018 PYAs)'!AF$26:AF$274,MATCH(B206,'Revised 2020 MFAM(2018 PYAs)'!B$26:B$274,0)),0)</f>
        <v>-1.2067042394282907</v>
      </c>
      <c r="N206" s="156">
        <f t="shared" si="29"/>
        <v>-2.2376289396667037E-2</v>
      </c>
      <c r="O206" s="156">
        <f t="shared" si="30"/>
        <v>-7.2662115073863935</v>
      </c>
      <c r="P206" s="156"/>
      <c r="Q206" s="161">
        <f t="shared" si="25"/>
        <v>6387.969551400668</v>
      </c>
      <c r="R206" s="162">
        <v>0</v>
      </c>
      <c r="S206" s="163">
        <f t="shared" si="26"/>
        <v>0</v>
      </c>
      <c r="T206" s="156">
        <f t="shared" si="27"/>
        <v>6387.969551400668</v>
      </c>
      <c r="U206" s="90"/>
      <c r="V206" s="161">
        <v>0</v>
      </c>
      <c r="W206" s="156">
        <f t="shared" si="28"/>
        <v>6387.969551400668</v>
      </c>
      <c r="X206" s="90"/>
      <c r="Y206" s="156">
        <f t="shared" si="32"/>
        <v>1596.992387850167</v>
      </c>
      <c r="Z206" s="156">
        <f t="shared" si="32"/>
        <v>1596.992387850167</v>
      </c>
      <c r="AA206" s="156">
        <f t="shared" si="32"/>
        <v>1596.992387850167</v>
      </c>
      <c r="AB206" s="156">
        <f t="shared" si="32"/>
        <v>1596.992387850167</v>
      </c>
    </row>
    <row r="207" spans="2:28" x14ac:dyDescent="0.3">
      <c r="B207" s="17">
        <v>764</v>
      </c>
      <c r="C207" s="137">
        <v>8</v>
      </c>
      <c r="D207" s="138" t="s">
        <v>225</v>
      </c>
      <c r="E207" s="153">
        <v>10.911499538676168</v>
      </c>
      <c r="F207" s="151">
        <v>10062.030000000001</v>
      </c>
      <c r="G207" s="151">
        <v>0</v>
      </c>
      <c r="H207" s="151">
        <f t="shared" si="22"/>
        <v>10062.030000000001</v>
      </c>
      <c r="I207" s="85">
        <f t="shared" si="23"/>
        <v>922.14914772573707</v>
      </c>
      <c r="J207" s="131">
        <f t="shared" si="24"/>
        <v>4852.053847916507</v>
      </c>
      <c r="K207" s="156"/>
      <c r="L207" s="156">
        <f>IFERROR(INDEX('Revised 2021 MFAM(2019 PYAs)'!AD$26:AD$278,MATCH(B207,'Revised 2021 MFAM(2019 PYAs)'!B$26:B$278,0)),0)</f>
        <v>-10.190279504083719</v>
      </c>
      <c r="M207" s="156">
        <f>IFERROR(INDEX('Revised 2020 MFAM(2018 PYAs)'!AF$26:AF$274,MATCH(B207,'Revised 2020 MFAM(2018 PYAs)'!B$26:B$274,0)),0)</f>
        <v>-3.0338960360049896</v>
      </c>
      <c r="N207" s="156">
        <f t="shared" si="29"/>
        <v>-1.6976850439024631E-2</v>
      </c>
      <c r="O207" s="156">
        <f t="shared" si="30"/>
        <v>-13.241152390527732</v>
      </c>
      <c r="P207" s="156"/>
      <c r="Q207" s="161">
        <f t="shared" si="25"/>
        <v>4838.8126955259795</v>
      </c>
      <c r="R207" s="162">
        <v>0</v>
      </c>
      <c r="S207" s="163">
        <f t="shared" si="26"/>
        <v>0</v>
      </c>
      <c r="T207" s="156">
        <f t="shared" si="27"/>
        <v>4838.8126955259795</v>
      </c>
      <c r="U207" s="90"/>
      <c r="V207" s="161">
        <v>0</v>
      </c>
      <c r="W207" s="156">
        <f t="shared" si="28"/>
        <v>4838.8126955259795</v>
      </c>
      <c r="X207" s="90"/>
      <c r="Y207" s="156">
        <f t="shared" si="32"/>
        <v>1209.7031738814949</v>
      </c>
      <c r="Z207" s="156">
        <f t="shared" si="32"/>
        <v>1209.7031738814949</v>
      </c>
      <c r="AA207" s="156">
        <f t="shared" si="32"/>
        <v>1209.7031738814949</v>
      </c>
      <c r="AB207" s="156">
        <f t="shared" si="32"/>
        <v>1209.7031738814949</v>
      </c>
    </row>
    <row r="208" spans="2:28" x14ac:dyDescent="0.3">
      <c r="B208" s="17">
        <v>775</v>
      </c>
      <c r="C208" s="137">
        <v>8</v>
      </c>
      <c r="D208" s="138" t="s">
        <v>226</v>
      </c>
      <c r="E208" s="153">
        <v>171.21134730686421</v>
      </c>
      <c r="F208" s="151">
        <v>134821.5</v>
      </c>
      <c r="G208" s="151">
        <v>0</v>
      </c>
      <c r="H208" s="151">
        <f t="shared" si="22"/>
        <v>134821.5</v>
      </c>
      <c r="I208" s="85">
        <f t="shared" si="23"/>
        <v>787.45656827498567</v>
      </c>
      <c r="J208" s="131">
        <f t="shared" si="24"/>
        <v>65012.843119815319</v>
      </c>
      <c r="K208" s="156"/>
      <c r="L208" s="156">
        <f>IFERROR(INDEX('Revised 2021 MFAM(2019 PYAs)'!AD$26:AD$278,MATCH(B208,'Revised 2021 MFAM(2019 PYAs)'!B$26:B$278,0)),0)</f>
        <v>6635.6053364877298</v>
      </c>
      <c r="M208" s="156">
        <f>IFERROR(INDEX('Revised 2020 MFAM(2018 PYAs)'!AF$26:AF$274,MATCH(B208,'Revised 2020 MFAM(2018 PYAs)'!B$26:B$274,0)),0)</f>
        <v>14602.41248452901</v>
      </c>
      <c r="N208" s="156">
        <f t="shared" si="29"/>
        <v>-0.22747342648202792</v>
      </c>
      <c r="O208" s="156">
        <f t="shared" si="30"/>
        <v>21237.790347590257</v>
      </c>
      <c r="P208" s="156"/>
      <c r="Q208" s="161">
        <f t="shared" si="25"/>
        <v>86250.633467405569</v>
      </c>
      <c r="R208" s="162">
        <v>0</v>
      </c>
      <c r="S208" s="163">
        <f t="shared" si="26"/>
        <v>0</v>
      </c>
      <c r="T208" s="156">
        <f t="shared" si="27"/>
        <v>86250.633467405569</v>
      </c>
      <c r="U208" s="90"/>
      <c r="V208" s="161">
        <v>0</v>
      </c>
      <c r="W208" s="156">
        <f t="shared" si="28"/>
        <v>86250.633467405569</v>
      </c>
      <c r="X208" s="90"/>
      <c r="Y208" s="156">
        <f t="shared" si="32"/>
        <v>21562.658366851392</v>
      </c>
      <c r="Z208" s="156">
        <f t="shared" si="32"/>
        <v>21562.658366851392</v>
      </c>
      <c r="AA208" s="156">
        <f t="shared" si="32"/>
        <v>21562.658366851392</v>
      </c>
      <c r="AB208" s="156">
        <f t="shared" si="32"/>
        <v>21562.658366851392</v>
      </c>
    </row>
    <row r="209" spans="2:28" x14ac:dyDescent="0.3">
      <c r="B209" s="17">
        <v>790</v>
      </c>
      <c r="C209" s="137">
        <v>8</v>
      </c>
      <c r="D209" s="138" t="s">
        <v>347</v>
      </c>
      <c r="E209" s="153">
        <v>11.850041107387474</v>
      </c>
      <c r="F209" s="151">
        <v>9232.44</v>
      </c>
      <c r="G209" s="151">
        <v>0</v>
      </c>
      <c r="H209" s="151">
        <f t="shared" si="22"/>
        <v>9232.44</v>
      </c>
      <c r="I209" s="85">
        <f t="shared" si="23"/>
        <v>779.10615805749183</v>
      </c>
      <c r="J209" s="131">
        <f t="shared" si="24"/>
        <v>4452.0137614038395</v>
      </c>
      <c r="K209" s="156"/>
      <c r="L209" s="156">
        <f>IFERROR(INDEX('Revised 2021 MFAM(2019 PYAs)'!AD$26:AD$278,MATCH(B209,'Revised 2021 MFAM(2019 PYAs)'!B$26:B$278,0)),0)</f>
        <v>-7.1891161736052709</v>
      </c>
      <c r="M209" s="156">
        <f>IFERROR(INDEX('Revised 2020 MFAM(2018 PYAs)'!AF$26:AF$274,MATCH(B209,'Revised 2020 MFAM(2018 PYAs)'!B$26:B$274,0)),0)</f>
        <v>-1.8487408113401216</v>
      </c>
      <c r="N209" s="156">
        <f t="shared" si="29"/>
        <v>-1.5577150243764784E-2</v>
      </c>
      <c r="O209" s="156">
        <f t="shared" si="30"/>
        <v>-9.053434135189157</v>
      </c>
      <c r="P209" s="156"/>
      <c r="Q209" s="161">
        <f t="shared" si="25"/>
        <v>4442.96032726865</v>
      </c>
      <c r="R209" s="162">
        <v>0</v>
      </c>
      <c r="S209" s="163">
        <f t="shared" si="26"/>
        <v>0</v>
      </c>
      <c r="T209" s="156">
        <f t="shared" si="27"/>
        <v>4442.96032726865</v>
      </c>
      <c r="U209" s="90"/>
      <c r="V209" s="161">
        <v>0</v>
      </c>
      <c r="W209" s="156">
        <f t="shared" si="28"/>
        <v>4442.96032726865</v>
      </c>
      <c r="X209" s="90"/>
      <c r="Y209" s="156">
        <f t="shared" si="32"/>
        <v>1110.7400818171625</v>
      </c>
      <c r="Z209" s="156">
        <f t="shared" si="32"/>
        <v>1110.7400818171625</v>
      </c>
      <c r="AA209" s="156">
        <f t="shared" si="32"/>
        <v>1110.7400818171625</v>
      </c>
      <c r="AB209" s="156">
        <f t="shared" si="32"/>
        <v>1110.7400818171625</v>
      </c>
    </row>
    <row r="210" spans="2:28" x14ac:dyDescent="0.3">
      <c r="B210" s="17">
        <v>795</v>
      </c>
      <c r="C210" s="137">
        <v>8</v>
      </c>
      <c r="D210" s="138" t="s">
        <v>324</v>
      </c>
      <c r="E210" s="153">
        <v>179.1317224964767</v>
      </c>
      <c r="F210" s="151">
        <v>210861.53</v>
      </c>
      <c r="G210" s="151">
        <v>4554.55</v>
      </c>
      <c r="H210" s="151">
        <f t="shared" si="22"/>
        <v>206306.98</v>
      </c>
      <c r="I210" s="85">
        <f t="shared" si="23"/>
        <v>1151.7054440430438</v>
      </c>
      <c r="J210" s="131">
        <f t="shared" si="24"/>
        <v>99484.157387826694</v>
      </c>
      <c r="K210" s="156"/>
      <c r="L210" s="156">
        <f>IFERROR(INDEX('Revised 2021 MFAM(2019 PYAs)'!AD$26:AD$278,MATCH(B210,'Revised 2021 MFAM(2019 PYAs)'!B$26:B$278,0)),0)</f>
        <v>5381.9461099714244</v>
      </c>
      <c r="M210" s="156">
        <f>IFERROR(INDEX('Revised 2020 MFAM(2018 PYAs)'!AF$26:AF$274,MATCH(B210,'Revised 2020 MFAM(2018 PYAs)'!B$26:B$274,0)),0)</f>
        <v>-52.396878979212488</v>
      </c>
      <c r="N210" s="156">
        <f t="shared" si="29"/>
        <v>-0.34808510250782848</v>
      </c>
      <c r="O210" s="156">
        <f t="shared" si="30"/>
        <v>5329.2011458897041</v>
      </c>
      <c r="P210" s="156"/>
      <c r="Q210" s="161">
        <f t="shared" si="25"/>
        <v>104813.3585337164</v>
      </c>
      <c r="R210" s="162">
        <v>0</v>
      </c>
      <c r="S210" s="163">
        <f t="shared" si="26"/>
        <v>0</v>
      </c>
      <c r="T210" s="156">
        <f t="shared" si="27"/>
        <v>104813.3585337164</v>
      </c>
      <c r="U210" s="90"/>
      <c r="V210" s="161">
        <v>0</v>
      </c>
      <c r="W210" s="156">
        <f t="shared" si="28"/>
        <v>104813.3585337164</v>
      </c>
      <c r="X210" s="90"/>
      <c r="Y210" s="156">
        <f t="shared" si="32"/>
        <v>26203.339633429099</v>
      </c>
      <c r="Z210" s="156">
        <f t="shared" si="32"/>
        <v>26203.339633429099</v>
      </c>
      <c r="AA210" s="156">
        <f t="shared" si="32"/>
        <v>26203.339633429099</v>
      </c>
      <c r="AB210" s="156">
        <f t="shared" si="32"/>
        <v>26203.339633429099</v>
      </c>
    </row>
    <row r="211" spans="2:28" x14ac:dyDescent="0.3">
      <c r="B211" s="17">
        <v>796</v>
      </c>
      <c r="C211" s="137">
        <v>8</v>
      </c>
      <c r="D211" s="138" t="s">
        <v>228</v>
      </c>
      <c r="E211" s="153">
        <v>35.5</v>
      </c>
      <c r="F211" s="151">
        <v>25689.16</v>
      </c>
      <c r="G211" s="151">
        <v>0</v>
      </c>
      <c r="H211" s="151">
        <f t="shared" ref="H211:H268" si="33">F211-G211</f>
        <v>25689.16</v>
      </c>
      <c r="I211" s="85">
        <f t="shared" ref="I211:I268" si="34">IFERROR(H211/E211,"n.a.")</f>
        <v>723.6383098591549</v>
      </c>
      <c r="J211" s="131">
        <f t="shared" ref="J211:J268" si="35">H211*(E$12/H$17)</f>
        <v>12387.677996164075</v>
      </c>
      <c r="K211" s="156"/>
      <c r="L211" s="156">
        <f>IFERROR(INDEX('Revised 2021 MFAM(2019 PYAs)'!AD$26:AD$278,MATCH(B211,'Revised 2021 MFAM(2019 PYAs)'!B$26:B$278,0)),0)</f>
        <v>-21.421855282324032</v>
      </c>
      <c r="M211" s="156">
        <f>IFERROR(INDEX('Revised 2020 MFAM(2018 PYAs)'!AF$26:AF$274,MATCH(B211,'Revised 2020 MFAM(2018 PYAs)'!B$26:B$274,0)),0)</f>
        <v>-4.4747004901519176</v>
      </c>
      <c r="N211" s="156">
        <f t="shared" si="29"/>
        <v>-4.3343244576310544E-2</v>
      </c>
      <c r="O211" s="156">
        <f t="shared" si="30"/>
        <v>-25.939899017052259</v>
      </c>
      <c r="P211" s="156"/>
      <c r="Q211" s="161">
        <f t="shared" ref="Q211:Q268" si="36">J211+O211</f>
        <v>12361.738097147023</v>
      </c>
      <c r="R211" s="162">
        <v>0</v>
      </c>
      <c r="S211" s="163">
        <f t="shared" ref="S211:S268" si="37">-$R$17*R211*Q211</f>
        <v>0</v>
      </c>
      <c r="T211" s="156">
        <f t="shared" ref="T211:T268" si="38">Q211+S211</f>
        <v>12361.738097147023</v>
      </c>
      <c r="U211" s="90"/>
      <c r="V211" s="161">
        <v>0</v>
      </c>
      <c r="W211" s="156">
        <f t="shared" ref="W211:W268" si="39">T211+V211</f>
        <v>12361.738097147023</v>
      </c>
      <c r="X211" s="90"/>
      <c r="Y211" s="156">
        <f t="shared" si="32"/>
        <v>3090.4345242867557</v>
      </c>
      <c r="Z211" s="156">
        <f t="shared" si="32"/>
        <v>3090.4345242867557</v>
      </c>
      <c r="AA211" s="156">
        <f t="shared" si="32"/>
        <v>3090.4345242867557</v>
      </c>
      <c r="AB211" s="156">
        <f t="shared" si="32"/>
        <v>3090.4345242867557</v>
      </c>
    </row>
    <row r="212" spans="2:28" x14ac:dyDescent="0.3">
      <c r="B212" s="17">
        <v>797</v>
      </c>
      <c r="C212" s="137">
        <v>8</v>
      </c>
      <c r="D212" s="138" t="s">
        <v>229</v>
      </c>
      <c r="E212" s="153">
        <v>18.136463858283562</v>
      </c>
      <c r="F212" s="151">
        <v>43696.58</v>
      </c>
      <c r="G212" s="151">
        <v>1315</v>
      </c>
      <c r="H212" s="151">
        <f t="shared" si="33"/>
        <v>42381.58</v>
      </c>
      <c r="I212" s="85">
        <f t="shared" si="34"/>
        <v>2336.8160591372853</v>
      </c>
      <c r="J212" s="131">
        <f t="shared" si="35"/>
        <v>20437.000120232326</v>
      </c>
      <c r="K212" s="156"/>
      <c r="L212" s="156">
        <f>IFERROR(INDEX('Revised 2021 MFAM(2019 PYAs)'!AD$26:AD$278,MATCH(B212,'Revised 2021 MFAM(2019 PYAs)'!B$26:B$278,0)),0)</f>
        <v>-31.454188771662302</v>
      </c>
      <c r="M212" s="156">
        <f>IFERROR(INDEX('Revised 2020 MFAM(2018 PYAs)'!AF$26:AF$274,MATCH(B212,'Revised 2020 MFAM(2018 PYAs)'!B$26:B$274,0)),0)</f>
        <v>-8.2392168722944916</v>
      </c>
      <c r="N212" s="156">
        <f t="shared" ref="N212:N268" si="40">-$N$15*(J212/$E$12)</f>
        <v>-7.1507016479731969E-2</v>
      </c>
      <c r="O212" s="156">
        <f t="shared" ref="O212:O268" si="41">SUM(L212:N212)</f>
        <v>-39.764912660436529</v>
      </c>
      <c r="P212" s="156"/>
      <c r="Q212" s="161">
        <f t="shared" si="36"/>
        <v>20397.235207571888</v>
      </c>
      <c r="R212" s="162">
        <v>0</v>
      </c>
      <c r="S212" s="163">
        <f t="shared" si="37"/>
        <v>0</v>
      </c>
      <c r="T212" s="156">
        <f t="shared" si="38"/>
        <v>20397.235207571888</v>
      </c>
      <c r="U212" s="90"/>
      <c r="V212" s="161">
        <v>0</v>
      </c>
      <c r="W212" s="156">
        <f t="shared" si="39"/>
        <v>20397.235207571888</v>
      </c>
      <c r="X212" s="90"/>
      <c r="Y212" s="156">
        <f t="shared" ref="Y212:AB243" si="42">$W212/4</f>
        <v>5099.308801892972</v>
      </c>
      <c r="Z212" s="156">
        <f t="shared" si="42"/>
        <v>5099.308801892972</v>
      </c>
      <c r="AA212" s="156">
        <f t="shared" si="42"/>
        <v>5099.308801892972</v>
      </c>
      <c r="AB212" s="156">
        <f t="shared" si="42"/>
        <v>5099.308801892972</v>
      </c>
    </row>
    <row r="213" spans="2:28" x14ac:dyDescent="0.3">
      <c r="B213" s="17">
        <v>801</v>
      </c>
      <c r="C213" s="137">
        <v>8</v>
      </c>
      <c r="D213" s="138" t="s">
        <v>230</v>
      </c>
      <c r="E213" s="153">
        <v>81.922589742232461</v>
      </c>
      <c r="F213" s="151">
        <v>115450.44</v>
      </c>
      <c r="G213" s="151">
        <v>0</v>
      </c>
      <c r="H213" s="151">
        <f t="shared" si="33"/>
        <v>115450.44</v>
      </c>
      <c r="I213" s="85">
        <f t="shared" si="34"/>
        <v>1409.2625777976764</v>
      </c>
      <c r="J213" s="131">
        <f t="shared" si="35"/>
        <v>55671.842724147493</v>
      </c>
      <c r="K213" s="156"/>
      <c r="L213" s="156">
        <f>IFERROR(INDEX('Revised 2021 MFAM(2019 PYAs)'!AD$26:AD$278,MATCH(B213,'Revised 2021 MFAM(2019 PYAs)'!B$26:B$278,0)),0)</f>
        <v>-94.591090850110049</v>
      </c>
      <c r="M213" s="156">
        <f>IFERROR(INDEX('Revised 2020 MFAM(2018 PYAs)'!AF$26:AF$274,MATCH(B213,'Revised 2020 MFAM(2018 PYAs)'!B$26:B$274,0)),0)</f>
        <v>-25.702598433927051</v>
      </c>
      <c r="N213" s="156">
        <f t="shared" si="40"/>
        <v>-0.1947902016789442</v>
      </c>
      <c r="O213" s="156">
        <f t="shared" si="41"/>
        <v>-120.48847948571604</v>
      </c>
      <c r="P213" s="156"/>
      <c r="Q213" s="161">
        <f t="shared" si="36"/>
        <v>55551.354244661779</v>
      </c>
      <c r="R213" s="162">
        <v>0</v>
      </c>
      <c r="S213" s="163">
        <f t="shared" si="37"/>
        <v>0</v>
      </c>
      <c r="T213" s="156">
        <f t="shared" si="38"/>
        <v>55551.354244661779</v>
      </c>
      <c r="U213" s="90"/>
      <c r="V213" s="161">
        <v>0</v>
      </c>
      <c r="W213" s="156">
        <f t="shared" si="39"/>
        <v>55551.354244661779</v>
      </c>
      <c r="X213" s="90"/>
      <c r="Y213" s="156">
        <f t="shared" si="42"/>
        <v>13887.838561165445</v>
      </c>
      <c r="Z213" s="156">
        <f t="shared" si="42"/>
        <v>13887.838561165445</v>
      </c>
      <c r="AA213" s="156">
        <f t="shared" si="42"/>
        <v>13887.838561165445</v>
      </c>
      <c r="AB213" s="156">
        <f t="shared" si="42"/>
        <v>13887.838561165445</v>
      </c>
    </row>
    <row r="214" spans="2:28" x14ac:dyDescent="0.3">
      <c r="B214" s="17">
        <v>809</v>
      </c>
      <c r="C214" s="137">
        <v>8</v>
      </c>
      <c r="D214" s="138" t="s">
        <v>348</v>
      </c>
      <c r="E214" s="153">
        <v>126.16898242797932</v>
      </c>
      <c r="F214" s="151">
        <v>462882.94</v>
      </c>
      <c r="G214" s="151">
        <v>0</v>
      </c>
      <c r="H214" s="151">
        <f t="shared" si="33"/>
        <v>462882.94</v>
      </c>
      <c r="I214" s="85">
        <f t="shared" si="34"/>
        <v>3668.7538497366113</v>
      </c>
      <c r="J214" s="131">
        <f t="shared" si="35"/>
        <v>223208.7312562083</v>
      </c>
      <c r="K214" s="156"/>
      <c r="L214" s="156">
        <f>IFERROR(INDEX('Revised 2021 MFAM(2019 PYAs)'!AD$26:AD$278,MATCH(B214,'Revised 2021 MFAM(2019 PYAs)'!B$26:B$278,0)),0)</f>
        <v>-443.2378188984294</v>
      </c>
      <c r="M214" s="156">
        <f>IFERROR(INDEX('Revised 2020 MFAM(2018 PYAs)'!AF$26:AF$274,MATCH(B214,'Revised 2020 MFAM(2018 PYAs)'!B$26:B$274,0)),0)</f>
        <v>-122.04007902607555</v>
      </c>
      <c r="N214" s="156">
        <f t="shared" si="40"/>
        <v>-0.78098499439536684</v>
      </c>
      <c r="O214" s="156">
        <f t="shared" si="41"/>
        <v>-566.05888291890028</v>
      </c>
      <c r="P214" s="156"/>
      <c r="Q214" s="161">
        <f t="shared" si="36"/>
        <v>222642.67237328939</v>
      </c>
      <c r="R214" s="162">
        <v>0</v>
      </c>
      <c r="S214" s="163">
        <f t="shared" si="37"/>
        <v>0</v>
      </c>
      <c r="T214" s="156">
        <f t="shared" si="38"/>
        <v>222642.67237328939</v>
      </c>
      <c r="U214" s="90"/>
      <c r="V214" s="161">
        <v>0</v>
      </c>
      <c r="W214" s="156">
        <f t="shared" si="39"/>
        <v>222642.67237328939</v>
      </c>
      <c r="X214" s="90"/>
      <c r="Y214" s="156">
        <f t="shared" si="42"/>
        <v>55660.668093322347</v>
      </c>
      <c r="Z214" s="156">
        <f t="shared" si="42"/>
        <v>55660.668093322347</v>
      </c>
      <c r="AA214" s="156">
        <f t="shared" si="42"/>
        <v>55660.668093322347</v>
      </c>
      <c r="AB214" s="156">
        <f t="shared" si="42"/>
        <v>55660.668093322347</v>
      </c>
    </row>
    <row r="215" spans="2:28" x14ac:dyDescent="0.3">
      <c r="B215" s="17">
        <v>810</v>
      </c>
      <c r="C215" s="137">
        <v>8</v>
      </c>
      <c r="D215" s="138" t="s">
        <v>231</v>
      </c>
      <c r="E215" s="153">
        <v>136.84</v>
      </c>
      <c r="F215" s="151">
        <v>160902.45000000001</v>
      </c>
      <c r="G215" s="151">
        <v>0</v>
      </c>
      <c r="H215" s="151">
        <f t="shared" si="33"/>
        <v>160902.45000000001</v>
      </c>
      <c r="I215" s="85">
        <f t="shared" si="34"/>
        <v>1175.8436860567085</v>
      </c>
      <c r="J215" s="131">
        <f t="shared" si="35"/>
        <v>77589.447821333612</v>
      </c>
      <c r="K215" s="156"/>
      <c r="L215" s="156">
        <f>IFERROR(INDEX('Revised 2021 MFAM(2019 PYAs)'!AD$26:AD$278,MATCH(B215,'Revised 2021 MFAM(2019 PYAs)'!B$26:B$278,0)),0)</f>
        <v>-132.48856371060538</v>
      </c>
      <c r="M215" s="156">
        <f>IFERROR(INDEX('Revised 2020 MFAM(2018 PYAs)'!AF$26:AF$274,MATCH(B215,'Revised 2020 MFAM(2018 PYAs)'!B$26:B$274,0)),0)</f>
        <v>-33.128082707138674</v>
      </c>
      <c r="N215" s="156">
        <f t="shared" si="40"/>
        <v>-0.27147770667774185</v>
      </c>
      <c r="O215" s="156">
        <f t="shared" si="41"/>
        <v>-165.88812412442178</v>
      </c>
      <c r="P215" s="156"/>
      <c r="Q215" s="161">
        <f t="shared" si="36"/>
        <v>77423.559697209188</v>
      </c>
      <c r="R215" s="162">
        <v>0</v>
      </c>
      <c r="S215" s="163">
        <f t="shared" si="37"/>
        <v>0</v>
      </c>
      <c r="T215" s="156">
        <f t="shared" si="38"/>
        <v>77423.559697209188</v>
      </c>
      <c r="U215" s="90"/>
      <c r="V215" s="161">
        <v>0</v>
      </c>
      <c r="W215" s="156">
        <f t="shared" si="39"/>
        <v>77423.559697209188</v>
      </c>
      <c r="X215" s="90"/>
      <c r="Y215" s="156">
        <f t="shared" si="42"/>
        <v>19355.889924302297</v>
      </c>
      <c r="Z215" s="156">
        <f t="shared" si="42"/>
        <v>19355.889924302297</v>
      </c>
      <c r="AA215" s="156">
        <f t="shared" si="42"/>
        <v>19355.889924302297</v>
      </c>
      <c r="AB215" s="156">
        <f t="shared" si="42"/>
        <v>19355.889924302297</v>
      </c>
    </row>
    <row r="216" spans="2:28" x14ac:dyDescent="0.3">
      <c r="B216" s="17">
        <v>812</v>
      </c>
      <c r="C216" s="137">
        <v>8</v>
      </c>
      <c r="D216" s="138" t="s">
        <v>232</v>
      </c>
      <c r="E216" s="153">
        <v>35.618797095482762</v>
      </c>
      <c r="F216" s="151">
        <v>87007</v>
      </c>
      <c r="G216" s="151">
        <v>164.5</v>
      </c>
      <c r="H216" s="151">
        <f t="shared" si="33"/>
        <v>86842.5</v>
      </c>
      <c r="I216" s="85">
        <f t="shared" si="34"/>
        <v>2438.108725772031</v>
      </c>
      <c r="J216" s="131">
        <f t="shared" si="35"/>
        <v>41876.687535983219</v>
      </c>
      <c r="K216" s="156"/>
      <c r="L216" s="156">
        <f>IFERROR(INDEX('Revised 2021 MFAM(2019 PYAs)'!AD$26:AD$278,MATCH(B216,'Revised 2021 MFAM(2019 PYAs)'!B$26:B$278,0)),0)</f>
        <v>-75.342395460553234</v>
      </c>
      <c r="M216" s="156">
        <f>IFERROR(INDEX('Revised 2020 MFAM(2018 PYAs)'!AF$26:AF$274,MATCH(B216,'Revised 2020 MFAM(2018 PYAs)'!B$26:B$274,0)),0)</f>
        <v>-18.33748905610264</v>
      </c>
      <c r="N216" s="156">
        <f t="shared" si="40"/>
        <v>-0.14652233537874532</v>
      </c>
      <c r="O216" s="156">
        <f t="shared" si="41"/>
        <v>-93.826406852034623</v>
      </c>
      <c r="P216" s="156"/>
      <c r="Q216" s="161">
        <f t="shared" si="36"/>
        <v>41782.861129131183</v>
      </c>
      <c r="R216" s="162">
        <v>0</v>
      </c>
      <c r="S216" s="163">
        <f t="shared" si="37"/>
        <v>0</v>
      </c>
      <c r="T216" s="156">
        <f t="shared" si="38"/>
        <v>41782.861129131183</v>
      </c>
      <c r="U216" s="90"/>
      <c r="V216" s="161">
        <v>0</v>
      </c>
      <c r="W216" s="156">
        <f t="shared" si="39"/>
        <v>41782.861129131183</v>
      </c>
      <c r="X216" s="90"/>
      <c r="Y216" s="156">
        <f t="shared" si="42"/>
        <v>10445.715282282796</v>
      </c>
      <c r="Z216" s="156">
        <f t="shared" si="42"/>
        <v>10445.715282282796</v>
      </c>
      <c r="AA216" s="156">
        <f t="shared" si="42"/>
        <v>10445.715282282796</v>
      </c>
      <c r="AB216" s="156">
        <f t="shared" si="42"/>
        <v>10445.715282282796</v>
      </c>
    </row>
    <row r="217" spans="2:28" x14ac:dyDescent="0.3">
      <c r="B217" s="17">
        <v>818</v>
      </c>
      <c r="C217" s="137">
        <v>8</v>
      </c>
      <c r="D217" s="138" t="s">
        <v>233</v>
      </c>
      <c r="E217" s="153">
        <v>32.857676017331173</v>
      </c>
      <c r="F217" s="151">
        <v>19267.900000000001</v>
      </c>
      <c r="G217" s="151">
        <v>0</v>
      </c>
      <c r="H217" s="151">
        <f t="shared" si="33"/>
        <v>19267.900000000001</v>
      </c>
      <c r="I217" s="85">
        <f t="shared" si="34"/>
        <v>586.40483246097256</v>
      </c>
      <c r="J217" s="131">
        <f t="shared" si="35"/>
        <v>9291.2551777594053</v>
      </c>
      <c r="K217" s="156"/>
      <c r="L217" s="156">
        <f>IFERROR(INDEX('Revised 2021 MFAM(2019 PYAs)'!AD$26:AD$278,MATCH(B217,'Revised 2021 MFAM(2019 PYAs)'!B$26:B$278,0)),0)</f>
        <v>-16.089016820655161</v>
      </c>
      <c r="M217" s="156">
        <f>IFERROR(INDEX('Revised 2020 MFAM(2018 PYAs)'!AF$26:AF$274,MATCH(B217,'Revised 2020 MFAM(2018 PYAs)'!B$26:B$274,0)),0)</f>
        <v>-3.8501523647519207</v>
      </c>
      <c r="N217" s="156">
        <f t="shared" si="40"/>
        <v>-3.2509171268032669E-2</v>
      </c>
      <c r="O217" s="156">
        <f t="shared" si="41"/>
        <v>-19.971678356675113</v>
      </c>
      <c r="P217" s="156"/>
      <c r="Q217" s="161">
        <f t="shared" si="36"/>
        <v>9271.2834994027307</v>
      </c>
      <c r="R217" s="162">
        <v>0</v>
      </c>
      <c r="S217" s="163">
        <f t="shared" si="37"/>
        <v>0</v>
      </c>
      <c r="T217" s="156">
        <f t="shared" si="38"/>
        <v>9271.2834994027307</v>
      </c>
      <c r="U217" s="90"/>
      <c r="V217" s="161">
        <v>0</v>
      </c>
      <c r="W217" s="156">
        <f t="shared" si="39"/>
        <v>9271.2834994027307</v>
      </c>
      <c r="X217" s="90"/>
      <c r="Y217" s="156">
        <f t="shared" si="42"/>
        <v>2317.8208748506827</v>
      </c>
      <c r="Z217" s="156">
        <f t="shared" si="42"/>
        <v>2317.8208748506827</v>
      </c>
      <c r="AA217" s="156">
        <f t="shared" si="42"/>
        <v>2317.8208748506827</v>
      </c>
      <c r="AB217" s="156">
        <f t="shared" si="42"/>
        <v>2317.8208748506827</v>
      </c>
    </row>
    <row r="218" spans="2:28" x14ac:dyDescent="0.3">
      <c r="B218" s="17">
        <v>833</v>
      </c>
      <c r="C218" s="137">
        <v>8</v>
      </c>
      <c r="D218" s="138" t="s">
        <v>234</v>
      </c>
      <c r="E218" s="153">
        <v>55.573879431587635</v>
      </c>
      <c r="F218" s="151">
        <v>40085.18</v>
      </c>
      <c r="G218" s="151">
        <v>0</v>
      </c>
      <c r="H218" s="151">
        <f t="shared" si="33"/>
        <v>40085.18</v>
      </c>
      <c r="I218" s="85">
        <f t="shared" si="34"/>
        <v>721.29533532647326</v>
      </c>
      <c r="J218" s="131">
        <f t="shared" si="35"/>
        <v>19329.643408281012</v>
      </c>
      <c r="K218" s="156"/>
      <c r="L218" s="156">
        <f>IFERROR(INDEX('Revised 2021 MFAM(2019 PYAs)'!AD$26:AD$278,MATCH(B218,'Revised 2021 MFAM(2019 PYAs)'!B$26:B$278,0)),0)</f>
        <v>-35.172501902432487</v>
      </c>
      <c r="M218" s="156">
        <f>IFERROR(INDEX('Revised 2020 MFAM(2018 PYAs)'!AF$26:AF$274,MATCH(B218,'Revised 2020 MFAM(2018 PYAs)'!B$26:B$274,0)),0)</f>
        <v>-8.6083145743668865</v>
      </c>
      <c r="N218" s="156">
        <f t="shared" si="40"/>
        <v>-6.7632486255892826E-2</v>
      </c>
      <c r="O218" s="156">
        <f t="shared" si="41"/>
        <v>-43.848448963055269</v>
      </c>
      <c r="P218" s="156"/>
      <c r="Q218" s="161">
        <f t="shared" si="36"/>
        <v>19285.794959317958</v>
      </c>
      <c r="R218" s="162">
        <v>0</v>
      </c>
      <c r="S218" s="163">
        <f t="shared" si="37"/>
        <v>0</v>
      </c>
      <c r="T218" s="156">
        <f t="shared" si="38"/>
        <v>19285.794959317958</v>
      </c>
      <c r="U218" s="90"/>
      <c r="V218" s="161">
        <v>0</v>
      </c>
      <c r="W218" s="156">
        <f t="shared" si="39"/>
        <v>19285.794959317958</v>
      </c>
      <c r="X218" s="90"/>
      <c r="Y218" s="156">
        <f t="shared" si="42"/>
        <v>4821.4487398294896</v>
      </c>
      <c r="Z218" s="156">
        <f t="shared" si="42"/>
        <v>4821.4487398294896</v>
      </c>
      <c r="AA218" s="156">
        <f t="shared" si="42"/>
        <v>4821.4487398294896</v>
      </c>
      <c r="AB218" s="156">
        <f t="shared" si="42"/>
        <v>4821.4487398294896</v>
      </c>
    </row>
    <row r="219" spans="2:28" x14ac:dyDescent="0.3">
      <c r="B219" s="17">
        <v>834</v>
      </c>
      <c r="C219" s="137">
        <v>8</v>
      </c>
      <c r="D219" s="138" t="s">
        <v>235</v>
      </c>
      <c r="E219" s="153">
        <v>114.61999999999999</v>
      </c>
      <c r="F219" s="151">
        <v>64023.01</v>
      </c>
      <c r="G219" s="151">
        <v>5361.7</v>
      </c>
      <c r="H219" s="151">
        <f t="shared" si="33"/>
        <v>58661.310000000005</v>
      </c>
      <c r="I219" s="85">
        <f t="shared" si="34"/>
        <v>511.78947827604264</v>
      </c>
      <c r="J219" s="131">
        <f t="shared" si="35"/>
        <v>28287.317261956392</v>
      </c>
      <c r="K219" s="156"/>
      <c r="L219" s="156">
        <f>IFERROR(INDEX('Revised 2021 MFAM(2019 PYAs)'!AD$26:AD$278,MATCH(B219,'Revised 2021 MFAM(2019 PYAs)'!B$26:B$278,0)),0)</f>
        <v>-51.47242978968643</v>
      </c>
      <c r="M219" s="156">
        <f>IFERROR(INDEX('Revised 2020 MFAM(2018 PYAs)'!AF$26:AF$274,MATCH(B219,'Revised 2020 MFAM(2018 PYAs)'!B$26:B$274,0)),0)</f>
        <v>-15.014038139488548</v>
      </c>
      <c r="N219" s="156">
        <f t="shared" si="40"/>
        <v>-9.8974489881988037E-2</v>
      </c>
      <c r="O219" s="156">
        <f t="shared" si="41"/>
        <v>-66.58544241905696</v>
      </c>
      <c r="P219" s="156"/>
      <c r="Q219" s="161">
        <f t="shared" si="36"/>
        <v>28220.731819537334</v>
      </c>
      <c r="R219" s="162">
        <v>0</v>
      </c>
      <c r="S219" s="163">
        <f t="shared" si="37"/>
        <v>0</v>
      </c>
      <c r="T219" s="156">
        <f t="shared" si="38"/>
        <v>28220.731819537334</v>
      </c>
      <c r="U219" s="90"/>
      <c r="V219" s="161">
        <v>0</v>
      </c>
      <c r="W219" s="156">
        <f t="shared" si="39"/>
        <v>28220.731819537334</v>
      </c>
      <c r="X219" s="90"/>
      <c r="Y219" s="156">
        <f t="shared" si="42"/>
        <v>7055.1829548843334</v>
      </c>
      <c r="Z219" s="156">
        <f t="shared" si="42"/>
        <v>7055.1829548843334</v>
      </c>
      <c r="AA219" s="156">
        <f t="shared" si="42"/>
        <v>7055.1829548843334</v>
      </c>
      <c r="AB219" s="156">
        <f t="shared" si="42"/>
        <v>7055.1829548843334</v>
      </c>
    </row>
    <row r="220" spans="2:28" x14ac:dyDescent="0.3">
      <c r="B220" s="17">
        <v>837</v>
      </c>
      <c r="C220" s="137">
        <v>8</v>
      </c>
      <c r="D220" s="138" t="s">
        <v>236</v>
      </c>
      <c r="E220" s="153">
        <v>194.5</v>
      </c>
      <c r="F220" s="151">
        <v>164937.14000000001</v>
      </c>
      <c r="G220" s="151">
        <v>0</v>
      </c>
      <c r="H220" s="151">
        <f t="shared" si="33"/>
        <v>164937.14000000001</v>
      </c>
      <c r="I220" s="85">
        <f t="shared" si="34"/>
        <v>848.00586118251931</v>
      </c>
      <c r="J220" s="131">
        <f t="shared" si="35"/>
        <v>79535.032672467059</v>
      </c>
      <c r="K220" s="156"/>
      <c r="L220" s="156">
        <f>IFERROR(INDEX('Revised 2021 MFAM(2019 PYAs)'!AD$26:AD$278,MATCH(B220,'Revised 2021 MFAM(2019 PYAs)'!B$26:B$278,0)),0)</f>
        <v>-135.94385081331711</v>
      </c>
      <c r="M220" s="156">
        <f>IFERROR(INDEX('Revised 2020 MFAM(2018 PYAs)'!AF$26:AF$274,MATCH(B220,'Revised 2020 MFAM(2018 PYAs)'!B$26:B$274,0)),0)</f>
        <v>-33.184895864731516</v>
      </c>
      <c r="N220" s="156">
        <f t="shared" si="40"/>
        <v>-0.27828511320483712</v>
      </c>
      <c r="O220" s="156">
        <f t="shared" si="41"/>
        <v>-169.40703179125347</v>
      </c>
      <c r="P220" s="156"/>
      <c r="Q220" s="161">
        <f t="shared" si="36"/>
        <v>79365.625640675804</v>
      </c>
      <c r="R220" s="162">
        <v>0</v>
      </c>
      <c r="S220" s="163">
        <f t="shared" si="37"/>
        <v>0</v>
      </c>
      <c r="T220" s="156">
        <f t="shared" si="38"/>
        <v>79365.625640675804</v>
      </c>
      <c r="U220" s="90"/>
      <c r="V220" s="161">
        <v>0</v>
      </c>
      <c r="W220" s="156">
        <f t="shared" si="39"/>
        <v>79365.625640675804</v>
      </c>
      <c r="X220" s="90"/>
      <c r="Y220" s="156">
        <f t="shared" si="42"/>
        <v>19841.406410168951</v>
      </c>
      <c r="Z220" s="156">
        <f t="shared" si="42"/>
        <v>19841.406410168951</v>
      </c>
      <c r="AA220" s="156">
        <f t="shared" si="42"/>
        <v>19841.406410168951</v>
      </c>
      <c r="AB220" s="156">
        <f t="shared" si="42"/>
        <v>19841.406410168951</v>
      </c>
    </row>
    <row r="221" spans="2:28" x14ac:dyDescent="0.3">
      <c r="B221" s="17">
        <v>845</v>
      </c>
      <c r="C221" s="137">
        <v>8</v>
      </c>
      <c r="D221" s="138" t="s">
        <v>300</v>
      </c>
      <c r="E221" s="153">
        <v>1.2819104353130046</v>
      </c>
      <c r="F221" s="151">
        <v>2745.53</v>
      </c>
      <c r="G221" s="151">
        <v>0</v>
      </c>
      <c r="H221" s="151">
        <f t="shared" si="33"/>
        <v>2745.53</v>
      </c>
      <c r="I221" s="85">
        <f t="shared" si="34"/>
        <v>2141.7486934877966</v>
      </c>
      <c r="J221" s="131">
        <f t="shared" si="35"/>
        <v>1323.9335801096011</v>
      </c>
      <c r="K221" s="156"/>
      <c r="L221" s="156">
        <f>IFERROR(INDEX('Revised 2021 MFAM(2019 PYAs)'!AD$26:AD$278,MATCH(B221,'Revised 2021 MFAM(2019 PYAs)'!B$26:B$278,0)),0)</f>
        <v>-7.1270089694676244</v>
      </c>
      <c r="M221" s="156">
        <f>IFERROR(INDEX('Revised 2020 MFAM(2018 PYAs)'!AF$26:AF$274,MATCH(B221,'Revised 2020 MFAM(2018 PYAs)'!B$26:B$274,0)),0)</f>
        <v>-2.0773456186830117</v>
      </c>
      <c r="N221" s="156">
        <f t="shared" si="40"/>
        <v>-4.6323109934928936E-3</v>
      </c>
      <c r="O221" s="156">
        <f t="shared" si="41"/>
        <v>-9.2089868991441293</v>
      </c>
      <c r="P221" s="156"/>
      <c r="Q221" s="161">
        <f t="shared" si="36"/>
        <v>1314.724593210457</v>
      </c>
      <c r="R221" s="162">
        <v>0</v>
      </c>
      <c r="S221" s="163">
        <f t="shared" si="37"/>
        <v>0</v>
      </c>
      <c r="T221" s="156">
        <f t="shared" si="38"/>
        <v>1314.724593210457</v>
      </c>
      <c r="U221" s="90"/>
      <c r="V221" s="161">
        <v>0</v>
      </c>
      <c r="W221" s="156">
        <f t="shared" si="39"/>
        <v>1314.724593210457</v>
      </c>
      <c r="X221" s="90"/>
      <c r="Y221" s="156">
        <f t="shared" si="42"/>
        <v>328.68114830261425</v>
      </c>
      <c r="Z221" s="156">
        <f t="shared" si="42"/>
        <v>328.68114830261425</v>
      </c>
      <c r="AA221" s="156">
        <f t="shared" si="42"/>
        <v>328.68114830261425</v>
      </c>
      <c r="AB221" s="156">
        <f t="shared" si="42"/>
        <v>328.68114830261425</v>
      </c>
    </row>
    <row r="222" spans="2:28" x14ac:dyDescent="0.3">
      <c r="B222" s="17">
        <v>866</v>
      </c>
      <c r="C222" s="137">
        <v>8</v>
      </c>
      <c r="D222" s="138" t="s">
        <v>238</v>
      </c>
      <c r="E222" s="153">
        <v>137.85276769715006</v>
      </c>
      <c r="F222" s="151">
        <v>51780.81</v>
      </c>
      <c r="G222" s="151">
        <v>0</v>
      </c>
      <c r="H222" s="151">
        <f t="shared" si="33"/>
        <v>51780.81</v>
      </c>
      <c r="I222" s="85">
        <f t="shared" si="34"/>
        <v>375.62401441048837</v>
      </c>
      <c r="J222" s="131">
        <f t="shared" si="35"/>
        <v>24969.442389729858</v>
      </c>
      <c r="K222" s="156"/>
      <c r="L222" s="156">
        <f>IFERROR(INDEX('Revised 2021 MFAM(2019 PYAs)'!AD$26:AD$278,MATCH(B222,'Revised 2021 MFAM(2019 PYAs)'!B$26:B$278,0)),0)</f>
        <v>-62.535009701725357</v>
      </c>
      <c r="M222" s="156">
        <f>IFERROR(INDEX('Revised 2020 MFAM(2018 PYAs)'!AF$26:AF$274,MATCH(B222,'Revised 2020 MFAM(2018 PYAs)'!B$26:B$274,0)),0)</f>
        <v>-16.408179750385898</v>
      </c>
      <c r="N222" s="156">
        <f t="shared" si="40"/>
        <v>-8.7365578017711235E-2</v>
      </c>
      <c r="O222" s="156">
        <f t="shared" si="41"/>
        <v>-79.030555030128966</v>
      </c>
      <c r="P222" s="156"/>
      <c r="Q222" s="161">
        <f t="shared" si="36"/>
        <v>24890.411834699731</v>
      </c>
      <c r="R222" s="162">
        <v>0</v>
      </c>
      <c r="S222" s="163">
        <f t="shared" si="37"/>
        <v>0</v>
      </c>
      <c r="T222" s="156">
        <f t="shared" si="38"/>
        <v>24890.411834699731</v>
      </c>
      <c r="U222" s="90"/>
      <c r="V222" s="161">
        <v>0</v>
      </c>
      <c r="W222" s="156">
        <f t="shared" si="39"/>
        <v>24890.411834699731</v>
      </c>
      <c r="X222" s="90"/>
      <c r="Y222" s="156">
        <f t="shared" si="42"/>
        <v>6222.6029586749328</v>
      </c>
      <c r="Z222" s="156">
        <f t="shared" si="42"/>
        <v>6222.6029586749328</v>
      </c>
      <c r="AA222" s="156">
        <f t="shared" si="42"/>
        <v>6222.6029586749328</v>
      </c>
      <c r="AB222" s="156">
        <f t="shared" si="42"/>
        <v>6222.6029586749328</v>
      </c>
    </row>
    <row r="223" spans="2:28" x14ac:dyDescent="0.3">
      <c r="B223" s="17">
        <v>871</v>
      </c>
      <c r="C223" s="137">
        <v>8</v>
      </c>
      <c r="D223" s="138" t="s">
        <v>239</v>
      </c>
      <c r="E223" s="153">
        <v>18.023491155764308</v>
      </c>
      <c r="F223" s="151">
        <v>15504.97</v>
      </c>
      <c r="G223" s="151">
        <v>0</v>
      </c>
      <c r="H223" s="151">
        <f t="shared" si="33"/>
        <v>15504.97</v>
      </c>
      <c r="I223" s="85">
        <f t="shared" si="34"/>
        <v>860.26452178445845</v>
      </c>
      <c r="J223" s="131">
        <f t="shared" si="35"/>
        <v>7476.7168603482596</v>
      </c>
      <c r="K223" s="156"/>
      <c r="L223" s="156">
        <f>IFERROR(INDEX('Revised 2021 MFAM(2019 PYAs)'!AD$26:AD$278,MATCH(B223,'Revised 2021 MFAM(2019 PYAs)'!B$26:B$278,0)),0)</f>
        <v>-10.662810768988038</v>
      </c>
      <c r="M223" s="156">
        <f>IFERROR(INDEX('Revised 2020 MFAM(2018 PYAs)'!AF$26:AF$274,MATCH(B223,'Revised 2020 MFAM(2018 PYAs)'!B$26:B$274,0)),0)</f>
        <v>-2.6881207856754372</v>
      </c>
      <c r="N223" s="156">
        <f t="shared" si="40"/>
        <v>-2.6160283436996681E-2</v>
      </c>
      <c r="O223" s="156">
        <f t="shared" si="41"/>
        <v>-13.377091838100473</v>
      </c>
      <c r="P223" s="156"/>
      <c r="Q223" s="161">
        <f t="shared" si="36"/>
        <v>7463.339768510159</v>
      </c>
      <c r="R223" s="162">
        <v>0</v>
      </c>
      <c r="S223" s="163">
        <f t="shared" si="37"/>
        <v>0</v>
      </c>
      <c r="T223" s="156">
        <f t="shared" si="38"/>
        <v>7463.339768510159</v>
      </c>
      <c r="U223" s="90"/>
      <c r="V223" s="161">
        <v>0</v>
      </c>
      <c r="W223" s="156">
        <f t="shared" si="39"/>
        <v>7463.339768510159</v>
      </c>
      <c r="X223" s="90"/>
      <c r="Y223" s="156">
        <f t="shared" si="42"/>
        <v>1865.8349421275398</v>
      </c>
      <c r="Z223" s="156">
        <f t="shared" si="42"/>
        <v>1865.8349421275398</v>
      </c>
      <c r="AA223" s="156">
        <f t="shared" si="42"/>
        <v>1865.8349421275398</v>
      </c>
      <c r="AB223" s="156">
        <f t="shared" si="42"/>
        <v>1865.8349421275398</v>
      </c>
    </row>
    <row r="224" spans="2:28" x14ac:dyDescent="0.3">
      <c r="B224" s="17">
        <v>873</v>
      </c>
      <c r="C224" s="137">
        <v>8</v>
      </c>
      <c r="D224" s="138" t="s">
        <v>240</v>
      </c>
      <c r="E224" s="153">
        <v>162.88999999999999</v>
      </c>
      <c r="F224" s="151">
        <v>93827.54</v>
      </c>
      <c r="G224" s="151">
        <v>0</v>
      </c>
      <c r="H224" s="151">
        <f t="shared" si="33"/>
        <v>93827.54</v>
      </c>
      <c r="I224" s="85">
        <f t="shared" si="34"/>
        <v>576.01780342562472</v>
      </c>
      <c r="J224" s="131">
        <f t="shared" si="35"/>
        <v>45244.973081728036</v>
      </c>
      <c r="K224" s="156"/>
      <c r="L224" s="156">
        <f>IFERROR(INDEX('Revised 2021 MFAM(2019 PYAs)'!AD$26:AD$278,MATCH(B224,'Revised 2021 MFAM(2019 PYAs)'!B$26:B$278,0)),0)</f>
        <v>-79.302606606608606</v>
      </c>
      <c r="M224" s="156">
        <f>IFERROR(INDEX('Revised 2020 MFAM(2018 PYAs)'!AF$26:AF$274,MATCH(B224,'Revised 2020 MFAM(2018 PYAs)'!B$26:B$274,0)),0)</f>
        <v>-16.715879555718857</v>
      </c>
      <c r="N224" s="156">
        <f t="shared" si="40"/>
        <v>-0.15830762914060098</v>
      </c>
      <c r="O224" s="156">
        <f t="shared" si="41"/>
        <v>-96.176793791468057</v>
      </c>
      <c r="P224" s="156"/>
      <c r="Q224" s="161">
        <f t="shared" si="36"/>
        <v>45148.796287936566</v>
      </c>
      <c r="R224" s="162">
        <v>0</v>
      </c>
      <c r="S224" s="163">
        <f t="shared" si="37"/>
        <v>0</v>
      </c>
      <c r="T224" s="156">
        <f t="shared" si="38"/>
        <v>45148.796287936566</v>
      </c>
      <c r="U224" s="90"/>
      <c r="V224" s="161">
        <v>0</v>
      </c>
      <c r="W224" s="156">
        <f t="shared" si="39"/>
        <v>45148.796287936566</v>
      </c>
      <c r="X224" s="90"/>
      <c r="Y224" s="156">
        <f t="shared" si="42"/>
        <v>11287.199071984141</v>
      </c>
      <c r="Z224" s="156">
        <f t="shared" si="42"/>
        <v>11287.199071984141</v>
      </c>
      <c r="AA224" s="156">
        <f t="shared" si="42"/>
        <v>11287.199071984141</v>
      </c>
      <c r="AB224" s="156">
        <f t="shared" si="42"/>
        <v>11287.199071984141</v>
      </c>
    </row>
    <row r="225" spans="2:28" x14ac:dyDescent="0.3">
      <c r="B225" s="17">
        <v>897</v>
      </c>
      <c r="C225" s="137">
        <v>8</v>
      </c>
      <c r="D225" s="138" t="s">
        <v>242</v>
      </c>
      <c r="E225" s="153">
        <v>89.939751791871316</v>
      </c>
      <c r="F225" s="151">
        <v>351541.58</v>
      </c>
      <c r="G225" s="151">
        <v>200</v>
      </c>
      <c r="H225" s="151">
        <f t="shared" si="33"/>
        <v>351341.58</v>
      </c>
      <c r="I225" s="85">
        <f t="shared" si="34"/>
        <v>3906.4103802847494</v>
      </c>
      <c r="J225" s="131">
        <f t="shared" si="35"/>
        <v>169421.9024562703</v>
      </c>
      <c r="K225" s="156"/>
      <c r="L225" s="156">
        <f>IFERROR(INDEX('Revised 2021 MFAM(2019 PYAs)'!AD$26:AD$278,MATCH(B225,'Revised 2021 MFAM(2019 PYAs)'!B$26:B$278,0)),0)</f>
        <v>-197.04278300378064</v>
      </c>
      <c r="M225" s="156">
        <f>IFERROR(INDEX('Revised 2020 MFAM(2018 PYAs)'!AF$26:AF$274,MATCH(B225,'Revised 2020 MFAM(2018 PYAs)'!B$26:B$274,0)),0)</f>
        <v>-0.74572804487252142</v>
      </c>
      <c r="N225" s="156">
        <f t="shared" si="40"/>
        <v>-0.59279026763690901</v>
      </c>
      <c r="O225" s="156">
        <f t="shared" si="41"/>
        <v>-198.38130131629006</v>
      </c>
      <c r="P225" s="156"/>
      <c r="Q225" s="161">
        <f t="shared" si="36"/>
        <v>169223.52115495401</v>
      </c>
      <c r="R225" s="162">
        <v>0</v>
      </c>
      <c r="S225" s="163">
        <f t="shared" si="37"/>
        <v>0</v>
      </c>
      <c r="T225" s="156">
        <f t="shared" si="38"/>
        <v>169223.52115495401</v>
      </c>
      <c r="U225" s="90"/>
      <c r="V225" s="161">
        <v>0</v>
      </c>
      <c r="W225" s="156">
        <f t="shared" si="39"/>
        <v>169223.52115495401</v>
      </c>
      <c r="X225" s="90"/>
      <c r="Y225" s="156">
        <f t="shared" si="42"/>
        <v>42305.880288738503</v>
      </c>
      <c r="Z225" s="156">
        <f t="shared" si="42"/>
        <v>42305.880288738503</v>
      </c>
      <c r="AA225" s="156">
        <f t="shared" si="42"/>
        <v>42305.880288738503</v>
      </c>
      <c r="AB225" s="156">
        <f t="shared" si="42"/>
        <v>42305.880288738503</v>
      </c>
    </row>
    <row r="226" spans="2:28" x14ac:dyDescent="0.3">
      <c r="B226" s="17">
        <v>905</v>
      </c>
      <c r="C226" s="137">
        <v>8</v>
      </c>
      <c r="D226" s="138" t="s">
        <v>243</v>
      </c>
      <c r="E226" s="153">
        <v>104.80390710632476</v>
      </c>
      <c r="F226" s="151">
        <v>70781.73</v>
      </c>
      <c r="G226" s="151">
        <v>0</v>
      </c>
      <c r="H226" s="151">
        <f t="shared" si="33"/>
        <v>70781.73</v>
      </c>
      <c r="I226" s="85">
        <f t="shared" si="34"/>
        <v>675.37300807107431</v>
      </c>
      <c r="J226" s="131">
        <f t="shared" si="35"/>
        <v>34131.956017690987</v>
      </c>
      <c r="K226" s="156"/>
      <c r="L226" s="156">
        <f>IFERROR(INDEX('Revised 2021 MFAM(2019 PYAs)'!AD$26:AD$278,MATCH(B226,'Revised 2021 MFAM(2019 PYAs)'!B$26:B$278,0)),0)</f>
        <v>-57.127639860249474</v>
      </c>
      <c r="M226" s="156">
        <f>IFERROR(INDEX('Revised 2020 MFAM(2018 PYAs)'!AF$26:AF$274,MATCH(B226,'Revised 2020 MFAM(2018 PYAs)'!B$26:B$274,0)),0)</f>
        <v>-13.047686331570731</v>
      </c>
      <c r="N226" s="156">
        <f t="shared" si="40"/>
        <v>-0.11942429549757086</v>
      </c>
      <c r="O226" s="156">
        <f t="shared" si="41"/>
        <v>-70.294750487317771</v>
      </c>
      <c r="P226" s="156"/>
      <c r="Q226" s="161">
        <f t="shared" si="36"/>
        <v>34061.661267203672</v>
      </c>
      <c r="R226" s="162">
        <v>0</v>
      </c>
      <c r="S226" s="163">
        <f t="shared" si="37"/>
        <v>0</v>
      </c>
      <c r="T226" s="156">
        <f t="shared" si="38"/>
        <v>34061.661267203672</v>
      </c>
      <c r="U226" s="90"/>
      <c r="V226" s="161">
        <v>0</v>
      </c>
      <c r="W226" s="156">
        <f t="shared" si="39"/>
        <v>34061.661267203672</v>
      </c>
      <c r="X226" s="90"/>
      <c r="Y226" s="156">
        <f t="shared" si="42"/>
        <v>8515.4153168009179</v>
      </c>
      <c r="Z226" s="156">
        <f t="shared" si="42"/>
        <v>8515.4153168009179</v>
      </c>
      <c r="AA226" s="156">
        <f t="shared" si="42"/>
        <v>8515.4153168009179</v>
      </c>
      <c r="AB226" s="156">
        <f t="shared" si="42"/>
        <v>8515.4153168009179</v>
      </c>
    </row>
    <row r="227" spans="2:28" x14ac:dyDescent="0.3">
      <c r="B227" s="17">
        <v>907</v>
      </c>
      <c r="C227" s="137">
        <v>8</v>
      </c>
      <c r="D227" s="138" t="s">
        <v>244</v>
      </c>
      <c r="E227" s="153">
        <v>12.40092665345982</v>
      </c>
      <c r="F227" s="151">
        <v>19747.95</v>
      </c>
      <c r="G227" s="151">
        <v>0</v>
      </c>
      <c r="H227" s="151">
        <f t="shared" si="33"/>
        <v>19747.95</v>
      </c>
      <c r="I227" s="85">
        <f t="shared" si="34"/>
        <v>1592.4576083586774</v>
      </c>
      <c r="J227" s="131">
        <f t="shared" si="35"/>
        <v>9522.7421092923378</v>
      </c>
      <c r="K227" s="156"/>
      <c r="L227" s="156">
        <f>IFERROR(INDEX('Revised 2021 MFAM(2019 PYAs)'!AD$26:AD$278,MATCH(B227,'Revised 2021 MFAM(2019 PYAs)'!B$26:B$278,0)),0)</f>
        <v>-17.45511272904514</v>
      </c>
      <c r="M227" s="156">
        <f>IFERROR(INDEX('Revised 2020 MFAM(2018 PYAs)'!AF$26:AF$274,MATCH(B227,'Revised 2020 MFAM(2018 PYAs)'!B$26:B$274,0)),0)</f>
        <v>-4.2980663009366253</v>
      </c>
      <c r="N227" s="156">
        <f t="shared" si="40"/>
        <v>-3.3319120856063485E-2</v>
      </c>
      <c r="O227" s="156">
        <f t="shared" si="41"/>
        <v>-21.786498150837829</v>
      </c>
      <c r="P227" s="156"/>
      <c r="Q227" s="161">
        <f t="shared" si="36"/>
        <v>9500.9556111415004</v>
      </c>
      <c r="R227" s="162">
        <v>0</v>
      </c>
      <c r="S227" s="163">
        <f t="shared" si="37"/>
        <v>0</v>
      </c>
      <c r="T227" s="156">
        <f t="shared" si="38"/>
        <v>9500.9556111415004</v>
      </c>
      <c r="U227" s="90"/>
      <c r="V227" s="161">
        <v>0</v>
      </c>
      <c r="W227" s="156">
        <f t="shared" si="39"/>
        <v>9500.9556111415004</v>
      </c>
      <c r="X227" s="90"/>
      <c r="Y227" s="156">
        <f t="shared" si="42"/>
        <v>2375.2389027853751</v>
      </c>
      <c r="Z227" s="156">
        <f t="shared" si="42"/>
        <v>2375.2389027853751</v>
      </c>
      <c r="AA227" s="156">
        <f t="shared" si="42"/>
        <v>2375.2389027853751</v>
      </c>
      <c r="AB227" s="156">
        <f t="shared" si="42"/>
        <v>2375.2389027853751</v>
      </c>
    </row>
    <row r="228" spans="2:28" x14ac:dyDescent="0.3">
      <c r="B228" s="17">
        <v>914</v>
      </c>
      <c r="C228" s="137">
        <v>8</v>
      </c>
      <c r="D228" s="138" t="s">
        <v>350</v>
      </c>
      <c r="E228" s="153">
        <v>47.0140246637825</v>
      </c>
      <c r="F228" s="151">
        <v>20034.88</v>
      </c>
      <c r="G228" s="151">
        <v>0</v>
      </c>
      <c r="H228" s="151">
        <f t="shared" si="33"/>
        <v>20034.88</v>
      </c>
      <c r="I228" s="85">
        <f t="shared" si="34"/>
        <v>426.14688155881231</v>
      </c>
      <c r="J228" s="131">
        <f t="shared" si="35"/>
        <v>9661.1038325810459</v>
      </c>
      <c r="K228" s="156"/>
      <c r="L228" s="156">
        <f>IFERROR(INDEX('Revised 2021 MFAM(2019 PYAs)'!AD$26:AD$278,MATCH(B228,'Revised 2021 MFAM(2019 PYAs)'!B$26:B$278,0)),0)</f>
        <v>0</v>
      </c>
      <c r="M228" s="156">
        <f>IFERROR(INDEX('Revised 2020 MFAM(2018 PYAs)'!AF$26:AF$274,MATCH(B228,'Revised 2020 MFAM(2018 PYAs)'!B$26:B$274,0)),0)</f>
        <v>0</v>
      </c>
      <c r="N228" s="156">
        <f t="shared" si="40"/>
        <v>-3.3803234667736611E-2</v>
      </c>
      <c r="O228" s="156">
        <f t="shared" si="41"/>
        <v>-3.3803234667736611E-2</v>
      </c>
      <c r="P228" s="156"/>
      <c r="Q228" s="161">
        <f t="shared" si="36"/>
        <v>9661.0700293463779</v>
      </c>
      <c r="R228" s="162">
        <v>0</v>
      </c>
      <c r="S228" s="163">
        <f t="shared" si="37"/>
        <v>0</v>
      </c>
      <c r="T228" s="156">
        <f t="shared" si="38"/>
        <v>9661.0700293463779</v>
      </c>
      <c r="U228" s="90"/>
      <c r="V228" s="161">
        <v>0</v>
      </c>
      <c r="W228" s="156">
        <f t="shared" si="39"/>
        <v>9661.0700293463779</v>
      </c>
      <c r="X228" s="90"/>
      <c r="Y228" s="156">
        <f t="shared" si="42"/>
        <v>2415.2675073365945</v>
      </c>
      <c r="Z228" s="156">
        <f t="shared" si="42"/>
        <v>2415.2675073365945</v>
      </c>
      <c r="AA228" s="156">
        <f t="shared" si="42"/>
        <v>2415.2675073365945</v>
      </c>
      <c r="AB228" s="156">
        <f t="shared" si="42"/>
        <v>2415.2675073365945</v>
      </c>
    </row>
    <row r="229" spans="2:28" x14ac:dyDescent="0.3">
      <c r="B229" s="17">
        <v>918</v>
      </c>
      <c r="C229" s="137">
        <v>8</v>
      </c>
      <c r="D229" s="138" t="s">
        <v>245</v>
      </c>
      <c r="E229" s="153">
        <v>55.460906729068377</v>
      </c>
      <c r="F229" s="151">
        <v>58623.87</v>
      </c>
      <c r="G229" s="151">
        <v>0</v>
      </c>
      <c r="H229" s="151">
        <f t="shared" si="33"/>
        <v>58623.87</v>
      </c>
      <c r="I229" s="85">
        <f t="shared" si="34"/>
        <v>1057.0305005358639</v>
      </c>
      <c r="J229" s="131">
        <f t="shared" si="35"/>
        <v>28269.263161932242</v>
      </c>
      <c r="K229" s="156"/>
      <c r="L229" s="156">
        <f>IFERROR(INDEX('Revised 2021 MFAM(2019 PYAs)'!AD$26:AD$278,MATCH(B229,'Revised 2021 MFAM(2019 PYAs)'!B$26:B$278,0)),0)</f>
        <v>-79.421131339884596</v>
      </c>
      <c r="M229" s="156">
        <f>IFERROR(INDEX('Revised 2020 MFAM(2018 PYAs)'!AF$26:AF$274,MATCH(B229,'Revised 2020 MFAM(2018 PYAs)'!B$26:B$274,0)),0)</f>
        <v>-13.92986082144489</v>
      </c>
      <c r="N229" s="156">
        <f t="shared" si="40"/>
        <v>-9.8911320394276595E-2</v>
      </c>
      <c r="O229" s="156">
        <f t="shared" si="41"/>
        <v>-93.449903481723766</v>
      </c>
      <c r="P229" s="156"/>
      <c r="Q229" s="161">
        <f t="shared" si="36"/>
        <v>28175.813258450518</v>
      </c>
      <c r="R229" s="162">
        <v>0</v>
      </c>
      <c r="S229" s="163">
        <f t="shared" si="37"/>
        <v>0</v>
      </c>
      <c r="T229" s="156">
        <f t="shared" si="38"/>
        <v>28175.813258450518</v>
      </c>
      <c r="U229" s="90"/>
      <c r="V229" s="161">
        <v>0</v>
      </c>
      <c r="W229" s="156">
        <f t="shared" si="39"/>
        <v>28175.813258450518</v>
      </c>
      <c r="X229" s="90"/>
      <c r="Y229" s="156">
        <f t="shared" si="42"/>
        <v>7043.9533146126296</v>
      </c>
      <c r="Z229" s="156">
        <f t="shared" si="42"/>
        <v>7043.9533146126296</v>
      </c>
      <c r="AA229" s="156">
        <f t="shared" si="42"/>
        <v>7043.9533146126296</v>
      </c>
      <c r="AB229" s="156">
        <f t="shared" si="42"/>
        <v>7043.9533146126296</v>
      </c>
    </row>
    <row r="230" spans="2:28" x14ac:dyDescent="0.3">
      <c r="B230" s="17">
        <v>922</v>
      </c>
      <c r="C230" s="137">
        <v>8</v>
      </c>
      <c r="D230" s="138" t="s">
        <v>246</v>
      </c>
      <c r="E230" s="153">
        <v>150.75772640800349</v>
      </c>
      <c r="F230" s="151">
        <v>148178.89000000001</v>
      </c>
      <c r="G230" s="151">
        <v>7437.3</v>
      </c>
      <c r="H230" s="151">
        <f t="shared" si="33"/>
        <v>140741.59000000003</v>
      </c>
      <c r="I230" s="85">
        <f t="shared" si="34"/>
        <v>933.56137262977632</v>
      </c>
      <c r="J230" s="131">
        <f t="shared" si="35"/>
        <v>67867.594642570883</v>
      </c>
      <c r="K230" s="156"/>
      <c r="L230" s="156">
        <f>IFERROR(INDEX('Revised 2021 MFAM(2019 PYAs)'!AD$26:AD$278,MATCH(B230,'Revised 2021 MFAM(2019 PYAs)'!B$26:B$278,0)),0)</f>
        <v>-79.576967317352683</v>
      </c>
      <c r="M230" s="156">
        <f>IFERROR(INDEX('Revised 2020 MFAM(2018 PYAs)'!AF$26:AF$274,MATCH(B230,'Revised 2020 MFAM(2018 PYAs)'!B$26:B$274,0)),0)</f>
        <v>-29.782909143657889</v>
      </c>
      <c r="N230" s="156">
        <f t="shared" si="40"/>
        <v>-0.23746191613228396</v>
      </c>
      <c r="O230" s="156">
        <f t="shared" si="41"/>
        <v>-109.59733837714286</v>
      </c>
      <c r="P230" s="156"/>
      <c r="Q230" s="161">
        <f t="shared" si="36"/>
        <v>67757.997304193734</v>
      </c>
      <c r="R230" s="162">
        <v>0</v>
      </c>
      <c r="S230" s="163">
        <f t="shared" si="37"/>
        <v>0</v>
      </c>
      <c r="T230" s="156">
        <f t="shared" si="38"/>
        <v>67757.997304193734</v>
      </c>
      <c r="U230" s="90"/>
      <c r="V230" s="161">
        <v>0</v>
      </c>
      <c r="W230" s="156">
        <f t="shared" si="39"/>
        <v>67757.997304193734</v>
      </c>
      <c r="X230" s="90"/>
      <c r="Y230" s="156">
        <f t="shared" si="42"/>
        <v>16939.499326048433</v>
      </c>
      <c r="Z230" s="156">
        <f t="shared" si="42"/>
        <v>16939.499326048433</v>
      </c>
      <c r="AA230" s="156">
        <f t="shared" si="42"/>
        <v>16939.499326048433</v>
      </c>
      <c r="AB230" s="156">
        <f t="shared" si="42"/>
        <v>16939.499326048433</v>
      </c>
    </row>
    <row r="231" spans="2:28" x14ac:dyDescent="0.3">
      <c r="B231" s="17">
        <v>924</v>
      </c>
      <c r="C231" s="137">
        <v>8</v>
      </c>
      <c r="D231" s="138" t="s">
        <v>247</v>
      </c>
      <c r="E231" s="153">
        <v>74.918282186038624</v>
      </c>
      <c r="F231" s="151">
        <v>48667.92</v>
      </c>
      <c r="G231" s="151">
        <v>0</v>
      </c>
      <c r="H231" s="151">
        <f t="shared" si="33"/>
        <v>48667.92</v>
      </c>
      <c r="I231" s="85">
        <f t="shared" si="34"/>
        <v>649.61339982605068</v>
      </c>
      <c r="J231" s="131">
        <f t="shared" si="35"/>
        <v>23468.36259741749</v>
      </c>
      <c r="K231" s="156"/>
      <c r="L231" s="156">
        <f>IFERROR(INDEX('Revised 2021 MFAM(2019 PYAs)'!AD$26:AD$278,MATCH(B231,'Revised 2021 MFAM(2019 PYAs)'!B$26:B$278,0)),0)</f>
        <v>-56.922155599746475</v>
      </c>
      <c r="M231" s="156">
        <f>IFERROR(INDEX('Revised 2020 MFAM(2018 PYAs)'!AF$26:AF$274,MATCH(B231,'Revised 2020 MFAM(2018 PYAs)'!B$26:B$274,0)),0)</f>
        <v>-13.835410302421224</v>
      </c>
      <c r="N231" s="156">
        <f t="shared" si="40"/>
        <v>-8.2113450170434352E-2</v>
      </c>
      <c r="O231" s="156">
        <f t="shared" si="41"/>
        <v>-70.839679352338138</v>
      </c>
      <c r="P231" s="156"/>
      <c r="Q231" s="161">
        <f t="shared" si="36"/>
        <v>23397.522918065151</v>
      </c>
      <c r="R231" s="162">
        <v>0</v>
      </c>
      <c r="S231" s="163">
        <f t="shared" si="37"/>
        <v>0</v>
      </c>
      <c r="T231" s="156">
        <f t="shared" si="38"/>
        <v>23397.522918065151</v>
      </c>
      <c r="U231" s="90"/>
      <c r="V231" s="161">
        <v>0</v>
      </c>
      <c r="W231" s="156">
        <f t="shared" si="39"/>
        <v>23397.522918065151</v>
      </c>
      <c r="X231" s="90"/>
      <c r="Y231" s="156">
        <f t="shared" si="42"/>
        <v>5849.3807295162878</v>
      </c>
      <c r="Z231" s="156">
        <f t="shared" si="42"/>
        <v>5849.3807295162878</v>
      </c>
      <c r="AA231" s="156">
        <f t="shared" si="42"/>
        <v>5849.3807295162878</v>
      </c>
      <c r="AB231" s="156">
        <f t="shared" si="42"/>
        <v>5849.3807295162878</v>
      </c>
    </row>
    <row r="232" spans="2:28" x14ac:dyDescent="0.3">
      <c r="B232" s="17">
        <v>929</v>
      </c>
      <c r="C232" s="137">
        <v>8</v>
      </c>
      <c r="D232" s="138" t="s">
        <v>248</v>
      </c>
      <c r="E232" s="153">
        <v>61.552742457222074</v>
      </c>
      <c r="F232" s="151">
        <v>76019.56</v>
      </c>
      <c r="G232" s="151">
        <v>0</v>
      </c>
      <c r="H232" s="151">
        <f t="shared" si="33"/>
        <v>76019.56</v>
      </c>
      <c r="I232" s="85">
        <f t="shared" si="34"/>
        <v>1235.0312425613217</v>
      </c>
      <c r="J232" s="131">
        <f t="shared" si="35"/>
        <v>36657.712073500057</v>
      </c>
      <c r="K232" s="156"/>
      <c r="L232" s="156">
        <f>IFERROR(INDEX('Revised 2021 MFAM(2019 PYAs)'!AD$26:AD$278,MATCH(B232,'Revised 2021 MFAM(2019 PYAs)'!B$26:B$278,0)),0)</f>
        <v>-41.40682004854898</v>
      </c>
      <c r="M232" s="156">
        <f>IFERROR(INDEX('Revised 2020 MFAM(2018 PYAs)'!AF$26:AF$274,MATCH(B232,'Revised 2020 MFAM(2018 PYAs)'!B$26:B$274,0)),0)</f>
        <v>-11.385999247437212</v>
      </c>
      <c r="N232" s="156">
        <f t="shared" si="40"/>
        <v>-0.12826166296070071</v>
      </c>
      <c r="O232" s="156">
        <f t="shared" si="41"/>
        <v>-52.921080958946895</v>
      </c>
      <c r="P232" s="156"/>
      <c r="Q232" s="161">
        <f t="shared" si="36"/>
        <v>36604.790992541108</v>
      </c>
      <c r="R232" s="162">
        <v>0</v>
      </c>
      <c r="S232" s="163">
        <f t="shared" si="37"/>
        <v>0</v>
      </c>
      <c r="T232" s="156">
        <f t="shared" si="38"/>
        <v>36604.790992541108</v>
      </c>
      <c r="U232" s="90"/>
      <c r="V232" s="161">
        <v>0</v>
      </c>
      <c r="W232" s="156">
        <f t="shared" si="39"/>
        <v>36604.790992541108</v>
      </c>
      <c r="X232" s="90"/>
      <c r="Y232" s="156">
        <f t="shared" si="42"/>
        <v>9151.1977481352769</v>
      </c>
      <c r="Z232" s="156">
        <f t="shared" si="42"/>
        <v>9151.1977481352769</v>
      </c>
      <c r="AA232" s="156">
        <f t="shared" si="42"/>
        <v>9151.1977481352769</v>
      </c>
      <c r="AB232" s="156">
        <f t="shared" si="42"/>
        <v>9151.1977481352769</v>
      </c>
    </row>
    <row r="233" spans="2:28" x14ac:dyDescent="0.3">
      <c r="B233" s="17">
        <v>955</v>
      </c>
      <c r="C233" s="137">
        <v>8</v>
      </c>
      <c r="D233" s="138" t="s">
        <v>249</v>
      </c>
      <c r="E233" s="153">
        <v>53.893651217950882</v>
      </c>
      <c r="F233" s="151">
        <v>31883.37</v>
      </c>
      <c r="G233" s="151">
        <v>0</v>
      </c>
      <c r="H233" s="151">
        <f t="shared" si="33"/>
        <v>31883.37</v>
      </c>
      <c r="I233" s="85">
        <f t="shared" si="34"/>
        <v>591.59788359969741</v>
      </c>
      <c r="J233" s="131">
        <f t="shared" si="35"/>
        <v>15374.614078177636</v>
      </c>
      <c r="K233" s="156"/>
      <c r="L233" s="156">
        <f>IFERROR(INDEX('Revised 2021 MFAM(2019 PYAs)'!AD$26:AD$278,MATCH(B233,'Revised 2021 MFAM(2019 PYAs)'!B$26:B$278,0)),0)</f>
        <v>-23.639487683925836</v>
      </c>
      <c r="M233" s="156">
        <f>IFERROR(INDEX('Revised 2020 MFAM(2018 PYAs)'!AF$26:AF$274,MATCH(B233,'Revised 2020 MFAM(2018 PYAs)'!B$26:B$274,0)),0)</f>
        <v>-5.0958685505238464</v>
      </c>
      <c r="N233" s="156">
        <f t="shared" si="40"/>
        <v>-5.3794234759992246E-2</v>
      </c>
      <c r="O233" s="156">
        <f t="shared" si="41"/>
        <v>-28.789150469209673</v>
      </c>
      <c r="P233" s="156"/>
      <c r="Q233" s="161">
        <f t="shared" si="36"/>
        <v>15345.824927708427</v>
      </c>
      <c r="R233" s="162">
        <v>0</v>
      </c>
      <c r="S233" s="163">
        <f t="shared" si="37"/>
        <v>0</v>
      </c>
      <c r="T233" s="156">
        <f t="shared" si="38"/>
        <v>15345.824927708427</v>
      </c>
      <c r="U233" s="90"/>
      <c r="V233" s="161">
        <v>0</v>
      </c>
      <c r="W233" s="156">
        <f t="shared" si="39"/>
        <v>15345.824927708427</v>
      </c>
      <c r="X233" s="90"/>
      <c r="Y233" s="156">
        <f t="shared" si="42"/>
        <v>3836.4562319271067</v>
      </c>
      <c r="Z233" s="156">
        <f t="shared" si="42"/>
        <v>3836.4562319271067</v>
      </c>
      <c r="AA233" s="156">
        <f t="shared" si="42"/>
        <v>3836.4562319271067</v>
      </c>
      <c r="AB233" s="156">
        <f t="shared" si="42"/>
        <v>3836.4562319271067</v>
      </c>
    </row>
    <row r="234" spans="2:28" x14ac:dyDescent="0.3">
      <c r="B234" s="17">
        <v>973</v>
      </c>
      <c r="C234" s="137">
        <v>8</v>
      </c>
      <c r="D234" s="138" t="s">
        <v>250</v>
      </c>
      <c r="E234" s="153">
        <v>9.270959398245834</v>
      </c>
      <c r="F234" s="151">
        <v>10476.32</v>
      </c>
      <c r="G234" s="151">
        <v>0</v>
      </c>
      <c r="H234" s="151">
        <f t="shared" si="33"/>
        <v>10476.32</v>
      </c>
      <c r="I234" s="85">
        <f t="shared" si="34"/>
        <v>1130.0146565178825</v>
      </c>
      <c r="J234" s="131">
        <f t="shared" si="35"/>
        <v>5051.8303729967665</v>
      </c>
      <c r="K234" s="156"/>
      <c r="L234" s="156">
        <f>IFERROR(INDEX('Revised 2021 MFAM(2019 PYAs)'!AD$26:AD$278,MATCH(B234,'Revised 2021 MFAM(2019 PYAs)'!B$26:B$278,0)),0)</f>
        <v>-7.4095943601091676</v>
      </c>
      <c r="M234" s="156">
        <f>IFERROR(INDEX('Revised 2020 MFAM(2018 PYAs)'!AF$26:AF$274,MATCH(B234,'Revised 2020 MFAM(2018 PYAs)'!B$26:B$274,0)),0)</f>
        <v>-2.2738796086246111</v>
      </c>
      <c r="N234" s="156">
        <f t="shared" si="40"/>
        <v>-1.7675848490946909E-2</v>
      </c>
      <c r="O234" s="156">
        <f t="shared" si="41"/>
        <v>-9.7011498172247261</v>
      </c>
      <c r="P234" s="156"/>
      <c r="Q234" s="161">
        <f t="shared" si="36"/>
        <v>5042.1292231795414</v>
      </c>
      <c r="R234" s="162">
        <v>0</v>
      </c>
      <c r="S234" s="163">
        <f t="shared" si="37"/>
        <v>0</v>
      </c>
      <c r="T234" s="156">
        <f t="shared" si="38"/>
        <v>5042.1292231795414</v>
      </c>
      <c r="U234" s="90"/>
      <c r="V234" s="161">
        <v>0</v>
      </c>
      <c r="W234" s="156">
        <f t="shared" si="39"/>
        <v>5042.1292231795414</v>
      </c>
      <c r="X234" s="90"/>
      <c r="Y234" s="156">
        <f t="shared" si="42"/>
        <v>1260.5323057948854</v>
      </c>
      <c r="Z234" s="156">
        <f t="shared" si="42"/>
        <v>1260.5323057948854</v>
      </c>
      <c r="AA234" s="156">
        <f t="shared" si="42"/>
        <v>1260.5323057948854</v>
      </c>
      <c r="AB234" s="156">
        <f t="shared" si="42"/>
        <v>1260.5323057948854</v>
      </c>
    </row>
    <row r="235" spans="2:28" x14ac:dyDescent="0.3">
      <c r="B235" s="17">
        <v>974</v>
      </c>
      <c r="C235" s="137">
        <v>8</v>
      </c>
      <c r="D235" s="138" t="s">
        <v>251</v>
      </c>
      <c r="E235" s="153">
        <v>13.39</v>
      </c>
      <c r="F235" s="151">
        <v>17413</v>
      </c>
      <c r="G235" s="151">
        <v>0</v>
      </c>
      <c r="H235" s="151">
        <f t="shared" si="33"/>
        <v>17413</v>
      </c>
      <c r="I235" s="85">
        <f t="shared" si="34"/>
        <v>1300.4480955937265</v>
      </c>
      <c r="J235" s="131">
        <f t="shared" si="35"/>
        <v>8396.796039543724</v>
      </c>
      <c r="K235" s="156"/>
      <c r="L235" s="156">
        <f>IFERROR(INDEX('Revised 2021 MFAM(2019 PYAs)'!AD$26:AD$278,MATCH(B235,'Revised 2021 MFAM(2019 PYAs)'!B$26:B$278,0)),0)</f>
        <v>-13.743253057843503</v>
      </c>
      <c r="M235" s="156">
        <f>IFERROR(INDEX('Revised 2020 MFAM(2018 PYAs)'!AF$26:AF$274,MATCH(B235,'Revised 2020 MFAM(2018 PYAs)'!B$26:B$274,0)),0)</f>
        <v>-3.2546958494358478</v>
      </c>
      <c r="N235" s="156">
        <f t="shared" si="40"/>
        <v>-2.9379548331175311E-2</v>
      </c>
      <c r="O235" s="156">
        <f t="shared" si="41"/>
        <v>-17.027328455610526</v>
      </c>
      <c r="P235" s="156"/>
      <c r="Q235" s="161">
        <f t="shared" si="36"/>
        <v>8379.7687110881143</v>
      </c>
      <c r="R235" s="162">
        <v>0</v>
      </c>
      <c r="S235" s="163">
        <f t="shared" si="37"/>
        <v>0</v>
      </c>
      <c r="T235" s="156">
        <f t="shared" si="38"/>
        <v>8379.7687110881143</v>
      </c>
      <c r="U235" s="90"/>
      <c r="V235" s="161">
        <v>0</v>
      </c>
      <c r="W235" s="156">
        <f t="shared" si="39"/>
        <v>8379.7687110881143</v>
      </c>
      <c r="X235" s="90"/>
      <c r="Y235" s="156">
        <f t="shared" si="42"/>
        <v>2094.9421777720286</v>
      </c>
      <c r="Z235" s="156">
        <f t="shared" si="42"/>
        <v>2094.9421777720286</v>
      </c>
      <c r="AA235" s="156">
        <f t="shared" si="42"/>
        <v>2094.9421777720286</v>
      </c>
      <c r="AB235" s="156">
        <f t="shared" si="42"/>
        <v>2094.9421777720286</v>
      </c>
    </row>
    <row r="236" spans="2:28" x14ac:dyDescent="0.3">
      <c r="B236" s="17">
        <v>978</v>
      </c>
      <c r="C236" s="137">
        <v>8</v>
      </c>
      <c r="D236" s="138" t="s">
        <v>252</v>
      </c>
      <c r="E236" s="153">
        <v>27.087988365245032</v>
      </c>
      <c r="F236" s="151">
        <v>28437.82</v>
      </c>
      <c r="G236" s="151">
        <v>0</v>
      </c>
      <c r="H236" s="151">
        <f t="shared" si="33"/>
        <v>28437.82</v>
      </c>
      <c r="I236" s="85">
        <f t="shared" si="34"/>
        <v>1049.8313723615909</v>
      </c>
      <c r="J236" s="131">
        <f t="shared" si="35"/>
        <v>13713.120906751123</v>
      </c>
      <c r="K236" s="156"/>
      <c r="L236" s="156">
        <f>IFERROR(INDEX('Revised 2021 MFAM(2019 PYAs)'!AD$26:AD$278,MATCH(B236,'Revised 2021 MFAM(2019 PYAs)'!B$26:B$278,0)),0)</f>
        <v>-24.864602324378211</v>
      </c>
      <c r="M236" s="156">
        <f>IFERROR(INDEX('Revised 2020 MFAM(2018 PYAs)'!AF$26:AF$274,MATCH(B236,'Revised 2020 MFAM(2018 PYAs)'!B$26:B$274,0)),0)</f>
        <v>0</v>
      </c>
      <c r="N236" s="156">
        <f t="shared" si="40"/>
        <v>-4.7980836565971623E-2</v>
      </c>
      <c r="O236" s="156">
        <f t="shared" si="41"/>
        <v>-24.912583160944184</v>
      </c>
      <c r="P236" s="156"/>
      <c r="Q236" s="161">
        <f t="shared" si="36"/>
        <v>13688.208323590179</v>
      </c>
      <c r="R236" s="162">
        <v>0</v>
      </c>
      <c r="S236" s="163">
        <f t="shared" si="37"/>
        <v>0</v>
      </c>
      <c r="T236" s="156">
        <f t="shared" si="38"/>
        <v>13688.208323590179</v>
      </c>
      <c r="U236" s="90"/>
      <c r="V236" s="161">
        <v>0</v>
      </c>
      <c r="W236" s="156">
        <f t="shared" si="39"/>
        <v>13688.208323590179</v>
      </c>
      <c r="X236" s="90"/>
      <c r="Y236" s="156">
        <f t="shared" si="42"/>
        <v>3422.0520808975448</v>
      </c>
      <c r="Z236" s="156">
        <f t="shared" si="42"/>
        <v>3422.0520808975448</v>
      </c>
      <c r="AA236" s="156">
        <f t="shared" si="42"/>
        <v>3422.0520808975448</v>
      </c>
      <c r="AB236" s="156">
        <f t="shared" si="42"/>
        <v>3422.0520808975448</v>
      </c>
    </row>
    <row r="237" spans="2:28" x14ac:dyDescent="0.3">
      <c r="B237" s="17">
        <v>985</v>
      </c>
      <c r="C237" s="137">
        <v>8</v>
      </c>
      <c r="D237" s="138" t="s">
        <v>253</v>
      </c>
      <c r="E237" s="153">
        <v>56.686226041007984</v>
      </c>
      <c r="F237" s="151">
        <v>254362.88</v>
      </c>
      <c r="G237" s="151">
        <v>0</v>
      </c>
      <c r="H237" s="151">
        <f t="shared" si="33"/>
        <v>254362.88</v>
      </c>
      <c r="I237" s="85">
        <f t="shared" si="34"/>
        <v>4487.2078768480487</v>
      </c>
      <c r="J237" s="131">
        <f t="shared" si="35"/>
        <v>122657.39524441138</v>
      </c>
      <c r="K237" s="156"/>
      <c r="L237" s="156">
        <f>IFERROR(INDEX('Revised 2021 MFAM(2019 PYAs)'!AD$26:AD$278,MATCH(B237,'Revised 2021 MFAM(2019 PYAs)'!B$26:B$278,0)),0)</f>
        <v>-101.32241846509714</v>
      </c>
      <c r="M237" s="156">
        <f>IFERROR(INDEX('Revised 2020 MFAM(2018 PYAs)'!AF$26:AF$274,MATCH(B237,'Revised 2020 MFAM(2018 PYAs)'!B$26:B$274,0)),0)</f>
        <v>-122.68601512275563</v>
      </c>
      <c r="N237" s="156">
        <f t="shared" si="40"/>
        <v>-0.4291659407693646</v>
      </c>
      <c r="O237" s="156">
        <f t="shared" si="41"/>
        <v>-224.43759952862214</v>
      </c>
      <c r="P237" s="156"/>
      <c r="Q237" s="161">
        <f t="shared" si="36"/>
        <v>122432.95764488276</v>
      </c>
      <c r="R237" s="162">
        <v>0</v>
      </c>
      <c r="S237" s="163">
        <f t="shared" si="37"/>
        <v>0</v>
      </c>
      <c r="T237" s="156">
        <f t="shared" si="38"/>
        <v>122432.95764488276</v>
      </c>
      <c r="U237" s="90"/>
      <c r="V237" s="161">
        <v>0</v>
      </c>
      <c r="W237" s="156">
        <f t="shared" si="39"/>
        <v>122432.95764488276</v>
      </c>
      <c r="X237" s="90"/>
      <c r="Y237" s="156">
        <f t="shared" si="42"/>
        <v>30608.239411220689</v>
      </c>
      <c r="Z237" s="156">
        <f t="shared" si="42"/>
        <v>30608.239411220689</v>
      </c>
      <c r="AA237" s="156">
        <f t="shared" si="42"/>
        <v>30608.239411220689</v>
      </c>
      <c r="AB237" s="156">
        <f t="shared" si="42"/>
        <v>30608.239411220689</v>
      </c>
    </row>
    <row r="238" spans="2:28" x14ac:dyDescent="0.3">
      <c r="B238" s="17">
        <v>100</v>
      </c>
      <c r="C238" s="137">
        <v>9</v>
      </c>
      <c r="D238" s="138" t="s">
        <v>254</v>
      </c>
      <c r="E238" s="153">
        <v>35.870600930990676</v>
      </c>
      <c r="F238" s="151">
        <v>31585.98</v>
      </c>
      <c r="G238" s="151">
        <v>0</v>
      </c>
      <c r="H238" s="151">
        <f t="shared" si="33"/>
        <v>31585.98</v>
      </c>
      <c r="I238" s="85">
        <f t="shared" si="34"/>
        <v>880.55341087723605</v>
      </c>
      <c r="J238" s="131">
        <f t="shared" si="35"/>
        <v>15231.208394251838</v>
      </c>
      <c r="K238" s="156"/>
      <c r="L238" s="156">
        <f>IFERROR(INDEX('Revised 2021 MFAM(2019 PYAs)'!AD$26:AD$278,MATCH(B238,'Revised 2021 MFAM(2019 PYAs)'!B$26:B$278,0)),0)</f>
        <v>-80.00560561453949</v>
      </c>
      <c r="M238" s="156">
        <f>IFERROR(INDEX('Revised 2020 MFAM(2018 PYAs)'!AF$26:AF$274,MATCH(B238,'Revised 2020 MFAM(2018 PYAs)'!B$26:B$274,0)),0)</f>
        <v>-5.8170188955336926</v>
      </c>
      <c r="N238" s="156">
        <f t="shared" si="40"/>
        <v>-5.3292472635245891E-2</v>
      </c>
      <c r="O238" s="156">
        <f t="shared" si="41"/>
        <v>-85.875916982708432</v>
      </c>
      <c r="P238" s="156"/>
      <c r="Q238" s="161">
        <f t="shared" si="36"/>
        <v>15145.33247726913</v>
      </c>
      <c r="R238" s="162">
        <v>0</v>
      </c>
      <c r="S238" s="163">
        <f t="shared" si="37"/>
        <v>0</v>
      </c>
      <c r="T238" s="156">
        <f t="shared" si="38"/>
        <v>15145.33247726913</v>
      </c>
      <c r="U238" s="90"/>
      <c r="V238" s="161">
        <v>0</v>
      </c>
      <c r="W238" s="156">
        <f t="shared" si="39"/>
        <v>15145.33247726913</v>
      </c>
      <c r="X238" s="90"/>
      <c r="Y238" s="156">
        <f t="shared" si="42"/>
        <v>3786.3331193172826</v>
      </c>
      <c r="Z238" s="156">
        <f t="shared" si="42"/>
        <v>3786.3331193172826</v>
      </c>
      <c r="AA238" s="156">
        <f t="shared" si="42"/>
        <v>3786.3331193172826</v>
      </c>
      <c r="AB238" s="156">
        <f t="shared" si="42"/>
        <v>3786.3331193172826</v>
      </c>
    </row>
    <row r="239" spans="2:28" x14ac:dyDescent="0.3">
      <c r="B239" s="17">
        <v>159</v>
      </c>
      <c r="C239" s="137">
        <v>9</v>
      </c>
      <c r="D239" s="138" t="s">
        <v>255</v>
      </c>
      <c r="E239" s="153">
        <v>778.17335536840437</v>
      </c>
      <c r="F239" s="151">
        <v>297599.14</v>
      </c>
      <c r="G239" s="151">
        <v>0</v>
      </c>
      <c r="H239" s="151">
        <f t="shared" si="33"/>
        <v>297599.14</v>
      </c>
      <c r="I239" s="85">
        <f t="shared" si="34"/>
        <v>382.4329604026471</v>
      </c>
      <c r="J239" s="131">
        <f t="shared" si="35"/>
        <v>143506.53420568645</v>
      </c>
      <c r="K239" s="156"/>
      <c r="L239" s="156">
        <f>IFERROR(INDEX('Revised 2021 MFAM(2019 PYAs)'!AD$26:AD$278,MATCH(B239,'Revised 2021 MFAM(2019 PYAs)'!B$26:B$278,0)),0)</f>
        <v>-217.99290695876698</v>
      </c>
      <c r="M239" s="156">
        <f>IFERROR(INDEX('Revised 2020 MFAM(2018 PYAs)'!AF$26:AF$274,MATCH(B239,'Revised 2020 MFAM(2018 PYAs)'!B$26:B$274,0)),0)</f>
        <v>-51.014716233272338</v>
      </c>
      <c r="N239" s="156">
        <f t="shared" si="40"/>
        <v>-0.50211498977466296</v>
      </c>
      <c r="O239" s="156">
        <f t="shared" si="41"/>
        <v>-269.50973818181399</v>
      </c>
      <c r="P239" s="156"/>
      <c r="Q239" s="161">
        <f t="shared" si="36"/>
        <v>143237.02446750464</v>
      </c>
      <c r="R239" s="162">
        <v>0</v>
      </c>
      <c r="S239" s="163">
        <f t="shared" si="37"/>
        <v>0</v>
      </c>
      <c r="T239" s="156">
        <f t="shared" si="38"/>
        <v>143237.02446750464</v>
      </c>
      <c r="U239" s="90"/>
      <c r="V239" s="161">
        <v>0</v>
      </c>
      <c r="W239" s="156">
        <f t="shared" si="39"/>
        <v>143237.02446750464</v>
      </c>
      <c r="X239" s="90"/>
      <c r="Y239" s="156">
        <f t="shared" si="42"/>
        <v>35809.25611687616</v>
      </c>
      <c r="Z239" s="156">
        <f t="shared" si="42"/>
        <v>35809.25611687616</v>
      </c>
      <c r="AA239" s="156">
        <f t="shared" si="42"/>
        <v>35809.25611687616</v>
      </c>
      <c r="AB239" s="156">
        <f t="shared" si="42"/>
        <v>35809.25611687616</v>
      </c>
    </row>
    <row r="240" spans="2:28" x14ac:dyDescent="0.3">
      <c r="B240" s="17">
        <v>173</v>
      </c>
      <c r="C240" s="137">
        <v>9</v>
      </c>
      <c r="D240" s="138" t="s">
        <v>256</v>
      </c>
      <c r="E240" s="153">
        <v>338.94000000000011</v>
      </c>
      <c r="F240" s="151">
        <v>221080.77</v>
      </c>
      <c r="G240" s="151">
        <v>0</v>
      </c>
      <c r="H240" s="151">
        <f t="shared" si="33"/>
        <v>221080.77</v>
      </c>
      <c r="I240" s="85">
        <f t="shared" si="34"/>
        <v>652.27110993096096</v>
      </c>
      <c r="J240" s="131">
        <f t="shared" si="35"/>
        <v>106608.28886207298</v>
      </c>
      <c r="K240" s="156"/>
      <c r="L240" s="156">
        <f>IFERROR(INDEX('Revised 2021 MFAM(2019 PYAs)'!AD$26:AD$278,MATCH(B240,'Revised 2021 MFAM(2019 PYAs)'!B$26:B$278,0)),0)</f>
        <v>-199.23500801129558</v>
      </c>
      <c r="M240" s="156">
        <f>IFERROR(INDEX('Revised 2020 MFAM(2018 PYAs)'!AF$26:AF$274,MATCH(B240,'Revised 2020 MFAM(2018 PYAs)'!B$26:B$274,0)),0)</f>
        <v>-43.388066912943032</v>
      </c>
      <c r="N240" s="156">
        <f t="shared" si="40"/>
        <v>-0.37301172499330687</v>
      </c>
      <c r="O240" s="156">
        <f t="shared" si="41"/>
        <v>-242.99608664923193</v>
      </c>
      <c r="P240" s="156"/>
      <c r="Q240" s="161">
        <f t="shared" si="36"/>
        <v>106365.29277542375</v>
      </c>
      <c r="R240" s="162">
        <v>0</v>
      </c>
      <c r="S240" s="163">
        <f t="shared" si="37"/>
        <v>0</v>
      </c>
      <c r="T240" s="156">
        <f t="shared" si="38"/>
        <v>106365.29277542375</v>
      </c>
      <c r="U240" s="90"/>
      <c r="V240" s="161">
        <v>0</v>
      </c>
      <c r="W240" s="156">
        <f t="shared" si="39"/>
        <v>106365.29277542375</v>
      </c>
      <c r="X240" s="90"/>
      <c r="Y240" s="156">
        <f t="shared" si="42"/>
        <v>26591.323193855937</v>
      </c>
      <c r="Z240" s="156">
        <f t="shared" si="42"/>
        <v>26591.323193855937</v>
      </c>
      <c r="AA240" s="156">
        <f t="shared" si="42"/>
        <v>26591.323193855937</v>
      </c>
      <c r="AB240" s="156">
        <f t="shared" si="42"/>
        <v>26591.323193855937</v>
      </c>
    </row>
    <row r="241" spans="2:28" x14ac:dyDescent="0.3">
      <c r="B241" s="17">
        <v>204</v>
      </c>
      <c r="C241" s="137">
        <v>9</v>
      </c>
      <c r="D241" s="138" t="s">
        <v>257</v>
      </c>
      <c r="E241" s="153">
        <v>613.34</v>
      </c>
      <c r="F241" s="151">
        <v>514725.42</v>
      </c>
      <c r="G241" s="151">
        <v>0</v>
      </c>
      <c r="H241" s="151">
        <f t="shared" si="33"/>
        <v>514725.42</v>
      </c>
      <c r="I241" s="85">
        <f t="shared" si="34"/>
        <v>839.21710633580062</v>
      </c>
      <c r="J241" s="131">
        <f t="shared" si="35"/>
        <v>248207.91179627174</v>
      </c>
      <c r="K241" s="156"/>
      <c r="L241" s="156">
        <f>IFERROR(INDEX('Revised 2021 MFAM(2019 PYAs)'!AD$26:AD$278,MATCH(B241,'Revised 2021 MFAM(2019 PYAs)'!B$26:B$278,0)),0)</f>
        <v>671.91144602460554</v>
      </c>
      <c r="M241" s="156">
        <f>IFERROR(INDEX('Revised 2020 MFAM(2018 PYAs)'!AF$26:AF$274,MATCH(B241,'Revised 2020 MFAM(2018 PYAs)'!B$26:B$274,0)),0)</f>
        <v>-100.53888440644369</v>
      </c>
      <c r="N241" s="156">
        <f t="shared" si="40"/>
        <v>-0.86845462322256417</v>
      </c>
      <c r="O241" s="156">
        <f t="shared" si="41"/>
        <v>570.50410699493932</v>
      </c>
      <c r="P241" s="156"/>
      <c r="Q241" s="161">
        <f t="shared" si="36"/>
        <v>248778.41590326669</v>
      </c>
      <c r="R241" s="162">
        <v>0</v>
      </c>
      <c r="S241" s="163">
        <f t="shared" si="37"/>
        <v>0</v>
      </c>
      <c r="T241" s="156">
        <f t="shared" si="38"/>
        <v>248778.41590326669</v>
      </c>
      <c r="U241" s="90"/>
      <c r="V241" s="161">
        <v>0</v>
      </c>
      <c r="W241" s="156">
        <f t="shared" si="39"/>
        <v>248778.41590326669</v>
      </c>
      <c r="X241" s="90"/>
      <c r="Y241" s="156">
        <f t="shared" si="42"/>
        <v>62194.603975816673</v>
      </c>
      <c r="Z241" s="156">
        <f t="shared" si="42"/>
        <v>62194.603975816673</v>
      </c>
      <c r="AA241" s="156">
        <f t="shared" si="42"/>
        <v>62194.603975816673</v>
      </c>
      <c r="AB241" s="156">
        <f t="shared" si="42"/>
        <v>62194.603975816673</v>
      </c>
    </row>
    <row r="242" spans="2:28" x14ac:dyDescent="0.3">
      <c r="B242" s="17">
        <v>218</v>
      </c>
      <c r="C242" s="137">
        <v>9</v>
      </c>
      <c r="D242" s="138" t="s">
        <v>258</v>
      </c>
      <c r="E242" s="153">
        <v>260.49767159363108</v>
      </c>
      <c r="F242" s="151">
        <v>223088.93</v>
      </c>
      <c r="G242" s="151">
        <v>90</v>
      </c>
      <c r="H242" s="151">
        <f t="shared" si="33"/>
        <v>222998.93</v>
      </c>
      <c r="I242" s="85">
        <f t="shared" si="34"/>
        <v>856.04960933344523</v>
      </c>
      <c r="J242" s="131">
        <f t="shared" si="35"/>
        <v>107533.25287121622</v>
      </c>
      <c r="K242" s="156"/>
      <c r="L242" s="156">
        <f>IFERROR(INDEX('Revised 2021 MFAM(2019 PYAs)'!AD$26:AD$278,MATCH(B242,'Revised 2021 MFAM(2019 PYAs)'!B$26:B$278,0)),0)</f>
        <v>-723.302340721988</v>
      </c>
      <c r="M242" s="156">
        <f>IFERROR(INDEX('Revised 2020 MFAM(2018 PYAs)'!AF$26:AF$274,MATCH(B242,'Revised 2020 MFAM(2018 PYAs)'!B$26:B$274,0)),0)</f>
        <v>-45.41282809326367</v>
      </c>
      <c r="N242" s="156">
        <f t="shared" si="40"/>
        <v>-0.37624808141821509</v>
      </c>
      <c r="O242" s="156">
        <f t="shared" si="41"/>
        <v>-769.0914168966699</v>
      </c>
      <c r="P242" s="156"/>
      <c r="Q242" s="161">
        <f t="shared" si="36"/>
        <v>106764.16145431955</v>
      </c>
      <c r="R242" s="162">
        <v>0</v>
      </c>
      <c r="S242" s="163">
        <f t="shared" si="37"/>
        <v>0</v>
      </c>
      <c r="T242" s="156">
        <f t="shared" si="38"/>
        <v>106764.16145431955</v>
      </c>
      <c r="U242" s="90"/>
      <c r="V242" s="161">
        <v>0</v>
      </c>
      <c r="W242" s="156">
        <f t="shared" si="39"/>
        <v>106764.16145431955</v>
      </c>
      <c r="X242" s="90"/>
      <c r="Y242" s="156">
        <f t="shared" si="42"/>
        <v>26691.040363579887</v>
      </c>
      <c r="Z242" s="156">
        <f t="shared" si="42"/>
        <v>26691.040363579887</v>
      </c>
      <c r="AA242" s="156">
        <f t="shared" si="42"/>
        <v>26691.040363579887</v>
      </c>
      <c r="AB242" s="156">
        <f t="shared" si="42"/>
        <v>26691.040363579887</v>
      </c>
    </row>
    <row r="243" spans="2:28" x14ac:dyDescent="0.3">
      <c r="B243" s="17">
        <v>230</v>
      </c>
      <c r="C243" s="137">
        <v>9</v>
      </c>
      <c r="D243" s="138" t="s">
        <v>259</v>
      </c>
      <c r="E243" s="153">
        <v>133.83789165377343</v>
      </c>
      <c r="F243" s="151">
        <v>129718.27</v>
      </c>
      <c r="G243" s="151">
        <v>2538</v>
      </c>
      <c r="H243" s="151">
        <f t="shared" si="33"/>
        <v>127180.27</v>
      </c>
      <c r="I243" s="85">
        <f t="shared" si="34"/>
        <v>950.25607792002518</v>
      </c>
      <c r="J243" s="131">
        <f t="shared" si="35"/>
        <v>61328.133431579939</v>
      </c>
      <c r="K243" s="156"/>
      <c r="L243" s="156">
        <f>IFERROR(INDEX('Revised 2021 MFAM(2019 PYAs)'!AD$26:AD$278,MATCH(B243,'Revised 2021 MFAM(2019 PYAs)'!B$26:B$278,0)),0)</f>
        <v>1853.8506612300043</v>
      </c>
      <c r="M243" s="156">
        <f>IFERROR(INDEX('Revised 2020 MFAM(2018 PYAs)'!AF$26:AF$274,MATCH(B243,'Revised 2020 MFAM(2018 PYAs)'!B$26:B$274,0)),0)</f>
        <v>-16.74970203259727</v>
      </c>
      <c r="N243" s="156">
        <f t="shared" si="40"/>
        <v>-0.21458099633819133</v>
      </c>
      <c r="O243" s="156">
        <f t="shared" si="41"/>
        <v>1836.886378201069</v>
      </c>
      <c r="P243" s="156"/>
      <c r="Q243" s="161">
        <f t="shared" si="36"/>
        <v>63165.019809781006</v>
      </c>
      <c r="R243" s="162">
        <v>0</v>
      </c>
      <c r="S243" s="163">
        <f t="shared" si="37"/>
        <v>0</v>
      </c>
      <c r="T243" s="156">
        <f t="shared" si="38"/>
        <v>63165.019809781006</v>
      </c>
      <c r="U243" s="90"/>
      <c r="V243" s="161">
        <v>0</v>
      </c>
      <c r="W243" s="156">
        <f t="shared" si="39"/>
        <v>63165.019809781006</v>
      </c>
      <c r="X243" s="90"/>
      <c r="Y243" s="156">
        <f t="shared" si="42"/>
        <v>15791.254952445252</v>
      </c>
      <c r="Z243" s="156">
        <f t="shared" si="42"/>
        <v>15791.254952445252</v>
      </c>
      <c r="AA243" s="156">
        <f t="shared" si="42"/>
        <v>15791.254952445252</v>
      </c>
      <c r="AB243" s="156">
        <f t="shared" si="42"/>
        <v>15791.254952445252</v>
      </c>
    </row>
    <row r="244" spans="2:28" x14ac:dyDescent="0.3">
      <c r="B244" s="17">
        <v>277</v>
      </c>
      <c r="C244" s="137">
        <v>9</v>
      </c>
      <c r="D244" s="138" t="s">
        <v>260</v>
      </c>
      <c r="E244" s="153">
        <v>97.350000000000009</v>
      </c>
      <c r="F244" s="151">
        <v>207513.60000000001</v>
      </c>
      <c r="G244" s="151">
        <v>0</v>
      </c>
      <c r="H244" s="151">
        <f t="shared" si="33"/>
        <v>207513.60000000001</v>
      </c>
      <c r="I244" s="85">
        <f t="shared" si="34"/>
        <v>2131.6240369799689</v>
      </c>
      <c r="J244" s="131">
        <f t="shared" si="35"/>
        <v>100066.00669795329</v>
      </c>
      <c r="K244" s="156"/>
      <c r="L244" s="156">
        <f>IFERROR(INDEX('Revised 2021 MFAM(2019 PYAs)'!AD$26:AD$278,MATCH(B244,'Revised 2021 MFAM(2019 PYAs)'!B$26:B$278,0)),0)</f>
        <v>-67.413310299612931</v>
      </c>
      <c r="M244" s="156">
        <f>IFERROR(INDEX('Revised 2020 MFAM(2018 PYAs)'!AF$26:AF$274,MATCH(B244,'Revised 2020 MFAM(2018 PYAs)'!B$26:B$274,0)),0)</f>
        <v>-18.938864477873722</v>
      </c>
      <c r="N244" s="156">
        <f t="shared" si="40"/>
        <v>-0.35012093496675939</v>
      </c>
      <c r="O244" s="156">
        <f t="shared" si="41"/>
        <v>-86.702295712453406</v>
      </c>
      <c r="P244" s="156"/>
      <c r="Q244" s="161">
        <f t="shared" si="36"/>
        <v>99979.304402240828</v>
      </c>
      <c r="R244" s="162">
        <v>0</v>
      </c>
      <c r="S244" s="163">
        <f t="shared" si="37"/>
        <v>0</v>
      </c>
      <c r="T244" s="156">
        <f t="shared" si="38"/>
        <v>99979.304402240828</v>
      </c>
      <c r="U244" s="90"/>
      <c r="V244" s="161">
        <v>0</v>
      </c>
      <c r="W244" s="156">
        <f t="shared" si="39"/>
        <v>99979.304402240828</v>
      </c>
      <c r="X244" s="90"/>
      <c r="Y244" s="156">
        <f t="shared" ref="Y244:AB268" si="43">$W244/4</f>
        <v>24994.826100560207</v>
      </c>
      <c r="Z244" s="156">
        <f t="shared" si="43"/>
        <v>24994.826100560207</v>
      </c>
      <c r="AA244" s="156">
        <f t="shared" si="43"/>
        <v>24994.826100560207</v>
      </c>
      <c r="AB244" s="156">
        <f t="shared" si="43"/>
        <v>24994.826100560207</v>
      </c>
    </row>
    <row r="245" spans="2:28" x14ac:dyDescent="0.3">
      <c r="B245" s="17">
        <v>279</v>
      </c>
      <c r="C245" s="137">
        <v>9</v>
      </c>
      <c r="D245" s="138" t="s">
        <v>261</v>
      </c>
      <c r="E245" s="153">
        <v>318.31362465983165</v>
      </c>
      <c r="F245" s="151">
        <v>182431.5</v>
      </c>
      <c r="G245" s="151">
        <v>106</v>
      </c>
      <c r="H245" s="151">
        <f t="shared" si="33"/>
        <v>182325.5</v>
      </c>
      <c r="I245" s="85">
        <f t="shared" si="34"/>
        <v>572.78572412614631</v>
      </c>
      <c r="J245" s="131">
        <f t="shared" si="35"/>
        <v>87919.946953875216</v>
      </c>
      <c r="K245" s="156"/>
      <c r="L245" s="156">
        <f>IFERROR(INDEX('Revised 2021 MFAM(2019 PYAs)'!AD$26:AD$278,MATCH(B245,'Revised 2021 MFAM(2019 PYAs)'!B$26:B$278,0)),0)</f>
        <v>-168.81549386556435</v>
      </c>
      <c r="M245" s="156">
        <f>IFERROR(INDEX('Revised 2020 MFAM(2018 PYAs)'!AF$26:AF$274,MATCH(B245,'Revised 2020 MFAM(2018 PYAs)'!B$26:B$274,0)),0)</f>
        <v>-41.106030665774597</v>
      </c>
      <c r="N245" s="156">
        <f t="shared" si="40"/>
        <v>-0.30762308845435615</v>
      </c>
      <c r="O245" s="156">
        <f t="shared" si="41"/>
        <v>-210.22914761979331</v>
      </c>
      <c r="P245" s="156"/>
      <c r="Q245" s="161">
        <f t="shared" si="36"/>
        <v>87709.71780625543</v>
      </c>
      <c r="R245" s="162">
        <v>0</v>
      </c>
      <c r="S245" s="163">
        <f t="shared" si="37"/>
        <v>0</v>
      </c>
      <c r="T245" s="156">
        <f t="shared" si="38"/>
        <v>87709.71780625543</v>
      </c>
      <c r="U245" s="90"/>
      <c r="V245" s="161">
        <v>0</v>
      </c>
      <c r="W245" s="156">
        <f t="shared" si="39"/>
        <v>87709.71780625543</v>
      </c>
      <c r="X245" s="90"/>
      <c r="Y245" s="156">
        <f t="shared" si="43"/>
        <v>21927.429451563858</v>
      </c>
      <c r="Z245" s="156">
        <f t="shared" si="43"/>
        <v>21927.429451563858</v>
      </c>
      <c r="AA245" s="156">
        <f t="shared" si="43"/>
        <v>21927.429451563858</v>
      </c>
      <c r="AB245" s="156">
        <f t="shared" si="43"/>
        <v>21927.429451563858</v>
      </c>
    </row>
    <row r="246" spans="2:28" x14ac:dyDescent="0.3">
      <c r="B246" s="17">
        <v>331</v>
      </c>
      <c r="C246" s="137">
        <v>9</v>
      </c>
      <c r="D246" s="138" t="s">
        <v>262</v>
      </c>
      <c r="E246" s="153">
        <v>375.16496465067547</v>
      </c>
      <c r="F246" s="151">
        <v>175919.58</v>
      </c>
      <c r="G246" s="151">
        <v>0</v>
      </c>
      <c r="H246" s="151">
        <f t="shared" si="33"/>
        <v>175919.58</v>
      </c>
      <c r="I246" s="85">
        <f t="shared" si="34"/>
        <v>468.91260265681433</v>
      </c>
      <c r="J246" s="131">
        <f t="shared" si="35"/>
        <v>84830.921301452661</v>
      </c>
      <c r="K246" s="156"/>
      <c r="L246" s="156">
        <f>IFERROR(INDEX('Revised 2021 MFAM(2019 PYAs)'!AD$26:AD$278,MATCH(B246,'Revised 2021 MFAM(2019 PYAs)'!B$26:B$278,0)),0)</f>
        <v>-174.82195615212549</v>
      </c>
      <c r="M246" s="156">
        <f>IFERROR(INDEX('Revised 2020 MFAM(2018 PYAs)'!AF$26:AF$274,MATCH(B246,'Revised 2020 MFAM(2018 PYAs)'!B$26:B$274,0)),0)</f>
        <v>-37.852618940451066</v>
      </c>
      <c r="N246" s="156">
        <f t="shared" si="40"/>
        <v>-0.29681489708896003</v>
      </c>
      <c r="O246" s="156">
        <f t="shared" si="41"/>
        <v>-212.97138998966551</v>
      </c>
      <c r="P246" s="156"/>
      <c r="Q246" s="161">
        <f t="shared" si="36"/>
        <v>84617.949911463002</v>
      </c>
      <c r="R246" s="162">
        <v>0</v>
      </c>
      <c r="S246" s="163">
        <f t="shared" si="37"/>
        <v>0</v>
      </c>
      <c r="T246" s="156">
        <f t="shared" si="38"/>
        <v>84617.949911463002</v>
      </c>
      <c r="U246" s="90"/>
      <c r="V246" s="161">
        <v>0</v>
      </c>
      <c r="W246" s="156">
        <f t="shared" si="39"/>
        <v>84617.949911463002</v>
      </c>
      <c r="X246" s="90"/>
      <c r="Y246" s="156">
        <f t="shared" si="43"/>
        <v>21154.48747786575</v>
      </c>
      <c r="Z246" s="156">
        <f t="shared" si="43"/>
        <v>21154.48747786575</v>
      </c>
      <c r="AA246" s="156">
        <f t="shared" si="43"/>
        <v>21154.48747786575</v>
      </c>
      <c r="AB246" s="156">
        <f t="shared" si="43"/>
        <v>21154.48747786575</v>
      </c>
    </row>
    <row r="247" spans="2:28" x14ac:dyDescent="0.3">
      <c r="B247" s="17">
        <v>369</v>
      </c>
      <c r="C247" s="137">
        <v>9</v>
      </c>
      <c r="D247" s="138" t="s">
        <v>263</v>
      </c>
      <c r="E247" s="153">
        <v>421.83</v>
      </c>
      <c r="F247" s="151">
        <v>448718.25</v>
      </c>
      <c r="G247" s="151">
        <v>0</v>
      </c>
      <c r="H247" s="151">
        <f t="shared" si="33"/>
        <v>448718.25</v>
      </c>
      <c r="I247" s="85">
        <f t="shared" si="34"/>
        <v>1063.7419102482042</v>
      </c>
      <c r="J247" s="131">
        <f t="shared" si="35"/>
        <v>216378.31645730147</v>
      </c>
      <c r="K247" s="156"/>
      <c r="L247" s="156">
        <f>IFERROR(INDEX('Revised 2021 MFAM(2019 PYAs)'!AD$26:AD$278,MATCH(B247,'Revised 2021 MFAM(2019 PYAs)'!B$26:B$278,0)),0)</f>
        <v>-411.79808576576761</v>
      </c>
      <c r="M247" s="156">
        <f>IFERROR(INDEX('Revised 2020 MFAM(2018 PYAs)'!AF$26:AF$274,MATCH(B247,'Revised 2020 MFAM(2018 PYAs)'!B$26:B$274,0)),0)</f>
        <v>-110.27492185859592</v>
      </c>
      <c r="N247" s="156">
        <f t="shared" si="40"/>
        <v>-0.75708605713865529</v>
      </c>
      <c r="O247" s="156">
        <f t="shared" si="41"/>
        <v>-522.83009368150215</v>
      </c>
      <c r="P247" s="156"/>
      <c r="Q247" s="161">
        <f t="shared" si="36"/>
        <v>215855.48636361997</v>
      </c>
      <c r="R247" s="162">
        <v>0</v>
      </c>
      <c r="S247" s="163">
        <f t="shared" si="37"/>
        <v>0</v>
      </c>
      <c r="T247" s="156">
        <f t="shared" si="38"/>
        <v>215855.48636361997</v>
      </c>
      <c r="U247" s="90"/>
      <c r="V247" s="161">
        <v>0</v>
      </c>
      <c r="W247" s="156">
        <f t="shared" si="39"/>
        <v>215855.48636361997</v>
      </c>
      <c r="X247" s="90"/>
      <c r="Y247" s="156">
        <f t="shared" si="43"/>
        <v>53963.871590904993</v>
      </c>
      <c r="Z247" s="156">
        <f t="shared" si="43"/>
        <v>53963.871590904993</v>
      </c>
      <c r="AA247" s="156">
        <f t="shared" si="43"/>
        <v>53963.871590904993</v>
      </c>
      <c r="AB247" s="156">
        <f t="shared" si="43"/>
        <v>53963.871590904993</v>
      </c>
    </row>
    <row r="248" spans="2:28" x14ac:dyDescent="0.3">
      <c r="B248" s="17">
        <v>416</v>
      </c>
      <c r="C248" s="137">
        <v>9</v>
      </c>
      <c r="D248" s="138" t="s">
        <v>264</v>
      </c>
      <c r="E248" s="153">
        <v>67.157926543754371</v>
      </c>
      <c r="F248" s="151">
        <v>87493.47</v>
      </c>
      <c r="G248" s="151">
        <v>0</v>
      </c>
      <c r="H248" s="151">
        <f t="shared" si="33"/>
        <v>87493.47</v>
      </c>
      <c r="I248" s="85">
        <f t="shared" si="34"/>
        <v>1302.8018359530015</v>
      </c>
      <c r="J248" s="131">
        <f t="shared" si="35"/>
        <v>42190.594520297345</v>
      </c>
      <c r="K248" s="156"/>
      <c r="L248" s="156">
        <f>IFERROR(INDEX('Revised 2021 MFAM(2019 PYAs)'!AD$26:AD$278,MATCH(B248,'Revised 2021 MFAM(2019 PYAs)'!B$26:B$278,0)),0)</f>
        <v>-59.596663513435487</v>
      </c>
      <c r="M248" s="156">
        <f>IFERROR(INDEX('Revised 2020 MFAM(2018 PYAs)'!AF$26:AF$274,MATCH(B248,'Revised 2020 MFAM(2018 PYAs)'!B$26:B$274,0)),0)</f>
        <v>-13.316079338375857</v>
      </c>
      <c r="N248" s="156">
        <f t="shared" si="40"/>
        <v>-0.14762066447638184</v>
      </c>
      <c r="O248" s="156">
        <f t="shared" si="41"/>
        <v>-73.060363516287723</v>
      </c>
      <c r="P248" s="156"/>
      <c r="Q248" s="161">
        <f t="shared" si="36"/>
        <v>42117.534156781061</v>
      </c>
      <c r="R248" s="162">
        <v>0</v>
      </c>
      <c r="S248" s="163">
        <f t="shared" si="37"/>
        <v>0</v>
      </c>
      <c r="T248" s="156">
        <f t="shared" si="38"/>
        <v>42117.534156781061</v>
      </c>
      <c r="U248" s="90"/>
      <c r="V248" s="161">
        <v>0</v>
      </c>
      <c r="W248" s="156">
        <f t="shared" si="39"/>
        <v>42117.534156781061</v>
      </c>
      <c r="X248" s="90"/>
      <c r="Y248" s="156">
        <f t="shared" si="43"/>
        <v>10529.383539195265</v>
      </c>
      <c r="Z248" s="156">
        <f t="shared" si="43"/>
        <v>10529.383539195265</v>
      </c>
      <c r="AA248" s="156">
        <f t="shared" si="43"/>
        <v>10529.383539195265</v>
      </c>
      <c r="AB248" s="156">
        <f t="shared" si="43"/>
        <v>10529.383539195265</v>
      </c>
    </row>
    <row r="249" spans="2:28" x14ac:dyDescent="0.3">
      <c r="B249" s="17">
        <v>420</v>
      </c>
      <c r="C249" s="137">
        <v>9</v>
      </c>
      <c r="D249" s="138" t="s">
        <v>265</v>
      </c>
      <c r="E249" s="153">
        <v>398.26210274242231</v>
      </c>
      <c r="F249" s="151">
        <v>372339.55</v>
      </c>
      <c r="G249" s="151">
        <v>144.32</v>
      </c>
      <c r="H249" s="151">
        <f t="shared" si="33"/>
        <v>372195.23</v>
      </c>
      <c r="I249" s="85">
        <f t="shared" si="34"/>
        <v>934.54844796196642</v>
      </c>
      <c r="J249" s="131">
        <f t="shared" si="35"/>
        <v>179477.82881761127</v>
      </c>
      <c r="K249" s="156"/>
      <c r="L249" s="156">
        <f>IFERROR(INDEX('Revised 2021 MFAM(2019 PYAs)'!AD$26:AD$278,MATCH(B249,'Revised 2021 MFAM(2019 PYAs)'!B$26:B$278,0)),0)</f>
        <v>-178.13658389155171</v>
      </c>
      <c r="M249" s="156">
        <f>IFERROR(INDEX('Revised 2020 MFAM(2018 PYAs)'!AF$26:AF$274,MATCH(B249,'Revised 2020 MFAM(2018 PYAs)'!B$26:B$274,0)),0)</f>
        <v>-45.634753960810485</v>
      </c>
      <c r="N249" s="156">
        <f t="shared" si="40"/>
        <v>-0.62797494678791199</v>
      </c>
      <c r="O249" s="156">
        <f t="shared" si="41"/>
        <v>-224.3993127991501</v>
      </c>
      <c r="P249" s="156"/>
      <c r="Q249" s="161">
        <f t="shared" si="36"/>
        <v>179253.42950481211</v>
      </c>
      <c r="R249" s="162">
        <v>0</v>
      </c>
      <c r="S249" s="163">
        <f t="shared" si="37"/>
        <v>0</v>
      </c>
      <c r="T249" s="156">
        <f t="shared" si="38"/>
        <v>179253.42950481211</v>
      </c>
      <c r="U249" s="90"/>
      <c r="V249" s="161">
        <v>0</v>
      </c>
      <c r="W249" s="156">
        <f t="shared" si="39"/>
        <v>179253.42950481211</v>
      </c>
      <c r="X249" s="90"/>
      <c r="Y249" s="156">
        <f t="shared" si="43"/>
        <v>44813.357376203028</v>
      </c>
      <c r="Z249" s="156">
        <f t="shared" si="43"/>
        <v>44813.357376203028</v>
      </c>
      <c r="AA249" s="156">
        <f t="shared" si="43"/>
        <v>44813.357376203028</v>
      </c>
      <c r="AB249" s="156">
        <f t="shared" si="43"/>
        <v>44813.357376203028</v>
      </c>
    </row>
    <row r="250" spans="2:28" x14ac:dyDescent="0.3">
      <c r="B250" s="17">
        <v>508</v>
      </c>
      <c r="C250" s="137">
        <v>9</v>
      </c>
      <c r="D250" s="138" t="s">
        <v>266</v>
      </c>
      <c r="E250" s="153">
        <v>48.291485223038698</v>
      </c>
      <c r="F250" s="151">
        <v>98187.71</v>
      </c>
      <c r="G250" s="151">
        <v>0</v>
      </c>
      <c r="H250" s="151">
        <f t="shared" si="33"/>
        <v>98187.71</v>
      </c>
      <c r="I250" s="85">
        <f t="shared" si="34"/>
        <v>2033.2302795515809</v>
      </c>
      <c r="J250" s="131">
        <f t="shared" si="35"/>
        <v>47347.509013947492</v>
      </c>
      <c r="K250" s="156"/>
      <c r="L250" s="156">
        <f>IFERROR(INDEX('Revised 2021 MFAM(2019 PYAs)'!AD$26:AD$278,MATCH(B250,'Revised 2021 MFAM(2019 PYAs)'!B$26:B$278,0)),0)</f>
        <v>-73.213853618410212</v>
      </c>
      <c r="M250" s="156">
        <f>IFERROR(INDEX('Revised 2020 MFAM(2018 PYAs)'!AF$26:AF$274,MATCH(B250,'Revised 2020 MFAM(2018 PYAs)'!B$26:B$274,0)),0)</f>
        <v>-17.289930980885401</v>
      </c>
      <c r="N250" s="156">
        <f t="shared" si="40"/>
        <v>-0.16566419178041839</v>
      </c>
      <c r="O250" s="156">
        <f t="shared" si="41"/>
        <v>-90.669448791076036</v>
      </c>
      <c r="P250" s="156"/>
      <c r="Q250" s="161">
        <f t="shared" si="36"/>
        <v>47256.839565156413</v>
      </c>
      <c r="R250" s="162">
        <v>0</v>
      </c>
      <c r="S250" s="163">
        <f t="shared" si="37"/>
        <v>0</v>
      </c>
      <c r="T250" s="156">
        <f t="shared" si="38"/>
        <v>47256.839565156413</v>
      </c>
      <c r="U250" s="90"/>
      <c r="V250" s="161">
        <v>0</v>
      </c>
      <c r="W250" s="156">
        <f t="shared" si="39"/>
        <v>47256.839565156413</v>
      </c>
      <c r="X250" s="90"/>
      <c r="Y250" s="156">
        <f t="shared" si="43"/>
        <v>11814.209891289103</v>
      </c>
      <c r="Z250" s="156">
        <f t="shared" si="43"/>
        <v>11814.209891289103</v>
      </c>
      <c r="AA250" s="156">
        <f t="shared" si="43"/>
        <v>11814.209891289103</v>
      </c>
      <c r="AB250" s="156">
        <f t="shared" si="43"/>
        <v>11814.209891289103</v>
      </c>
    </row>
    <row r="251" spans="2:28" x14ac:dyDescent="0.3">
      <c r="B251" s="17">
        <v>512</v>
      </c>
      <c r="C251" s="137">
        <v>9</v>
      </c>
      <c r="D251" s="138" t="s">
        <v>267</v>
      </c>
      <c r="E251" s="153">
        <v>245.73300839515298</v>
      </c>
      <c r="F251" s="151">
        <v>283043.34999999998</v>
      </c>
      <c r="G251" s="151">
        <v>6960.49</v>
      </c>
      <c r="H251" s="151">
        <f t="shared" si="33"/>
        <v>276082.86</v>
      </c>
      <c r="I251" s="85">
        <f t="shared" si="34"/>
        <v>1123.5074270365935</v>
      </c>
      <c r="J251" s="131">
        <f t="shared" si="35"/>
        <v>133131.07824234216</v>
      </c>
      <c r="K251" s="156"/>
      <c r="L251" s="156">
        <f>IFERROR(INDEX('Revised 2021 MFAM(2019 PYAs)'!AD$26:AD$278,MATCH(B251,'Revised 2021 MFAM(2019 PYAs)'!B$26:B$278,0)),0)</f>
        <v>-250.67936418156023</v>
      </c>
      <c r="M251" s="156">
        <f>IFERROR(INDEX('Revised 2020 MFAM(2018 PYAs)'!AF$26:AF$274,MATCH(B251,'Revised 2020 MFAM(2018 PYAs)'!B$26:B$274,0)),0)</f>
        <v>-69.773198144466733</v>
      </c>
      <c r="N251" s="156">
        <f t="shared" si="40"/>
        <v>-0.46581230854988259</v>
      </c>
      <c r="O251" s="156">
        <f t="shared" si="41"/>
        <v>-320.91837463457682</v>
      </c>
      <c r="P251" s="156"/>
      <c r="Q251" s="161">
        <f t="shared" si="36"/>
        <v>132810.15986770758</v>
      </c>
      <c r="R251" s="162">
        <v>0</v>
      </c>
      <c r="S251" s="163">
        <f t="shared" si="37"/>
        <v>0</v>
      </c>
      <c r="T251" s="156">
        <f t="shared" si="38"/>
        <v>132810.15986770758</v>
      </c>
      <c r="U251" s="90"/>
      <c r="V251" s="161">
        <v>0</v>
      </c>
      <c r="W251" s="156">
        <f t="shared" si="39"/>
        <v>132810.15986770758</v>
      </c>
      <c r="X251" s="90"/>
      <c r="Y251" s="156">
        <f t="shared" si="43"/>
        <v>33202.539966926895</v>
      </c>
      <c r="Z251" s="156">
        <f t="shared" si="43"/>
        <v>33202.539966926895</v>
      </c>
      <c r="AA251" s="156">
        <f t="shared" si="43"/>
        <v>33202.539966926895</v>
      </c>
      <c r="AB251" s="156">
        <f t="shared" si="43"/>
        <v>33202.539966926895</v>
      </c>
    </row>
    <row r="252" spans="2:28" x14ac:dyDescent="0.3">
      <c r="B252" s="17">
        <v>516</v>
      </c>
      <c r="C252" s="137">
        <v>9</v>
      </c>
      <c r="D252" s="138" t="s">
        <v>268</v>
      </c>
      <c r="E252" s="153">
        <v>446.95477199771938</v>
      </c>
      <c r="F252" s="151">
        <v>153774.6</v>
      </c>
      <c r="G252" s="151">
        <v>48.06</v>
      </c>
      <c r="H252" s="151">
        <f t="shared" si="33"/>
        <v>153726.54</v>
      </c>
      <c r="I252" s="85">
        <f t="shared" si="34"/>
        <v>343.94204879590012</v>
      </c>
      <c r="J252" s="131">
        <f t="shared" si="35"/>
        <v>74129.122049317171</v>
      </c>
      <c r="K252" s="156"/>
      <c r="L252" s="156">
        <f>IFERROR(INDEX('Revised 2021 MFAM(2019 PYAs)'!AD$26:AD$278,MATCH(B252,'Revised 2021 MFAM(2019 PYAs)'!B$26:B$278,0)),0)</f>
        <v>-163.24786764041346</v>
      </c>
      <c r="M252" s="156">
        <f>IFERROR(INDEX('Revised 2020 MFAM(2018 PYAs)'!AF$26:AF$274,MATCH(B252,'Revised 2020 MFAM(2018 PYAs)'!B$26:B$274,0)),0)</f>
        <v>-40.678873201024544</v>
      </c>
      <c r="N252" s="156">
        <f t="shared" si="40"/>
        <v>-0.25937037338278041</v>
      </c>
      <c r="O252" s="156">
        <f t="shared" si="41"/>
        <v>-204.18611121482078</v>
      </c>
      <c r="P252" s="156"/>
      <c r="Q252" s="161">
        <f t="shared" si="36"/>
        <v>73924.935938102353</v>
      </c>
      <c r="R252" s="162">
        <v>0</v>
      </c>
      <c r="S252" s="163">
        <f t="shared" si="37"/>
        <v>0</v>
      </c>
      <c r="T252" s="156">
        <f t="shared" si="38"/>
        <v>73924.935938102353</v>
      </c>
      <c r="U252" s="90"/>
      <c r="V252" s="161">
        <v>0</v>
      </c>
      <c r="W252" s="156">
        <f t="shared" si="39"/>
        <v>73924.935938102353</v>
      </c>
      <c r="X252" s="90"/>
      <c r="Y252" s="156">
        <f t="shared" si="43"/>
        <v>18481.233984525588</v>
      </c>
      <c r="Z252" s="156">
        <f t="shared" si="43"/>
        <v>18481.233984525588</v>
      </c>
      <c r="AA252" s="156">
        <f t="shared" si="43"/>
        <v>18481.233984525588</v>
      </c>
      <c r="AB252" s="156">
        <f t="shared" si="43"/>
        <v>18481.233984525588</v>
      </c>
    </row>
    <row r="253" spans="2:28" x14ac:dyDescent="0.3">
      <c r="B253" s="17">
        <v>521</v>
      </c>
      <c r="C253" s="137">
        <v>9</v>
      </c>
      <c r="D253" s="138" t="s">
        <v>269</v>
      </c>
      <c r="E253" s="153">
        <v>134.01169581149534</v>
      </c>
      <c r="F253" s="151">
        <v>380475.79</v>
      </c>
      <c r="G253" s="151">
        <v>26.55</v>
      </c>
      <c r="H253" s="151">
        <f t="shared" si="33"/>
        <v>380449.24</v>
      </c>
      <c r="I253" s="85">
        <f t="shared" si="34"/>
        <v>2838.9256452298814</v>
      </c>
      <c r="J253" s="131">
        <f t="shared" si="35"/>
        <v>183458.02972947911</v>
      </c>
      <c r="K253" s="156"/>
      <c r="L253" s="156">
        <f>IFERROR(INDEX('Revised 2021 MFAM(2019 PYAs)'!AD$26:AD$278,MATCH(B253,'Revised 2021 MFAM(2019 PYAs)'!B$26:B$278,0)),0)</f>
        <v>-115.70642953900096</v>
      </c>
      <c r="M253" s="156">
        <f>IFERROR(INDEX('Revised 2020 MFAM(2018 PYAs)'!AF$26:AF$274,MATCH(B253,'Revised 2020 MFAM(2018 PYAs)'!B$26:B$274,0)),0)</f>
        <v>-43.799596203425608</v>
      </c>
      <c r="N253" s="156">
        <f t="shared" si="40"/>
        <v>-0.64190127112725637</v>
      </c>
      <c r="O253" s="156">
        <f t="shared" si="41"/>
        <v>-160.14792701355384</v>
      </c>
      <c r="P253" s="156"/>
      <c r="Q253" s="161">
        <f t="shared" si="36"/>
        <v>183297.88180246556</v>
      </c>
      <c r="R253" s="162">
        <v>0</v>
      </c>
      <c r="S253" s="163">
        <f t="shared" si="37"/>
        <v>0</v>
      </c>
      <c r="T253" s="156">
        <f t="shared" si="38"/>
        <v>183297.88180246556</v>
      </c>
      <c r="U253" s="90"/>
      <c r="V253" s="161">
        <v>0</v>
      </c>
      <c r="W253" s="156">
        <f t="shared" si="39"/>
        <v>183297.88180246556</v>
      </c>
      <c r="X253" s="90"/>
      <c r="Y253" s="156">
        <f t="shared" si="43"/>
        <v>45824.470450616391</v>
      </c>
      <c r="Z253" s="156">
        <f t="shared" si="43"/>
        <v>45824.470450616391</v>
      </c>
      <c r="AA253" s="156">
        <f t="shared" si="43"/>
        <v>45824.470450616391</v>
      </c>
      <c r="AB253" s="156">
        <f t="shared" si="43"/>
        <v>45824.470450616391</v>
      </c>
    </row>
    <row r="254" spans="2:28" x14ac:dyDescent="0.3">
      <c r="B254" s="17">
        <v>522</v>
      </c>
      <c r="C254" s="137">
        <v>9</v>
      </c>
      <c r="D254" s="138" t="s">
        <v>270</v>
      </c>
      <c r="E254" s="153">
        <v>75.639569440584623</v>
      </c>
      <c r="F254" s="151">
        <v>129914.25</v>
      </c>
      <c r="G254" s="151">
        <v>36</v>
      </c>
      <c r="H254" s="151">
        <f t="shared" si="33"/>
        <v>129878.25</v>
      </c>
      <c r="I254" s="85">
        <f t="shared" si="34"/>
        <v>1717.0675475885703</v>
      </c>
      <c r="J254" s="131">
        <f t="shared" si="35"/>
        <v>62629.13772600182</v>
      </c>
      <c r="K254" s="156"/>
      <c r="L254" s="156">
        <f>IFERROR(INDEX('Revised 2021 MFAM(2019 PYAs)'!AD$26:AD$278,MATCH(B254,'Revised 2021 MFAM(2019 PYAs)'!B$26:B$278,0)),0)</f>
        <v>-109.5829384193421</v>
      </c>
      <c r="M254" s="156">
        <f>IFERROR(INDEX('Revised 2020 MFAM(2018 PYAs)'!AF$26:AF$274,MATCH(B254,'Revised 2020 MFAM(2018 PYAs)'!B$26:B$274,0)),0)</f>
        <v>-23.349017927372188</v>
      </c>
      <c r="N254" s="156">
        <f t="shared" si="40"/>
        <v>-0.2191330800576276</v>
      </c>
      <c r="O254" s="156">
        <f t="shared" si="41"/>
        <v>-133.1510894267719</v>
      </c>
      <c r="P254" s="156"/>
      <c r="Q254" s="161">
        <f t="shared" si="36"/>
        <v>62495.986636575049</v>
      </c>
      <c r="R254" s="162">
        <v>0</v>
      </c>
      <c r="S254" s="163">
        <f t="shared" si="37"/>
        <v>0</v>
      </c>
      <c r="T254" s="156">
        <f t="shared" si="38"/>
        <v>62495.986636575049</v>
      </c>
      <c r="U254" s="90"/>
      <c r="V254" s="161">
        <v>0</v>
      </c>
      <c r="W254" s="156">
        <f t="shared" si="39"/>
        <v>62495.986636575049</v>
      </c>
      <c r="X254" s="90"/>
      <c r="Y254" s="156">
        <f t="shared" si="43"/>
        <v>15623.996659143762</v>
      </c>
      <c r="Z254" s="156">
        <f t="shared" si="43"/>
        <v>15623.996659143762</v>
      </c>
      <c r="AA254" s="156">
        <f t="shared" si="43"/>
        <v>15623.996659143762</v>
      </c>
      <c r="AB254" s="156">
        <f t="shared" si="43"/>
        <v>15623.996659143762</v>
      </c>
    </row>
    <row r="255" spans="2:28" x14ac:dyDescent="0.3">
      <c r="B255" s="17">
        <v>523</v>
      </c>
      <c r="C255" s="137">
        <v>9</v>
      </c>
      <c r="D255" s="138" t="s">
        <v>271</v>
      </c>
      <c r="E255" s="153">
        <v>625.06927283115476</v>
      </c>
      <c r="F255" s="151">
        <v>363457.85</v>
      </c>
      <c r="G255" s="151">
        <v>165.92</v>
      </c>
      <c r="H255" s="151">
        <f t="shared" si="33"/>
        <v>363291.93</v>
      </c>
      <c r="I255" s="85">
        <f t="shared" si="34"/>
        <v>581.20266951297299</v>
      </c>
      <c r="J255" s="131">
        <f t="shared" si="35"/>
        <v>175184.53104130222</v>
      </c>
      <c r="K255" s="156"/>
      <c r="L255" s="156">
        <f>IFERROR(INDEX('Revised 2021 MFAM(2019 PYAs)'!AD$26:AD$278,MATCH(B255,'Revised 2021 MFAM(2019 PYAs)'!B$26:B$278,0)),0)</f>
        <v>-335.37928796367487</v>
      </c>
      <c r="M255" s="156">
        <f>IFERROR(INDEX('Revised 2020 MFAM(2018 PYAs)'!AF$26:AF$274,MATCH(B255,'Revised 2020 MFAM(2018 PYAs)'!B$26:B$274,0)),0)</f>
        <v>-72.802419920801185</v>
      </c>
      <c r="N255" s="156">
        <f t="shared" si="40"/>
        <v>-0.61295312787922573</v>
      </c>
      <c r="O255" s="156">
        <f t="shared" si="41"/>
        <v>-408.79466101235528</v>
      </c>
      <c r="P255" s="156"/>
      <c r="Q255" s="161">
        <f t="shared" si="36"/>
        <v>174775.73638028986</v>
      </c>
      <c r="R255" s="162">
        <v>0</v>
      </c>
      <c r="S255" s="163">
        <f t="shared" si="37"/>
        <v>0</v>
      </c>
      <c r="T255" s="156">
        <f t="shared" si="38"/>
        <v>174775.73638028986</v>
      </c>
      <c r="U255" s="90"/>
      <c r="V255" s="161">
        <v>0</v>
      </c>
      <c r="W255" s="156">
        <f t="shared" si="39"/>
        <v>174775.73638028986</v>
      </c>
      <c r="X255" s="90"/>
      <c r="Y255" s="156">
        <f t="shared" si="43"/>
        <v>43693.934095072465</v>
      </c>
      <c r="Z255" s="156">
        <f t="shared" si="43"/>
        <v>43693.934095072465</v>
      </c>
      <c r="AA255" s="156">
        <f t="shared" si="43"/>
        <v>43693.934095072465</v>
      </c>
      <c r="AB255" s="156">
        <f t="shared" si="43"/>
        <v>43693.934095072465</v>
      </c>
    </row>
    <row r="256" spans="2:28" x14ac:dyDescent="0.3">
      <c r="B256" s="17">
        <v>527</v>
      </c>
      <c r="C256" s="137">
        <v>9</v>
      </c>
      <c r="D256" s="138" t="s">
        <v>272</v>
      </c>
      <c r="E256" s="153">
        <v>154.99854785641858</v>
      </c>
      <c r="F256" s="151">
        <v>135350.22</v>
      </c>
      <c r="G256" s="151">
        <v>0</v>
      </c>
      <c r="H256" s="151">
        <f t="shared" si="33"/>
        <v>135350.22</v>
      </c>
      <c r="I256" s="85">
        <f t="shared" si="34"/>
        <v>873.23540685929765</v>
      </c>
      <c r="J256" s="131">
        <f t="shared" si="35"/>
        <v>65267.799416951224</v>
      </c>
      <c r="K256" s="156"/>
      <c r="L256" s="156">
        <f>IFERROR(INDEX('Revised 2021 MFAM(2019 PYAs)'!AD$26:AD$278,MATCH(B256,'Revised 2021 MFAM(2019 PYAs)'!B$26:B$278,0)),0)</f>
        <v>-128.37697986936109</v>
      </c>
      <c r="M256" s="156">
        <f>IFERROR(INDEX('Revised 2020 MFAM(2018 PYAs)'!AF$26:AF$274,MATCH(B256,'Revised 2020 MFAM(2018 PYAs)'!B$26:B$274,0)),0)</f>
        <v>-31.037598423681629</v>
      </c>
      <c r="N256" s="156">
        <f t="shared" si="40"/>
        <v>-0.22836549302964512</v>
      </c>
      <c r="O256" s="156">
        <f t="shared" si="41"/>
        <v>-159.64294378607238</v>
      </c>
      <c r="P256" s="156"/>
      <c r="Q256" s="161">
        <f t="shared" si="36"/>
        <v>65108.156473165152</v>
      </c>
      <c r="R256" s="162">
        <v>0</v>
      </c>
      <c r="S256" s="163">
        <f t="shared" si="37"/>
        <v>0</v>
      </c>
      <c r="T256" s="156">
        <f t="shared" si="38"/>
        <v>65108.156473165152</v>
      </c>
      <c r="U256" s="90"/>
      <c r="V256" s="161">
        <v>0</v>
      </c>
      <c r="W256" s="156">
        <f t="shared" si="39"/>
        <v>65108.156473165152</v>
      </c>
      <c r="X256" s="90"/>
      <c r="Y256" s="156">
        <f t="shared" si="43"/>
        <v>16277.039118291288</v>
      </c>
      <c r="Z256" s="156">
        <f t="shared" si="43"/>
        <v>16277.039118291288</v>
      </c>
      <c r="AA256" s="156">
        <f t="shared" si="43"/>
        <v>16277.039118291288</v>
      </c>
      <c r="AB256" s="156">
        <f t="shared" si="43"/>
        <v>16277.039118291288</v>
      </c>
    </row>
    <row r="257" spans="2:28" x14ac:dyDescent="0.3">
      <c r="B257" s="17">
        <v>543</v>
      </c>
      <c r="C257" s="137">
        <v>9</v>
      </c>
      <c r="D257" s="138" t="s">
        <v>273</v>
      </c>
      <c r="E257" s="153">
        <v>79.411119663150544</v>
      </c>
      <c r="F257" s="151">
        <v>86208</v>
      </c>
      <c r="G257" s="151">
        <v>0</v>
      </c>
      <c r="H257" s="151">
        <f t="shared" si="33"/>
        <v>86208</v>
      </c>
      <c r="I257" s="85">
        <f t="shared" si="34"/>
        <v>1085.5910402180546</v>
      </c>
      <c r="J257" s="131">
        <f t="shared" si="35"/>
        <v>41570.722619708569</v>
      </c>
      <c r="K257" s="156"/>
      <c r="L257" s="156">
        <f>IFERROR(INDEX('Revised 2021 MFAM(2019 PYAs)'!AD$26:AD$278,MATCH(B257,'Revised 2021 MFAM(2019 PYAs)'!B$26:B$278,0)),0)</f>
        <v>-43.096340506977867</v>
      </c>
      <c r="M257" s="156">
        <f>IFERROR(INDEX('Revised 2020 MFAM(2018 PYAs)'!AF$26:AF$274,MATCH(B257,'Revised 2020 MFAM(2018 PYAs)'!B$26:B$274,0)),0)</f>
        <v>-9.2230798373602738</v>
      </c>
      <c r="N257" s="156">
        <f t="shared" si="40"/>
        <v>-0.14545179478171258</v>
      </c>
      <c r="O257" s="156">
        <f t="shared" si="41"/>
        <v>-52.464872139119855</v>
      </c>
      <c r="P257" s="156"/>
      <c r="Q257" s="161">
        <f t="shared" si="36"/>
        <v>41518.257747569449</v>
      </c>
      <c r="R257" s="162">
        <v>0</v>
      </c>
      <c r="S257" s="163">
        <f t="shared" si="37"/>
        <v>0</v>
      </c>
      <c r="T257" s="156">
        <f t="shared" si="38"/>
        <v>41518.257747569449</v>
      </c>
      <c r="U257" s="90"/>
      <c r="V257" s="161">
        <v>0</v>
      </c>
      <c r="W257" s="156">
        <f t="shared" si="39"/>
        <v>41518.257747569449</v>
      </c>
      <c r="X257" s="90"/>
      <c r="Y257" s="156">
        <f t="shared" si="43"/>
        <v>10379.564436892362</v>
      </c>
      <c r="Z257" s="156">
        <f t="shared" si="43"/>
        <v>10379.564436892362</v>
      </c>
      <c r="AA257" s="156">
        <f t="shared" si="43"/>
        <v>10379.564436892362</v>
      </c>
      <c r="AB257" s="156">
        <f t="shared" si="43"/>
        <v>10379.564436892362</v>
      </c>
    </row>
    <row r="258" spans="2:28" x14ac:dyDescent="0.3">
      <c r="B258" s="17">
        <v>547</v>
      </c>
      <c r="C258" s="137">
        <v>9</v>
      </c>
      <c r="D258" s="138" t="s">
        <v>274</v>
      </c>
      <c r="E258" s="153">
        <v>220.23593845734564</v>
      </c>
      <c r="F258" s="151">
        <v>176613.82</v>
      </c>
      <c r="G258" s="151">
        <v>0</v>
      </c>
      <c r="H258" s="151">
        <f t="shared" si="33"/>
        <v>176613.82</v>
      </c>
      <c r="I258" s="85">
        <f t="shared" si="34"/>
        <v>801.93006299108549</v>
      </c>
      <c r="J258" s="131">
        <f t="shared" si="35"/>
        <v>85165.693694635513</v>
      </c>
      <c r="K258" s="156"/>
      <c r="L258" s="156">
        <f>IFERROR(INDEX('Revised 2021 MFAM(2019 PYAs)'!AD$26:AD$278,MATCH(B258,'Revised 2021 MFAM(2019 PYAs)'!B$26:B$278,0)),0)</f>
        <v>-129.44127725763974</v>
      </c>
      <c r="M258" s="156">
        <f>IFERROR(INDEX('Revised 2020 MFAM(2018 PYAs)'!AF$26:AF$274,MATCH(B258,'Revised 2020 MFAM(2018 PYAs)'!B$26:B$274,0)),0)</f>
        <v>-31.431133111414965</v>
      </c>
      <c r="N258" s="156">
        <f t="shared" si="40"/>
        <v>-0.29798623216237852</v>
      </c>
      <c r="O258" s="156">
        <f t="shared" si="41"/>
        <v>-161.17039660121708</v>
      </c>
      <c r="P258" s="156"/>
      <c r="Q258" s="161">
        <f t="shared" si="36"/>
        <v>85004.523298034299</v>
      </c>
      <c r="R258" s="162">
        <v>0</v>
      </c>
      <c r="S258" s="163">
        <f t="shared" si="37"/>
        <v>0</v>
      </c>
      <c r="T258" s="156">
        <f t="shared" si="38"/>
        <v>85004.523298034299</v>
      </c>
      <c r="U258" s="90"/>
      <c r="V258" s="161">
        <v>0</v>
      </c>
      <c r="W258" s="156">
        <f t="shared" si="39"/>
        <v>85004.523298034299</v>
      </c>
      <c r="X258" s="90"/>
      <c r="Y258" s="156">
        <f t="shared" si="43"/>
        <v>21251.130824508575</v>
      </c>
      <c r="Z258" s="156">
        <f t="shared" si="43"/>
        <v>21251.130824508575</v>
      </c>
      <c r="AA258" s="156">
        <f t="shared" si="43"/>
        <v>21251.130824508575</v>
      </c>
      <c r="AB258" s="156">
        <f t="shared" si="43"/>
        <v>21251.130824508575</v>
      </c>
    </row>
    <row r="259" spans="2:28" x14ac:dyDescent="0.3">
      <c r="B259" s="17">
        <v>552</v>
      </c>
      <c r="C259" s="137">
        <v>9</v>
      </c>
      <c r="D259" s="138" t="s">
        <v>275</v>
      </c>
      <c r="E259" s="153">
        <v>135.19999999999999</v>
      </c>
      <c r="F259" s="151">
        <v>157444.06</v>
      </c>
      <c r="G259" s="151">
        <v>0</v>
      </c>
      <c r="H259" s="151">
        <f t="shared" si="33"/>
        <v>157444.06</v>
      </c>
      <c r="I259" s="85">
        <f t="shared" si="34"/>
        <v>1164.5270710059172</v>
      </c>
      <c r="J259" s="131">
        <f t="shared" si="35"/>
        <v>75921.763019450082</v>
      </c>
      <c r="K259" s="156"/>
      <c r="L259" s="156">
        <f>IFERROR(INDEX('Revised 2021 MFAM(2019 PYAs)'!AD$26:AD$278,MATCH(B259,'Revised 2021 MFAM(2019 PYAs)'!B$26:B$278,0)),0)</f>
        <v>31.205035286286147</v>
      </c>
      <c r="M259" s="156">
        <f>IFERROR(INDEX('Revised 2020 MFAM(2018 PYAs)'!AF$26:AF$274,MATCH(B259,'Revised 2020 MFAM(2018 PYAs)'!B$26:B$274,0)),0)</f>
        <v>124.81961487557419</v>
      </c>
      <c r="N259" s="156">
        <f t="shared" si="40"/>
        <v>-0.26564264458889708</v>
      </c>
      <c r="O259" s="156">
        <f t="shared" si="41"/>
        <v>155.75900751727144</v>
      </c>
      <c r="P259" s="156"/>
      <c r="Q259" s="161">
        <f t="shared" si="36"/>
        <v>76077.522026967359</v>
      </c>
      <c r="R259" s="162">
        <v>0</v>
      </c>
      <c r="S259" s="163">
        <f t="shared" si="37"/>
        <v>0</v>
      </c>
      <c r="T259" s="156">
        <f t="shared" si="38"/>
        <v>76077.522026967359</v>
      </c>
      <c r="U259" s="90"/>
      <c r="V259" s="161">
        <v>0</v>
      </c>
      <c r="W259" s="156">
        <f t="shared" si="39"/>
        <v>76077.522026967359</v>
      </c>
      <c r="X259" s="90"/>
      <c r="Y259" s="156">
        <f t="shared" si="43"/>
        <v>19019.38050674184</v>
      </c>
      <c r="Z259" s="156">
        <f t="shared" si="43"/>
        <v>19019.38050674184</v>
      </c>
      <c r="AA259" s="156">
        <f t="shared" si="43"/>
        <v>19019.38050674184</v>
      </c>
      <c r="AB259" s="156">
        <f t="shared" si="43"/>
        <v>19019.38050674184</v>
      </c>
    </row>
    <row r="260" spans="2:28" x14ac:dyDescent="0.3">
      <c r="B260" s="17">
        <v>567</v>
      </c>
      <c r="C260" s="137">
        <v>9</v>
      </c>
      <c r="D260" s="138" t="s">
        <v>276</v>
      </c>
      <c r="E260" s="153">
        <v>384.31575355473518</v>
      </c>
      <c r="F260" s="151">
        <v>218617.78</v>
      </c>
      <c r="G260" s="151">
        <v>0</v>
      </c>
      <c r="H260" s="151">
        <f t="shared" si="33"/>
        <v>218617.78</v>
      </c>
      <c r="I260" s="85">
        <f t="shared" si="34"/>
        <v>568.84938485578868</v>
      </c>
      <c r="J260" s="131">
        <f t="shared" si="35"/>
        <v>105420.60008486999</v>
      </c>
      <c r="K260" s="156"/>
      <c r="L260" s="156">
        <f>IFERROR(INDEX('Revised 2021 MFAM(2019 PYAs)'!AD$26:AD$278,MATCH(B260,'Revised 2021 MFAM(2019 PYAs)'!B$26:B$278,0)),0)</f>
        <v>-234.39542267250363</v>
      </c>
      <c r="M260" s="156">
        <f>IFERROR(INDEX('Revised 2020 MFAM(2018 PYAs)'!AF$26:AF$274,MATCH(B260,'Revised 2020 MFAM(2018 PYAs)'!B$26:B$274,0)),0)</f>
        <v>-50.138331708003534</v>
      </c>
      <c r="N260" s="156">
        <f t="shared" si="40"/>
        <v>-0.36885612091909786</v>
      </c>
      <c r="O260" s="156">
        <f t="shared" si="41"/>
        <v>-284.90261050142624</v>
      </c>
      <c r="P260" s="156"/>
      <c r="Q260" s="161">
        <f t="shared" si="36"/>
        <v>105135.69747436857</v>
      </c>
      <c r="R260" s="162">
        <v>0</v>
      </c>
      <c r="S260" s="163">
        <f t="shared" si="37"/>
        <v>0</v>
      </c>
      <c r="T260" s="156">
        <f t="shared" si="38"/>
        <v>105135.69747436857</v>
      </c>
      <c r="U260" s="90"/>
      <c r="V260" s="161">
        <v>0</v>
      </c>
      <c r="W260" s="156">
        <f t="shared" si="39"/>
        <v>105135.69747436857</v>
      </c>
      <c r="X260" s="90"/>
      <c r="Y260" s="156">
        <f t="shared" si="43"/>
        <v>26283.924368592143</v>
      </c>
      <c r="Z260" s="156">
        <f t="shared" si="43"/>
        <v>26283.924368592143</v>
      </c>
      <c r="AA260" s="156">
        <f t="shared" si="43"/>
        <v>26283.924368592143</v>
      </c>
      <c r="AB260" s="156">
        <f t="shared" si="43"/>
        <v>26283.924368592143</v>
      </c>
    </row>
    <row r="261" spans="2:28" x14ac:dyDescent="0.3">
      <c r="B261" s="17">
        <v>629</v>
      </c>
      <c r="C261" s="137">
        <v>9</v>
      </c>
      <c r="D261" s="138" t="s">
        <v>277</v>
      </c>
      <c r="E261" s="153">
        <v>194.76</v>
      </c>
      <c r="F261" s="151">
        <v>198603.87</v>
      </c>
      <c r="G261" s="151">
        <v>20431</v>
      </c>
      <c r="H261" s="151">
        <f t="shared" si="33"/>
        <v>178172.87</v>
      </c>
      <c r="I261" s="85">
        <f t="shared" si="34"/>
        <v>914.83297391661529</v>
      </c>
      <c r="J261" s="131">
        <f t="shared" si="35"/>
        <v>85917.489758808864</v>
      </c>
      <c r="K261" s="156"/>
      <c r="L261" s="156">
        <f>IFERROR(INDEX('Revised 2021 MFAM(2019 PYAs)'!AD$26:AD$278,MATCH(B261,'Revised 2021 MFAM(2019 PYAs)'!B$26:B$278,0)),0)</f>
        <v>-164.15595677860983</v>
      </c>
      <c r="M261" s="156">
        <f>IFERROR(INDEX('Revised 2020 MFAM(2018 PYAs)'!AF$26:AF$274,MATCH(B261,'Revised 2020 MFAM(2018 PYAs)'!B$26:B$274,0)),0)</f>
        <v>-45.332448463115725</v>
      </c>
      <c r="N261" s="156">
        <f t="shared" si="40"/>
        <v>-0.30061669129209301</v>
      </c>
      <c r="O261" s="156">
        <f t="shared" si="41"/>
        <v>-209.78902193301766</v>
      </c>
      <c r="P261" s="156"/>
      <c r="Q261" s="161">
        <f t="shared" si="36"/>
        <v>85707.70073687585</v>
      </c>
      <c r="R261" s="162">
        <v>0</v>
      </c>
      <c r="S261" s="163">
        <f t="shared" si="37"/>
        <v>0</v>
      </c>
      <c r="T261" s="156">
        <f t="shared" si="38"/>
        <v>85707.70073687585</v>
      </c>
      <c r="U261" s="90"/>
      <c r="V261" s="161">
        <v>0</v>
      </c>
      <c r="W261" s="156">
        <f t="shared" si="39"/>
        <v>85707.70073687585</v>
      </c>
      <c r="X261" s="90"/>
      <c r="Y261" s="156">
        <f t="shared" si="43"/>
        <v>21426.925184218962</v>
      </c>
      <c r="Z261" s="156">
        <f t="shared" si="43"/>
        <v>21426.925184218962</v>
      </c>
      <c r="AA261" s="156">
        <f t="shared" si="43"/>
        <v>21426.925184218962</v>
      </c>
      <c r="AB261" s="156">
        <f t="shared" si="43"/>
        <v>21426.925184218962</v>
      </c>
    </row>
    <row r="262" spans="2:28" x14ac:dyDescent="0.3">
      <c r="B262" s="17">
        <v>630</v>
      </c>
      <c r="C262" s="137">
        <v>9</v>
      </c>
      <c r="D262" s="138" t="s">
        <v>278</v>
      </c>
      <c r="E262" s="153">
        <v>127.48534968903685</v>
      </c>
      <c r="F262" s="151">
        <v>287696.51</v>
      </c>
      <c r="G262" s="151">
        <v>4655.1900000000005</v>
      </c>
      <c r="H262" s="151">
        <f t="shared" si="33"/>
        <v>283041.32</v>
      </c>
      <c r="I262" s="85">
        <f t="shared" si="34"/>
        <v>2220.1870308266507</v>
      </c>
      <c r="J262" s="131">
        <f t="shared" si="35"/>
        <v>136486.54653438396</v>
      </c>
      <c r="K262" s="156"/>
      <c r="L262" s="156">
        <f>IFERROR(INDEX('Revised 2021 MFAM(2019 PYAs)'!AD$26:AD$278,MATCH(B262,'Revised 2021 MFAM(2019 PYAs)'!B$26:B$278,0)),0)</f>
        <v>-222.31024450832047</v>
      </c>
      <c r="M262" s="156">
        <f>IFERROR(INDEX('Revised 2020 MFAM(2018 PYAs)'!AF$26:AF$274,MATCH(B262,'Revised 2020 MFAM(2018 PYAs)'!B$26:B$274,0)),0)</f>
        <v>-56.856421154443524</v>
      </c>
      <c r="N262" s="156">
        <f t="shared" si="40"/>
        <v>-0.47755275602478942</v>
      </c>
      <c r="O262" s="156">
        <f t="shared" si="41"/>
        <v>-279.6442184187888</v>
      </c>
      <c r="P262" s="156"/>
      <c r="Q262" s="161">
        <f t="shared" si="36"/>
        <v>136206.90231596518</v>
      </c>
      <c r="R262" s="162">
        <v>0</v>
      </c>
      <c r="S262" s="163">
        <f t="shared" si="37"/>
        <v>0</v>
      </c>
      <c r="T262" s="156">
        <f t="shared" si="38"/>
        <v>136206.90231596518</v>
      </c>
      <c r="U262" s="90"/>
      <c r="V262" s="161">
        <v>0</v>
      </c>
      <c r="W262" s="156">
        <f t="shared" si="39"/>
        <v>136206.90231596518</v>
      </c>
      <c r="X262" s="90"/>
      <c r="Y262" s="156">
        <f t="shared" si="43"/>
        <v>34051.725578991296</v>
      </c>
      <c r="Z262" s="156">
        <f t="shared" si="43"/>
        <v>34051.725578991296</v>
      </c>
      <c r="AA262" s="156">
        <f t="shared" si="43"/>
        <v>34051.725578991296</v>
      </c>
      <c r="AB262" s="156">
        <f t="shared" si="43"/>
        <v>34051.725578991296</v>
      </c>
    </row>
    <row r="263" spans="2:28" x14ac:dyDescent="0.3">
      <c r="B263" s="17">
        <v>771</v>
      </c>
      <c r="C263" s="137">
        <v>9</v>
      </c>
      <c r="D263" s="138" t="s">
        <v>280</v>
      </c>
      <c r="E263" s="153">
        <v>150.47963975564838</v>
      </c>
      <c r="F263" s="151">
        <v>92541.6</v>
      </c>
      <c r="G263" s="151">
        <v>0</v>
      </c>
      <c r="H263" s="151">
        <f t="shared" si="33"/>
        <v>92541.6</v>
      </c>
      <c r="I263" s="85">
        <f t="shared" si="34"/>
        <v>614.97754879178854</v>
      </c>
      <c r="J263" s="131">
        <f t="shared" si="35"/>
        <v>44624.874540460551</v>
      </c>
      <c r="K263" s="156"/>
      <c r="L263" s="156">
        <f>IFERROR(INDEX('Revised 2021 MFAM(2019 PYAs)'!AD$26:AD$278,MATCH(B263,'Revised 2021 MFAM(2019 PYAs)'!B$26:B$278,0)),0)</f>
        <v>-71.144210043228668</v>
      </c>
      <c r="M263" s="156">
        <f>IFERROR(INDEX('Revised 2020 MFAM(2018 PYAs)'!AF$26:AF$274,MATCH(B263,'Revised 2020 MFAM(2018 PYAs)'!B$26:B$274,0)),0)</f>
        <v>-15.498591889630916</v>
      </c>
      <c r="N263" s="156">
        <f t="shared" si="40"/>
        <v>-0.15613796645289688</v>
      </c>
      <c r="O263" s="156">
        <f t="shared" si="41"/>
        <v>-86.798939899312487</v>
      </c>
      <c r="P263" s="156"/>
      <c r="Q263" s="161">
        <f t="shared" si="36"/>
        <v>44538.075600561235</v>
      </c>
      <c r="R263" s="162">
        <v>0</v>
      </c>
      <c r="S263" s="163">
        <f t="shared" si="37"/>
        <v>0</v>
      </c>
      <c r="T263" s="156">
        <f t="shared" si="38"/>
        <v>44538.075600561235</v>
      </c>
      <c r="U263" s="90"/>
      <c r="V263" s="161">
        <v>0</v>
      </c>
      <c r="W263" s="156">
        <f t="shared" si="39"/>
        <v>44538.075600561235</v>
      </c>
      <c r="X263" s="90"/>
      <c r="Y263" s="156">
        <f t="shared" si="43"/>
        <v>11134.518900140309</v>
      </c>
      <c r="Z263" s="156">
        <f t="shared" si="43"/>
        <v>11134.518900140309</v>
      </c>
      <c r="AA263" s="156">
        <f t="shared" si="43"/>
        <v>11134.518900140309</v>
      </c>
      <c r="AB263" s="156">
        <f t="shared" si="43"/>
        <v>11134.518900140309</v>
      </c>
    </row>
    <row r="264" spans="2:28" x14ac:dyDescent="0.3">
      <c r="B264" s="17">
        <v>830</v>
      </c>
      <c r="C264" s="137">
        <v>9</v>
      </c>
      <c r="D264" s="138" t="s">
        <v>281</v>
      </c>
      <c r="E264" s="153">
        <v>24.409999999999997</v>
      </c>
      <c r="F264" s="151">
        <v>29406.38</v>
      </c>
      <c r="G264" s="151">
        <v>0</v>
      </c>
      <c r="H264" s="151">
        <f t="shared" si="33"/>
        <v>29406.38</v>
      </c>
      <c r="I264" s="85">
        <f t="shared" si="34"/>
        <v>1204.6857845145435</v>
      </c>
      <c r="J264" s="131">
        <f t="shared" si="35"/>
        <v>14180.174302033985</v>
      </c>
      <c r="K264" s="156"/>
      <c r="L264" s="156">
        <f>IFERROR(INDEX('Revised 2021 MFAM(2019 PYAs)'!AD$26:AD$278,MATCH(B264,'Revised 2021 MFAM(2019 PYAs)'!B$26:B$278,0)),0)</f>
        <v>-14.264646004196038</v>
      </c>
      <c r="M264" s="156">
        <f>IFERROR(INDEX('Revised 2020 MFAM(2018 PYAs)'!AF$26:AF$274,MATCH(B264,'Revised 2020 MFAM(2018 PYAs)'!B$26:B$274,0)),0)</f>
        <v>-5.58058035587419</v>
      </c>
      <c r="N264" s="156">
        <f t="shared" si="40"/>
        <v>-4.9615009616660377E-2</v>
      </c>
      <c r="O264" s="156">
        <f t="shared" si="41"/>
        <v>-19.894841369686887</v>
      </c>
      <c r="P264" s="156"/>
      <c r="Q264" s="161">
        <f t="shared" si="36"/>
        <v>14160.279460664298</v>
      </c>
      <c r="R264" s="162">
        <v>0</v>
      </c>
      <c r="S264" s="163">
        <f t="shared" si="37"/>
        <v>0</v>
      </c>
      <c r="T264" s="156">
        <f t="shared" si="38"/>
        <v>14160.279460664298</v>
      </c>
      <c r="U264" s="90"/>
      <c r="V264" s="161">
        <v>0</v>
      </c>
      <c r="W264" s="156">
        <f t="shared" si="39"/>
        <v>14160.279460664298</v>
      </c>
      <c r="X264" s="90"/>
      <c r="Y264" s="156">
        <f t="shared" si="43"/>
        <v>3540.0698651660746</v>
      </c>
      <c r="Z264" s="156">
        <f t="shared" si="43"/>
        <v>3540.0698651660746</v>
      </c>
      <c r="AA264" s="156">
        <f t="shared" si="43"/>
        <v>3540.0698651660746</v>
      </c>
      <c r="AB264" s="156">
        <f t="shared" si="43"/>
        <v>3540.0698651660746</v>
      </c>
    </row>
    <row r="265" spans="2:28" x14ac:dyDescent="0.3">
      <c r="B265" s="17">
        <v>936</v>
      </c>
      <c r="C265" s="137">
        <v>9</v>
      </c>
      <c r="D265" s="138" t="s">
        <v>282</v>
      </c>
      <c r="E265" s="153">
        <v>41.000400806603665</v>
      </c>
      <c r="F265" s="151">
        <v>76676.479999999996</v>
      </c>
      <c r="G265" s="151">
        <v>0</v>
      </c>
      <c r="H265" s="151">
        <f t="shared" si="33"/>
        <v>76676.479999999996</v>
      </c>
      <c r="I265" s="85">
        <f t="shared" si="34"/>
        <v>1870.1397667227247</v>
      </c>
      <c r="J265" s="131">
        <f t="shared" si="35"/>
        <v>36974.488232363954</v>
      </c>
      <c r="K265" s="156"/>
      <c r="L265" s="156">
        <f>IFERROR(INDEX('Revised 2021 MFAM(2019 PYAs)'!AD$26:AD$278,MATCH(B265,'Revised 2021 MFAM(2019 PYAs)'!B$26:B$278,0)),0)</f>
        <v>-36.532026088243583</v>
      </c>
      <c r="M265" s="156">
        <f>IFERROR(INDEX('Revised 2020 MFAM(2018 PYAs)'!AF$26:AF$274,MATCH(B265,'Revised 2020 MFAM(2018 PYAs)'!B$26:B$274,0)),0)</f>
        <v>-12.411634256899561</v>
      </c>
      <c r="N265" s="156">
        <f t="shared" si="40"/>
        <v>-0.12937003101271446</v>
      </c>
      <c r="O265" s="156">
        <f t="shared" si="41"/>
        <v>-49.073030376155856</v>
      </c>
      <c r="P265" s="156"/>
      <c r="Q265" s="161">
        <f t="shared" si="36"/>
        <v>36925.415201987795</v>
      </c>
      <c r="R265" s="162">
        <v>0</v>
      </c>
      <c r="S265" s="163">
        <f t="shared" si="37"/>
        <v>0</v>
      </c>
      <c r="T265" s="156">
        <f t="shared" si="38"/>
        <v>36925.415201987795</v>
      </c>
      <c r="U265" s="90"/>
      <c r="V265" s="161">
        <v>0</v>
      </c>
      <c r="W265" s="156">
        <f t="shared" si="39"/>
        <v>36925.415201987795</v>
      </c>
      <c r="X265" s="90"/>
      <c r="Y265" s="156">
        <f t="shared" si="43"/>
        <v>9231.3538004969487</v>
      </c>
      <c r="Z265" s="156">
        <f t="shared" si="43"/>
        <v>9231.3538004969487</v>
      </c>
      <c r="AA265" s="156">
        <f t="shared" si="43"/>
        <v>9231.3538004969487</v>
      </c>
      <c r="AB265" s="156">
        <f t="shared" si="43"/>
        <v>9231.3538004969487</v>
      </c>
    </row>
    <row r="266" spans="2:28" x14ac:dyDescent="0.3">
      <c r="B266" s="17">
        <v>952</v>
      </c>
      <c r="C266" s="137">
        <v>9</v>
      </c>
      <c r="D266" s="138" t="s">
        <v>283</v>
      </c>
      <c r="E266" s="153">
        <v>58.010000000000005</v>
      </c>
      <c r="F266" s="151">
        <v>92682.41</v>
      </c>
      <c r="G266" s="151">
        <v>3120.3</v>
      </c>
      <c r="H266" s="151">
        <f t="shared" si="33"/>
        <v>89562.11</v>
      </c>
      <c r="I266" s="85">
        <f t="shared" si="34"/>
        <v>1543.9081192897775</v>
      </c>
      <c r="J266" s="131">
        <f t="shared" si="35"/>
        <v>43188.122123768408</v>
      </c>
      <c r="K266" s="156"/>
      <c r="L266" s="156">
        <f>IFERROR(INDEX('Revised 2021 MFAM(2019 PYAs)'!AD$26:AD$278,MATCH(B266,'Revised 2021 MFAM(2019 PYAs)'!B$26:B$278,0)),0)</f>
        <v>-62.826085759203124</v>
      </c>
      <c r="M266" s="156">
        <f>IFERROR(INDEX('Revised 2020 MFAM(2018 PYAs)'!AF$26:AF$274,MATCH(B266,'Revised 2020 MFAM(2018 PYAs)'!B$26:B$274,0)),0)</f>
        <v>-18.87894067441448</v>
      </c>
      <c r="N266" s="156">
        <f t="shared" si="40"/>
        <v>-0.15111091364997642</v>
      </c>
      <c r="O266" s="156">
        <f t="shared" si="41"/>
        <v>-81.856137347267577</v>
      </c>
      <c r="P266" s="156"/>
      <c r="Q266" s="161">
        <f t="shared" si="36"/>
        <v>43106.265986421138</v>
      </c>
      <c r="R266" s="162">
        <v>0</v>
      </c>
      <c r="S266" s="163">
        <f t="shared" si="37"/>
        <v>0</v>
      </c>
      <c r="T266" s="156">
        <f t="shared" si="38"/>
        <v>43106.265986421138</v>
      </c>
      <c r="U266" s="90"/>
      <c r="V266" s="161">
        <v>0</v>
      </c>
      <c r="W266" s="156">
        <f t="shared" si="39"/>
        <v>43106.265986421138</v>
      </c>
      <c r="X266" s="90"/>
      <c r="Y266" s="156">
        <f t="shared" si="43"/>
        <v>10776.566496605285</v>
      </c>
      <c r="Z266" s="156">
        <f t="shared" si="43"/>
        <v>10776.566496605285</v>
      </c>
      <c r="AA266" s="156">
        <f t="shared" si="43"/>
        <v>10776.566496605285</v>
      </c>
      <c r="AB266" s="156">
        <f t="shared" si="43"/>
        <v>10776.566496605285</v>
      </c>
    </row>
    <row r="267" spans="2:28" x14ac:dyDescent="0.3">
      <c r="B267" s="17">
        <v>982</v>
      </c>
      <c r="C267" s="137">
        <v>9</v>
      </c>
      <c r="D267" s="138" t="s">
        <v>284</v>
      </c>
      <c r="E267" s="153">
        <v>67.758123009401658</v>
      </c>
      <c r="F267" s="151">
        <v>117451.8</v>
      </c>
      <c r="G267" s="151">
        <v>0</v>
      </c>
      <c r="H267" s="151">
        <f t="shared" si="33"/>
        <v>117451.8</v>
      </c>
      <c r="I267" s="85">
        <f t="shared" si="34"/>
        <v>1733.3980751459599</v>
      </c>
      <c r="J267" s="131">
        <f t="shared" si="35"/>
        <v>56636.926955566618</v>
      </c>
      <c r="K267" s="156"/>
      <c r="L267" s="156">
        <f>IFERROR(INDEX('Revised 2021 MFAM(2019 PYAs)'!AD$26:AD$278,MATCH(B267,'Revised 2021 MFAM(2019 PYAs)'!B$26:B$278,0)),0)</f>
        <v>-113.21432005561655</v>
      </c>
      <c r="M267" s="156">
        <f>IFERROR(INDEX('Revised 2020 MFAM(2018 PYAs)'!AF$26:AF$274,MATCH(B267,'Revised 2020 MFAM(2018 PYAs)'!B$26:B$274,0)),0)</f>
        <v>-23.102016979839391</v>
      </c>
      <c r="N267" s="156">
        <f t="shared" si="40"/>
        <v>-0.19816693474321118</v>
      </c>
      <c r="O267" s="156">
        <f t="shared" si="41"/>
        <v>-136.51450397019914</v>
      </c>
      <c r="P267" s="156"/>
      <c r="Q267" s="161">
        <f t="shared" si="36"/>
        <v>56500.412451596421</v>
      </c>
      <c r="R267" s="162">
        <v>0</v>
      </c>
      <c r="S267" s="163">
        <f t="shared" si="37"/>
        <v>0</v>
      </c>
      <c r="T267" s="156">
        <f t="shared" si="38"/>
        <v>56500.412451596421</v>
      </c>
      <c r="U267" s="90"/>
      <c r="V267" s="161">
        <v>0</v>
      </c>
      <c r="W267" s="156">
        <f t="shared" si="39"/>
        <v>56500.412451596421</v>
      </c>
      <c r="X267" s="90"/>
      <c r="Y267" s="156">
        <f t="shared" si="43"/>
        <v>14125.103112899105</v>
      </c>
      <c r="Z267" s="156">
        <f t="shared" si="43"/>
        <v>14125.103112899105</v>
      </c>
      <c r="AA267" s="156">
        <f t="shared" si="43"/>
        <v>14125.103112899105</v>
      </c>
      <c r="AB267" s="156">
        <f t="shared" si="43"/>
        <v>14125.103112899105</v>
      </c>
    </row>
    <row r="268" spans="2:28" x14ac:dyDescent="0.3">
      <c r="B268" s="17">
        <v>987</v>
      </c>
      <c r="C268" s="137">
        <v>9</v>
      </c>
      <c r="D268" s="138" t="s">
        <v>285</v>
      </c>
      <c r="E268" s="153">
        <v>330.67110027386104</v>
      </c>
      <c r="F268" s="151">
        <v>102469.64</v>
      </c>
      <c r="G268" s="151">
        <v>0</v>
      </c>
      <c r="H268" s="151">
        <f t="shared" si="33"/>
        <v>102469.64</v>
      </c>
      <c r="I268" s="85">
        <f t="shared" si="34"/>
        <v>309.88386924389488</v>
      </c>
      <c r="J268" s="131">
        <f t="shared" si="35"/>
        <v>49412.316506372888</v>
      </c>
      <c r="K268" s="156"/>
      <c r="L268" s="156">
        <f>IFERROR(INDEX('Revised 2021 MFAM(2019 PYAs)'!AD$26:AD$278,MATCH(B268,'Revised 2021 MFAM(2019 PYAs)'!B$26:B$278,0)),0)</f>
        <v>-127.05509294391231</v>
      </c>
      <c r="M268" s="156">
        <f>IFERROR(INDEX('Revised 2020 MFAM(2018 PYAs)'!AF$26:AF$274,MATCH(B268,'Revised 2020 MFAM(2018 PYAs)'!B$26:B$274,0)),0)</f>
        <v>-21.897483952598122</v>
      </c>
      <c r="N268" s="156">
        <f t="shared" si="40"/>
        <v>-0.17288874638822346</v>
      </c>
      <c r="O268" s="156">
        <f t="shared" si="41"/>
        <v>-149.12546564289866</v>
      </c>
      <c r="P268" s="156"/>
      <c r="Q268" s="161">
        <f t="shared" si="36"/>
        <v>49263.191040729987</v>
      </c>
      <c r="R268" s="162">
        <v>0</v>
      </c>
      <c r="S268" s="163">
        <f t="shared" si="37"/>
        <v>0</v>
      </c>
      <c r="T268" s="156">
        <f t="shared" si="38"/>
        <v>49263.191040729987</v>
      </c>
      <c r="U268" s="90"/>
      <c r="V268" s="161">
        <v>0</v>
      </c>
      <c r="W268" s="156">
        <f t="shared" si="39"/>
        <v>49263.191040729987</v>
      </c>
      <c r="X268" s="90"/>
      <c r="Y268" s="156">
        <f t="shared" si="43"/>
        <v>12315.797760182497</v>
      </c>
      <c r="Z268" s="156">
        <f t="shared" si="43"/>
        <v>12315.797760182497</v>
      </c>
      <c r="AA268" s="156">
        <f t="shared" si="43"/>
        <v>12315.797760182497</v>
      </c>
      <c r="AB268" s="156">
        <f t="shared" si="43"/>
        <v>12315.797760182497</v>
      </c>
    </row>
  </sheetData>
  <sheetProtection sheet="1" objects="1" scenarios="1"/>
  <mergeCells count="2">
    <mergeCell ref="B2:G2"/>
    <mergeCell ref="L17:O17"/>
  </mergeCells>
  <conditionalFormatting sqref="B164:B176 B178:B183 B227:B249 B96:B162 B185:B195 B197:B225 B19:H19 B64:B93 B20:B62 C20:D267 E20:H268 J19:M268 P19:P268">
    <cfRule type="expression" dxfId="88" priority="33">
      <formula>$C19&lt;&gt;$C18</formula>
    </cfRule>
  </conditionalFormatting>
  <conditionalFormatting sqref="Q19:T268 Y19:AB268">
    <cfRule type="expression" dxfId="87" priority="31">
      <formula>$C19&lt;&gt;$C18=TRUE</formula>
    </cfRule>
  </conditionalFormatting>
  <conditionalFormatting sqref="B63 B177 B226 B94 B196">
    <cfRule type="expression" dxfId="86" priority="34">
      <formula>$C63&lt;&gt;$C61</formula>
    </cfRule>
  </conditionalFormatting>
  <conditionalFormatting sqref="B163 B184">
    <cfRule type="expression" dxfId="85" priority="35">
      <formula>$C163&lt;&gt;#REF!</formula>
    </cfRule>
  </conditionalFormatting>
  <conditionalFormatting sqref="B95">
    <cfRule type="expression" dxfId="84" priority="36">
      <formula>$C95&lt;&gt;$C92</formula>
    </cfRule>
  </conditionalFormatting>
  <conditionalFormatting sqref="E19:F268">
    <cfRule type="expression" dxfId="83" priority="28">
      <formula>E19&lt;=0=TRUE</formula>
    </cfRule>
  </conditionalFormatting>
  <conditionalFormatting sqref="E17">
    <cfRule type="expression" dxfId="82" priority="27">
      <formula>$C17&lt;&gt;$C16</formula>
    </cfRule>
  </conditionalFormatting>
  <conditionalFormatting sqref="E17">
    <cfRule type="expression" dxfId="81" priority="26">
      <formula>E17&lt;=0=TRUE</formula>
    </cfRule>
  </conditionalFormatting>
  <conditionalFormatting sqref="E17">
    <cfRule type="expression" dxfId="80" priority="25">
      <formula>$C17&lt;&gt;$C16</formula>
    </cfRule>
  </conditionalFormatting>
  <conditionalFormatting sqref="E17">
    <cfRule type="expression" dxfId="79" priority="24">
      <formula>E17&lt;=0=TRUE</formula>
    </cfRule>
  </conditionalFormatting>
  <conditionalFormatting sqref="C268:D268">
    <cfRule type="expression" dxfId="78" priority="9">
      <formula>$C268&lt;&gt;$C267</formula>
    </cfRule>
  </conditionalFormatting>
  <conditionalFormatting sqref="I19:I268">
    <cfRule type="expression" dxfId="77" priority="8">
      <formula>$C19&lt;&gt;$C18</formula>
    </cfRule>
  </conditionalFormatting>
  <conditionalFormatting sqref="V19:V268">
    <cfRule type="expression" dxfId="76" priority="7">
      <formula>$C19&lt;&gt;$C18=TRUE</formula>
    </cfRule>
  </conditionalFormatting>
  <conditionalFormatting sqref="V14">
    <cfRule type="expression" dxfId="75" priority="6">
      <formula>$C14&lt;&gt;$C13=TRUE</formula>
    </cfRule>
  </conditionalFormatting>
  <conditionalFormatting sqref="W19:W268">
    <cfRule type="expression" dxfId="74" priority="5">
      <formula>$C19&lt;&gt;$C18=TRUE</formula>
    </cfRule>
  </conditionalFormatting>
  <conditionalFormatting sqref="N15:O15">
    <cfRule type="expression" dxfId="73" priority="4">
      <formula>$C15&lt;&gt;$C14</formula>
    </cfRule>
  </conditionalFormatting>
  <conditionalFormatting sqref="L16:O16">
    <cfRule type="expression" dxfId="72" priority="3">
      <formula>$C16&lt;&gt;$C15</formula>
    </cfRule>
  </conditionalFormatting>
  <conditionalFormatting sqref="N19:N268">
    <cfRule type="expression" dxfId="71" priority="2">
      <formula>$C19&lt;&gt;$C18</formula>
    </cfRule>
  </conditionalFormatting>
  <conditionalFormatting sqref="O19:O268">
    <cfRule type="expression" dxfId="70" priority="1">
      <formula>$C19&lt;&gt;$C18</formula>
    </cfRule>
  </conditionalFormatting>
  <pageMargins left="0.7" right="0.7" top="0.75" bottom="0.75" header="0.3" footer="0.3"/>
  <pageSetup orientation="portrait" r:id="rId1"/>
  <ignoredErrors>
    <ignoredError sqref="E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</sheetPr>
  <dimension ref="B1:AD278"/>
  <sheetViews>
    <sheetView zoomScaleNormal="100" zoomScaleSheetLayoutView="50" workbookViewId="0">
      <selection activeCell="D18" sqref="D18"/>
    </sheetView>
  </sheetViews>
  <sheetFormatPr defaultRowHeight="14.4" x14ac:dyDescent="0.3"/>
  <cols>
    <col min="1" max="1" width="5.6640625" customWidth="1"/>
    <col min="2" max="2" width="11.44140625" style="1" customWidth="1"/>
    <col min="3" max="3" width="13.88671875" style="1" customWidth="1"/>
    <col min="4" max="4" width="47.109375" customWidth="1"/>
    <col min="5" max="5" width="16.33203125" customWidth="1"/>
    <col min="6" max="8" width="14.6640625" customWidth="1"/>
    <col min="9" max="16" width="14.6640625" style="17" customWidth="1"/>
    <col min="17" max="24" width="14.6640625" customWidth="1"/>
    <col min="25" max="25" width="17.44140625" customWidth="1"/>
    <col min="26" max="26" width="20.6640625" customWidth="1"/>
    <col min="27" max="27" width="22.88671875" customWidth="1"/>
    <col min="28" max="28" width="4.6640625" style="17" customWidth="1"/>
    <col min="29" max="30" width="17.6640625" customWidth="1"/>
    <col min="31" max="31" width="12.6640625" customWidth="1"/>
  </cols>
  <sheetData>
    <row r="1" spans="2:26" ht="58.5" customHeight="1" thickBot="1" x14ac:dyDescent="0.35">
      <c r="D1" s="40"/>
    </row>
    <row r="2" spans="2:26" ht="43.8" thickBot="1" x14ac:dyDescent="0.35">
      <c r="B2" s="170" t="s">
        <v>307</v>
      </c>
      <c r="C2" s="171"/>
      <c r="D2" s="171"/>
      <c r="E2" s="171"/>
      <c r="F2" s="171"/>
      <c r="G2" s="172"/>
      <c r="H2" s="42"/>
      <c r="I2" s="89"/>
      <c r="J2" s="89"/>
      <c r="K2" s="89"/>
      <c r="L2" s="89"/>
      <c r="M2" s="89"/>
      <c r="N2" s="89"/>
      <c r="O2" s="89"/>
      <c r="P2" s="89"/>
      <c r="Q2" s="149">
        <v>0.9</v>
      </c>
      <c r="R2" s="100" t="s">
        <v>22</v>
      </c>
      <c r="S2" s="100" t="s">
        <v>23</v>
      </c>
      <c r="T2" s="100" t="s">
        <v>24</v>
      </c>
      <c r="W2" s="41"/>
      <c r="X2" s="17"/>
      <c r="Y2" s="17"/>
    </row>
    <row r="3" spans="2:26" ht="15" thickBot="1" x14ac:dyDescent="0.35">
      <c r="B3" s="22"/>
      <c r="H3" s="42"/>
      <c r="I3" s="89"/>
      <c r="J3" s="89"/>
      <c r="K3" s="89"/>
      <c r="L3" s="89"/>
      <c r="M3" s="89"/>
      <c r="N3" s="89"/>
      <c r="O3" s="89"/>
      <c r="P3" s="89"/>
      <c r="Q3" s="44">
        <v>1</v>
      </c>
      <c r="R3" s="127">
        <f t="shared" ref="R3:R11" si="0">SUMPRODUCT(--($C$26:$C$300=$Q3),$E$26:$E$300)</f>
        <v>310613.81000000006</v>
      </c>
      <c r="S3" s="45">
        <f>INDEX('Revised 2021 MFAM Cost Bands'!$M$6:$M$300,MATCH('Revised 2021 MFAM(2019 PYAs)'!Q3,'Revised 2021 MFAM Cost Bands'!$C$6:$C$300,0))</f>
        <v>502.79574182487232</v>
      </c>
      <c r="T3" s="88">
        <f>INDEX('Revised 2021 MFAM Cost Bands'!$R$6:$R$300,MATCH('Revised 2021 MFAM(2019 PYAs)'!Q3,'Revised 2021 MFAM Cost Bands'!$C$6:$C$300,0))</f>
        <v>640.17877919040757</v>
      </c>
      <c r="W3" s="114"/>
      <c r="X3" s="17"/>
      <c r="Y3" s="17"/>
    </row>
    <row r="4" spans="2:26" x14ac:dyDescent="0.3">
      <c r="D4" s="48" t="s">
        <v>329</v>
      </c>
      <c r="E4" s="49"/>
      <c r="F4" s="49"/>
      <c r="G4" s="50"/>
      <c r="H4" s="42"/>
      <c r="I4" s="89"/>
      <c r="J4" s="89"/>
      <c r="K4" s="89"/>
      <c r="L4" s="89"/>
      <c r="M4" s="89"/>
      <c r="N4" s="89"/>
      <c r="O4" s="89"/>
      <c r="P4" s="89"/>
      <c r="Q4" s="51">
        <v>2</v>
      </c>
      <c r="R4" s="125">
        <f t="shared" si="0"/>
        <v>211941.69639999999</v>
      </c>
      <c r="S4" s="52">
        <f>INDEX('Revised 2021 MFAM Cost Bands'!$M$6:$M$300,MATCH('Revised 2021 MFAM(2019 PYAs)'!Q4,'Revised 2021 MFAM Cost Bands'!$C$6:$C$300,0))</f>
        <v>315.77459016695877</v>
      </c>
      <c r="T4" s="101">
        <f>INDEX('Revised 2021 MFAM Cost Bands'!$R$6:$R$300,MATCH('Revised 2021 MFAM(2019 PYAs)'!Q4,'Revised 2021 MFAM Cost Bands'!$C$6:$C$300,0))</f>
        <v>452.85445014437244</v>
      </c>
      <c r="W4" s="114"/>
      <c r="X4" s="17"/>
      <c r="Y4" s="17"/>
    </row>
    <row r="5" spans="2:26" x14ac:dyDescent="0.3">
      <c r="D5" s="53"/>
      <c r="E5" s="54"/>
      <c r="F5" s="54"/>
      <c r="G5" s="55"/>
      <c r="H5" s="56"/>
      <c r="I5" s="56"/>
      <c r="J5" s="56"/>
      <c r="K5" s="56"/>
      <c r="L5" s="56"/>
      <c r="M5" s="56"/>
      <c r="N5" s="56"/>
      <c r="O5" s="56"/>
      <c r="P5" s="56"/>
      <c r="Q5" s="51">
        <v>3</v>
      </c>
      <c r="R5" s="125">
        <f t="shared" si="0"/>
        <v>43043.87</v>
      </c>
      <c r="S5" s="52">
        <f>INDEX('Revised 2021 MFAM Cost Bands'!$M$6:$M$300,MATCH('Revised 2021 MFAM(2019 PYAs)'!Q5,'Revised 2021 MFAM Cost Bands'!$C$6:$C$300,0))</f>
        <v>423.21962221333717</v>
      </c>
      <c r="T5" s="101">
        <f>INDEX('Revised 2021 MFAM Cost Bands'!$R$6:$R$300,MATCH('Revised 2021 MFAM(2019 PYAs)'!Q5,'Revised 2021 MFAM Cost Bands'!$C$6:$C$300,0))</f>
        <v>788.08317794910727</v>
      </c>
      <c r="W5" s="114"/>
      <c r="X5" s="17"/>
      <c r="Y5" s="17"/>
    </row>
    <row r="6" spans="2:26" x14ac:dyDescent="0.3">
      <c r="D6" s="58" t="s">
        <v>25</v>
      </c>
      <c r="E6" s="129">
        <v>152132760.55000001</v>
      </c>
      <c r="F6" s="41"/>
      <c r="G6" s="47"/>
      <c r="H6" s="56"/>
      <c r="I6" s="56"/>
      <c r="J6" s="56"/>
      <c r="K6" s="56"/>
      <c r="L6" s="56"/>
      <c r="M6" s="56"/>
      <c r="N6" s="56"/>
      <c r="O6" s="56"/>
      <c r="P6" s="56"/>
      <c r="Q6" s="51">
        <v>4</v>
      </c>
      <c r="R6" s="125">
        <f t="shared" si="0"/>
        <v>91847.375200000009</v>
      </c>
      <c r="S6" s="52">
        <f>INDEX('Revised 2021 MFAM Cost Bands'!$M$6:$M$300,MATCH('Revised 2021 MFAM(2019 PYAs)'!Q6,'Revised 2021 MFAM Cost Bands'!$C$6:$C$300,0))</f>
        <v>491.3310626649241</v>
      </c>
      <c r="T6" s="101">
        <f>INDEX('Revised 2021 MFAM Cost Bands'!$R$6:$R$300,MATCH('Revised 2021 MFAM(2019 PYAs)'!Q6,'Revised 2021 MFAM Cost Bands'!$C$6:$C$300,0))</f>
        <v>696.58759744797112</v>
      </c>
      <c r="W6" s="114"/>
      <c r="X6" s="17"/>
      <c r="Y6" s="17"/>
    </row>
    <row r="7" spans="2:26" x14ac:dyDescent="0.3">
      <c r="D7" s="58"/>
      <c r="E7" s="41"/>
      <c r="F7" s="41"/>
      <c r="G7" s="47"/>
      <c r="H7" s="56"/>
      <c r="I7" s="56"/>
      <c r="J7" s="56"/>
      <c r="K7" s="56"/>
      <c r="L7" s="56"/>
      <c r="M7" s="56"/>
      <c r="N7" s="56"/>
      <c r="O7" s="56"/>
      <c r="P7" s="56"/>
      <c r="Q7" s="51">
        <v>5</v>
      </c>
      <c r="R7" s="125">
        <f t="shared" si="0"/>
        <v>17405.252801383129</v>
      </c>
      <c r="S7" s="52">
        <f>INDEX('Revised 2021 MFAM Cost Bands'!$M$6:$M$300,MATCH('Revised 2021 MFAM(2019 PYAs)'!Q7,'Revised 2021 MFAM Cost Bands'!$C$6:$C$300,0))</f>
        <v>347.83705753006336</v>
      </c>
      <c r="T7" s="101">
        <f>INDEX('Revised 2021 MFAM Cost Bands'!$R$6:$R$300,MATCH('Revised 2021 MFAM(2019 PYAs)'!Q7,'Revised 2021 MFAM Cost Bands'!$C$6:$C$300,0))</f>
        <v>537.91820621973352</v>
      </c>
      <c r="W7" s="114"/>
      <c r="X7" s="17"/>
      <c r="Y7" s="17"/>
    </row>
    <row r="8" spans="2:26" x14ac:dyDescent="0.3">
      <c r="D8" s="58" t="s">
        <v>26</v>
      </c>
      <c r="E8" s="150">
        <v>-2870490.72</v>
      </c>
      <c r="F8" s="59"/>
      <c r="G8" s="47"/>
      <c r="H8" s="56"/>
      <c r="I8" s="56"/>
      <c r="J8" s="56"/>
      <c r="K8" s="56"/>
      <c r="L8" s="56"/>
      <c r="M8" s="56"/>
      <c r="N8" s="56"/>
      <c r="O8" s="56"/>
      <c r="P8" s="56"/>
      <c r="Q8" s="51">
        <v>6</v>
      </c>
      <c r="R8" s="125">
        <f t="shared" si="0"/>
        <v>9635.9615605493364</v>
      </c>
      <c r="S8" s="52">
        <f>INDEX('Revised 2021 MFAM Cost Bands'!$M$6:$M$300,MATCH('Revised 2021 MFAM(2019 PYAs)'!Q8,'Revised 2021 MFAM Cost Bands'!$C$6:$C$300,0))</f>
        <v>809.62179446004825</v>
      </c>
      <c r="T8" s="101">
        <f>INDEX('Revised 2021 MFAM Cost Bands'!$R$6:$R$300,MATCH('Revised 2021 MFAM(2019 PYAs)'!Q8,'Revised 2021 MFAM Cost Bands'!$C$6:$C$300,0))</f>
        <v>1517.426614892323</v>
      </c>
      <c r="W8" s="114"/>
      <c r="X8" s="17"/>
      <c r="Y8" s="17"/>
    </row>
    <row r="9" spans="2:26" x14ac:dyDescent="0.3">
      <c r="D9" s="60" t="s">
        <v>27</v>
      </c>
      <c r="E9" s="59">
        <v>0</v>
      </c>
      <c r="F9" s="19"/>
      <c r="G9" s="61"/>
      <c r="H9" s="56"/>
      <c r="I9" s="56"/>
      <c r="J9" s="56"/>
      <c r="K9" s="56"/>
      <c r="L9" s="56"/>
      <c r="M9" s="56"/>
      <c r="N9" s="56"/>
      <c r="O9" s="56"/>
      <c r="P9" s="56"/>
      <c r="Q9" s="51">
        <v>7</v>
      </c>
      <c r="R9" s="125">
        <f t="shared" si="0"/>
        <v>35660.264385644819</v>
      </c>
      <c r="S9" s="52">
        <f>INDEX('Revised 2021 MFAM Cost Bands'!$M$6:$M$300,MATCH('Revised 2021 MFAM(2019 PYAs)'!Q9,'Revised 2021 MFAM Cost Bands'!$C$6:$C$300,0))</f>
        <v>541.95489918408634</v>
      </c>
      <c r="T9" s="101">
        <f>INDEX('Revised 2021 MFAM Cost Bands'!$R$6:$R$300,MATCH('Revised 2021 MFAM(2019 PYAs)'!Q9,'Revised 2021 MFAM Cost Bands'!$C$6:$C$300,0))</f>
        <v>782.54308711894498</v>
      </c>
      <c r="W9" s="114"/>
      <c r="X9" s="17"/>
      <c r="Y9" s="17"/>
    </row>
    <row r="10" spans="2:26" ht="15" thickBot="1" x14ac:dyDescent="0.35">
      <c r="D10" s="58" t="s">
        <v>306</v>
      </c>
      <c r="E10" s="119">
        <f>E6+E8+E9</f>
        <v>149262269.83000001</v>
      </c>
      <c r="F10" s="41"/>
      <c r="G10" s="47"/>
      <c r="H10" s="56"/>
      <c r="I10" s="56"/>
      <c r="J10" s="56"/>
      <c r="K10" s="56"/>
      <c r="L10" s="56"/>
      <c r="M10" s="56"/>
      <c r="N10" s="56"/>
      <c r="O10" s="56"/>
      <c r="P10" s="56"/>
      <c r="Q10" s="51">
        <v>8</v>
      </c>
      <c r="R10" s="125">
        <f t="shared" si="0"/>
        <v>3936.7311434300896</v>
      </c>
      <c r="S10" s="52">
        <f>INDEX('Revised 2021 MFAM Cost Bands'!$M$6:$M$300,MATCH('Revised 2021 MFAM(2019 PYAs)'!Q10,'Revised 2021 MFAM Cost Bands'!$C$6:$C$300,0))</f>
        <v>1033.7096544658325</v>
      </c>
      <c r="T10" s="101">
        <f>INDEX('Revised 2021 MFAM Cost Bands'!$R$6:$R$300,MATCH('Revised 2021 MFAM(2019 PYAs)'!Q10,'Revised 2021 MFAM Cost Bands'!$C$6:$C$300,0))</f>
        <v>1830.1016167772441</v>
      </c>
      <c r="W10" s="115"/>
      <c r="X10" s="17"/>
      <c r="Y10" s="17"/>
      <c r="Z10" s="62"/>
    </row>
    <row r="11" spans="2:26" ht="15.6" thickTop="1" thickBot="1" x14ac:dyDescent="0.35">
      <c r="D11" s="58" t="s">
        <v>28</v>
      </c>
      <c r="E11" s="41">
        <f>E10-E9</f>
        <v>149262269.83000001</v>
      </c>
      <c r="F11" s="63"/>
      <c r="G11" s="47"/>
      <c r="H11" s="56"/>
      <c r="I11" s="56"/>
      <c r="J11" s="56"/>
      <c r="K11" s="56"/>
      <c r="L11" s="56"/>
      <c r="M11" s="56"/>
      <c r="N11" s="56"/>
      <c r="O11" s="56"/>
      <c r="P11" s="56"/>
      <c r="Q11" s="64">
        <v>9</v>
      </c>
      <c r="R11" s="128">
        <f t="shared" si="0"/>
        <v>6756.9264141997755</v>
      </c>
      <c r="S11" s="66">
        <f>INDEX('Revised 2021 MFAM Cost Bands'!$M$6:$M$300,MATCH('Revised 2021 MFAM(2019 PYAs)'!Q11,'Revised 2021 MFAM Cost Bands'!$C$6:$C$300,0))</f>
        <v>830.7675836462106</v>
      </c>
      <c r="T11" s="102">
        <f>INDEX('Revised 2021 MFAM Cost Bands'!$R$6:$R$300,MATCH('Revised 2021 MFAM(2019 PYAs)'!Q11,'Revised 2021 MFAM Cost Bands'!$C$6:$C$300,0))</f>
        <v>1695.4343094973879</v>
      </c>
      <c r="W11" s="115"/>
      <c r="X11" s="17"/>
      <c r="Y11" s="17"/>
      <c r="Z11" s="62"/>
    </row>
    <row r="12" spans="2:26" x14ac:dyDescent="0.3">
      <c r="D12" s="46"/>
      <c r="E12" s="41"/>
      <c r="F12" s="19"/>
      <c r="G12" s="61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42"/>
      <c r="T12" s="42"/>
      <c r="W12" s="62"/>
      <c r="X12" s="62"/>
      <c r="Y12" s="67"/>
      <c r="Z12" s="62"/>
    </row>
    <row r="13" spans="2:26" x14ac:dyDescent="0.3">
      <c r="D13" s="53" t="s">
        <v>328</v>
      </c>
      <c r="E13" s="120"/>
      <c r="F13" s="54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68"/>
      <c r="S13" s="42"/>
      <c r="T13" s="89"/>
      <c r="U13" s="42"/>
      <c r="W13" s="62"/>
      <c r="X13" s="62"/>
      <c r="Y13" s="62"/>
      <c r="Z13" s="62"/>
    </row>
    <row r="14" spans="2:26" x14ac:dyDescent="0.3">
      <c r="D14" s="58" t="s">
        <v>41</v>
      </c>
      <c r="E14" s="41">
        <f>$E$11*G14</f>
        <v>74631134.915000007</v>
      </c>
      <c r="F14" s="16"/>
      <c r="G14" s="69">
        <v>0.5</v>
      </c>
      <c r="H14" s="42"/>
      <c r="I14" s="89"/>
      <c r="J14" s="89"/>
      <c r="K14" s="89"/>
      <c r="L14" s="89"/>
      <c r="M14" s="89"/>
      <c r="N14" s="89"/>
      <c r="O14" s="89"/>
      <c r="P14" s="89"/>
      <c r="Q14" s="42"/>
      <c r="R14" s="42"/>
      <c r="S14" s="42"/>
      <c r="W14" s="62"/>
      <c r="X14" s="62"/>
      <c r="Y14" s="62"/>
      <c r="Z14" s="62"/>
    </row>
    <row r="15" spans="2:26" x14ac:dyDescent="0.3">
      <c r="D15" s="58" t="s">
        <v>40</v>
      </c>
      <c r="E15" s="41">
        <f>$E$11*G15</f>
        <v>52241794.440499999</v>
      </c>
      <c r="F15" s="70">
        <f>E15/E19</f>
        <v>71.481664235528839</v>
      </c>
      <c r="G15" s="69">
        <v>0.35</v>
      </c>
      <c r="H15" s="42"/>
      <c r="I15" s="89"/>
      <c r="J15" s="89"/>
      <c r="K15" s="89"/>
      <c r="L15" s="89"/>
      <c r="M15" s="89"/>
      <c r="N15" s="89"/>
      <c r="O15" s="89"/>
      <c r="P15" s="89"/>
      <c r="Q15" s="42"/>
      <c r="R15" s="42"/>
      <c r="S15" s="42"/>
      <c r="T15" s="117" t="s">
        <v>47</v>
      </c>
    </row>
    <row r="16" spans="2:26" x14ac:dyDescent="0.3">
      <c r="D16" s="58" t="s">
        <v>39</v>
      </c>
      <c r="E16" s="121">
        <f>$E$11*G16</f>
        <v>22389340.4745</v>
      </c>
      <c r="F16" s="16"/>
      <c r="G16" s="69">
        <v>0.15</v>
      </c>
      <c r="H16" s="42"/>
      <c r="I16" s="89"/>
      <c r="J16" s="89"/>
      <c r="K16" s="89"/>
      <c r="L16" s="89"/>
      <c r="M16" s="89"/>
      <c r="N16" s="89"/>
      <c r="O16" s="89"/>
      <c r="P16" s="89"/>
      <c r="Q16" s="42"/>
      <c r="R16" s="42"/>
      <c r="S16" s="42"/>
      <c r="T16" s="71"/>
    </row>
    <row r="17" spans="2:30" ht="15" thickBot="1" x14ac:dyDescent="0.35">
      <c r="D17" s="58" t="s">
        <v>364</v>
      </c>
      <c r="E17" s="122">
        <f>E14+E15+E16</f>
        <v>149262269.83000001</v>
      </c>
      <c r="F17" s="16"/>
      <c r="G17" s="72"/>
      <c r="H17" s="42"/>
      <c r="I17" s="89"/>
      <c r="J17" s="89"/>
      <c r="K17" s="89"/>
      <c r="L17" s="89"/>
      <c r="M17" s="89"/>
      <c r="N17" s="89"/>
      <c r="O17" s="89"/>
      <c r="P17" s="89"/>
      <c r="Q17" s="42"/>
      <c r="R17" s="42"/>
      <c r="S17" s="42"/>
      <c r="U17" s="14">
        <v>0.5</v>
      </c>
      <c r="V17" s="14">
        <v>0.35</v>
      </c>
      <c r="W17" s="14">
        <v>0.15</v>
      </c>
      <c r="X17" s="14"/>
    </row>
    <row r="18" spans="2:30" ht="15.6" thickTop="1" thickBot="1" x14ac:dyDescent="0.35">
      <c r="D18" s="46"/>
      <c r="E18" s="16"/>
      <c r="F18" s="16"/>
      <c r="G18" s="72"/>
      <c r="H18" s="41"/>
      <c r="I18" s="41"/>
      <c r="J18" s="41"/>
      <c r="K18" s="41"/>
      <c r="L18" s="41"/>
      <c r="M18" s="41"/>
      <c r="N18" s="41"/>
      <c r="O18" s="41"/>
      <c r="P18" s="41"/>
      <c r="T18" s="42"/>
      <c r="U18" s="178" t="str">
        <f>"Model Funding Distribution Basis:   "&amp;TEXT(U17,"#,##0%")&amp;" Adjusted Net Costs, "&amp;TEXT(V17,"#,##0%")&amp;" Recovered Tonnage, "&amp;TEXT(W17,"#,##0%")&amp;" BP"</f>
        <v>Model Funding Distribution Basis:   50% Adjusted Net Costs, 35% Recovered Tonnage, 15% BP</v>
      </c>
      <c r="V18" s="179"/>
      <c r="W18" s="179"/>
      <c r="X18" s="179"/>
      <c r="Y18" s="179"/>
      <c r="Z18" s="179"/>
      <c r="AA18" s="180"/>
    </row>
    <row r="19" spans="2:30" ht="15" thickBot="1" x14ac:dyDescent="0.35">
      <c r="D19" s="74" t="s">
        <v>29</v>
      </c>
      <c r="E19" s="128">
        <f>F24</f>
        <v>730841.88790520688</v>
      </c>
      <c r="F19" s="65"/>
      <c r="G19" s="75"/>
      <c r="H19" s="41"/>
      <c r="I19" s="41"/>
      <c r="J19" s="41"/>
      <c r="K19" s="41"/>
      <c r="L19" s="41"/>
      <c r="M19" s="41"/>
      <c r="N19" s="41"/>
      <c r="O19" s="41"/>
      <c r="P19" s="41"/>
      <c r="T19" s="42"/>
      <c r="U19" s="103"/>
      <c r="V19" s="104"/>
      <c r="W19" s="104"/>
      <c r="X19" s="104"/>
      <c r="Y19" s="104"/>
      <c r="Z19" s="105">
        <f>75%</f>
        <v>0.75</v>
      </c>
      <c r="AA19" s="110">
        <f>SUMPRODUCT(--(Z$26:Z$300&lt;Z$19-0.5%),Y$26:Y$300)</f>
        <v>149096935.46540335</v>
      </c>
    </row>
    <row r="20" spans="2:30" x14ac:dyDescent="0.3">
      <c r="H20" s="41"/>
      <c r="I20" s="41"/>
      <c r="J20" s="41"/>
      <c r="K20" s="41"/>
      <c r="L20" s="41"/>
      <c r="M20" s="41"/>
      <c r="N20" s="41"/>
      <c r="O20" s="41"/>
      <c r="P20" s="41"/>
      <c r="U20" s="107"/>
      <c r="V20" s="106"/>
      <c r="W20" s="106"/>
      <c r="X20" s="106"/>
      <c r="Y20" s="106"/>
      <c r="Z20" s="108"/>
      <c r="AA20" s="110"/>
    </row>
    <row r="21" spans="2:30" x14ac:dyDescent="0.3">
      <c r="H21" s="41"/>
      <c r="I21" s="41"/>
      <c r="J21" s="41"/>
      <c r="K21" s="41"/>
      <c r="L21" s="41"/>
      <c r="M21" s="41"/>
      <c r="N21" s="41"/>
      <c r="O21" s="41"/>
      <c r="P21" s="41"/>
      <c r="U21" s="107"/>
      <c r="V21" s="106"/>
      <c r="W21" s="106"/>
      <c r="X21" s="106"/>
      <c r="Y21" s="106"/>
      <c r="Z21" s="106"/>
      <c r="AA21" s="110"/>
    </row>
    <row r="22" spans="2:30" x14ac:dyDescent="0.3">
      <c r="H22" s="41"/>
      <c r="I22" s="41"/>
      <c r="J22" s="41"/>
      <c r="K22" s="41"/>
      <c r="L22" s="41"/>
      <c r="M22" s="41"/>
      <c r="N22" s="41"/>
      <c r="O22" s="41"/>
      <c r="P22" s="41"/>
      <c r="Q22" s="79"/>
      <c r="U22" s="107"/>
      <c r="V22" s="106"/>
      <c r="W22" s="109"/>
      <c r="X22" s="109"/>
      <c r="Y22" s="109"/>
      <c r="Z22" s="106" cm="1">
        <f t="array" ref="Z22">SUMPRODUCT(--($Z$26:$Z$300&lt;Z19),Y26:Y300)</f>
        <v>149096935.46540335</v>
      </c>
      <c r="AA22" s="110">
        <f>SUMPRODUCT(--(Z$26:Z$300&gt;Z$19),Y$26:Y$300)-SUMPRODUCT(--(Z$26:Z$300&gt;Z$19),$S$26:$S$300)*Z$19</f>
        <v>4674.1495966972434</v>
      </c>
    </row>
    <row r="23" spans="2:30" ht="15" thickBot="1" x14ac:dyDescent="0.35">
      <c r="D23" s="18"/>
      <c r="E23" s="19"/>
      <c r="F23" s="19"/>
      <c r="G23" s="19"/>
      <c r="H23" s="16"/>
      <c r="I23" s="16"/>
      <c r="J23" s="16"/>
      <c r="K23" s="16"/>
      <c r="L23" s="16"/>
      <c r="M23" s="16"/>
      <c r="N23" s="16"/>
      <c r="O23" s="16"/>
      <c r="P23" s="16"/>
      <c r="Q23" s="79"/>
      <c r="S23" s="78">
        <v>244990724.68231803</v>
      </c>
      <c r="U23" s="107"/>
      <c r="V23" s="106"/>
      <c r="W23" s="106">
        <f>E16-W24</f>
        <v>3918060.3373768777</v>
      </c>
      <c r="X23" s="109"/>
      <c r="Y23" s="109"/>
      <c r="Z23" s="106" cm="1">
        <f t="array" ref="Z23">SUMPRODUCT(--($Z$26:$Z$300&gt;$Z$19),$Y$26:$Y$300)-$Z$19*SUMPRODUCT(--($Z$26:$Z$300&gt;$Z$19),$S$26:$S$300)</f>
        <v>4674.1495966972434</v>
      </c>
      <c r="AA23" s="110">
        <f>SUM(AA26:AA300)</f>
        <v>149262269.8300001</v>
      </c>
    </row>
    <row r="24" spans="2:30" ht="15" thickBot="1" x14ac:dyDescent="0.35">
      <c r="E24" s="153">
        <f t="shared" ref="E24:P24" si="1">SUM(E26:E300)</f>
        <v>730841.88790520688</v>
      </c>
      <c r="F24" s="153">
        <f t="shared" si="1"/>
        <v>730841.88790520688</v>
      </c>
      <c r="G24" s="153">
        <f t="shared" si="1"/>
        <v>0</v>
      </c>
      <c r="H24" s="80">
        <f t="shared" si="1"/>
        <v>384369297.02999997</v>
      </c>
      <c r="I24" s="80">
        <f t="shared" si="1"/>
        <v>384369297.02999997</v>
      </c>
      <c r="J24" s="80">
        <f t="shared" si="1"/>
        <v>0</v>
      </c>
      <c r="K24" s="80">
        <f t="shared" si="1"/>
        <v>55058911.009999968</v>
      </c>
      <c r="L24" s="80">
        <f t="shared" si="1"/>
        <v>55058911.009999968</v>
      </c>
      <c r="M24" s="80">
        <f t="shared" si="1"/>
        <v>0</v>
      </c>
      <c r="N24" s="80">
        <f t="shared" si="1"/>
        <v>329310386.01999998</v>
      </c>
      <c r="O24" s="80">
        <f t="shared" si="1"/>
        <v>329310386.01999998</v>
      </c>
      <c r="P24" s="80">
        <f t="shared" si="1"/>
        <v>0</v>
      </c>
      <c r="Q24" s="16"/>
      <c r="R24" t="s">
        <v>11</v>
      </c>
      <c r="S24" s="16">
        <f>SUM(S26:S300)</f>
        <v>323604014.03601104</v>
      </c>
      <c r="T24" s="80"/>
      <c r="U24" s="81">
        <f>SUM(U26:U300)</f>
        <v>74631134.915000007</v>
      </c>
      <c r="V24" s="82">
        <f>SUM(V26:V300)</f>
        <v>52241794.440499999</v>
      </c>
      <c r="W24" s="82">
        <f>IFERROR(SUM(W26:W300),0)</f>
        <v>18471280.137123123</v>
      </c>
      <c r="X24" s="82">
        <f>SUM(X26:X300)</f>
        <v>3918060.3373768767</v>
      </c>
      <c r="Y24" s="82">
        <f>SUM(Y26:Y300)</f>
        <v>149262269.83000004</v>
      </c>
      <c r="Z24" s="176" t="str">
        <f xml:space="preserve"> "Limit: "&amp;TEXT(Z19,"#,##0.0%")&amp;" of Filtered Net Cost"</f>
        <v>Limit: 75.0% of Filtered Net Cost</v>
      </c>
      <c r="AA24" s="177"/>
      <c r="AD24" s="23"/>
    </row>
    <row r="25" spans="2:30" ht="43.8" thickBot="1" x14ac:dyDescent="0.35">
      <c r="B25" s="92" t="s">
        <v>10</v>
      </c>
      <c r="C25" s="92" t="s">
        <v>9</v>
      </c>
      <c r="D25" s="92" t="s">
        <v>8</v>
      </c>
      <c r="E25" s="112" t="s">
        <v>314</v>
      </c>
      <c r="F25" s="152" t="s">
        <v>336</v>
      </c>
      <c r="G25" s="155" t="s">
        <v>45</v>
      </c>
      <c r="H25" s="112" t="s">
        <v>315</v>
      </c>
      <c r="I25" s="152" t="s">
        <v>337</v>
      </c>
      <c r="J25" s="155" t="s">
        <v>45</v>
      </c>
      <c r="K25" s="112" t="s">
        <v>316</v>
      </c>
      <c r="L25" s="112" t="s">
        <v>338</v>
      </c>
      <c r="M25" s="155" t="s">
        <v>45</v>
      </c>
      <c r="N25" s="93" t="s">
        <v>317</v>
      </c>
      <c r="O25" s="154" t="s">
        <v>339</v>
      </c>
      <c r="P25" s="155" t="s">
        <v>45</v>
      </c>
      <c r="Q25" s="93" t="s">
        <v>7</v>
      </c>
      <c r="R25" s="93" t="s">
        <v>0</v>
      </c>
      <c r="S25" s="93" t="str">
        <f>"Adjusted Net Cost"&amp;CHAR(10)&amp;TEXT(SUM(S26:S300),"$#,##0")</f>
        <v>Adjusted Net Cost
$323,604,014</v>
      </c>
      <c r="T25" s="112" t="s">
        <v>30</v>
      </c>
      <c r="U25" s="93" t="s">
        <v>31</v>
      </c>
      <c r="V25" s="93" t="s">
        <v>32</v>
      </c>
      <c r="W25" s="94" t="s">
        <v>33</v>
      </c>
      <c r="X25" s="93" t="s">
        <v>34</v>
      </c>
      <c r="Y25" s="93" t="str">
        <f>"Subtotal Funding Net of CIF"&amp;CHAR(10)&amp;TEXT(SUM(Y26:Y300),"$#,##0")</f>
        <v>Subtotal Funding Net of CIF
$149,262,270</v>
      </c>
      <c r="Z25" s="94" t="s">
        <v>35</v>
      </c>
      <c r="AA25" s="93" t="str">
        <f>"Total Payment"&amp;CHAR(10)&amp;TEXT(SUM($AA$26:$AA$300),"$#,##0;(-$#,##0)")</f>
        <v>Total Payment
$149,262,270</v>
      </c>
      <c r="AC25" s="99" t="s">
        <v>334</v>
      </c>
      <c r="AD25" s="99" t="s">
        <v>335</v>
      </c>
    </row>
    <row r="26" spans="2:30" x14ac:dyDescent="0.3">
      <c r="B26">
        <v>1</v>
      </c>
      <c r="C26" s="25">
        <v>1</v>
      </c>
      <c r="D26" s="32" t="s">
        <v>48</v>
      </c>
      <c r="E26" s="153">
        <v>28377.279999999999</v>
      </c>
      <c r="F26" s="153">
        <f>INDEX('Revised 2019 Lockdown'!H$5:H$257,MATCH(B26,'Revised 2019 Lockdown'!B$5:B$257,0))</f>
        <v>28377.279999999999</v>
      </c>
      <c r="G26" s="153">
        <f>E26-F26</f>
        <v>0</v>
      </c>
      <c r="H26" s="151">
        <v>9839512.9000000004</v>
      </c>
      <c r="I26" s="151">
        <f>INDEX('Revised 2019 Lockdown'!E$5:E$257,MATCH(B26,'Revised 2019 Lockdown'!B$5:B$257,0))</f>
        <v>9839512.9000000004</v>
      </c>
      <c r="J26" s="151">
        <f>H26-I26</f>
        <v>0</v>
      </c>
      <c r="K26" s="151">
        <v>303786.2</v>
      </c>
      <c r="L26" s="151">
        <f>INDEX('Revised 2019 Lockdown'!F$5:F$257,MATCH(B26,'Revised 2019 Lockdown'!B$5:B$257,0))</f>
        <v>303786.2</v>
      </c>
      <c r="M26" s="151">
        <f>K26-L26</f>
        <v>0</v>
      </c>
      <c r="N26" s="151">
        <v>9535726.7000000011</v>
      </c>
      <c r="O26" s="156">
        <f t="shared" ref="O26:O89" si="2">I26-L26</f>
        <v>9535726.7000000011</v>
      </c>
      <c r="P26" s="156">
        <f>N26-O26</f>
        <v>0</v>
      </c>
      <c r="Q26" s="85">
        <f t="shared" ref="Q26:Q89" si="3">IFERROR(O26/F26,"n.a.")</f>
        <v>336.03385172927079</v>
      </c>
      <c r="R26" s="6">
        <f t="shared" ref="R26:R89" si="4">MIN(Q26,INDEX($T$3:$T$11,MATCH(C26,$Q$3:$Q$11,0)))</f>
        <v>336.03385172927079</v>
      </c>
      <c r="S26" s="5">
        <f t="shared" ref="S26:S89" si="5">F26*R26</f>
        <v>9535726.7000000011</v>
      </c>
      <c r="T26" s="113">
        <v>0.95833333333333348</v>
      </c>
      <c r="U26" s="87">
        <f t="shared" ref="U26:U89" si="6">$E$14*(S26/$S$24)</f>
        <v>2199175.7672730023</v>
      </c>
      <c r="V26" s="87">
        <f t="shared" ref="V26:V89" si="7">$E$15*(F26/$F$24)</f>
        <v>2028455.2008775873</v>
      </c>
      <c r="W26" s="87">
        <f t="shared" ref="W26:W89" si="8">IFERROR(T26*$E$16*(S26/$S$24),0)</f>
        <v>632263.03309098817</v>
      </c>
      <c r="X26" s="87">
        <f t="shared" ref="X26:X89" si="9">($W$23+$E$9)*(S26/$S$24)</f>
        <v>115454.5399649402</v>
      </c>
      <c r="Y26" s="87">
        <f t="shared" ref="Y26:Y89" si="10">U26+V26+W26+X26</f>
        <v>4975348.5412065182</v>
      </c>
      <c r="Z26" s="91">
        <f t="shared" ref="Z26:Z89" si="11">IFERROR((Y26/S26),0)</f>
        <v>0.52175871831629961</v>
      </c>
      <c r="AA26" s="131">
        <f t="shared" ref="AA26:AA89" si="12">IF(Z26&gt;$Z$19,$Z$19*S26,Y26+($Z$23*Y26/$Z$22))</f>
        <v>4975504.517070842</v>
      </c>
      <c r="AC26" s="131">
        <v>4986889.2341971658</v>
      </c>
      <c r="AD26" s="151">
        <f>AA26-AC26</f>
        <v>-11384.717126323842</v>
      </c>
    </row>
    <row r="27" spans="2:30" x14ac:dyDescent="0.3">
      <c r="B27">
        <v>20</v>
      </c>
      <c r="C27" s="25">
        <v>1</v>
      </c>
      <c r="D27" s="32" t="s">
        <v>49</v>
      </c>
      <c r="E27" s="153">
        <v>99784.55</v>
      </c>
      <c r="F27" s="153">
        <f>INDEX('Revised 2019 Lockdown'!H$5:H$257,MATCH(B27,'Revised 2019 Lockdown'!B$5:B$257,0))</f>
        <v>99784.55</v>
      </c>
      <c r="G27" s="153">
        <f t="shared" ref="G27:G90" si="13">E27-F27</f>
        <v>0</v>
      </c>
      <c r="H27" s="151">
        <v>71195179.849999994</v>
      </c>
      <c r="I27" s="151">
        <f>INDEX('Revised 2019 Lockdown'!E$5:E$257,MATCH(B27,'Revised 2019 Lockdown'!B$5:B$257,0))</f>
        <v>71195179.849999994</v>
      </c>
      <c r="J27" s="151">
        <f t="shared" ref="J27:J90" si="14">H27-I27</f>
        <v>0</v>
      </c>
      <c r="K27" s="151">
        <v>8915663.2400000002</v>
      </c>
      <c r="L27" s="151">
        <f>INDEX('Revised 2019 Lockdown'!F$5:F$257,MATCH(B27,'Revised 2019 Lockdown'!B$5:B$257,0))</f>
        <v>8915663.2400000002</v>
      </c>
      <c r="M27" s="151">
        <f t="shared" ref="M27:M90" si="15">K27-L27</f>
        <v>0</v>
      </c>
      <c r="N27" s="151">
        <v>62279516.609999992</v>
      </c>
      <c r="O27" s="156">
        <f t="shared" si="2"/>
        <v>62279516.609999992</v>
      </c>
      <c r="P27" s="156">
        <f t="shared" ref="P27:P90" si="16">N27-O27</f>
        <v>0</v>
      </c>
      <c r="Q27" s="85">
        <f t="shared" si="3"/>
        <v>624.1398754616821</v>
      </c>
      <c r="R27" s="6">
        <f t="shared" si="4"/>
        <v>624.1398754616821</v>
      </c>
      <c r="S27" s="5">
        <f t="shared" si="5"/>
        <v>62279516.609999992</v>
      </c>
      <c r="T27" s="113">
        <v>0.83333333333333326</v>
      </c>
      <c r="U27" s="87">
        <f t="shared" si="6"/>
        <v>14363205.661734033</v>
      </c>
      <c r="V27" s="87">
        <f t="shared" si="7"/>
        <v>7132765.6989933392</v>
      </c>
      <c r="W27" s="87">
        <f t="shared" si="8"/>
        <v>3590801.4154335079</v>
      </c>
      <c r="X27" s="87">
        <f t="shared" si="9"/>
        <v>754054.00822219462</v>
      </c>
      <c r="Y27" s="87">
        <f t="shared" si="10"/>
        <v>25840826.784383077</v>
      </c>
      <c r="Z27" s="91">
        <f t="shared" si="11"/>
        <v>0.41491694526469575</v>
      </c>
      <c r="AA27" s="131">
        <f t="shared" si="12"/>
        <v>25841636.887486238</v>
      </c>
      <c r="AC27" s="131">
        <v>25878283.333263673</v>
      </c>
      <c r="AD27" s="151">
        <f t="shared" ref="AD27:AD90" si="17">AA27-AC27</f>
        <v>-36646.445777434856</v>
      </c>
    </row>
    <row r="28" spans="2:30" x14ac:dyDescent="0.3">
      <c r="B28">
        <v>50</v>
      </c>
      <c r="C28" s="25">
        <v>1</v>
      </c>
      <c r="D28" s="32" t="s">
        <v>50</v>
      </c>
      <c r="E28" s="153">
        <v>21706.59</v>
      </c>
      <c r="F28" s="153">
        <f>INDEX('Revised 2019 Lockdown'!H$5:H$257,MATCH(B28,'Revised 2019 Lockdown'!B$5:B$257,0))</f>
        <v>21706.59</v>
      </c>
      <c r="G28" s="153">
        <f t="shared" si="13"/>
        <v>0</v>
      </c>
      <c r="H28" s="151">
        <v>10769002.390000001</v>
      </c>
      <c r="I28" s="151">
        <f>INDEX('Revised 2019 Lockdown'!E$5:E$257,MATCH(B28,'Revised 2019 Lockdown'!B$5:B$257,0))</f>
        <v>10769002.390000001</v>
      </c>
      <c r="J28" s="151">
        <f t="shared" si="14"/>
        <v>0</v>
      </c>
      <c r="K28" s="151">
        <v>1985825.52</v>
      </c>
      <c r="L28" s="151">
        <f>INDEX('Revised 2019 Lockdown'!F$5:F$257,MATCH(B28,'Revised 2019 Lockdown'!B$5:B$257,0))</f>
        <v>1985825.52</v>
      </c>
      <c r="M28" s="151">
        <f t="shared" si="15"/>
        <v>0</v>
      </c>
      <c r="N28" s="151">
        <v>8783176.870000001</v>
      </c>
      <c r="O28" s="156">
        <f t="shared" si="2"/>
        <v>8783176.870000001</v>
      </c>
      <c r="P28" s="156">
        <f t="shared" si="16"/>
        <v>0</v>
      </c>
      <c r="Q28" s="85">
        <f t="shared" si="3"/>
        <v>404.63181319590046</v>
      </c>
      <c r="R28" s="6">
        <f t="shared" si="4"/>
        <v>404.63181319590046</v>
      </c>
      <c r="S28" s="5">
        <f t="shared" si="5"/>
        <v>8783176.870000001</v>
      </c>
      <c r="T28" s="113">
        <v>0.95833333333333348</v>
      </c>
      <c r="U28" s="87">
        <f t="shared" si="6"/>
        <v>2025619.0576620379</v>
      </c>
      <c r="V28" s="87">
        <f t="shared" si="7"/>
        <v>1551623.1780782877</v>
      </c>
      <c r="W28" s="87">
        <f t="shared" si="8"/>
        <v>582365.47907783592</v>
      </c>
      <c r="X28" s="87">
        <f t="shared" si="9"/>
        <v>106342.98537064336</v>
      </c>
      <c r="Y28" s="87">
        <f t="shared" si="10"/>
        <v>4265950.7001888044</v>
      </c>
      <c r="Z28" s="91">
        <f t="shared" si="11"/>
        <v>0.48569563875682309</v>
      </c>
      <c r="AA28" s="131">
        <f t="shared" si="12"/>
        <v>4266084.4366179444</v>
      </c>
      <c r="AC28" s="131">
        <v>4276161.4131988734</v>
      </c>
      <c r="AD28" s="151">
        <f t="shared" si="17"/>
        <v>-10076.976580929011</v>
      </c>
    </row>
    <row r="29" spans="2:30" x14ac:dyDescent="0.3">
      <c r="B29">
        <v>97</v>
      </c>
      <c r="C29" s="25">
        <v>1</v>
      </c>
      <c r="D29" s="32" t="s">
        <v>51</v>
      </c>
      <c r="E29" s="153">
        <v>53554.62000000001</v>
      </c>
      <c r="F29" s="153">
        <f>INDEX('Revised 2019 Lockdown'!H$5:H$257,MATCH(B29,'Revised 2019 Lockdown'!B$5:B$257,0))</f>
        <v>53554.62000000001</v>
      </c>
      <c r="G29" s="153">
        <f t="shared" si="13"/>
        <v>0</v>
      </c>
      <c r="H29" s="151">
        <v>29964286.199999999</v>
      </c>
      <c r="I29" s="151">
        <f>INDEX('Revised 2019 Lockdown'!E$5:E$257,MATCH(B29,'Revised 2019 Lockdown'!B$5:B$257,0))</f>
        <v>29964286.199999999</v>
      </c>
      <c r="J29" s="151">
        <f t="shared" si="14"/>
        <v>0</v>
      </c>
      <c r="K29" s="151">
        <v>4815316.72</v>
      </c>
      <c r="L29" s="151">
        <f>INDEX('Revised 2019 Lockdown'!F$5:F$257,MATCH(B29,'Revised 2019 Lockdown'!B$5:B$257,0))</f>
        <v>4815316.72</v>
      </c>
      <c r="M29" s="151">
        <f t="shared" si="15"/>
        <v>0</v>
      </c>
      <c r="N29" s="151">
        <v>25148969.48</v>
      </c>
      <c r="O29" s="156">
        <f t="shared" si="2"/>
        <v>25148969.48</v>
      </c>
      <c r="P29" s="156">
        <f t="shared" si="16"/>
        <v>0</v>
      </c>
      <c r="Q29" s="85">
        <f t="shared" si="3"/>
        <v>469.59477034847777</v>
      </c>
      <c r="R29" s="6">
        <f t="shared" si="4"/>
        <v>469.59477034847777</v>
      </c>
      <c r="S29" s="5">
        <f t="shared" si="5"/>
        <v>25148969.48</v>
      </c>
      <c r="T29" s="113">
        <v>0.91666666666666674</v>
      </c>
      <c r="U29" s="87">
        <f t="shared" si="6"/>
        <v>5799977.9138284558</v>
      </c>
      <c r="V29" s="87">
        <f t="shared" si="7"/>
        <v>3828173.3651013374</v>
      </c>
      <c r="W29" s="87">
        <f t="shared" si="8"/>
        <v>1594993.9263028253</v>
      </c>
      <c r="X29" s="87">
        <f t="shared" si="9"/>
        <v>304493.07045531424</v>
      </c>
      <c r="Y29" s="87">
        <f t="shared" si="10"/>
        <v>11527638.275687933</v>
      </c>
      <c r="Z29" s="91">
        <f t="shared" si="11"/>
        <v>0.45837418049496687</v>
      </c>
      <c r="AA29" s="131">
        <f t="shared" si="12"/>
        <v>11527999.664107012</v>
      </c>
      <c r="AC29" s="131">
        <v>11555846.345004993</v>
      </c>
      <c r="AD29" s="151">
        <f t="shared" si="17"/>
        <v>-27846.680897980928</v>
      </c>
    </row>
    <row r="30" spans="2:30" x14ac:dyDescent="0.3">
      <c r="B30">
        <v>172</v>
      </c>
      <c r="C30" s="25">
        <v>1</v>
      </c>
      <c r="D30" s="32" t="s">
        <v>52</v>
      </c>
      <c r="E30" s="153">
        <v>33148.810000000005</v>
      </c>
      <c r="F30" s="153">
        <f>INDEX('Revised 2019 Lockdown'!H$5:H$257,MATCH(B30,'Revised 2019 Lockdown'!B$5:B$257,0))</f>
        <v>33148.810000000005</v>
      </c>
      <c r="G30" s="153">
        <f t="shared" si="13"/>
        <v>0</v>
      </c>
      <c r="H30" s="151">
        <v>15527274.060000001</v>
      </c>
      <c r="I30" s="151">
        <f>INDEX('Revised 2019 Lockdown'!E$5:E$257,MATCH(B30,'Revised 2019 Lockdown'!B$5:B$257,0))</f>
        <v>15527274.060000001</v>
      </c>
      <c r="J30" s="151">
        <f t="shared" si="14"/>
        <v>0</v>
      </c>
      <c r="K30" s="151">
        <v>2705559.01</v>
      </c>
      <c r="L30" s="151">
        <f>INDEX('Revised 2019 Lockdown'!F$5:F$257,MATCH(B30,'Revised 2019 Lockdown'!B$5:B$257,0))</f>
        <v>2705559.01</v>
      </c>
      <c r="M30" s="151">
        <f t="shared" si="15"/>
        <v>0</v>
      </c>
      <c r="N30" s="151">
        <v>12821715.050000001</v>
      </c>
      <c r="O30" s="156">
        <f t="shared" si="2"/>
        <v>12821715.050000001</v>
      </c>
      <c r="P30" s="156">
        <f t="shared" si="16"/>
        <v>0</v>
      </c>
      <c r="Q30" s="85">
        <f t="shared" si="3"/>
        <v>386.79261940323045</v>
      </c>
      <c r="R30" s="6">
        <f t="shared" si="4"/>
        <v>386.79261940323045</v>
      </c>
      <c r="S30" s="5">
        <f t="shared" si="5"/>
        <v>12821715.050000001</v>
      </c>
      <c r="T30" s="113">
        <v>0.95833333333333348</v>
      </c>
      <c r="U30" s="87">
        <f t="shared" si="6"/>
        <v>2957006.4159703264</v>
      </c>
      <c r="V30" s="87">
        <f t="shared" si="7"/>
        <v>2369532.1062273411</v>
      </c>
      <c r="W30" s="87">
        <f t="shared" si="8"/>
        <v>850139.34459146892</v>
      </c>
      <c r="X30" s="87">
        <f t="shared" si="9"/>
        <v>155239.89510514183</v>
      </c>
      <c r="Y30" s="87">
        <f t="shared" si="10"/>
        <v>6331917.7618942782</v>
      </c>
      <c r="Z30" s="91">
        <f t="shared" si="11"/>
        <v>0.49384327581779147</v>
      </c>
      <c r="AA30" s="131">
        <f t="shared" si="12"/>
        <v>6332116.2658458231</v>
      </c>
      <c r="AC30" s="131">
        <v>6346961.4930278603</v>
      </c>
      <c r="AD30" s="151">
        <f t="shared" si="17"/>
        <v>-14845.227182037197</v>
      </c>
    </row>
    <row r="31" spans="2:30" x14ac:dyDescent="0.3">
      <c r="B31">
        <v>270</v>
      </c>
      <c r="C31" s="25">
        <v>1</v>
      </c>
      <c r="D31" s="32" t="s">
        <v>53</v>
      </c>
      <c r="E31" s="153">
        <v>74041.960000000006</v>
      </c>
      <c r="F31" s="153">
        <f>INDEX('Revised 2019 Lockdown'!H$5:H$257,MATCH(B31,'Revised 2019 Lockdown'!B$5:B$257,0))</f>
        <v>74041.960000000006</v>
      </c>
      <c r="G31" s="153">
        <f t="shared" si="13"/>
        <v>0</v>
      </c>
      <c r="H31" s="151">
        <v>40203570.229999997</v>
      </c>
      <c r="I31" s="151">
        <f>INDEX('Revised 2019 Lockdown'!E$5:E$257,MATCH(B31,'Revised 2019 Lockdown'!B$5:B$257,0))</f>
        <v>40203570.229999997</v>
      </c>
      <c r="J31" s="151">
        <f t="shared" si="14"/>
        <v>0</v>
      </c>
      <c r="K31" s="151">
        <v>2597373.92</v>
      </c>
      <c r="L31" s="151">
        <f>INDEX('Revised 2019 Lockdown'!F$5:F$257,MATCH(B31,'Revised 2019 Lockdown'!B$5:B$257,0))</f>
        <v>2597373.92</v>
      </c>
      <c r="M31" s="151">
        <f t="shared" si="15"/>
        <v>0</v>
      </c>
      <c r="N31" s="151">
        <v>37606196.309999995</v>
      </c>
      <c r="O31" s="156">
        <f t="shared" si="2"/>
        <v>37606196.309999995</v>
      </c>
      <c r="P31" s="156">
        <f t="shared" si="16"/>
        <v>0</v>
      </c>
      <c r="Q31" s="85">
        <f t="shared" si="3"/>
        <v>507.90384681874968</v>
      </c>
      <c r="R31" s="6">
        <f t="shared" si="4"/>
        <v>507.90384681874968</v>
      </c>
      <c r="S31" s="5">
        <f t="shared" si="5"/>
        <v>37606196.309999995</v>
      </c>
      <c r="T31" s="113">
        <v>0.875</v>
      </c>
      <c r="U31" s="87">
        <f t="shared" si="6"/>
        <v>8672924.2800408024</v>
      </c>
      <c r="V31" s="87">
        <f t="shared" si="7"/>
        <v>5292642.524060457</v>
      </c>
      <c r="W31" s="87">
        <f t="shared" si="8"/>
        <v>2276642.6235107104</v>
      </c>
      <c r="X31" s="87">
        <f t="shared" si="9"/>
        <v>455319.89657403668</v>
      </c>
      <c r="Y31" s="87">
        <f t="shared" si="10"/>
        <v>16697529.324186007</v>
      </c>
      <c r="Z31" s="91">
        <f t="shared" si="11"/>
        <v>0.4440100558573617</v>
      </c>
      <c r="AA31" s="131">
        <f t="shared" si="12"/>
        <v>16698052.787325693</v>
      </c>
      <c r="AC31" s="131">
        <v>16744611.371131556</v>
      </c>
      <c r="AD31" s="151">
        <f t="shared" si="17"/>
        <v>-46558.583805862814</v>
      </c>
    </row>
    <row r="32" spans="2:30" x14ac:dyDescent="0.3">
      <c r="B32">
        <v>6</v>
      </c>
      <c r="C32" s="25">
        <v>2</v>
      </c>
      <c r="D32" s="32" t="s">
        <v>54</v>
      </c>
      <c r="E32" s="153">
        <v>41206.969999999987</v>
      </c>
      <c r="F32" s="153">
        <f>INDEX('Revised 2019 Lockdown'!H$5:H$257,MATCH(B32,'Revised 2019 Lockdown'!B$5:B$257,0))</f>
        <v>41206.969999999987</v>
      </c>
      <c r="G32" s="153">
        <f t="shared" si="13"/>
        <v>0</v>
      </c>
      <c r="H32" s="151">
        <v>19734526.949999999</v>
      </c>
      <c r="I32" s="151">
        <f>INDEX('Revised 2019 Lockdown'!E$5:E$257,MATCH(B32,'Revised 2019 Lockdown'!B$5:B$257,0))</f>
        <v>19734526.949999999</v>
      </c>
      <c r="J32" s="151">
        <f t="shared" si="14"/>
        <v>0</v>
      </c>
      <c r="K32" s="151">
        <v>3742083.3</v>
      </c>
      <c r="L32" s="151">
        <f>INDEX('Revised 2019 Lockdown'!F$5:F$257,MATCH(B32,'Revised 2019 Lockdown'!B$5:B$257,0))</f>
        <v>3742083.3</v>
      </c>
      <c r="M32" s="151">
        <f t="shared" si="15"/>
        <v>0</v>
      </c>
      <c r="N32" s="151">
        <v>15992443.649999999</v>
      </c>
      <c r="O32" s="156">
        <f t="shared" si="2"/>
        <v>15992443.649999999</v>
      </c>
      <c r="P32" s="156">
        <f t="shared" si="16"/>
        <v>0</v>
      </c>
      <c r="Q32" s="85">
        <f t="shared" si="3"/>
        <v>388.10045121007448</v>
      </c>
      <c r="R32" s="6">
        <f t="shared" si="4"/>
        <v>388.10045121007448</v>
      </c>
      <c r="S32" s="5">
        <f t="shared" si="5"/>
        <v>15992443.649999999</v>
      </c>
      <c r="T32" s="113">
        <v>0.80733333333333346</v>
      </c>
      <c r="U32" s="87">
        <f t="shared" si="6"/>
        <v>3688255.2993637067</v>
      </c>
      <c r="V32" s="87">
        <f t="shared" si="7"/>
        <v>2945542.7937035086</v>
      </c>
      <c r="W32" s="87">
        <f t="shared" si="8"/>
        <v>893295.43350588984</v>
      </c>
      <c r="X32" s="87">
        <f t="shared" si="9"/>
        <v>193629.73401135529</v>
      </c>
      <c r="Y32" s="87">
        <f t="shared" si="10"/>
        <v>7720723.2605844606</v>
      </c>
      <c r="Z32" s="91">
        <f t="shared" si="11"/>
        <v>0.48277320399277823</v>
      </c>
      <c r="AA32" s="131">
        <f t="shared" si="12"/>
        <v>7720965.3032220379</v>
      </c>
      <c r="AC32" s="131">
        <v>7738976.4084279211</v>
      </c>
      <c r="AD32" s="151">
        <f t="shared" si="17"/>
        <v>-18011.105205883272</v>
      </c>
    </row>
    <row r="33" spans="2:30" x14ac:dyDescent="0.3">
      <c r="B33">
        <v>18</v>
      </c>
      <c r="C33" s="25">
        <v>2</v>
      </c>
      <c r="D33" s="32" t="s">
        <v>55</v>
      </c>
      <c r="E33" s="153">
        <v>19941.120000000003</v>
      </c>
      <c r="F33" s="153">
        <f>INDEX('Revised 2019 Lockdown'!H$5:H$257,MATCH(B33,'Revised 2019 Lockdown'!B$5:B$257,0))</f>
        <v>19941.120000000003</v>
      </c>
      <c r="G33" s="153">
        <f t="shared" si="13"/>
        <v>0</v>
      </c>
      <c r="H33" s="151">
        <v>8785791</v>
      </c>
      <c r="I33" s="151">
        <f>INDEX('Revised 2019 Lockdown'!E$5:E$257,MATCH(B33,'Revised 2019 Lockdown'!B$5:B$257,0))</f>
        <v>8785791</v>
      </c>
      <c r="J33" s="151">
        <f t="shared" si="14"/>
        <v>0</v>
      </c>
      <c r="K33" s="151">
        <v>2133782.4900000002</v>
      </c>
      <c r="L33" s="151">
        <f>INDEX('Revised 2019 Lockdown'!F$5:F$257,MATCH(B33,'Revised 2019 Lockdown'!B$5:B$257,0))</f>
        <v>2133782.4900000002</v>
      </c>
      <c r="M33" s="151">
        <f t="shared" si="15"/>
        <v>0</v>
      </c>
      <c r="N33" s="151">
        <v>6652008.5099999998</v>
      </c>
      <c r="O33" s="156">
        <f t="shared" si="2"/>
        <v>6652008.5099999998</v>
      </c>
      <c r="P33" s="156">
        <f t="shared" si="16"/>
        <v>0</v>
      </c>
      <c r="Q33" s="85">
        <f t="shared" si="3"/>
        <v>333.58249235750043</v>
      </c>
      <c r="R33" s="6">
        <f t="shared" si="4"/>
        <v>333.58249235750043</v>
      </c>
      <c r="S33" s="5">
        <f t="shared" si="5"/>
        <v>6652008.5099999998</v>
      </c>
      <c r="T33" s="113">
        <v>0.61805555555555558</v>
      </c>
      <c r="U33" s="87">
        <f t="shared" si="6"/>
        <v>1534118.6234800317</v>
      </c>
      <c r="V33" s="87">
        <f t="shared" si="7"/>
        <v>1425424.4443203891</v>
      </c>
      <c r="W33" s="87">
        <f t="shared" si="8"/>
        <v>284451.16143692256</v>
      </c>
      <c r="X33" s="87">
        <f t="shared" si="9"/>
        <v>80539.701537892979</v>
      </c>
      <c r="Y33" s="87">
        <f t="shared" si="10"/>
        <v>3324533.9307752363</v>
      </c>
      <c r="Z33" s="91">
        <f t="shared" si="11"/>
        <v>0.49977896537225514</v>
      </c>
      <c r="AA33" s="131">
        <f t="shared" si="12"/>
        <v>3324638.1540369904</v>
      </c>
      <c r="AC33" s="131">
        <v>3333002.2097434895</v>
      </c>
      <c r="AD33" s="151">
        <f t="shared" si="17"/>
        <v>-8364.0557064991444</v>
      </c>
    </row>
    <row r="34" spans="2:30" x14ac:dyDescent="0.3">
      <c r="B34">
        <v>53</v>
      </c>
      <c r="C34" s="25">
        <v>2</v>
      </c>
      <c r="D34" s="32" t="s">
        <v>56</v>
      </c>
      <c r="E34" s="153">
        <v>34960.206400000003</v>
      </c>
      <c r="F34" s="153">
        <f>INDEX('Revised 2019 Lockdown'!H$5:H$257,MATCH(B34,'Revised 2019 Lockdown'!B$5:B$257,0))</f>
        <v>34960.206400000003</v>
      </c>
      <c r="G34" s="153">
        <f t="shared" si="13"/>
        <v>0</v>
      </c>
      <c r="H34" s="151">
        <v>10395927.890000001</v>
      </c>
      <c r="I34" s="151">
        <f>INDEX('Revised 2019 Lockdown'!E$5:E$257,MATCH(B34,'Revised 2019 Lockdown'!B$5:B$257,0))</f>
        <v>10395927.890000001</v>
      </c>
      <c r="J34" s="151">
        <f t="shared" si="14"/>
        <v>0</v>
      </c>
      <c r="K34" s="151">
        <v>2947532.46</v>
      </c>
      <c r="L34" s="151">
        <f>INDEX('Revised 2019 Lockdown'!F$5:F$257,MATCH(B34,'Revised 2019 Lockdown'!B$5:B$257,0))</f>
        <v>2947532.46</v>
      </c>
      <c r="M34" s="151">
        <f t="shared" si="15"/>
        <v>0</v>
      </c>
      <c r="N34" s="151">
        <v>7448395.4300000006</v>
      </c>
      <c r="O34" s="156">
        <f t="shared" si="2"/>
        <v>7448395.4300000006</v>
      </c>
      <c r="P34" s="156">
        <f t="shared" si="16"/>
        <v>0</v>
      </c>
      <c r="Q34" s="85">
        <f t="shared" si="3"/>
        <v>213.05353134299574</v>
      </c>
      <c r="R34" s="6">
        <f t="shared" si="4"/>
        <v>213.05353134299574</v>
      </c>
      <c r="S34" s="5">
        <f t="shared" si="5"/>
        <v>7448395.4300000006</v>
      </c>
      <c r="T34" s="113">
        <v>0.91666666666666674</v>
      </c>
      <c r="U34" s="87">
        <f t="shared" si="6"/>
        <v>1717785.2564422772</v>
      </c>
      <c r="V34" s="87">
        <f t="shared" si="7"/>
        <v>2499013.7354895864</v>
      </c>
      <c r="W34" s="87">
        <f t="shared" si="8"/>
        <v>472390.94552162627</v>
      </c>
      <c r="X34" s="87">
        <f t="shared" si="9"/>
        <v>90182.017050427094</v>
      </c>
      <c r="Y34" s="87">
        <f t="shared" si="10"/>
        <v>4779371.9545039171</v>
      </c>
      <c r="Z34" s="91">
        <f t="shared" si="11"/>
        <v>0.64166463762839143</v>
      </c>
      <c r="AA34" s="131">
        <f t="shared" si="12"/>
        <v>4779521.7865539445</v>
      </c>
      <c r="AC34" s="131">
        <v>4789531.0360584194</v>
      </c>
      <c r="AD34" s="151">
        <f t="shared" si="17"/>
        <v>-10009.249504474923</v>
      </c>
    </row>
    <row r="35" spans="2:30" x14ac:dyDescent="0.3">
      <c r="B35">
        <v>335</v>
      </c>
      <c r="C35" s="25">
        <v>2</v>
      </c>
      <c r="D35" s="32" t="s">
        <v>57</v>
      </c>
      <c r="E35" s="153">
        <v>25689.83</v>
      </c>
      <c r="F35" s="153">
        <f>INDEX('Revised 2019 Lockdown'!H$5:H$257,MATCH(B35,'Revised 2019 Lockdown'!B$5:B$257,0))</f>
        <v>25689.83</v>
      </c>
      <c r="G35" s="153">
        <f t="shared" si="13"/>
        <v>0</v>
      </c>
      <c r="H35" s="151">
        <v>15371539.85</v>
      </c>
      <c r="I35" s="151">
        <f>INDEX('Revised 2019 Lockdown'!E$5:E$257,MATCH(B35,'Revised 2019 Lockdown'!B$5:B$257,0))</f>
        <v>15371539.85</v>
      </c>
      <c r="J35" s="151">
        <f t="shared" si="14"/>
        <v>0</v>
      </c>
      <c r="K35" s="151">
        <v>1961363.18</v>
      </c>
      <c r="L35" s="151">
        <f>INDEX('Revised 2019 Lockdown'!F$5:F$257,MATCH(B35,'Revised 2019 Lockdown'!B$5:B$257,0))</f>
        <v>1961363.18</v>
      </c>
      <c r="M35" s="151">
        <f t="shared" si="15"/>
        <v>0</v>
      </c>
      <c r="N35" s="151">
        <v>13410176.67</v>
      </c>
      <c r="O35" s="156">
        <f t="shared" si="2"/>
        <v>13410176.67</v>
      </c>
      <c r="P35" s="156">
        <f t="shared" si="16"/>
        <v>0</v>
      </c>
      <c r="Q35" s="85">
        <f t="shared" si="3"/>
        <v>522.00332466193822</v>
      </c>
      <c r="R35" s="6">
        <f t="shared" si="4"/>
        <v>452.85445014437244</v>
      </c>
      <c r="S35" s="5">
        <f t="shared" si="5"/>
        <v>11633753.838952404</v>
      </c>
      <c r="T35" s="113">
        <v>0.875</v>
      </c>
      <c r="U35" s="87">
        <f t="shared" si="6"/>
        <v>2683033.01153161</v>
      </c>
      <c r="V35" s="87">
        <f t="shared" si="7"/>
        <v>1836351.8023278157</v>
      </c>
      <c r="W35" s="87">
        <f t="shared" si="8"/>
        <v>704296.16552704759</v>
      </c>
      <c r="X35" s="87">
        <f t="shared" si="9"/>
        <v>140856.56393042457</v>
      </c>
      <c r="Y35" s="87">
        <f t="shared" si="10"/>
        <v>5364537.5433168979</v>
      </c>
      <c r="Z35" s="91">
        <f t="shared" si="11"/>
        <v>0.46111836450890248</v>
      </c>
      <c r="AA35" s="131">
        <f t="shared" si="12"/>
        <v>5364705.7201537741</v>
      </c>
      <c r="AC35" s="131">
        <v>5310141.7544717453</v>
      </c>
      <c r="AD35" s="151">
        <f t="shared" si="17"/>
        <v>54563.965682028793</v>
      </c>
    </row>
    <row r="36" spans="2:30" x14ac:dyDescent="0.3">
      <c r="B36">
        <v>357</v>
      </c>
      <c r="C36" s="25">
        <v>2</v>
      </c>
      <c r="D36" s="32" t="s">
        <v>58</v>
      </c>
      <c r="E36" s="153">
        <v>34912.030000000006</v>
      </c>
      <c r="F36" s="153">
        <f>INDEX('Revised 2019 Lockdown'!H$5:H$257,MATCH(B36,'Revised 2019 Lockdown'!B$5:B$257,0))</f>
        <v>34912.030000000006</v>
      </c>
      <c r="G36" s="153">
        <f t="shared" si="13"/>
        <v>0</v>
      </c>
      <c r="H36" s="151">
        <v>13658152.119999999</v>
      </c>
      <c r="I36" s="151">
        <f>INDEX('Revised 2019 Lockdown'!E$5:E$257,MATCH(B36,'Revised 2019 Lockdown'!B$5:B$257,0))</f>
        <v>13658152.119999999</v>
      </c>
      <c r="J36" s="151">
        <f t="shared" si="14"/>
        <v>0</v>
      </c>
      <c r="K36" s="151">
        <v>3498711.4300000006</v>
      </c>
      <c r="L36" s="151">
        <f>INDEX('Revised 2019 Lockdown'!F$5:F$257,MATCH(B36,'Revised 2019 Lockdown'!B$5:B$257,0))</f>
        <v>3498711.4300000006</v>
      </c>
      <c r="M36" s="151">
        <f t="shared" si="15"/>
        <v>0</v>
      </c>
      <c r="N36" s="151">
        <v>10159440.689999998</v>
      </c>
      <c r="O36" s="156">
        <f t="shared" si="2"/>
        <v>10159440.689999998</v>
      </c>
      <c r="P36" s="156">
        <f t="shared" si="16"/>
        <v>0</v>
      </c>
      <c r="Q36" s="85">
        <f t="shared" si="3"/>
        <v>291.00114459113365</v>
      </c>
      <c r="R36" s="6">
        <f t="shared" si="4"/>
        <v>291.00114459113365</v>
      </c>
      <c r="S36" s="5">
        <f t="shared" si="5"/>
        <v>10159440.689999998</v>
      </c>
      <c r="T36" s="113">
        <v>0.95833333333333348</v>
      </c>
      <c r="U36" s="87">
        <f t="shared" si="6"/>
        <v>2343019.727536371</v>
      </c>
      <c r="V36" s="87">
        <f t="shared" si="7"/>
        <v>2495570.0062407102</v>
      </c>
      <c r="W36" s="87">
        <f t="shared" si="8"/>
        <v>673618.1716667068</v>
      </c>
      <c r="X36" s="87">
        <f t="shared" si="9"/>
        <v>123006.2047777695</v>
      </c>
      <c r="Y36" s="87">
        <f t="shared" si="10"/>
        <v>5635214.1102215583</v>
      </c>
      <c r="Z36" s="91">
        <f t="shared" si="11"/>
        <v>0.55467759320336751</v>
      </c>
      <c r="AA36" s="131">
        <f t="shared" si="12"/>
        <v>5635390.7726974059</v>
      </c>
      <c r="AC36" s="131">
        <v>5647951.1761372052</v>
      </c>
      <c r="AD36" s="151">
        <f t="shared" si="17"/>
        <v>-12560.403439799324</v>
      </c>
    </row>
    <row r="37" spans="2:30" x14ac:dyDescent="0.3">
      <c r="B37">
        <v>441</v>
      </c>
      <c r="C37" s="25">
        <v>2</v>
      </c>
      <c r="D37" s="32" t="s">
        <v>59</v>
      </c>
      <c r="E37" s="153">
        <v>55231.539999999986</v>
      </c>
      <c r="F37" s="153">
        <f>INDEX('Revised 2019 Lockdown'!H$5:H$257,MATCH(B37,'Revised 2019 Lockdown'!B$5:B$257,0))</f>
        <v>55231.539999999986</v>
      </c>
      <c r="G37" s="153">
        <f t="shared" si="13"/>
        <v>0</v>
      </c>
      <c r="H37" s="151">
        <v>19919415.420000002</v>
      </c>
      <c r="I37" s="151">
        <f>INDEX('Revised 2019 Lockdown'!E$5:E$257,MATCH(B37,'Revised 2019 Lockdown'!B$5:B$257,0))</f>
        <v>19919415.420000002</v>
      </c>
      <c r="J37" s="151">
        <f t="shared" si="14"/>
        <v>0</v>
      </c>
      <c r="K37" s="151">
        <v>6656078.0499999989</v>
      </c>
      <c r="L37" s="151">
        <f>INDEX('Revised 2019 Lockdown'!F$5:F$257,MATCH(B37,'Revised 2019 Lockdown'!B$5:B$257,0))</f>
        <v>6656078.0499999989</v>
      </c>
      <c r="M37" s="151">
        <f t="shared" si="15"/>
        <v>0</v>
      </c>
      <c r="N37" s="151">
        <v>13263337.370000003</v>
      </c>
      <c r="O37" s="156">
        <f t="shared" si="2"/>
        <v>13263337.370000003</v>
      </c>
      <c r="P37" s="156">
        <f t="shared" si="16"/>
        <v>0</v>
      </c>
      <c r="Q37" s="85">
        <f t="shared" si="3"/>
        <v>240.14064011251554</v>
      </c>
      <c r="R37" s="6">
        <f t="shared" si="4"/>
        <v>240.14064011251554</v>
      </c>
      <c r="S37" s="5">
        <f t="shared" si="5"/>
        <v>13263337.370000003</v>
      </c>
      <c r="T37" s="113">
        <v>0.84722222222222232</v>
      </c>
      <c r="U37" s="87">
        <f t="shared" si="6"/>
        <v>3058855.5078104781</v>
      </c>
      <c r="V37" s="87">
        <f t="shared" si="7"/>
        <v>3948042.3974911789</v>
      </c>
      <c r="W37" s="87">
        <f t="shared" si="8"/>
        <v>777459.10823516315</v>
      </c>
      <c r="X37" s="87">
        <f t="shared" si="9"/>
        <v>160586.87110371463</v>
      </c>
      <c r="Y37" s="87">
        <f t="shared" si="10"/>
        <v>7944943.8846405344</v>
      </c>
      <c r="Z37" s="91">
        <f t="shared" si="11"/>
        <v>0.59901544106168902</v>
      </c>
      <c r="AA37" s="131">
        <f t="shared" si="12"/>
        <v>7945192.9565355284</v>
      </c>
      <c r="AC37" s="131">
        <v>7962180.8117411137</v>
      </c>
      <c r="AD37" s="151">
        <f t="shared" si="17"/>
        <v>-16987.855205585249</v>
      </c>
    </row>
    <row r="38" spans="2:30" x14ac:dyDescent="0.3">
      <c r="B38">
        <v>14</v>
      </c>
      <c r="C38" s="25">
        <v>3</v>
      </c>
      <c r="D38" s="32" t="s">
        <v>60</v>
      </c>
      <c r="E38" s="153">
        <v>11108.29</v>
      </c>
      <c r="F38" s="153">
        <f>INDEX('Revised 2019 Lockdown'!H$5:H$257,MATCH(B38,'Revised 2019 Lockdown'!B$5:B$257,0))</f>
        <v>11108.29</v>
      </c>
      <c r="G38" s="153">
        <f t="shared" si="13"/>
        <v>0</v>
      </c>
      <c r="H38" s="151">
        <v>2696626.28</v>
      </c>
      <c r="I38" s="151">
        <f>INDEX('Revised 2019 Lockdown'!E$5:E$257,MATCH(B38,'Revised 2019 Lockdown'!B$5:B$257,0))</f>
        <v>2696626.28</v>
      </c>
      <c r="J38" s="151">
        <f t="shared" si="14"/>
        <v>0</v>
      </c>
      <c r="K38" s="151">
        <v>129351.95</v>
      </c>
      <c r="L38" s="151">
        <f>INDEX('Revised 2019 Lockdown'!F$5:F$257,MATCH(B38,'Revised 2019 Lockdown'!B$5:B$257,0))</f>
        <v>129351.95</v>
      </c>
      <c r="M38" s="151">
        <f t="shared" si="15"/>
        <v>0</v>
      </c>
      <c r="N38" s="151">
        <v>2567274.3299999996</v>
      </c>
      <c r="O38" s="156">
        <f t="shared" si="2"/>
        <v>2567274.3299999996</v>
      </c>
      <c r="P38" s="156">
        <f t="shared" si="16"/>
        <v>0</v>
      </c>
      <c r="Q38" s="85">
        <f t="shared" si="3"/>
        <v>231.11336938448667</v>
      </c>
      <c r="R38" s="6">
        <f t="shared" si="4"/>
        <v>231.11336938448667</v>
      </c>
      <c r="S38" s="5">
        <f t="shared" si="5"/>
        <v>2567274.3299999996</v>
      </c>
      <c r="T38" s="113">
        <v>0.91666666666666674</v>
      </c>
      <c r="U38" s="87">
        <f t="shared" si="6"/>
        <v>592077.31849928445</v>
      </c>
      <c r="V38" s="87">
        <f t="shared" si="7"/>
        <v>794039.0560108826</v>
      </c>
      <c r="W38" s="87">
        <f t="shared" si="8"/>
        <v>162821.26258730324</v>
      </c>
      <c r="X38" s="87">
        <f t="shared" si="9"/>
        <v>31083.47020200883</v>
      </c>
      <c r="Y38" s="87">
        <f t="shared" si="10"/>
        <v>1580021.1072994792</v>
      </c>
      <c r="Z38" s="91">
        <f t="shared" si="11"/>
        <v>0.61544693094776493</v>
      </c>
      <c r="AA38" s="131">
        <f t="shared" si="12"/>
        <v>1580070.6405444008</v>
      </c>
      <c r="AC38" s="131">
        <v>1578190.458441885</v>
      </c>
      <c r="AD38" s="151">
        <f t="shared" si="17"/>
        <v>1880.1821025158279</v>
      </c>
    </row>
    <row r="39" spans="2:30" x14ac:dyDescent="0.3">
      <c r="B39">
        <v>36</v>
      </c>
      <c r="C39" s="25">
        <v>3</v>
      </c>
      <c r="D39" s="32" t="s">
        <v>61</v>
      </c>
      <c r="E39" s="153">
        <v>5586.73</v>
      </c>
      <c r="F39" s="153">
        <f>INDEX('Revised 2019 Lockdown'!H$5:H$257,MATCH(B39,'Revised 2019 Lockdown'!B$5:B$257,0))</f>
        <v>5586.73</v>
      </c>
      <c r="G39" s="153">
        <f t="shared" si="13"/>
        <v>0</v>
      </c>
      <c r="H39" s="151">
        <v>6566433.6200000001</v>
      </c>
      <c r="I39" s="151">
        <f>INDEX('Revised 2019 Lockdown'!E$5:E$257,MATCH(B39,'Revised 2019 Lockdown'!B$5:B$257,0))</f>
        <v>6566433.6200000001</v>
      </c>
      <c r="J39" s="151">
        <f t="shared" si="14"/>
        <v>0</v>
      </c>
      <c r="K39" s="151">
        <v>622957</v>
      </c>
      <c r="L39" s="151">
        <f>INDEX('Revised 2019 Lockdown'!F$5:F$257,MATCH(B39,'Revised 2019 Lockdown'!B$5:B$257,0))</f>
        <v>622957</v>
      </c>
      <c r="M39" s="151">
        <f t="shared" si="15"/>
        <v>0</v>
      </c>
      <c r="N39" s="151">
        <v>5943476.6200000001</v>
      </c>
      <c r="O39" s="156">
        <f t="shared" si="2"/>
        <v>5943476.6200000001</v>
      </c>
      <c r="P39" s="156">
        <f t="shared" si="16"/>
        <v>0</v>
      </c>
      <c r="Q39" s="85">
        <f t="shared" si="3"/>
        <v>1063.8560696507618</v>
      </c>
      <c r="R39" s="6">
        <f t="shared" si="4"/>
        <v>788.08317794910727</v>
      </c>
      <c r="S39" s="5">
        <f t="shared" si="5"/>
        <v>4402807.9327436155</v>
      </c>
      <c r="T39" s="113">
        <v>0.68402777777777768</v>
      </c>
      <c r="U39" s="87">
        <f t="shared" si="6"/>
        <v>1015397.024082821</v>
      </c>
      <c r="V39" s="87">
        <f t="shared" si="7"/>
        <v>399348.75803455594</v>
      </c>
      <c r="W39" s="87">
        <f t="shared" si="8"/>
        <v>208367.93098366217</v>
      </c>
      <c r="X39" s="87">
        <f t="shared" si="9"/>
        <v>53307.333611910602</v>
      </c>
      <c r="Y39" s="87">
        <f t="shared" si="10"/>
        <v>1676421.0467129499</v>
      </c>
      <c r="Z39" s="91">
        <f t="shared" si="11"/>
        <v>0.38076179391007092</v>
      </c>
      <c r="AA39" s="131">
        <f t="shared" si="12"/>
        <v>1676473.6020705428</v>
      </c>
      <c r="AC39" s="131">
        <v>1691845.7221222448</v>
      </c>
      <c r="AD39" s="151">
        <f t="shared" si="17"/>
        <v>-15372.120051702019</v>
      </c>
    </row>
    <row r="40" spans="2:30" x14ac:dyDescent="0.3">
      <c r="B40">
        <v>55</v>
      </c>
      <c r="C40" s="25">
        <v>3</v>
      </c>
      <c r="D40" s="32" t="s">
        <v>62</v>
      </c>
      <c r="E40" s="153">
        <v>3486.1699999999992</v>
      </c>
      <c r="F40" s="153">
        <f>INDEX('Revised 2019 Lockdown'!H$5:H$257,MATCH(B40,'Revised 2019 Lockdown'!B$5:B$257,0))</f>
        <v>3486.1699999999992</v>
      </c>
      <c r="G40" s="153">
        <f t="shared" si="13"/>
        <v>0</v>
      </c>
      <c r="H40" s="151">
        <v>1496659.65</v>
      </c>
      <c r="I40" s="151">
        <f>INDEX('Revised 2019 Lockdown'!E$5:E$257,MATCH(B40,'Revised 2019 Lockdown'!B$5:B$257,0))</f>
        <v>1496659.65</v>
      </c>
      <c r="J40" s="151">
        <f t="shared" si="14"/>
        <v>0</v>
      </c>
      <c r="K40" s="151">
        <v>60217.409999999996</v>
      </c>
      <c r="L40" s="151">
        <f>INDEX('Revised 2019 Lockdown'!F$5:F$257,MATCH(B40,'Revised 2019 Lockdown'!B$5:B$257,0))</f>
        <v>60217.409999999996</v>
      </c>
      <c r="M40" s="151">
        <f t="shared" si="15"/>
        <v>0</v>
      </c>
      <c r="N40" s="151">
        <v>1436442.24</v>
      </c>
      <c r="O40" s="156">
        <f t="shared" si="2"/>
        <v>1436442.24</v>
      </c>
      <c r="P40" s="156">
        <f t="shared" si="16"/>
        <v>0</v>
      </c>
      <c r="Q40" s="85">
        <f t="shared" si="3"/>
        <v>412.04021605372094</v>
      </c>
      <c r="R40" s="6">
        <f t="shared" si="4"/>
        <v>412.04021605372094</v>
      </c>
      <c r="S40" s="5">
        <f t="shared" si="5"/>
        <v>1436442.24</v>
      </c>
      <c r="T40" s="113">
        <v>0.46296296296296297</v>
      </c>
      <c r="U40" s="87">
        <f t="shared" si="6"/>
        <v>331279.3103954363</v>
      </c>
      <c r="V40" s="87">
        <f t="shared" si="7"/>
        <v>249197.23340797349</v>
      </c>
      <c r="W40" s="87">
        <f t="shared" si="8"/>
        <v>46011.015332699484</v>
      </c>
      <c r="X40" s="87">
        <f t="shared" si="9"/>
        <v>17391.834227527535</v>
      </c>
      <c r="Y40" s="87">
        <f t="shared" si="10"/>
        <v>643879.3933636368</v>
      </c>
      <c r="Z40" s="91">
        <f t="shared" si="11"/>
        <v>0.44824593390099471</v>
      </c>
      <c r="AA40" s="131">
        <f t="shared" si="12"/>
        <v>643899.57881277043</v>
      </c>
      <c r="AC40" s="131">
        <v>645396.63495376054</v>
      </c>
      <c r="AD40" s="151">
        <f t="shared" si="17"/>
        <v>-1497.0561409901129</v>
      </c>
    </row>
    <row r="41" spans="2:30" x14ac:dyDescent="0.3">
      <c r="B41">
        <v>103</v>
      </c>
      <c r="C41" s="25">
        <v>3</v>
      </c>
      <c r="D41" s="32" t="s">
        <v>63</v>
      </c>
      <c r="E41" s="153">
        <v>4157.59</v>
      </c>
      <c r="F41" s="153">
        <f>INDEX('Revised 2019 Lockdown'!H$5:H$257,MATCH(B41,'Revised 2019 Lockdown'!B$5:B$257,0))</f>
        <v>4157.59</v>
      </c>
      <c r="G41" s="153">
        <f t="shared" si="13"/>
        <v>0</v>
      </c>
      <c r="H41" s="151">
        <v>1753178.73</v>
      </c>
      <c r="I41" s="151">
        <f>INDEX('Revised 2019 Lockdown'!E$5:E$257,MATCH(B41,'Revised 2019 Lockdown'!B$5:B$257,0))</f>
        <v>1753178.73</v>
      </c>
      <c r="J41" s="151">
        <f t="shared" si="14"/>
        <v>0</v>
      </c>
      <c r="K41" s="151">
        <v>368978.78</v>
      </c>
      <c r="L41" s="151">
        <f>INDEX('Revised 2019 Lockdown'!F$5:F$257,MATCH(B41,'Revised 2019 Lockdown'!B$5:B$257,0))</f>
        <v>368978.78</v>
      </c>
      <c r="M41" s="151">
        <f t="shared" si="15"/>
        <v>0</v>
      </c>
      <c r="N41" s="151">
        <v>1384199.95</v>
      </c>
      <c r="O41" s="156">
        <f t="shared" si="2"/>
        <v>1384199.95</v>
      </c>
      <c r="P41" s="156">
        <f t="shared" si="16"/>
        <v>0</v>
      </c>
      <c r="Q41" s="85">
        <f t="shared" si="3"/>
        <v>332.93324979134542</v>
      </c>
      <c r="R41" s="6">
        <f t="shared" si="4"/>
        <v>332.93324979134542</v>
      </c>
      <c r="S41" s="5">
        <f t="shared" si="5"/>
        <v>1384199.95</v>
      </c>
      <c r="T41" s="113">
        <v>0.60069444444444442</v>
      </c>
      <c r="U41" s="87">
        <f t="shared" si="6"/>
        <v>319230.93885445566</v>
      </c>
      <c r="V41" s="87">
        <f t="shared" si="7"/>
        <v>297191.45240899234</v>
      </c>
      <c r="W41" s="87">
        <f t="shared" si="8"/>
        <v>57528.075439396693</v>
      </c>
      <c r="X41" s="87">
        <f t="shared" si="9"/>
        <v>16759.306707767031</v>
      </c>
      <c r="Y41" s="87">
        <f t="shared" si="10"/>
        <v>690709.77341061167</v>
      </c>
      <c r="Z41" s="91">
        <f t="shared" si="11"/>
        <v>0.49899566418176194</v>
      </c>
      <c r="AA41" s="131">
        <f t="shared" si="12"/>
        <v>690731.42697980639</v>
      </c>
      <c r="AC41" s="131">
        <v>692286.54493749328</v>
      </c>
      <c r="AD41" s="151">
        <f t="shared" si="17"/>
        <v>-1555.117957686889</v>
      </c>
    </row>
    <row r="42" spans="2:30" x14ac:dyDescent="0.3">
      <c r="B42">
        <v>123</v>
      </c>
      <c r="C42" s="25">
        <v>3</v>
      </c>
      <c r="D42" s="32" t="s">
        <v>64</v>
      </c>
      <c r="E42" s="153">
        <v>6660.2900000000009</v>
      </c>
      <c r="F42" s="153">
        <f>INDEX('Revised 2019 Lockdown'!H$5:H$257,MATCH(B42,'Revised 2019 Lockdown'!B$5:B$257,0))</f>
        <v>6660.2900000000009</v>
      </c>
      <c r="G42" s="153">
        <f t="shared" si="13"/>
        <v>0</v>
      </c>
      <c r="H42" s="151">
        <v>2566779.13</v>
      </c>
      <c r="I42" s="151">
        <f>INDEX('Revised 2019 Lockdown'!E$5:E$257,MATCH(B42,'Revised 2019 Lockdown'!B$5:B$257,0))</f>
        <v>2566779.13</v>
      </c>
      <c r="J42" s="151">
        <f t="shared" si="14"/>
        <v>0</v>
      </c>
      <c r="K42" s="151">
        <v>0</v>
      </c>
      <c r="L42" s="151">
        <f>INDEX('Revised 2019 Lockdown'!F$5:F$257,MATCH(B42,'Revised 2019 Lockdown'!B$5:B$257,0))</f>
        <v>0</v>
      </c>
      <c r="M42" s="151">
        <f t="shared" si="15"/>
        <v>0</v>
      </c>
      <c r="N42" s="151">
        <v>2566779.13</v>
      </c>
      <c r="O42" s="156">
        <f t="shared" si="2"/>
        <v>2566779.13</v>
      </c>
      <c r="P42" s="156">
        <f t="shared" si="16"/>
        <v>0</v>
      </c>
      <c r="Q42" s="85">
        <f t="shared" si="3"/>
        <v>385.38549072187539</v>
      </c>
      <c r="R42" s="6">
        <f t="shared" si="4"/>
        <v>385.38549072187539</v>
      </c>
      <c r="S42" s="5">
        <f t="shared" si="5"/>
        <v>2566779.13</v>
      </c>
      <c r="T42" s="113">
        <v>0.82638888888888884</v>
      </c>
      <c r="U42" s="87">
        <f t="shared" si="6"/>
        <v>591963.1130617531</v>
      </c>
      <c r="V42" s="87">
        <f t="shared" si="7"/>
        <v>476088.61349125043</v>
      </c>
      <c r="W42" s="87">
        <f t="shared" si="8"/>
        <v>146757.52177989294</v>
      </c>
      <c r="X42" s="87">
        <f t="shared" si="9"/>
        <v>31077.474530153992</v>
      </c>
      <c r="Y42" s="87">
        <f t="shared" si="10"/>
        <v>1245886.7228630504</v>
      </c>
      <c r="Z42" s="91">
        <f t="shared" si="11"/>
        <v>0.48538914326572791</v>
      </c>
      <c r="AA42" s="131">
        <f t="shared" si="12"/>
        <v>1245925.7810831608</v>
      </c>
      <c r="AC42" s="131">
        <v>1248714.213705569</v>
      </c>
      <c r="AD42" s="151">
        <f t="shared" si="17"/>
        <v>-2788.4326224082615</v>
      </c>
    </row>
    <row r="43" spans="2:30" x14ac:dyDescent="0.3">
      <c r="B43">
        <v>179</v>
      </c>
      <c r="C43" s="25">
        <v>3</v>
      </c>
      <c r="D43" s="32" t="s">
        <v>65</v>
      </c>
      <c r="E43" s="153">
        <v>4763.5400000000009</v>
      </c>
      <c r="F43" s="153">
        <f>INDEX('Revised 2019 Lockdown'!H$5:H$257,MATCH(B43,'Revised 2019 Lockdown'!B$5:B$257,0))</f>
        <v>4763.5400000000009</v>
      </c>
      <c r="G43" s="153">
        <f t="shared" si="13"/>
        <v>0</v>
      </c>
      <c r="H43" s="151">
        <v>2969506.46</v>
      </c>
      <c r="I43" s="151">
        <f>INDEX('Revised 2019 Lockdown'!E$5:E$257,MATCH(B43,'Revised 2019 Lockdown'!B$5:B$257,0))</f>
        <v>2969506.46</v>
      </c>
      <c r="J43" s="151">
        <f t="shared" si="14"/>
        <v>0</v>
      </c>
      <c r="K43" s="151">
        <v>514954.06</v>
      </c>
      <c r="L43" s="151">
        <f>INDEX('Revised 2019 Lockdown'!F$5:F$257,MATCH(B43,'Revised 2019 Lockdown'!B$5:B$257,0))</f>
        <v>514954.06</v>
      </c>
      <c r="M43" s="151">
        <f t="shared" si="15"/>
        <v>0</v>
      </c>
      <c r="N43" s="151">
        <v>2454552.4</v>
      </c>
      <c r="O43" s="156">
        <f t="shared" si="2"/>
        <v>2454552.4</v>
      </c>
      <c r="P43" s="156">
        <f t="shared" si="16"/>
        <v>0</v>
      </c>
      <c r="Q43" s="85">
        <f t="shared" si="3"/>
        <v>515.27905717176714</v>
      </c>
      <c r="R43" s="6">
        <f t="shared" si="4"/>
        <v>515.27905717176714</v>
      </c>
      <c r="S43" s="5">
        <f t="shared" si="5"/>
        <v>2454552.4</v>
      </c>
      <c r="T43" s="113">
        <v>0.79166666666666674</v>
      </c>
      <c r="U43" s="87">
        <f t="shared" si="6"/>
        <v>566080.83761270007</v>
      </c>
      <c r="V43" s="87">
        <f t="shared" si="7"/>
        <v>340505.76685251103</v>
      </c>
      <c r="W43" s="87">
        <f t="shared" si="8"/>
        <v>134444.19893301628</v>
      </c>
      <c r="X43" s="87">
        <f t="shared" si="9"/>
        <v>29718.680817670651</v>
      </c>
      <c r="Y43" s="87">
        <f t="shared" si="10"/>
        <v>1070749.484215898</v>
      </c>
      <c r="Z43" s="91">
        <f t="shared" si="11"/>
        <v>0.43623003697777973</v>
      </c>
      <c r="AA43" s="131">
        <f t="shared" si="12"/>
        <v>1070783.0519297761</v>
      </c>
      <c r="AC43" s="131">
        <v>1073143.5375527691</v>
      </c>
      <c r="AD43" s="151">
        <f t="shared" si="17"/>
        <v>-2360.4856229929719</v>
      </c>
    </row>
    <row r="44" spans="2:30" x14ac:dyDescent="0.3">
      <c r="B44">
        <v>293</v>
      </c>
      <c r="C44" s="25">
        <v>3</v>
      </c>
      <c r="D44" s="32" t="s">
        <v>66</v>
      </c>
      <c r="E44" s="153">
        <v>7281.260000000002</v>
      </c>
      <c r="F44" s="153">
        <f>INDEX('Revised 2019 Lockdown'!H$5:H$257,MATCH(B44,'Revised 2019 Lockdown'!B$5:B$257,0))</f>
        <v>7281.260000000002</v>
      </c>
      <c r="G44" s="153">
        <f t="shared" si="13"/>
        <v>0</v>
      </c>
      <c r="H44" s="151">
        <v>2668555.6</v>
      </c>
      <c r="I44" s="151">
        <f>INDEX('Revised 2019 Lockdown'!E$5:E$257,MATCH(B44,'Revised 2019 Lockdown'!B$5:B$257,0))</f>
        <v>2668555.6</v>
      </c>
      <c r="J44" s="151">
        <f t="shared" si="14"/>
        <v>0</v>
      </c>
      <c r="K44" s="151">
        <v>804269.87</v>
      </c>
      <c r="L44" s="151">
        <f>INDEX('Revised 2019 Lockdown'!F$5:F$257,MATCH(B44,'Revised 2019 Lockdown'!B$5:B$257,0))</f>
        <v>804269.87</v>
      </c>
      <c r="M44" s="151">
        <f t="shared" si="15"/>
        <v>0</v>
      </c>
      <c r="N44" s="151">
        <v>1864285.73</v>
      </c>
      <c r="O44" s="156">
        <f t="shared" si="2"/>
        <v>1864285.73</v>
      </c>
      <c r="P44" s="156">
        <f t="shared" si="16"/>
        <v>0</v>
      </c>
      <c r="Q44" s="85">
        <f t="shared" si="3"/>
        <v>256.0388902470176</v>
      </c>
      <c r="R44" s="6">
        <f t="shared" si="4"/>
        <v>256.0388902470176</v>
      </c>
      <c r="S44" s="5">
        <f t="shared" si="5"/>
        <v>1864285.73</v>
      </c>
      <c r="T44" s="113">
        <v>0.87037037037037024</v>
      </c>
      <c r="U44" s="87">
        <f t="shared" si="6"/>
        <v>429950.66130501183</v>
      </c>
      <c r="V44" s="87">
        <f t="shared" si="7"/>
        <v>520476.58253158687</v>
      </c>
      <c r="W44" s="87">
        <f t="shared" si="8"/>
        <v>112264.89489630861</v>
      </c>
      <c r="X44" s="87">
        <f t="shared" si="9"/>
        <v>22571.981988572792</v>
      </c>
      <c r="Y44" s="87">
        <f t="shared" si="10"/>
        <v>1085264.1207214801</v>
      </c>
      <c r="Z44" s="91">
        <f t="shared" si="11"/>
        <v>0.58213400620809352</v>
      </c>
      <c r="AA44" s="131">
        <f t="shared" si="12"/>
        <v>1085298.1434653839</v>
      </c>
      <c r="AC44" s="131">
        <v>1087650.2754469365</v>
      </c>
      <c r="AD44" s="151">
        <f t="shared" si="17"/>
        <v>-2352.1319815525785</v>
      </c>
    </row>
    <row r="45" spans="2:30" x14ac:dyDescent="0.3">
      <c r="B45">
        <v>12</v>
      </c>
      <c r="C45" s="25">
        <v>4</v>
      </c>
      <c r="D45" s="32" t="s">
        <v>67</v>
      </c>
      <c r="E45" s="153">
        <v>4825.329999999999</v>
      </c>
      <c r="F45" s="153">
        <f>INDEX('Revised 2019 Lockdown'!H$5:H$257,MATCH(B45,'Revised 2019 Lockdown'!B$5:B$257,0))</f>
        <v>4825.329999999999</v>
      </c>
      <c r="G45" s="153">
        <f t="shared" si="13"/>
        <v>0</v>
      </c>
      <c r="H45" s="151">
        <v>3052966.7</v>
      </c>
      <c r="I45" s="151">
        <f>INDEX('Revised 2019 Lockdown'!E$5:E$257,MATCH(B45,'Revised 2019 Lockdown'!B$5:B$257,0))</f>
        <v>3052966.7</v>
      </c>
      <c r="J45" s="151">
        <f t="shared" si="14"/>
        <v>0</v>
      </c>
      <c r="K45" s="151">
        <v>488646.3899999999</v>
      </c>
      <c r="L45" s="151">
        <f>INDEX('Revised 2019 Lockdown'!F$5:F$257,MATCH(B45,'Revised 2019 Lockdown'!B$5:B$257,0))</f>
        <v>488646.3899999999</v>
      </c>
      <c r="M45" s="151">
        <f t="shared" si="15"/>
        <v>0</v>
      </c>
      <c r="N45" s="151">
        <v>2564320.3100000005</v>
      </c>
      <c r="O45" s="156">
        <f t="shared" si="2"/>
        <v>2564320.3100000005</v>
      </c>
      <c r="P45" s="156">
        <f t="shared" si="16"/>
        <v>0</v>
      </c>
      <c r="Q45" s="85">
        <f t="shared" si="3"/>
        <v>531.42900278322952</v>
      </c>
      <c r="R45" s="6">
        <f t="shared" si="4"/>
        <v>531.42900278322952</v>
      </c>
      <c r="S45" s="5">
        <f t="shared" si="5"/>
        <v>2564320.3100000005</v>
      </c>
      <c r="T45" s="113">
        <v>0.7777777777777779</v>
      </c>
      <c r="U45" s="87">
        <f t="shared" si="6"/>
        <v>591396.04800942889</v>
      </c>
      <c r="V45" s="87">
        <f t="shared" si="7"/>
        <v>344922.61888562428</v>
      </c>
      <c r="W45" s="87">
        <f t="shared" si="8"/>
        <v>137992.41120220008</v>
      </c>
      <c r="X45" s="87">
        <f t="shared" si="9"/>
        <v>31047.704179043096</v>
      </c>
      <c r="Y45" s="87">
        <f t="shared" si="10"/>
        <v>1105358.7822762963</v>
      </c>
      <c r="Z45" s="91">
        <f t="shared" si="11"/>
        <v>0.43105331965190263</v>
      </c>
      <c r="AA45" s="131">
        <f t="shared" si="12"/>
        <v>1105393.4349825392</v>
      </c>
      <c r="AC45" s="131">
        <v>1106073.038764653</v>
      </c>
      <c r="AD45" s="151">
        <f t="shared" si="17"/>
        <v>-679.60378211387433</v>
      </c>
    </row>
    <row r="46" spans="2:30" x14ac:dyDescent="0.3">
      <c r="B46">
        <v>21</v>
      </c>
      <c r="C46" s="25">
        <v>4</v>
      </c>
      <c r="D46" s="32" t="s">
        <v>68</v>
      </c>
      <c r="E46" s="153">
        <v>5084.4800000000014</v>
      </c>
      <c r="F46" s="153">
        <f>INDEX('Revised 2019 Lockdown'!H$5:H$257,MATCH(B46,'Revised 2019 Lockdown'!B$5:B$257,0))</f>
        <v>5084.4800000000014</v>
      </c>
      <c r="G46" s="153">
        <f t="shared" si="13"/>
        <v>0</v>
      </c>
      <c r="H46" s="151">
        <v>3295191.2</v>
      </c>
      <c r="I46" s="151">
        <f>INDEX('Revised 2019 Lockdown'!E$5:E$257,MATCH(B46,'Revised 2019 Lockdown'!B$5:B$257,0))</f>
        <v>3295191.2</v>
      </c>
      <c r="J46" s="151">
        <f t="shared" si="14"/>
        <v>0</v>
      </c>
      <c r="K46" s="151">
        <v>429434.07</v>
      </c>
      <c r="L46" s="151">
        <f>INDEX('Revised 2019 Lockdown'!F$5:F$257,MATCH(B46,'Revised 2019 Lockdown'!B$5:B$257,0))</f>
        <v>429434.07</v>
      </c>
      <c r="M46" s="151">
        <f t="shared" si="15"/>
        <v>0</v>
      </c>
      <c r="N46" s="151">
        <v>2865757.1300000004</v>
      </c>
      <c r="O46" s="156">
        <f t="shared" si="2"/>
        <v>2865757.1300000004</v>
      </c>
      <c r="P46" s="156">
        <f t="shared" si="16"/>
        <v>0</v>
      </c>
      <c r="Q46" s="85">
        <f t="shared" si="3"/>
        <v>563.6283612090125</v>
      </c>
      <c r="R46" s="6">
        <f t="shared" si="4"/>
        <v>563.6283612090125</v>
      </c>
      <c r="S46" s="5">
        <f t="shared" si="5"/>
        <v>2865757.1300000008</v>
      </c>
      <c r="T46" s="113">
        <v>0.7777777777777779</v>
      </c>
      <c r="U46" s="87">
        <f t="shared" si="6"/>
        <v>660914.87659622496</v>
      </c>
      <c r="V46" s="87">
        <f t="shared" si="7"/>
        <v>363447.09217226173</v>
      </c>
      <c r="W46" s="87">
        <f t="shared" si="8"/>
        <v>154213.47120578584</v>
      </c>
      <c r="X46" s="87">
        <f t="shared" si="9"/>
        <v>34697.37352009023</v>
      </c>
      <c r="Y46" s="87">
        <f t="shared" si="10"/>
        <v>1213272.8134943629</v>
      </c>
      <c r="Z46" s="91">
        <f t="shared" si="11"/>
        <v>0.4233690290057352</v>
      </c>
      <c r="AA46" s="131">
        <f t="shared" si="12"/>
        <v>1213310.8492770179</v>
      </c>
      <c r="AC46" s="131">
        <v>1216308.9327997696</v>
      </c>
      <c r="AD46" s="151">
        <f t="shared" si="17"/>
        <v>-2998.0835227516945</v>
      </c>
    </row>
    <row r="47" spans="2:30" x14ac:dyDescent="0.3">
      <c r="B47">
        <v>34</v>
      </c>
      <c r="C47" s="25">
        <v>4</v>
      </c>
      <c r="D47" s="32" t="s">
        <v>69</v>
      </c>
      <c r="E47" s="153">
        <v>4463.82</v>
      </c>
      <c r="F47" s="153">
        <f>INDEX('Revised 2019 Lockdown'!H$5:H$257,MATCH(B47,'Revised 2019 Lockdown'!B$5:B$257,0))</f>
        <v>4463.82</v>
      </c>
      <c r="G47" s="153">
        <f t="shared" si="13"/>
        <v>0</v>
      </c>
      <c r="H47" s="151">
        <v>2138130.23</v>
      </c>
      <c r="I47" s="151">
        <f>INDEX('Revised 2019 Lockdown'!E$5:E$257,MATCH(B47,'Revised 2019 Lockdown'!B$5:B$257,0))</f>
        <v>2138130.23</v>
      </c>
      <c r="J47" s="151">
        <f t="shared" si="14"/>
        <v>0</v>
      </c>
      <c r="K47" s="151">
        <v>417619.64</v>
      </c>
      <c r="L47" s="151">
        <f>INDEX('Revised 2019 Lockdown'!F$5:F$257,MATCH(B47,'Revised 2019 Lockdown'!B$5:B$257,0))</f>
        <v>417619.64</v>
      </c>
      <c r="M47" s="151">
        <f t="shared" si="15"/>
        <v>0</v>
      </c>
      <c r="N47" s="151">
        <v>1720510.5899999999</v>
      </c>
      <c r="O47" s="156">
        <f t="shared" si="2"/>
        <v>1720510.5899999999</v>
      </c>
      <c r="P47" s="156">
        <f t="shared" si="16"/>
        <v>0</v>
      </c>
      <c r="Q47" s="85">
        <f t="shared" si="3"/>
        <v>385.43458069545812</v>
      </c>
      <c r="R47" s="6">
        <f t="shared" si="4"/>
        <v>385.43458069545812</v>
      </c>
      <c r="S47" s="5">
        <f t="shared" si="5"/>
        <v>1720510.5899999999</v>
      </c>
      <c r="T47" s="113">
        <v>0.88888888888888906</v>
      </c>
      <c r="U47" s="87">
        <f t="shared" si="6"/>
        <v>396792.53777948295</v>
      </c>
      <c r="V47" s="87">
        <f t="shared" si="7"/>
        <v>319081.28244783828</v>
      </c>
      <c r="W47" s="87">
        <f t="shared" si="8"/>
        <v>105811.34340786214</v>
      </c>
      <c r="X47" s="87">
        <f t="shared" si="9"/>
        <v>20831.213490342358</v>
      </c>
      <c r="Y47" s="87">
        <f t="shared" si="10"/>
        <v>842516.37712552573</v>
      </c>
      <c r="Z47" s="91">
        <f t="shared" si="11"/>
        <v>0.48968973630410828</v>
      </c>
      <c r="AA47" s="131">
        <f t="shared" si="12"/>
        <v>842542.78979170194</v>
      </c>
      <c r="AC47" s="131">
        <v>844511.9132760826</v>
      </c>
      <c r="AD47" s="151">
        <f t="shared" si="17"/>
        <v>-1969.1234843806596</v>
      </c>
    </row>
    <row r="48" spans="2:30" x14ac:dyDescent="0.3">
      <c r="B48">
        <v>87</v>
      </c>
      <c r="C48" s="25">
        <v>4</v>
      </c>
      <c r="D48" s="32" t="s">
        <v>70</v>
      </c>
      <c r="E48" s="153">
        <v>10236.479999999998</v>
      </c>
      <c r="F48" s="153">
        <f>INDEX('Revised 2019 Lockdown'!H$5:H$257,MATCH(B48,'Revised 2019 Lockdown'!B$5:B$257,0))</f>
        <v>10236.479999999998</v>
      </c>
      <c r="G48" s="153">
        <f t="shared" si="13"/>
        <v>0</v>
      </c>
      <c r="H48" s="151">
        <v>4913017.38</v>
      </c>
      <c r="I48" s="151">
        <f>INDEX('Revised 2019 Lockdown'!E$5:E$257,MATCH(B48,'Revised 2019 Lockdown'!B$5:B$257,0))</f>
        <v>4913017.38</v>
      </c>
      <c r="J48" s="151">
        <f t="shared" si="14"/>
        <v>0</v>
      </c>
      <c r="K48" s="151">
        <v>799960.04</v>
      </c>
      <c r="L48" s="151">
        <f>INDEX('Revised 2019 Lockdown'!F$5:F$257,MATCH(B48,'Revised 2019 Lockdown'!B$5:B$257,0))</f>
        <v>799960.04</v>
      </c>
      <c r="M48" s="151">
        <f t="shared" si="15"/>
        <v>0</v>
      </c>
      <c r="N48" s="151">
        <v>4113057.34</v>
      </c>
      <c r="O48" s="156">
        <f t="shared" si="2"/>
        <v>4113057.34</v>
      </c>
      <c r="P48" s="156">
        <f t="shared" si="16"/>
        <v>0</v>
      </c>
      <c r="Q48" s="85">
        <f t="shared" si="3"/>
        <v>401.80387594173004</v>
      </c>
      <c r="R48" s="6">
        <f t="shared" si="4"/>
        <v>401.80387594173004</v>
      </c>
      <c r="S48" s="5">
        <f t="shared" si="5"/>
        <v>4113057.34</v>
      </c>
      <c r="T48" s="113">
        <v>0.95833333333333348</v>
      </c>
      <c r="U48" s="87">
        <f t="shared" si="6"/>
        <v>948573.33018283243</v>
      </c>
      <c r="V48" s="87">
        <f t="shared" si="7"/>
        <v>731720.62631370605</v>
      </c>
      <c r="W48" s="87">
        <f t="shared" si="8"/>
        <v>272714.83242756437</v>
      </c>
      <c r="X48" s="87">
        <f t="shared" si="9"/>
        <v>49799.15616070672</v>
      </c>
      <c r="Y48" s="87">
        <f t="shared" si="10"/>
        <v>2002807.9450848096</v>
      </c>
      <c r="Z48" s="91">
        <f t="shared" si="11"/>
        <v>0.48693897982098389</v>
      </c>
      <c r="AA48" s="131">
        <f t="shared" si="12"/>
        <v>2002870.7325855691</v>
      </c>
      <c r="AC48" s="131">
        <v>1931436.1864833948</v>
      </c>
      <c r="AD48" s="151">
        <f t="shared" si="17"/>
        <v>71434.546102174325</v>
      </c>
    </row>
    <row r="49" spans="2:30" x14ac:dyDescent="0.3">
      <c r="B49">
        <v>88</v>
      </c>
      <c r="C49" s="25">
        <v>4</v>
      </c>
      <c r="D49" s="32" t="s">
        <v>71</v>
      </c>
      <c r="E49" s="153">
        <v>4907.8008</v>
      </c>
      <c r="F49" s="153">
        <f>INDEX('Revised 2019 Lockdown'!H$5:H$257,MATCH(B49,'Revised 2019 Lockdown'!B$5:B$257,0))</f>
        <v>4907.8008</v>
      </c>
      <c r="G49" s="153">
        <f t="shared" si="13"/>
        <v>0</v>
      </c>
      <c r="H49" s="151">
        <v>2453153.67</v>
      </c>
      <c r="I49" s="151">
        <f>INDEX('Revised 2019 Lockdown'!E$5:E$257,MATCH(B49,'Revised 2019 Lockdown'!B$5:B$257,0))</f>
        <v>2453153.67</v>
      </c>
      <c r="J49" s="151">
        <f t="shared" si="14"/>
        <v>0</v>
      </c>
      <c r="K49" s="151">
        <v>459020.94</v>
      </c>
      <c r="L49" s="151">
        <f>INDEX('Revised 2019 Lockdown'!F$5:F$257,MATCH(B49,'Revised 2019 Lockdown'!B$5:B$257,0))</f>
        <v>459020.94</v>
      </c>
      <c r="M49" s="151">
        <f t="shared" si="15"/>
        <v>0</v>
      </c>
      <c r="N49" s="151">
        <v>1994132.73</v>
      </c>
      <c r="O49" s="156">
        <f t="shared" si="2"/>
        <v>1994132.73</v>
      </c>
      <c r="P49" s="156">
        <f t="shared" si="16"/>
        <v>0</v>
      </c>
      <c r="Q49" s="85">
        <f t="shared" si="3"/>
        <v>406.31900341187441</v>
      </c>
      <c r="R49" s="6">
        <f t="shared" si="4"/>
        <v>406.31900341187441</v>
      </c>
      <c r="S49" s="5">
        <f t="shared" si="5"/>
        <v>1994132.73</v>
      </c>
      <c r="T49" s="113">
        <v>0.95833333333333348</v>
      </c>
      <c r="U49" s="87">
        <f t="shared" si="6"/>
        <v>459896.60930005001</v>
      </c>
      <c r="V49" s="87">
        <f t="shared" si="7"/>
        <v>350817.76892045978</v>
      </c>
      <c r="W49" s="87">
        <f t="shared" si="8"/>
        <v>132220.27517376441</v>
      </c>
      <c r="X49" s="87">
        <f t="shared" si="9"/>
        <v>24144.114467036925</v>
      </c>
      <c r="Y49" s="87">
        <f t="shared" si="10"/>
        <v>967078.76786131109</v>
      </c>
      <c r="Z49" s="91">
        <f t="shared" si="11"/>
        <v>0.48496208567887611</v>
      </c>
      <c r="AA49" s="131">
        <f t="shared" si="12"/>
        <v>967109.0855255787</v>
      </c>
      <c r="AC49" s="131">
        <v>969395.07477514539</v>
      </c>
      <c r="AD49" s="151">
        <f t="shared" si="17"/>
        <v>-2285.9892495666863</v>
      </c>
    </row>
    <row r="50" spans="2:30" x14ac:dyDescent="0.3">
      <c r="B50">
        <v>89</v>
      </c>
      <c r="C50" s="25">
        <v>4</v>
      </c>
      <c r="D50" s="32" t="s">
        <v>291</v>
      </c>
      <c r="E50" s="153">
        <v>5289.19</v>
      </c>
      <c r="F50" s="153">
        <f>INDEX('Revised 2019 Lockdown'!H$5:H$257,MATCH(B50,'Revised 2019 Lockdown'!B$5:B$257,0))</f>
        <v>5289.19</v>
      </c>
      <c r="G50" s="153">
        <f t="shared" si="13"/>
        <v>0</v>
      </c>
      <c r="H50" s="151">
        <v>4597416.66</v>
      </c>
      <c r="I50" s="151">
        <f>INDEX('Revised 2019 Lockdown'!E$5:E$257,MATCH(B50,'Revised 2019 Lockdown'!B$5:B$257,0))</f>
        <v>4597416.66</v>
      </c>
      <c r="J50" s="151">
        <f t="shared" si="14"/>
        <v>0</v>
      </c>
      <c r="K50" s="151">
        <v>379921.47</v>
      </c>
      <c r="L50" s="151">
        <f>INDEX('Revised 2019 Lockdown'!F$5:F$257,MATCH(B50,'Revised 2019 Lockdown'!B$5:B$257,0))</f>
        <v>379921.47</v>
      </c>
      <c r="M50" s="151">
        <f t="shared" si="15"/>
        <v>0</v>
      </c>
      <c r="N50" s="151">
        <v>4217495.1900000004</v>
      </c>
      <c r="O50" s="156">
        <f t="shared" si="2"/>
        <v>4217495.1900000004</v>
      </c>
      <c r="P50" s="156">
        <f t="shared" si="16"/>
        <v>0</v>
      </c>
      <c r="Q50" s="85">
        <f t="shared" si="3"/>
        <v>797.38016407049111</v>
      </c>
      <c r="R50" s="6">
        <f t="shared" si="4"/>
        <v>696.58759744797112</v>
      </c>
      <c r="S50" s="5">
        <f t="shared" si="5"/>
        <v>3684384.1545458343</v>
      </c>
      <c r="T50" s="113">
        <v>0.7754629629629628</v>
      </c>
      <c r="U50" s="87">
        <f t="shared" si="6"/>
        <v>849710.63086380449</v>
      </c>
      <c r="V50" s="87">
        <f t="shared" si="7"/>
        <v>378080.10365791671</v>
      </c>
      <c r="W50" s="87">
        <f t="shared" si="8"/>
        <v>197675.73704123223</v>
      </c>
      <c r="X50" s="87">
        <f t="shared" si="9"/>
        <v>44608.962798525296</v>
      </c>
      <c r="Y50" s="87">
        <f t="shared" si="10"/>
        <v>1470075.4343614788</v>
      </c>
      <c r="Z50" s="91">
        <f t="shared" si="11"/>
        <v>0.39900167102490747</v>
      </c>
      <c r="AA50" s="131">
        <f t="shared" si="12"/>
        <v>1470121.5208385561</v>
      </c>
      <c r="AC50" s="131">
        <v>1490862.833660702</v>
      </c>
      <c r="AD50" s="151">
        <f t="shared" si="17"/>
        <v>-20741.312822145876</v>
      </c>
    </row>
    <row r="51" spans="2:30" x14ac:dyDescent="0.3">
      <c r="B51">
        <v>143</v>
      </c>
      <c r="C51" s="25">
        <v>4</v>
      </c>
      <c r="D51" s="32" t="s">
        <v>72</v>
      </c>
      <c r="E51" s="153">
        <v>2868.39</v>
      </c>
      <c r="F51" s="153">
        <f>INDEX('Revised 2019 Lockdown'!H$5:H$257,MATCH(B51,'Revised 2019 Lockdown'!B$5:B$257,0))</f>
        <v>2868.39</v>
      </c>
      <c r="G51" s="153">
        <f t="shared" si="13"/>
        <v>0</v>
      </c>
      <c r="H51" s="151">
        <v>871204.41</v>
      </c>
      <c r="I51" s="151">
        <f>INDEX('Revised 2019 Lockdown'!E$5:E$257,MATCH(B51,'Revised 2019 Lockdown'!B$5:B$257,0))</f>
        <v>871204.41</v>
      </c>
      <c r="J51" s="151">
        <f t="shared" si="14"/>
        <v>0</v>
      </c>
      <c r="K51" s="151">
        <v>280661.95</v>
      </c>
      <c r="L51" s="151">
        <f>INDEX('Revised 2019 Lockdown'!F$5:F$257,MATCH(B51,'Revised 2019 Lockdown'!B$5:B$257,0))</f>
        <v>280661.95</v>
      </c>
      <c r="M51" s="151">
        <f t="shared" si="15"/>
        <v>0</v>
      </c>
      <c r="N51" s="151">
        <v>590542.46</v>
      </c>
      <c r="O51" s="156">
        <f t="shared" si="2"/>
        <v>590542.46</v>
      </c>
      <c r="P51" s="156">
        <f t="shared" si="16"/>
        <v>0</v>
      </c>
      <c r="Q51" s="85">
        <f t="shared" si="3"/>
        <v>205.87941667625392</v>
      </c>
      <c r="R51" s="6">
        <f t="shared" si="4"/>
        <v>205.87941667625392</v>
      </c>
      <c r="S51" s="5">
        <f t="shared" si="5"/>
        <v>590542.46</v>
      </c>
      <c r="T51" s="113">
        <v>0.79861111111111116</v>
      </c>
      <c r="U51" s="87">
        <f t="shared" si="6"/>
        <v>136193.78034164777</v>
      </c>
      <c r="V51" s="87">
        <f t="shared" si="7"/>
        <v>205037.29087654856</v>
      </c>
      <c r="W51" s="87">
        <f t="shared" si="8"/>
        <v>32629.759873519779</v>
      </c>
      <c r="X51" s="87">
        <f t="shared" si="9"/>
        <v>7150.0379776052187</v>
      </c>
      <c r="Y51" s="87">
        <f t="shared" si="10"/>
        <v>381010.86906932131</v>
      </c>
      <c r="Z51" s="91">
        <f t="shared" si="11"/>
        <v>0.6451879329207274</v>
      </c>
      <c r="AA51" s="131">
        <f t="shared" si="12"/>
        <v>381022.81365956011</v>
      </c>
      <c r="AC51" s="131">
        <v>381811.08680231415</v>
      </c>
      <c r="AD51" s="151">
        <f t="shared" si="17"/>
        <v>-788.27314275404206</v>
      </c>
    </row>
    <row r="52" spans="2:30" x14ac:dyDescent="0.3">
      <c r="B52">
        <v>183</v>
      </c>
      <c r="C52" s="25">
        <v>4</v>
      </c>
      <c r="D52" s="32" t="s">
        <v>73</v>
      </c>
      <c r="E52" s="153">
        <v>10899.530000000002</v>
      </c>
      <c r="F52" s="153">
        <f>INDEX('Revised 2019 Lockdown'!H$5:H$257,MATCH(B52,'Revised 2019 Lockdown'!B$5:B$257,0))</f>
        <v>10899.530000000002</v>
      </c>
      <c r="G52" s="153">
        <f t="shared" si="13"/>
        <v>0</v>
      </c>
      <c r="H52" s="151">
        <v>6984982.6799999997</v>
      </c>
      <c r="I52" s="151">
        <f>INDEX('Revised 2019 Lockdown'!E$5:E$257,MATCH(B52,'Revised 2019 Lockdown'!B$5:B$257,0))</f>
        <v>6984982.6799999997</v>
      </c>
      <c r="J52" s="151">
        <f t="shared" si="14"/>
        <v>0</v>
      </c>
      <c r="K52" s="151">
        <v>345255.24999999994</v>
      </c>
      <c r="L52" s="151">
        <f>INDEX('Revised 2019 Lockdown'!F$5:F$257,MATCH(B52,'Revised 2019 Lockdown'!B$5:B$257,0))</f>
        <v>345255.24999999994</v>
      </c>
      <c r="M52" s="151">
        <f t="shared" si="15"/>
        <v>0</v>
      </c>
      <c r="N52" s="151">
        <v>6639727.4299999997</v>
      </c>
      <c r="O52" s="156">
        <f t="shared" si="2"/>
        <v>6639727.4299999997</v>
      </c>
      <c r="P52" s="156">
        <f t="shared" si="16"/>
        <v>0</v>
      </c>
      <c r="Q52" s="85">
        <f t="shared" si="3"/>
        <v>609.17557270818088</v>
      </c>
      <c r="R52" s="6">
        <f t="shared" si="4"/>
        <v>609.17557270818088</v>
      </c>
      <c r="S52" s="5">
        <f t="shared" si="5"/>
        <v>6639727.4300000006</v>
      </c>
      <c r="T52" s="113">
        <v>0.79166666666666674</v>
      </c>
      <c r="U52" s="87">
        <f t="shared" si="6"/>
        <v>1531286.3009542678</v>
      </c>
      <c r="V52" s="87">
        <f t="shared" si="7"/>
        <v>779116.54378507368</v>
      </c>
      <c r="W52" s="87">
        <f t="shared" si="8"/>
        <v>363680.49647663865</v>
      </c>
      <c r="X52" s="87">
        <f t="shared" si="9"/>
        <v>80391.007422983777</v>
      </c>
      <c r="Y52" s="87">
        <f t="shared" si="10"/>
        <v>2754474.3486389639</v>
      </c>
      <c r="Z52" s="91">
        <f t="shared" si="11"/>
        <v>0.41484750355768196</v>
      </c>
      <c r="AA52" s="131">
        <f t="shared" si="12"/>
        <v>2754560.7006831933</v>
      </c>
      <c r="AC52" s="131">
        <v>2551623.9019188159</v>
      </c>
      <c r="AD52" s="151">
        <f t="shared" si="17"/>
        <v>202936.79876437737</v>
      </c>
    </row>
    <row r="53" spans="2:30" x14ac:dyDescent="0.3">
      <c r="B53">
        <v>186</v>
      </c>
      <c r="C53" s="25">
        <v>4</v>
      </c>
      <c r="D53" s="32" t="s">
        <v>74</v>
      </c>
      <c r="E53" s="153">
        <v>10708.64</v>
      </c>
      <c r="F53" s="153">
        <f>INDEX('Revised 2019 Lockdown'!H$5:H$257,MATCH(B53,'Revised 2019 Lockdown'!B$5:B$257,0))</f>
        <v>10708.64</v>
      </c>
      <c r="G53" s="153">
        <f t="shared" si="13"/>
        <v>0</v>
      </c>
      <c r="H53" s="151">
        <v>8376518.0300000003</v>
      </c>
      <c r="I53" s="151">
        <f>INDEX('Revised 2019 Lockdown'!E$5:E$257,MATCH(B53,'Revised 2019 Lockdown'!B$5:B$257,0))</f>
        <v>8376518.0300000003</v>
      </c>
      <c r="J53" s="151">
        <f t="shared" si="14"/>
        <v>0</v>
      </c>
      <c r="K53" s="151">
        <v>1283505.8</v>
      </c>
      <c r="L53" s="151">
        <f>INDEX('Revised 2019 Lockdown'!F$5:F$257,MATCH(B53,'Revised 2019 Lockdown'!B$5:B$257,0))</f>
        <v>1283505.8</v>
      </c>
      <c r="M53" s="151">
        <f t="shared" si="15"/>
        <v>0</v>
      </c>
      <c r="N53" s="151">
        <v>7093012.2300000004</v>
      </c>
      <c r="O53" s="156">
        <f t="shared" si="2"/>
        <v>7093012.2300000004</v>
      </c>
      <c r="P53" s="156">
        <f t="shared" si="16"/>
        <v>0</v>
      </c>
      <c r="Q53" s="85">
        <f t="shared" si="3"/>
        <v>662.36349620493365</v>
      </c>
      <c r="R53" s="6">
        <f t="shared" si="4"/>
        <v>662.36349620493365</v>
      </c>
      <c r="S53" s="5">
        <f t="shared" si="5"/>
        <v>7093012.2300000004</v>
      </c>
      <c r="T53" s="113">
        <v>0.78703703703703698</v>
      </c>
      <c r="U53" s="87">
        <f t="shared" si="6"/>
        <v>1635825.0507732185</v>
      </c>
      <c r="V53" s="87">
        <f t="shared" si="7"/>
        <v>765471.40889915347</v>
      </c>
      <c r="W53" s="87">
        <f t="shared" si="8"/>
        <v>386236.47032145434</v>
      </c>
      <c r="X53" s="87">
        <f t="shared" si="9"/>
        <v>85879.187789677788</v>
      </c>
      <c r="Y53" s="87">
        <f t="shared" si="10"/>
        <v>2873412.1177835036</v>
      </c>
      <c r="Z53" s="91">
        <f t="shared" si="11"/>
        <v>0.4051046332093387</v>
      </c>
      <c r="AA53" s="131">
        <f t="shared" si="12"/>
        <v>2873502.1984954216</v>
      </c>
      <c r="AC53" s="131">
        <v>2880737.0320604597</v>
      </c>
      <c r="AD53" s="151">
        <f t="shared" si="17"/>
        <v>-7234.8335650381632</v>
      </c>
    </row>
    <row r="54" spans="2:30" x14ac:dyDescent="0.3">
      <c r="B54">
        <v>190</v>
      </c>
      <c r="C54" s="25">
        <v>4</v>
      </c>
      <c r="D54" s="32" t="s">
        <v>75</v>
      </c>
      <c r="E54" s="153">
        <v>3049.19</v>
      </c>
      <c r="F54" s="153">
        <f>INDEX('Revised 2019 Lockdown'!H$5:H$257,MATCH(B54,'Revised 2019 Lockdown'!B$5:B$257,0))</f>
        <v>3049.19</v>
      </c>
      <c r="G54" s="153">
        <f t="shared" si="13"/>
        <v>0</v>
      </c>
      <c r="H54" s="151">
        <v>2369996.16</v>
      </c>
      <c r="I54" s="151">
        <f>INDEX('Revised 2019 Lockdown'!E$5:E$257,MATCH(B54,'Revised 2019 Lockdown'!B$5:B$257,0))</f>
        <v>2369996.16</v>
      </c>
      <c r="J54" s="151">
        <f t="shared" si="14"/>
        <v>0</v>
      </c>
      <c r="K54" s="151">
        <v>436295.02999999997</v>
      </c>
      <c r="L54" s="151">
        <f>INDEX('Revised 2019 Lockdown'!F$5:F$257,MATCH(B54,'Revised 2019 Lockdown'!B$5:B$257,0))</f>
        <v>436295.02999999997</v>
      </c>
      <c r="M54" s="151">
        <f t="shared" si="15"/>
        <v>0</v>
      </c>
      <c r="N54" s="151">
        <v>1933701.1300000001</v>
      </c>
      <c r="O54" s="156">
        <f t="shared" si="2"/>
        <v>1933701.1300000001</v>
      </c>
      <c r="P54" s="156">
        <f t="shared" si="16"/>
        <v>0</v>
      </c>
      <c r="Q54" s="85">
        <f t="shared" si="3"/>
        <v>634.1687890882497</v>
      </c>
      <c r="R54" s="6">
        <f t="shared" si="4"/>
        <v>634.1687890882497</v>
      </c>
      <c r="S54" s="5">
        <f t="shared" si="5"/>
        <v>1933701.1300000001</v>
      </c>
      <c r="T54" s="113">
        <v>0.46180555555555558</v>
      </c>
      <c r="U54" s="87">
        <f t="shared" si="6"/>
        <v>445959.57917338598</v>
      </c>
      <c r="V54" s="87">
        <f t="shared" si="7"/>
        <v>217961.17577033216</v>
      </c>
      <c r="W54" s="87">
        <f t="shared" si="8"/>
        <v>61783.983364646178</v>
      </c>
      <c r="X54" s="87">
        <f t="shared" si="9"/>
        <v>23412.43425043159</v>
      </c>
      <c r="Y54" s="87">
        <f t="shared" si="10"/>
        <v>749117.17255879601</v>
      </c>
      <c r="Z54" s="91">
        <f t="shared" si="11"/>
        <v>0.38740070062367704</v>
      </c>
      <c r="AA54" s="131">
        <f t="shared" si="12"/>
        <v>749140.65718454681</v>
      </c>
      <c r="AC54" s="131">
        <v>748769.51666024583</v>
      </c>
      <c r="AD54" s="151">
        <f t="shared" si="17"/>
        <v>371.14052430097945</v>
      </c>
    </row>
    <row r="55" spans="2:30" x14ac:dyDescent="0.3">
      <c r="B55">
        <v>324</v>
      </c>
      <c r="C55" s="25">
        <v>4</v>
      </c>
      <c r="D55" s="32" t="s">
        <v>76</v>
      </c>
      <c r="E55" s="153">
        <v>7376.43</v>
      </c>
      <c r="F55" s="153">
        <f>INDEX('Revised 2019 Lockdown'!H$5:H$257,MATCH(B55,'Revised 2019 Lockdown'!B$5:B$257,0))</f>
        <v>7376.43</v>
      </c>
      <c r="G55" s="153">
        <f t="shared" si="13"/>
        <v>0</v>
      </c>
      <c r="H55" s="151">
        <v>4455265.83</v>
      </c>
      <c r="I55" s="151">
        <f>INDEX('Revised 2019 Lockdown'!E$5:E$257,MATCH(B55,'Revised 2019 Lockdown'!B$5:B$257,0))</f>
        <v>4455265.83</v>
      </c>
      <c r="J55" s="151">
        <f t="shared" si="14"/>
        <v>0</v>
      </c>
      <c r="K55" s="151">
        <v>744094.01</v>
      </c>
      <c r="L55" s="151">
        <f>INDEX('Revised 2019 Lockdown'!F$5:F$257,MATCH(B55,'Revised 2019 Lockdown'!B$5:B$257,0))</f>
        <v>744094.01</v>
      </c>
      <c r="M55" s="151">
        <f t="shared" si="15"/>
        <v>0</v>
      </c>
      <c r="N55" s="151">
        <v>3711171.8200000003</v>
      </c>
      <c r="O55" s="156">
        <f t="shared" si="2"/>
        <v>3711171.8200000003</v>
      </c>
      <c r="P55" s="156">
        <f t="shared" si="16"/>
        <v>0</v>
      </c>
      <c r="Q55" s="85">
        <f t="shared" si="3"/>
        <v>503.1121857050091</v>
      </c>
      <c r="R55" s="6">
        <f t="shared" si="4"/>
        <v>503.1121857050091</v>
      </c>
      <c r="S55" s="5">
        <f t="shared" si="5"/>
        <v>3711171.8200000003</v>
      </c>
      <c r="T55" s="113">
        <v>0.83333333333333326</v>
      </c>
      <c r="U55" s="87">
        <f t="shared" si="6"/>
        <v>855888.5328299565</v>
      </c>
      <c r="V55" s="87">
        <f t="shared" si="7"/>
        <v>527279.49251688202</v>
      </c>
      <c r="W55" s="87">
        <f t="shared" si="8"/>
        <v>213972.1332074891</v>
      </c>
      <c r="X55" s="87">
        <f t="shared" si="9"/>
        <v>44933.296505755541</v>
      </c>
      <c r="Y55" s="87">
        <f t="shared" si="10"/>
        <v>1642073.455060083</v>
      </c>
      <c r="Z55" s="91">
        <f t="shared" si="11"/>
        <v>0.44246764491224305</v>
      </c>
      <c r="AA55" s="131">
        <f t="shared" si="12"/>
        <v>1642124.9336297379</v>
      </c>
      <c r="AC55" s="131">
        <v>1647321.0980851573</v>
      </c>
      <c r="AD55" s="151">
        <f t="shared" si="17"/>
        <v>-5196.1644554194063</v>
      </c>
    </row>
    <row r="56" spans="2:30" x14ac:dyDescent="0.3">
      <c r="B56">
        <v>429</v>
      </c>
      <c r="C56" s="25">
        <v>4</v>
      </c>
      <c r="D56" s="32" t="s">
        <v>77</v>
      </c>
      <c r="E56" s="153">
        <v>4180.4643999999998</v>
      </c>
      <c r="F56" s="153">
        <f>INDEX('Revised 2019 Lockdown'!H$5:H$257,MATCH(B56,'Revised 2019 Lockdown'!B$5:B$257,0))</f>
        <v>4180.4643999999998</v>
      </c>
      <c r="G56" s="153">
        <f t="shared" si="13"/>
        <v>0</v>
      </c>
      <c r="H56" s="151">
        <v>1615598.05</v>
      </c>
      <c r="I56" s="151">
        <f>INDEX('Revised 2019 Lockdown'!E$5:E$257,MATCH(B56,'Revised 2019 Lockdown'!B$5:B$257,0))</f>
        <v>1615598.05</v>
      </c>
      <c r="J56" s="151">
        <f t="shared" si="14"/>
        <v>0</v>
      </c>
      <c r="K56" s="151">
        <v>324593.48</v>
      </c>
      <c r="L56" s="151">
        <f>INDEX('Revised 2019 Lockdown'!F$5:F$257,MATCH(B56,'Revised 2019 Lockdown'!B$5:B$257,0))</f>
        <v>324593.48</v>
      </c>
      <c r="M56" s="151">
        <f t="shared" si="15"/>
        <v>0</v>
      </c>
      <c r="N56" s="151">
        <v>1291004.57</v>
      </c>
      <c r="O56" s="156">
        <f t="shared" si="2"/>
        <v>1291004.57</v>
      </c>
      <c r="P56" s="156">
        <f t="shared" si="16"/>
        <v>0</v>
      </c>
      <c r="Q56" s="85">
        <f t="shared" si="3"/>
        <v>308.81845806413281</v>
      </c>
      <c r="R56" s="6">
        <f t="shared" si="4"/>
        <v>308.81845806413281</v>
      </c>
      <c r="S56" s="5">
        <f t="shared" si="5"/>
        <v>1291004.57</v>
      </c>
      <c r="T56" s="113">
        <v>0.75</v>
      </c>
      <c r="U56" s="87">
        <f t="shared" si="6"/>
        <v>297737.76609838259</v>
      </c>
      <c r="V56" s="87">
        <f t="shared" si="7"/>
        <v>298826.55258938152</v>
      </c>
      <c r="W56" s="87">
        <f t="shared" si="8"/>
        <v>66990.997372136073</v>
      </c>
      <c r="X56" s="87">
        <f t="shared" si="9"/>
        <v>15630.936520232424</v>
      </c>
      <c r="Y56" s="87">
        <f t="shared" si="10"/>
        <v>679186.25258013268</v>
      </c>
      <c r="Z56" s="91">
        <f t="shared" si="11"/>
        <v>0.52609128454141152</v>
      </c>
      <c r="AA56" s="131">
        <f t="shared" si="12"/>
        <v>679207.54488998919</v>
      </c>
      <c r="AC56" s="131">
        <v>680725.19617511891</v>
      </c>
      <c r="AD56" s="151">
        <f t="shared" si="17"/>
        <v>-1517.6512851297157</v>
      </c>
    </row>
    <row r="57" spans="2:30" x14ac:dyDescent="0.3">
      <c r="B57">
        <v>601</v>
      </c>
      <c r="C57" s="25">
        <v>4</v>
      </c>
      <c r="D57" s="32" t="s">
        <v>78</v>
      </c>
      <c r="E57" s="153">
        <v>5551.27</v>
      </c>
      <c r="F57" s="153">
        <f>INDEX('Revised 2019 Lockdown'!H$5:H$257,MATCH(B57,'Revised 2019 Lockdown'!B$5:B$257,0))</f>
        <v>5551.27</v>
      </c>
      <c r="G57" s="153">
        <f t="shared" si="13"/>
        <v>0</v>
      </c>
      <c r="H57" s="151">
        <v>3050653.27</v>
      </c>
      <c r="I57" s="151">
        <f>INDEX('Revised 2019 Lockdown'!E$5:E$257,MATCH(B57,'Revised 2019 Lockdown'!B$5:B$257,0))</f>
        <v>3050653.27</v>
      </c>
      <c r="J57" s="151">
        <f t="shared" si="14"/>
        <v>0</v>
      </c>
      <c r="K57" s="151">
        <v>210627.25999999998</v>
      </c>
      <c r="L57" s="151">
        <f>INDEX('Revised 2019 Lockdown'!F$5:F$257,MATCH(B57,'Revised 2019 Lockdown'!B$5:B$257,0))</f>
        <v>210627.25999999998</v>
      </c>
      <c r="M57" s="151">
        <f t="shared" si="15"/>
        <v>0</v>
      </c>
      <c r="N57" s="151">
        <v>2840026.0100000002</v>
      </c>
      <c r="O57" s="156">
        <f t="shared" si="2"/>
        <v>2840026.0100000002</v>
      </c>
      <c r="P57" s="156">
        <f t="shared" si="16"/>
        <v>0</v>
      </c>
      <c r="Q57" s="85">
        <f t="shared" si="3"/>
        <v>511.59932952279388</v>
      </c>
      <c r="R57" s="6">
        <f t="shared" si="4"/>
        <v>511.59932952279388</v>
      </c>
      <c r="S57" s="5">
        <f t="shared" si="5"/>
        <v>2840026.0100000002</v>
      </c>
      <c r="T57" s="113">
        <v>0.875</v>
      </c>
      <c r="U57" s="87">
        <f t="shared" si="6"/>
        <v>654980.64029215858</v>
      </c>
      <c r="V57" s="87">
        <f t="shared" si="7"/>
        <v>396814.01822076418</v>
      </c>
      <c r="W57" s="87">
        <f t="shared" si="8"/>
        <v>171932.41807669163</v>
      </c>
      <c r="X57" s="87">
        <f t="shared" si="9"/>
        <v>34385.832017712361</v>
      </c>
      <c r="Y57" s="87">
        <f t="shared" si="10"/>
        <v>1258112.9086073267</v>
      </c>
      <c r="Z57" s="91">
        <f t="shared" si="11"/>
        <v>0.44299344589711226</v>
      </c>
      <c r="AA57" s="131">
        <f t="shared" si="12"/>
        <v>1258152.3501151351</v>
      </c>
      <c r="AC57" s="131">
        <v>1261227.0878120842</v>
      </c>
      <c r="AD57" s="151">
        <f t="shared" si="17"/>
        <v>-3074.7376969491597</v>
      </c>
    </row>
    <row r="58" spans="2:30" x14ac:dyDescent="0.3">
      <c r="B58">
        <v>760</v>
      </c>
      <c r="C58" s="25">
        <v>4</v>
      </c>
      <c r="D58" s="32" t="s">
        <v>79</v>
      </c>
      <c r="E58" s="153">
        <v>5012.8599999999997</v>
      </c>
      <c r="F58" s="153">
        <f>INDEX('Revised 2019 Lockdown'!H$5:H$257,MATCH(B58,'Revised 2019 Lockdown'!B$5:B$257,0))</f>
        <v>5012.8599999999997</v>
      </c>
      <c r="G58" s="153">
        <f t="shared" si="13"/>
        <v>0</v>
      </c>
      <c r="H58" s="151">
        <v>1509097.88</v>
      </c>
      <c r="I58" s="151">
        <f>INDEX('Revised 2019 Lockdown'!E$5:E$257,MATCH(B58,'Revised 2019 Lockdown'!B$5:B$257,0))</f>
        <v>1509097.88</v>
      </c>
      <c r="J58" s="151">
        <f t="shared" si="14"/>
        <v>0</v>
      </c>
      <c r="K58" s="151">
        <v>554553.47</v>
      </c>
      <c r="L58" s="151">
        <f>INDEX('Revised 2019 Lockdown'!F$5:F$257,MATCH(B58,'Revised 2019 Lockdown'!B$5:B$257,0))</f>
        <v>554553.47</v>
      </c>
      <c r="M58" s="151">
        <f t="shared" si="15"/>
        <v>0</v>
      </c>
      <c r="N58" s="151">
        <v>954544.40999999992</v>
      </c>
      <c r="O58" s="156">
        <f t="shared" si="2"/>
        <v>954544.40999999992</v>
      </c>
      <c r="P58" s="156">
        <f t="shared" si="16"/>
        <v>0</v>
      </c>
      <c r="Q58" s="85">
        <f t="shared" si="3"/>
        <v>190.41912401303847</v>
      </c>
      <c r="R58" s="6">
        <f t="shared" si="4"/>
        <v>190.41912401303847</v>
      </c>
      <c r="S58" s="5">
        <f t="shared" si="5"/>
        <v>954544.40999999992</v>
      </c>
      <c r="T58" s="113">
        <v>1</v>
      </c>
      <c r="U58" s="87">
        <f t="shared" si="6"/>
        <v>220141.68414221692</v>
      </c>
      <c r="V58" s="87">
        <f t="shared" si="7"/>
        <v>358327.57537971303</v>
      </c>
      <c r="W58" s="87">
        <f t="shared" si="8"/>
        <v>66042.505242665065</v>
      </c>
      <c r="X58" s="87">
        <f t="shared" si="9"/>
        <v>11557.21941282726</v>
      </c>
      <c r="Y58" s="87">
        <f t="shared" si="10"/>
        <v>656068.98417742236</v>
      </c>
      <c r="Z58" s="91">
        <f t="shared" si="11"/>
        <v>0.68731111649108334</v>
      </c>
      <c r="AA58" s="131">
        <f t="shared" si="12"/>
        <v>656089.55176701245</v>
      </c>
      <c r="AC58" s="131">
        <v>657437.62874483806</v>
      </c>
      <c r="AD58" s="151">
        <f t="shared" si="17"/>
        <v>-1348.0769778256072</v>
      </c>
    </row>
    <row r="59" spans="2:30" x14ac:dyDescent="0.3">
      <c r="B59">
        <v>878</v>
      </c>
      <c r="C59" s="25">
        <v>4</v>
      </c>
      <c r="D59" s="32" t="s">
        <v>80</v>
      </c>
      <c r="E59" s="153">
        <v>7393.5</v>
      </c>
      <c r="F59" s="153">
        <f>INDEX('Revised 2019 Lockdown'!H$5:H$257,MATCH(B59,'Revised 2019 Lockdown'!B$5:B$257,0))</f>
        <v>7393.5</v>
      </c>
      <c r="G59" s="153">
        <f t="shared" si="13"/>
        <v>0</v>
      </c>
      <c r="H59" s="151">
        <v>3017896.76</v>
      </c>
      <c r="I59" s="151">
        <f>INDEX('Revised 2019 Lockdown'!E$5:E$257,MATCH(B59,'Revised 2019 Lockdown'!B$5:B$257,0))</f>
        <v>3017896.76</v>
      </c>
      <c r="J59" s="151">
        <f t="shared" si="14"/>
        <v>0</v>
      </c>
      <c r="K59" s="151">
        <v>419431.65</v>
      </c>
      <c r="L59" s="151">
        <f>INDEX('Revised 2019 Lockdown'!F$5:F$257,MATCH(B59,'Revised 2019 Lockdown'!B$5:B$257,0))</f>
        <v>419431.65</v>
      </c>
      <c r="M59" s="151">
        <f t="shared" si="15"/>
        <v>0</v>
      </c>
      <c r="N59" s="151">
        <v>2598465.11</v>
      </c>
      <c r="O59" s="156">
        <f t="shared" si="2"/>
        <v>2598465.11</v>
      </c>
      <c r="P59" s="156">
        <f t="shared" si="16"/>
        <v>0</v>
      </c>
      <c r="Q59" s="85">
        <f t="shared" si="3"/>
        <v>351.45264218570367</v>
      </c>
      <c r="R59" s="6">
        <f t="shared" si="4"/>
        <v>351.45264218570367</v>
      </c>
      <c r="S59" s="5">
        <f t="shared" si="5"/>
        <v>2598465.11</v>
      </c>
      <c r="T59" s="113">
        <v>0.9375</v>
      </c>
      <c r="U59" s="87">
        <f t="shared" si="6"/>
        <v>599270.68820212467</v>
      </c>
      <c r="V59" s="87">
        <f t="shared" si="7"/>
        <v>528499.68452538247</v>
      </c>
      <c r="W59" s="87">
        <f t="shared" si="8"/>
        <v>168544.88105684755</v>
      </c>
      <c r="X59" s="87">
        <f t="shared" si="9"/>
        <v>31461.114955192425</v>
      </c>
      <c r="Y59" s="87">
        <f t="shared" si="10"/>
        <v>1327776.3687395472</v>
      </c>
      <c r="Z59" s="91">
        <f t="shared" si="11"/>
        <v>0.5109848747361273</v>
      </c>
      <c r="AA59" s="131">
        <f t="shared" si="12"/>
        <v>1327817.9941784544</v>
      </c>
      <c r="AC59" s="131">
        <v>1330877.8252199094</v>
      </c>
      <c r="AD59" s="151">
        <f t="shared" si="17"/>
        <v>-3059.831041455036</v>
      </c>
    </row>
    <row r="60" spans="2:30" x14ac:dyDescent="0.3">
      <c r="B60">
        <v>8</v>
      </c>
      <c r="C60" s="25">
        <v>5</v>
      </c>
      <c r="D60" s="32" t="s">
        <v>81</v>
      </c>
      <c r="E60" s="153">
        <v>2075.63</v>
      </c>
      <c r="F60" s="153">
        <f>INDEX('Revised 2019 Lockdown'!H$5:H$257,MATCH(B60,'Revised 2019 Lockdown'!B$5:B$257,0))</f>
        <v>2075.63</v>
      </c>
      <c r="G60" s="153">
        <f t="shared" si="13"/>
        <v>0</v>
      </c>
      <c r="H60" s="151">
        <v>864369.87</v>
      </c>
      <c r="I60" s="151">
        <f>INDEX('Revised 2019 Lockdown'!E$5:E$257,MATCH(B60,'Revised 2019 Lockdown'!B$5:B$257,0))</f>
        <v>864369.87</v>
      </c>
      <c r="J60" s="151">
        <f t="shared" si="14"/>
        <v>0</v>
      </c>
      <c r="K60" s="151">
        <v>93052.72</v>
      </c>
      <c r="L60" s="151">
        <f>INDEX('Revised 2019 Lockdown'!F$5:F$257,MATCH(B60,'Revised 2019 Lockdown'!B$5:B$257,0))</f>
        <v>93052.72</v>
      </c>
      <c r="M60" s="151">
        <f t="shared" si="15"/>
        <v>0</v>
      </c>
      <c r="N60" s="151">
        <v>771317.15</v>
      </c>
      <c r="O60" s="156">
        <f t="shared" si="2"/>
        <v>771317.15</v>
      </c>
      <c r="P60" s="156">
        <f t="shared" si="16"/>
        <v>0</v>
      </c>
      <c r="Q60" s="85">
        <f t="shared" si="3"/>
        <v>371.60628339347574</v>
      </c>
      <c r="R60" s="6">
        <f t="shared" si="4"/>
        <v>371.60628339347574</v>
      </c>
      <c r="S60" s="5">
        <f t="shared" si="5"/>
        <v>771317.15</v>
      </c>
      <c r="T60" s="113">
        <v>0.72685185185185186</v>
      </c>
      <c r="U60" s="87">
        <f t="shared" si="6"/>
        <v>177884.92041850099</v>
      </c>
      <c r="V60" s="87">
        <f t="shared" si="7"/>
        <v>148369.48673719072</v>
      </c>
      <c r="W60" s="87">
        <f t="shared" si="8"/>
        <v>38788.795146812015</v>
      </c>
      <c r="X60" s="87">
        <f t="shared" si="9"/>
        <v>9338.7813558371763</v>
      </c>
      <c r="Y60" s="87">
        <f t="shared" si="10"/>
        <v>374381.98365834093</v>
      </c>
      <c r="Z60" s="91">
        <f t="shared" si="11"/>
        <v>0.48538008477879807</v>
      </c>
      <c r="AA60" s="131">
        <f t="shared" si="12"/>
        <v>374393.72043477074</v>
      </c>
      <c r="AC60" s="131">
        <v>375257.8778534563</v>
      </c>
      <c r="AD60" s="151">
        <f t="shared" si="17"/>
        <v>-864.15741868555779</v>
      </c>
    </row>
    <row r="61" spans="2:30" x14ac:dyDescent="0.3">
      <c r="B61">
        <v>41</v>
      </c>
      <c r="C61" s="25">
        <v>5</v>
      </c>
      <c r="D61" s="32" t="s">
        <v>82</v>
      </c>
      <c r="E61" s="153">
        <v>993.22</v>
      </c>
      <c r="F61" s="153">
        <f>INDEX('Revised 2019 Lockdown'!H$5:H$257,MATCH(B61,'Revised 2019 Lockdown'!B$5:B$257,0))</f>
        <v>993.22</v>
      </c>
      <c r="G61" s="153">
        <f t="shared" si="13"/>
        <v>0</v>
      </c>
      <c r="H61" s="151">
        <v>598036.62</v>
      </c>
      <c r="I61" s="151">
        <f>INDEX('Revised 2019 Lockdown'!E$5:E$257,MATCH(B61,'Revised 2019 Lockdown'!B$5:B$257,0))</f>
        <v>598036.62</v>
      </c>
      <c r="J61" s="151">
        <f t="shared" si="14"/>
        <v>0</v>
      </c>
      <c r="K61" s="151">
        <v>171251.26000000004</v>
      </c>
      <c r="L61" s="151">
        <f>INDEX('Revised 2019 Lockdown'!F$5:F$257,MATCH(B61,'Revised 2019 Lockdown'!B$5:B$257,0))</f>
        <v>171251.26000000004</v>
      </c>
      <c r="M61" s="151">
        <f t="shared" si="15"/>
        <v>0</v>
      </c>
      <c r="N61" s="151">
        <v>426785.36</v>
      </c>
      <c r="O61" s="156">
        <f t="shared" si="2"/>
        <v>426785.36</v>
      </c>
      <c r="P61" s="156">
        <f t="shared" si="16"/>
        <v>0</v>
      </c>
      <c r="Q61" s="85">
        <f t="shared" si="3"/>
        <v>429.69871730331647</v>
      </c>
      <c r="R61" s="6">
        <f t="shared" si="4"/>
        <v>429.69871730331647</v>
      </c>
      <c r="S61" s="5">
        <f t="shared" si="5"/>
        <v>426785.36</v>
      </c>
      <c r="T61" s="113">
        <v>0.2361111111111111</v>
      </c>
      <c r="U61" s="87">
        <f t="shared" si="6"/>
        <v>98427.319811806708</v>
      </c>
      <c r="V61" s="87">
        <f t="shared" si="7"/>
        <v>70997.018552011941</v>
      </c>
      <c r="W61" s="87">
        <f t="shared" si="8"/>
        <v>6971.9351533363069</v>
      </c>
      <c r="X61" s="87">
        <f t="shared" si="9"/>
        <v>5167.3363711830561</v>
      </c>
      <c r="Y61" s="87">
        <f t="shared" si="10"/>
        <v>181563.60988833799</v>
      </c>
      <c r="Z61" s="91">
        <f t="shared" si="11"/>
        <v>0.42542136377015838</v>
      </c>
      <c r="AA61" s="131">
        <f t="shared" si="12"/>
        <v>181569.30185961348</v>
      </c>
      <c r="AC61" s="131">
        <v>181990.42833262644</v>
      </c>
      <c r="AD61" s="151">
        <f t="shared" si="17"/>
        <v>-421.12647301296238</v>
      </c>
    </row>
    <row r="62" spans="2:30" x14ac:dyDescent="0.3">
      <c r="B62">
        <v>56</v>
      </c>
      <c r="C62" s="25">
        <v>5</v>
      </c>
      <c r="D62" s="32" t="s">
        <v>83</v>
      </c>
      <c r="E62" s="153">
        <v>2867.28</v>
      </c>
      <c r="F62" s="153">
        <f>INDEX('Revised 2019 Lockdown'!H$5:H$257,MATCH(B62,'Revised 2019 Lockdown'!B$5:B$257,0))</f>
        <v>2867.28</v>
      </c>
      <c r="G62" s="153">
        <f t="shared" si="13"/>
        <v>0</v>
      </c>
      <c r="H62" s="151">
        <v>572395.97</v>
      </c>
      <c r="I62" s="151">
        <f>INDEX('Revised 2019 Lockdown'!E$5:E$257,MATCH(B62,'Revised 2019 Lockdown'!B$5:B$257,0))</f>
        <v>572395.97</v>
      </c>
      <c r="J62" s="151">
        <f t="shared" si="14"/>
        <v>0</v>
      </c>
      <c r="K62" s="151">
        <v>2299.3900000000003</v>
      </c>
      <c r="L62" s="151">
        <f>INDEX('Revised 2019 Lockdown'!F$5:F$257,MATCH(B62,'Revised 2019 Lockdown'!B$5:B$257,0))</f>
        <v>2299.3900000000003</v>
      </c>
      <c r="M62" s="151">
        <f t="shared" si="15"/>
        <v>0</v>
      </c>
      <c r="N62" s="151">
        <v>570096.57999999996</v>
      </c>
      <c r="O62" s="156">
        <f t="shared" si="2"/>
        <v>570096.57999999996</v>
      </c>
      <c r="P62" s="156">
        <f t="shared" si="16"/>
        <v>0</v>
      </c>
      <c r="Q62" s="85">
        <f t="shared" si="3"/>
        <v>198.82835997879522</v>
      </c>
      <c r="R62" s="6">
        <f t="shared" si="4"/>
        <v>198.82835997879522</v>
      </c>
      <c r="S62" s="5">
        <f t="shared" si="5"/>
        <v>570096.57999999996</v>
      </c>
      <c r="T62" s="113">
        <v>0.96759259259259256</v>
      </c>
      <c r="U62" s="87">
        <f t="shared" si="6"/>
        <v>131478.45184585816</v>
      </c>
      <c r="V62" s="87">
        <f t="shared" si="7"/>
        <v>204957.94622924714</v>
      </c>
      <c r="W62" s="87">
        <f t="shared" si="8"/>
        <v>38165.272827478271</v>
      </c>
      <c r="X62" s="87">
        <f t="shared" si="9"/>
        <v>6902.4879225498053</v>
      </c>
      <c r="Y62" s="87">
        <f t="shared" si="10"/>
        <v>381504.15882513335</v>
      </c>
      <c r="Z62" s="91">
        <f t="shared" si="11"/>
        <v>0.66919215481898409</v>
      </c>
      <c r="AA62" s="131">
        <f t="shared" si="12"/>
        <v>381516.11887987587</v>
      </c>
      <c r="AC62" s="131">
        <v>382305.80244564003</v>
      </c>
      <c r="AD62" s="151">
        <f t="shared" si="17"/>
        <v>-789.68356576416409</v>
      </c>
    </row>
    <row r="63" spans="2:30" x14ac:dyDescent="0.3">
      <c r="B63">
        <v>67</v>
      </c>
      <c r="C63" s="25">
        <v>5</v>
      </c>
      <c r="D63" s="32" t="s">
        <v>84</v>
      </c>
      <c r="E63" s="153">
        <v>1347.1733959092533</v>
      </c>
      <c r="F63" s="153">
        <f>INDEX('Revised 2019 Lockdown'!H$5:H$257,MATCH(B63,'Revised 2019 Lockdown'!B$5:B$257,0))</f>
        <v>1347.1733959092533</v>
      </c>
      <c r="G63" s="153">
        <f t="shared" si="13"/>
        <v>0</v>
      </c>
      <c r="H63" s="151">
        <v>207963.68</v>
      </c>
      <c r="I63" s="151">
        <f>INDEX('Revised 2019 Lockdown'!E$5:E$257,MATCH(B63,'Revised 2019 Lockdown'!B$5:B$257,0))</f>
        <v>207963.68</v>
      </c>
      <c r="J63" s="151">
        <f t="shared" si="14"/>
        <v>0</v>
      </c>
      <c r="K63" s="151">
        <v>0</v>
      </c>
      <c r="L63" s="151">
        <f>INDEX('Revised 2019 Lockdown'!F$5:F$257,MATCH(B63,'Revised 2019 Lockdown'!B$5:B$257,0))</f>
        <v>0</v>
      </c>
      <c r="M63" s="151">
        <f t="shared" si="15"/>
        <v>0</v>
      </c>
      <c r="N63" s="151">
        <v>207963.68</v>
      </c>
      <c r="O63" s="156">
        <f t="shared" si="2"/>
        <v>207963.68</v>
      </c>
      <c r="P63" s="156">
        <f t="shared" si="16"/>
        <v>0</v>
      </c>
      <c r="Q63" s="85">
        <f t="shared" si="3"/>
        <v>154.37038812634674</v>
      </c>
      <c r="R63" s="6">
        <f t="shared" si="4"/>
        <v>154.37038812634674</v>
      </c>
      <c r="S63" s="5">
        <f t="shared" si="5"/>
        <v>207963.68</v>
      </c>
      <c r="T63" s="113">
        <v>0.81712962962962965</v>
      </c>
      <c r="U63" s="87">
        <f t="shared" si="6"/>
        <v>47961.597465761784</v>
      </c>
      <c r="V63" s="87">
        <f t="shared" si="7"/>
        <v>96298.196353422391</v>
      </c>
      <c r="W63" s="87">
        <f t="shared" si="8"/>
        <v>11757.252712092992</v>
      </c>
      <c r="X63" s="87">
        <f t="shared" si="9"/>
        <v>2517.9361530795582</v>
      </c>
      <c r="Y63" s="87">
        <f t="shared" si="10"/>
        <v>158534.98268435674</v>
      </c>
      <c r="Z63" s="91">
        <f t="shared" si="11"/>
        <v>0.76232052964419916</v>
      </c>
      <c r="AA63" s="131">
        <f t="shared" si="12"/>
        <v>155972.76</v>
      </c>
      <c r="AC63" s="131">
        <v>155972.76</v>
      </c>
      <c r="AD63" s="151">
        <f t="shared" si="17"/>
        <v>0</v>
      </c>
    </row>
    <row r="64" spans="2:30" x14ac:dyDescent="0.3">
      <c r="B64">
        <v>157</v>
      </c>
      <c r="C64" s="25">
        <v>5</v>
      </c>
      <c r="D64" s="32" t="s">
        <v>85</v>
      </c>
      <c r="E64" s="153">
        <v>391.46480007526981</v>
      </c>
      <c r="F64" s="153">
        <f>INDEX('Revised 2019 Lockdown'!H$5:H$257,MATCH(B64,'Revised 2019 Lockdown'!B$5:B$257,0))</f>
        <v>391.46480007526981</v>
      </c>
      <c r="G64" s="153">
        <f t="shared" si="13"/>
        <v>0</v>
      </c>
      <c r="H64" s="151">
        <v>154392.98000000001</v>
      </c>
      <c r="I64" s="151">
        <f>INDEX('Revised 2019 Lockdown'!E$5:E$257,MATCH(B64,'Revised 2019 Lockdown'!B$5:B$257,0))</f>
        <v>154392.98000000001</v>
      </c>
      <c r="J64" s="151">
        <f t="shared" si="14"/>
        <v>0</v>
      </c>
      <c r="K64" s="151">
        <v>250</v>
      </c>
      <c r="L64" s="151">
        <f>INDEX('Revised 2019 Lockdown'!F$5:F$257,MATCH(B64,'Revised 2019 Lockdown'!B$5:B$257,0))</f>
        <v>250</v>
      </c>
      <c r="M64" s="151">
        <f t="shared" si="15"/>
        <v>0</v>
      </c>
      <c r="N64" s="151">
        <v>154142.98000000001</v>
      </c>
      <c r="O64" s="156">
        <f t="shared" si="2"/>
        <v>154142.98000000001</v>
      </c>
      <c r="P64" s="156">
        <f t="shared" si="16"/>
        <v>0</v>
      </c>
      <c r="Q64" s="85">
        <f t="shared" si="3"/>
        <v>393.7594899218571</v>
      </c>
      <c r="R64" s="6">
        <f t="shared" si="4"/>
        <v>393.7594899218571</v>
      </c>
      <c r="S64" s="5">
        <f t="shared" si="5"/>
        <v>154142.98000000001</v>
      </c>
      <c r="T64" s="113">
        <v>0.53240740740740744</v>
      </c>
      <c r="U64" s="87">
        <f t="shared" si="6"/>
        <v>35549.205317644744</v>
      </c>
      <c r="V64" s="87">
        <f t="shared" si="7"/>
        <v>27982.555399008859</v>
      </c>
      <c r="W64" s="87">
        <f t="shared" si="8"/>
        <v>5677.9980715682586</v>
      </c>
      <c r="X64" s="87">
        <f t="shared" si="9"/>
        <v>1866.2979135848111</v>
      </c>
      <c r="Y64" s="87">
        <f t="shared" si="10"/>
        <v>71076.056701806679</v>
      </c>
      <c r="Z64" s="91">
        <f t="shared" si="11"/>
        <v>0.46110472693473731</v>
      </c>
      <c r="AA64" s="131">
        <f t="shared" si="12"/>
        <v>71078.284917435187</v>
      </c>
      <c r="AC64" s="131">
        <v>71242.703663269014</v>
      </c>
      <c r="AD64" s="151">
        <f t="shared" si="17"/>
        <v>-164.41874583382742</v>
      </c>
    </row>
    <row r="65" spans="2:30" x14ac:dyDescent="0.3">
      <c r="B65">
        <v>214</v>
      </c>
      <c r="C65" s="25">
        <v>5</v>
      </c>
      <c r="D65" s="32" t="s">
        <v>86</v>
      </c>
      <c r="E65" s="153">
        <v>2751.6000000000004</v>
      </c>
      <c r="F65" s="153">
        <f>INDEX('Revised 2019 Lockdown'!H$5:H$257,MATCH(B65,'Revised 2019 Lockdown'!B$5:B$257,0))</f>
        <v>2751.6000000000004</v>
      </c>
      <c r="G65" s="153">
        <f t="shared" si="13"/>
        <v>0</v>
      </c>
      <c r="H65" s="151">
        <v>1755275.05</v>
      </c>
      <c r="I65" s="151">
        <f>INDEX('Revised 2019 Lockdown'!E$5:E$257,MATCH(B65,'Revised 2019 Lockdown'!B$5:B$257,0))</f>
        <v>1755275.05</v>
      </c>
      <c r="J65" s="151">
        <f t="shared" si="14"/>
        <v>0</v>
      </c>
      <c r="K65" s="151">
        <v>255085.94</v>
      </c>
      <c r="L65" s="151">
        <f>INDEX('Revised 2019 Lockdown'!F$5:F$257,MATCH(B65,'Revised 2019 Lockdown'!B$5:B$257,0))</f>
        <v>255085.94</v>
      </c>
      <c r="M65" s="151">
        <f t="shared" si="15"/>
        <v>0</v>
      </c>
      <c r="N65" s="151">
        <v>1500189.11</v>
      </c>
      <c r="O65" s="156">
        <f t="shared" si="2"/>
        <v>1500189.11</v>
      </c>
      <c r="P65" s="156">
        <f t="shared" si="16"/>
        <v>0</v>
      </c>
      <c r="Q65" s="85">
        <f t="shared" si="3"/>
        <v>545.2061019043465</v>
      </c>
      <c r="R65" s="6">
        <f t="shared" si="4"/>
        <v>537.91820621973352</v>
      </c>
      <c r="S65" s="5">
        <f t="shared" si="5"/>
        <v>1480135.736234219</v>
      </c>
      <c r="T65" s="113">
        <v>0.6689814814814814</v>
      </c>
      <c r="U65" s="87">
        <f t="shared" si="6"/>
        <v>341356.11745259835</v>
      </c>
      <c r="V65" s="87">
        <f t="shared" si="7"/>
        <v>196688.94731048116</v>
      </c>
      <c r="W65" s="87">
        <f t="shared" si="8"/>
        <v>68508.276349861742</v>
      </c>
      <c r="X65" s="87">
        <f t="shared" si="9"/>
        <v>17920.8565732688</v>
      </c>
      <c r="Y65" s="87">
        <f t="shared" si="10"/>
        <v>624474.19768621004</v>
      </c>
      <c r="Z65" s="91">
        <f t="shared" si="11"/>
        <v>0.42190333116002293</v>
      </c>
      <c r="AA65" s="131">
        <f t="shared" si="12"/>
        <v>624493.77478757803</v>
      </c>
      <c r="AC65" s="131">
        <v>627100.36488729075</v>
      </c>
      <c r="AD65" s="151">
        <f t="shared" si="17"/>
        <v>-2606.5900997127173</v>
      </c>
    </row>
    <row r="66" spans="2:30" x14ac:dyDescent="0.3">
      <c r="B66">
        <v>223</v>
      </c>
      <c r="C66" s="25">
        <v>5</v>
      </c>
      <c r="D66" s="32" t="s">
        <v>87</v>
      </c>
      <c r="E66" s="153">
        <v>273.99</v>
      </c>
      <c r="F66" s="153">
        <f>INDEX('Revised 2019 Lockdown'!H$5:H$257,MATCH(B66,'Revised 2019 Lockdown'!B$5:B$257,0))</f>
        <v>273.99</v>
      </c>
      <c r="G66" s="153">
        <f t="shared" si="13"/>
        <v>0</v>
      </c>
      <c r="H66" s="151">
        <v>230639.28</v>
      </c>
      <c r="I66" s="151">
        <f>INDEX('Revised 2019 Lockdown'!E$5:E$257,MATCH(B66,'Revised 2019 Lockdown'!B$5:B$257,0))</f>
        <v>230639.28</v>
      </c>
      <c r="J66" s="151">
        <f t="shared" si="14"/>
        <v>0</v>
      </c>
      <c r="K66" s="151">
        <v>800.41</v>
      </c>
      <c r="L66" s="151">
        <f>INDEX('Revised 2019 Lockdown'!F$5:F$257,MATCH(B66,'Revised 2019 Lockdown'!B$5:B$257,0))</f>
        <v>800.41</v>
      </c>
      <c r="M66" s="151">
        <f t="shared" si="15"/>
        <v>0</v>
      </c>
      <c r="N66" s="151">
        <v>229838.87</v>
      </c>
      <c r="O66" s="156">
        <f t="shared" si="2"/>
        <v>229838.87</v>
      </c>
      <c r="P66" s="156">
        <f t="shared" si="16"/>
        <v>0</v>
      </c>
      <c r="Q66" s="85">
        <f t="shared" si="3"/>
        <v>838.85860797839337</v>
      </c>
      <c r="R66" s="6">
        <f t="shared" si="4"/>
        <v>537.91820621973352</v>
      </c>
      <c r="S66" s="5">
        <f t="shared" si="5"/>
        <v>147384.2093221448</v>
      </c>
      <c r="T66" s="113">
        <v>0.4513888888888889</v>
      </c>
      <c r="U66" s="87">
        <f t="shared" si="6"/>
        <v>33990.464682670958</v>
      </c>
      <c r="V66" s="87">
        <f t="shared" si="7"/>
        <v>19585.261183892548</v>
      </c>
      <c r="W66" s="87">
        <f t="shared" si="8"/>
        <v>4602.8754257783585</v>
      </c>
      <c r="X66" s="87">
        <f t="shared" si="9"/>
        <v>1784.4655809383332</v>
      </c>
      <c r="Y66" s="87">
        <f t="shared" si="10"/>
        <v>59963.066873280193</v>
      </c>
      <c r="Z66" s="91">
        <f t="shared" si="11"/>
        <v>0.40684865189469527</v>
      </c>
      <c r="AA66" s="131">
        <f t="shared" si="12"/>
        <v>59964.94669960907</v>
      </c>
      <c r="AC66" s="131">
        <v>60214.557590464501</v>
      </c>
      <c r="AD66" s="151">
        <f t="shared" si="17"/>
        <v>-249.61089085543063</v>
      </c>
    </row>
    <row r="67" spans="2:30" x14ac:dyDescent="0.3">
      <c r="B67">
        <v>224</v>
      </c>
      <c r="C67" s="25">
        <v>5</v>
      </c>
      <c r="D67" s="32" t="s">
        <v>88</v>
      </c>
      <c r="E67" s="153">
        <v>196.82810451351673</v>
      </c>
      <c r="F67" s="153">
        <f>INDEX('Revised 2019 Lockdown'!H$5:H$257,MATCH(B67,'Revised 2019 Lockdown'!B$5:B$257,0))</f>
        <v>196.82810451351673</v>
      </c>
      <c r="G67" s="153">
        <f t="shared" si="13"/>
        <v>0</v>
      </c>
      <c r="H67" s="151">
        <v>77631.63</v>
      </c>
      <c r="I67" s="151">
        <f>INDEX('Revised 2019 Lockdown'!E$5:E$257,MATCH(B67,'Revised 2019 Lockdown'!B$5:B$257,0))</f>
        <v>77631.63</v>
      </c>
      <c r="J67" s="151">
        <f t="shared" si="14"/>
        <v>0</v>
      </c>
      <c r="K67" s="151">
        <v>210</v>
      </c>
      <c r="L67" s="151">
        <f>INDEX('Revised 2019 Lockdown'!F$5:F$257,MATCH(B67,'Revised 2019 Lockdown'!B$5:B$257,0))</f>
        <v>210</v>
      </c>
      <c r="M67" s="151">
        <f t="shared" si="15"/>
        <v>0</v>
      </c>
      <c r="N67" s="151">
        <v>77421.63</v>
      </c>
      <c r="O67" s="156">
        <f t="shared" si="2"/>
        <v>77421.63</v>
      </c>
      <c r="P67" s="156">
        <f t="shared" si="16"/>
        <v>0</v>
      </c>
      <c r="Q67" s="85">
        <f t="shared" si="3"/>
        <v>393.34641864969666</v>
      </c>
      <c r="R67" s="6">
        <f t="shared" si="4"/>
        <v>393.34641864969666</v>
      </c>
      <c r="S67" s="5">
        <f t="shared" si="5"/>
        <v>77421.63</v>
      </c>
      <c r="T67" s="113">
        <v>0.4907407407407407</v>
      </c>
      <c r="U67" s="87">
        <f t="shared" si="6"/>
        <v>17855.353652152851</v>
      </c>
      <c r="V67" s="87">
        <f t="shared" si="7"/>
        <v>14069.600478950779</v>
      </c>
      <c r="W67" s="87">
        <f t="shared" si="8"/>
        <v>2628.7048432336142</v>
      </c>
      <c r="X67" s="87">
        <f t="shared" si="9"/>
        <v>937.38830360834618</v>
      </c>
      <c r="Y67" s="87">
        <f t="shared" si="10"/>
        <v>35491.047277945589</v>
      </c>
      <c r="Z67" s="91">
        <f t="shared" si="11"/>
        <v>0.45841255574114864</v>
      </c>
      <c r="AA67" s="131">
        <f t="shared" si="12"/>
        <v>35492.159912915602</v>
      </c>
      <c r="AC67" s="131">
        <v>35574.110817579407</v>
      </c>
      <c r="AD67" s="151">
        <f t="shared" si="17"/>
        <v>-81.950904663804977</v>
      </c>
    </row>
    <row r="68" spans="2:30" x14ac:dyDescent="0.3">
      <c r="B68">
        <v>233</v>
      </c>
      <c r="C68" s="25">
        <v>5</v>
      </c>
      <c r="D68" s="32" t="s">
        <v>89</v>
      </c>
      <c r="E68" s="153">
        <v>2130.7600000000002</v>
      </c>
      <c r="F68" s="153">
        <f>INDEX('Revised 2019 Lockdown'!H$5:H$257,MATCH(B68,'Revised 2019 Lockdown'!B$5:B$257,0))</f>
        <v>2130.7600000000002</v>
      </c>
      <c r="G68" s="153">
        <f t="shared" si="13"/>
        <v>0</v>
      </c>
      <c r="H68" s="151">
        <v>703293.56</v>
      </c>
      <c r="I68" s="151">
        <f>INDEX('Revised 2019 Lockdown'!E$5:E$257,MATCH(B68,'Revised 2019 Lockdown'!B$5:B$257,0))</f>
        <v>703293.56</v>
      </c>
      <c r="J68" s="151">
        <f t="shared" si="14"/>
        <v>0</v>
      </c>
      <c r="K68" s="151">
        <v>171134.77</v>
      </c>
      <c r="L68" s="151">
        <f>INDEX('Revised 2019 Lockdown'!F$5:F$257,MATCH(B68,'Revised 2019 Lockdown'!B$5:B$257,0))</f>
        <v>171134.77</v>
      </c>
      <c r="M68" s="151">
        <f t="shared" si="15"/>
        <v>0</v>
      </c>
      <c r="N68" s="151">
        <v>532158.79</v>
      </c>
      <c r="O68" s="156">
        <f t="shared" si="2"/>
        <v>532158.79</v>
      </c>
      <c r="P68" s="156">
        <f t="shared" si="16"/>
        <v>0</v>
      </c>
      <c r="Q68" s="85">
        <f t="shared" si="3"/>
        <v>249.7506945878466</v>
      </c>
      <c r="R68" s="6">
        <f t="shared" si="4"/>
        <v>249.7506945878466</v>
      </c>
      <c r="S68" s="5">
        <f t="shared" si="5"/>
        <v>532158.79</v>
      </c>
      <c r="T68" s="113">
        <v>0.69444444444444442</v>
      </c>
      <c r="U68" s="87">
        <f t="shared" si="6"/>
        <v>122729.05381289108</v>
      </c>
      <c r="V68" s="87">
        <f t="shared" si="7"/>
        <v>152310.27088649542</v>
      </c>
      <c r="W68" s="87">
        <f t="shared" si="8"/>
        <v>25568.552877685641</v>
      </c>
      <c r="X68" s="87">
        <f t="shared" si="9"/>
        <v>6443.1532300258996</v>
      </c>
      <c r="Y68" s="87">
        <f t="shared" si="10"/>
        <v>307051.03080709802</v>
      </c>
      <c r="Z68" s="91">
        <f t="shared" si="11"/>
        <v>0.57699137283271784</v>
      </c>
      <c r="AA68" s="131">
        <f t="shared" si="12"/>
        <v>307060.6567759171</v>
      </c>
      <c r="AC68" s="131">
        <v>307717.80876115826</v>
      </c>
      <c r="AD68" s="151">
        <f t="shared" si="17"/>
        <v>-657.1519852411584</v>
      </c>
    </row>
    <row r="69" spans="2:30" x14ac:dyDescent="0.3">
      <c r="B69">
        <v>272</v>
      </c>
      <c r="C69" s="25">
        <v>5</v>
      </c>
      <c r="D69" s="32" t="s">
        <v>90</v>
      </c>
      <c r="E69" s="153">
        <v>311.79011619626056</v>
      </c>
      <c r="F69" s="153">
        <f>INDEX('Revised 2019 Lockdown'!H$5:H$257,MATCH(B69,'Revised 2019 Lockdown'!B$5:B$257,0))</f>
        <v>311.79011619626056</v>
      </c>
      <c r="G69" s="153">
        <f t="shared" si="13"/>
        <v>0</v>
      </c>
      <c r="H69" s="151">
        <v>96048.45</v>
      </c>
      <c r="I69" s="151">
        <f>INDEX('Revised 2019 Lockdown'!E$5:E$257,MATCH(B69,'Revised 2019 Lockdown'!B$5:B$257,0))</f>
        <v>96048.45</v>
      </c>
      <c r="J69" s="151">
        <f t="shared" si="14"/>
        <v>0</v>
      </c>
      <c r="K69" s="151">
        <v>0</v>
      </c>
      <c r="L69" s="151">
        <f>INDEX('Revised 2019 Lockdown'!F$5:F$257,MATCH(B69,'Revised 2019 Lockdown'!B$5:B$257,0))</f>
        <v>0</v>
      </c>
      <c r="M69" s="151">
        <f t="shared" si="15"/>
        <v>0</v>
      </c>
      <c r="N69" s="151">
        <v>96048.45</v>
      </c>
      <c r="O69" s="156">
        <f t="shared" si="2"/>
        <v>96048.45</v>
      </c>
      <c r="P69" s="156">
        <f t="shared" si="16"/>
        <v>0</v>
      </c>
      <c r="Q69" s="85">
        <f t="shared" si="3"/>
        <v>308.05482602130013</v>
      </c>
      <c r="R69" s="6">
        <f t="shared" si="4"/>
        <v>308.05482602130013</v>
      </c>
      <c r="S69" s="5">
        <f t="shared" si="5"/>
        <v>96048.45</v>
      </c>
      <c r="T69" s="113">
        <v>0.43055555555555558</v>
      </c>
      <c r="U69" s="87">
        <f t="shared" si="6"/>
        <v>22151.161664913543</v>
      </c>
      <c r="V69" s="87">
        <f t="shared" si="7"/>
        <v>22287.276397897618</v>
      </c>
      <c r="W69" s="87">
        <f t="shared" si="8"/>
        <v>2861.1917150513327</v>
      </c>
      <c r="X69" s="87">
        <f t="shared" si="9"/>
        <v>1162.9139506583761</v>
      </c>
      <c r="Y69" s="87">
        <f t="shared" si="10"/>
        <v>48462.543728520868</v>
      </c>
      <c r="Z69" s="91">
        <f t="shared" si="11"/>
        <v>0.50456351693880397</v>
      </c>
      <c r="AA69" s="131">
        <f t="shared" si="12"/>
        <v>48464.063016482869</v>
      </c>
      <c r="AC69" s="131">
        <v>48570.788495177221</v>
      </c>
      <c r="AD69" s="151">
        <f t="shared" si="17"/>
        <v>-106.7254786943522</v>
      </c>
    </row>
    <row r="70" spans="2:30" x14ac:dyDescent="0.3">
      <c r="B70">
        <v>427</v>
      </c>
      <c r="C70" s="25">
        <v>5</v>
      </c>
      <c r="D70" s="32" t="s">
        <v>91</v>
      </c>
      <c r="E70" s="153">
        <v>437.80999999999989</v>
      </c>
      <c r="F70" s="153">
        <f>INDEX('Revised 2019 Lockdown'!H$5:H$257,MATCH(B70,'Revised 2019 Lockdown'!B$5:B$257,0))</f>
        <v>437.80999999999989</v>
      </c>
      <c r="G70" s="153">
        <f t="shared" si="13"/>
        <v>0</v>
      </c>
      <c r="H70" s="151">
        <v>207168.59</v>
      </c>
      <c r="I70" s="151">
        <f>INDEX('Revised 2019 Lockdown'!E$5:E$257,MATCH(B70,'Revised 2019 Lockdown'!B$5:B$257,0))</f>
        <v>207168.59</v>
      </c>
      <c r="J70" s="151">
        <f t="shared" si="14"/>
        <v>0</v>
      </c>
      <c r="K70" s="151">
        <v>41727.25</v>
      </c>
      <c r="L70" s="151">
        <f>INDEX('Revised 2019 Lockdown'!F$5:F$257,MATCH(B70,'Revised 2019 Lockdown'!B$5:B$257,0))</f>
        <v>41727.25</v>
      </c>
      <c r="M70" s="151">
        <f t="shared" si="15"/>
        <v>0</v>
      </c>
      <c r="N70" s="151">
        <v>165441.34</v>
      </c>
      <c r="O70" s="156">
        <f t="shared" si="2"/>
        <v>165441.34</v>
      </c>
      <c r="P70" s="156">
        <f t="shared" si="16"/>
        <v>0</v>
      </c>
      <c r="Q70" s="85">
        <f t="shared" si="3"/>
        <v>377.88387656746085</v>
      </c>
      <c r="R70" s="6">
        <f t="shared" si="4"/>
        <v>377.88387656746085</v>
      </c>
      <c r="S70" s="5">
        <f t="shared" si="5"/>
        <v>165441.34</v>
      </c>
      <c r="T70" s="113">
        <v>0.79629629629629628</v>
      </c>
      <c r="U70" s="87">
        <f t="shared" si="6"/>
        <v>38154.888167377278</v>
      </c>
      <c r="V70" s="87">
        <f t="shared" si="7"/>
        <v>31295.387418956867</v>
      </c>
      <c r="W70" s="87">
        <f t="shared" si="8"/>
        <v>9114.7788399845704</v>
      </c>
      <c r="X70" s="87">
        <f t="shared" si="9"/>
        <v>2003.0936709714276</v>
      </c>
      <c r="Y70" s="87">
        <f t="shared" si="10"/>
        <v>80568.148097290148</v>
      </c>
      <c r="Z70" s="91">
        <f t="shared" si="11"/>
        <v>0.4869892138040598</v>
      </c>
      <c r="AA70" s="131">
        <f t="shared" si="12"/>
        <v>80570.673887480007</v>
      </c>
      <c r="AC70" s="131">
        <v>80757.68908940292</v>
      </c>
      <c r="AD70" s="151">
        <f t="shared" si="17"/>
        <v>-187.01520192291355</v>
      </c>
    </row>
    <row r="71" spans="2:30" x14ac:dyDescent="0.3">
      <c r="B71">
        <v>524</v>
      </c>
      <c r="C71" s="25">
        <v>5</v>
      </c>
      <c r="D71" s="32" t="s">
        <v>92</v>
      </c>
      <c r="E71" s="153">
        <v>482.90286206873753</v>
      </c>
      <c r="F71" s="153">
        <f>INDEX('Revised 2019 Lockdown'!H$5:H$257,MATCH(B71,'Revised 2019 Lockdown'!B$5:B$257,0))</f>
        <v>482.90286206873753</v>
      </c>
      <c r="G71" s="153">
        <f t="shared" si="13"/>
        <v>0</v>
      </c>
      <c r="H71" s="151">
        <v>318123.49</v>
      </c>
      <c r="I71" s="151">
        <f>INDEX('Revised 2019 Lockdown'!E$5:E$257,MATCH(B71,'Revised 2019 Lockdown'!B$5:B$257,0))</f>
        <v>318123.49</v>
      </c>
      <c r="J71" s="151">
        <f t="shared" si="14"/>
        <v>0</v>
      </c>
      <c r="K71" s="151">
        <v>89207.8</v>
      </c>
      <c r="L71" s="151">
        <f>INDEX('Revised 2019 Lockdown'!F$5:F$257,MATCH(B71,'Revised 2019 Lockdown'!B$5:B$257,0))</f>
        <v>89207.8</v>
      </c>
      <c r="M71" s="151">
        <f t="shared" si="15"/>
        <v>0</v>
      </c>
      <c r="N71" s="151">
        <v>228915.69</v>
      </c>
      <c r="O71" s="156">
        <f t="shared" si="2"/>
        <v>228915.69</v>
      </c>
      <c r="P71" s="156">
        <f t="shared" si="16"/>
        <v>0</v>
      </c>
      <c r="Q71" s="85">
        <f t="shared" si="3"/>
        <v>474.04086407633594</v>
      </c>
      <c r="R71" s="6">
        <f t="shared" si="4"/>
        <v>474.04086407633594</v>
      </c>
      <c r="S71" s="5">
        <f t="shared" si="5"/>
        <v>228915.69</v>
      </c>
      <c r="T71" s="113">
        <v>0.79166666666666674</v>
      </c>
      <c r="U71" s="87">
        <f t="shared" si="6"/>
        <v>52793.652128954011</v>
      </c>
      <c r="V71" s="87">
        <f t="shared" si="7"/>
        <v>34518.70024477339</v>
      </c>
      <c r="W71" s="87">
        <f t="shared" si="8"/>
        <v>12538.492380626578</v>
      </c>
      <c r="X71" s="87">
        <f t="shared" si="9"/>
        <v>2771.6142158003395</v>
      </c>
      <c r="Y71" s="87">
        <f t="shared" si="10"/>
        <v>102622.4589701543</v>
      </c>
      <c r="Z71" s="91">
        <f t="shared" si="11"/>
        <v>0.44829805667822203</v>
      </c>
      <c r="AA71" s="131">
        <f t="shared" si="12"/>
        <v>102625.67615717233</v>
      </c>
      <c r="AC71" s="131">
        <v>102872.87444830549</v>
      </c>
      <c r="AD71" s="151">
        <f t="shared" si="17"/>
        <v>-247.19829113315791</v>
      </c>
    </row>
    <row r="72" spans="2:30" x14ac:dyDescent="0.3">
      <c r="B72">
        <v>565</v>
      </c>
      <c r="C72" s="25">
        <v>5</v>
      </c>
      <c r="D72" s="32" t="s">
        <v>93</v>
      </c>
      <c r="E72" s="153">
        <v>483.48174802310336</v>
      </c>
      <c r="F72" s="153">
        <f>INDEX('Revised 2019 Lockdown'!H$5:H$257,MATCH(B72,'Revised 2019 Lockdown'!B$5:B$257,0))</f>
        <v>483.48174802310336</v>
      </c>
      <c r="G72" s="153">
        <f t="shared" si="13"/>
        <v>0</v>
      </c>
      <c r="H72" s="151">
        <v>273760.90999999997</v>
      </c>
      <c r="I72" s="151">
        <f>INDEX('Revised 2019 Lockdown'!E$5:E$257,MATCH(B72,'Revised 2019 Lockdown'!B$5:B$257,0))</f>
        <v>273760.90999999997</v>
      </c>
      <c r="J72" s="151">
        <f t="shared" si="14"/>
        <v>0</v>
      </c>
      <c r="K72" s="151">
        <v>88951.02</v>
      </c>
      <c r="L72" s="151">
        <f>INDEX('Revised 2019 Lockdown'!F$5:F$257,MATCH(B72,'Revised 2019 Lockdown'!B$5:B$257,0))</f>
        <v>88951.02</v>
      </c>
      <c r="M72" s="151">
        <f t="shared" si="15"/>
        <v>0</v>
      </c>
      <c r="N72" s="151">
        <v>184809.88999999996</v>
      </c>
      <c r="O72" s="156">
        <f t="shared" si="2"/>
        <v>184809.88999999996</v>
      </c>
      <c r="P72" s="156">
        <f t="shared" si="16"/>
        <v>0</v>
      </c>
      <c r="Q72" s="85">
        <f t="shared" si="3"/>
        <v>382.2479147468639</v>
      </c>
      <c r="R72" s="6">
        <f t="shared" si="4"/>
        <v>382.2479147468639</v>
      </c>
      <c r="S72" s="5">
        <f t="shared" si="5"/>
        <v>184809.88999999996</v>
      </c>
      <c r="T72" s="113">
        <v>0.7222222222222221</v>
      </c>
      <c r="U72" s="87">
        <f t="shared" si="6"/>
        <v>42621.757567820074</v>
      </c>
      <c r="V72" s="87">
        <f t="shared" si="7"/>
        <v>34560.079976194029</v>
      </c>
      <c r="W72" s="87">
        <f t="shared" si="8"/>
        <v>9234.7141396943462</v>
      </c>
      <c r="X72" s="87">
        <f t="shared" si="9"/>
        <v>2237.5998706969226</v>
      </c>
      <c r="Y72" s="87">
        <f t="shared" si="10"/>
        <v>88654.151554405369</v>
      </c>
      <c r="Z72" s="91">
        <f t="shared" si="11"/>
        <v>0.47970458482717232</v>
      </c>
      <c r="AA72" s="131">
        <f t="shared" si="12"/>
        <v>88656.930838670596</v>
      </c>
      <c r="AC72" s="131">
        <v>89771.578977263503</v>
      </c>
      <c r="AD72" s="151">
        <f t="shared" si="17"/>
        <v>-1114.6481385929073</v>
      </c>
    </row>
    <row r="73" spans="2:30" x14ac:dyDescent="0.3">
      <c r="B73">
        <v>613</v>
      </c>
      <c r="C73" s="25">
        <v>5</v>
      </c>
      <c r="D73" s="32" t="s">
        <v>94</v>
      </c>
      <c r="E73" s="153">
        <v>131.44881180778847</v>
      </c>
      <c r="F73" s="153">
        <f>INDEX('Revised 2019 Lockdown'!H$5:H$257,MATCH(B73,'Revised 2019 Lockdown'!B$5:B$257,0))</f>
        <v>131.44881180778847</v>
      </c>
      <c r="G73" s="153">
        <f t="shared" si="13"/>
        <v>0</v>
      </c>
      <c r="H73" s="151">
        <v>69874.64</v>
      </c>
      <c r="I73" s="151">
        <f>INDEX('Revised 2019 Lockdown'!E$5:E$257,MATCH(B73,'Revised 2019 Lockdown'!B$5:B$257,0))</f>
        <v>69874.64</v>
      </c>
      <c r="J73" s="151">
        <f t="shared" si="14"/>
        <v>0</v>
      </c>
      <c r="K73" s="151">
        <v>0</v>
      </c>
      <c r="L73" s="151">
        <f>INDEX('Revised 2019 Lockdown'!F$5:F$257,MATCH(B73,'Revised 2019 Lockdown'!B$5:B$257,0))</f>
        <v>0</v>
      </c>
      <c r="M73" s="151">
        <f t="shared" si="15"/>
        <v>0</v>
      </c>
      <c r="N73" s="151">
        <v>69874.64</v>
      </c>
      <c r="O73" s="156">
        <f t="shared" si="2"/>
        <v>69874.64</v>
      </c>
      <c r="P73" s="156">
        <f t="shared" si="16"/>
        <v>0</v>
      </c>
      <c r="Q73" s="85">
        <f t="shared" si="3"/>
        <v>531.57300578855336</v>
      </c>
      <c r="R73" s="6">
        <f t="shared" si="4"/>
        <v>531.57300578855336</v>
      </c>
      <c r="S73" s="5">
        <f t="shared" si="5"/>
        <v>69874.64</v>
      </c>
      <c r="T73" s="113">
        <v>0.22222222222222221</v>
      </c>
      <c r="U73" s="87">
        <f t="shared" si="6"/>
        <v>16114.830035441848</v>
      </c>
      <c r="V73" s="87">
        <f t="shared" si="7"/>
        <v>9396.1798298035537</v>
      </c>
      <c r="W73" s="87">
        <f t="shared" si="8"/>
        <v>1074.3220023627898</v>
      </c>
      <c r="X73" s="87">
        <f t="shared" si="9"/>
        <v>846.0125452647261</v>
      </c>
      <c r="Y73" s="87">
        <f t="shared" si="10"/>
        <v>27431.344412872921</v>
      </c>
      <c r="Z73" s="91">
        <f t="shared" si="11"/>
        <v>0.39257940238222222</v>
      </c>
      <c r="AA73" s="131">
        <f t="shared" si="12"/>
        <v>27432.204378284176</v>
      </c>
      <c r="AC73" s="131">
        <v>27498.079739791221</v>
      </c>
      <c r="AD73" s="151">
        <f t="shared" si="17"/>
        <v>-65.875361507045454</v>
      </c>
    </row>
    <row r="74" spans="2:30" x14ac:dyDescent="0.3">
      <c r="B74">
        <v>696</v>
      </c>
      <c r="C74" s="25">
        <v>5</v>
      </c>
      <c r="D74" s="32" t="s">
        <v>95</v>
      </c>
      <c r="E74" s="153">
        <v>255.58276788790465</v>
      </c>
      <c r="F74" s="153">
        <f>INDEX('Revised 2019 Lockdown'!H$5:H$257,MATCH(B74,'Revised 2019 Lockdown'!B$5:B$257,0))</f>
        <v>255.58276788790465</v>
      </c>
      <c r="G74" s="153">
        <f t="shared" si="13"/>
        <v>0</v>
      </c>
      <c r="H74" s="151">
        <v>129470.73</v>
      </c>
      <c r="I74" s="151">
        <f>INDEX('Revised 2019 Lockdown'!E$5:E$257,MATCH(B74,'Revised 2019 Lockdown'!B$5:B$257,0))</f>
        <v>129470.73</v>
      </c>
      <c r="J74" s="151">
        <f t="shared" si="14"/>
        <v>0</v>
      </c>
      <c r="K74" s="151">
        <v>201.75</v>
      </c>
      <c r="L74" s="151">
        <f>INDEX('Revised 2019 Lockdown'!F$5:F$257,MATCH(B74,'Revised 2019 Lockdown'!B$5:B$257,0))</f>
        <v>201.75</v>
      </c>
      <c r="M74" s="151">
        <f t="shared" si="15"/>
        <v>0</v>
      </c>
      <c r="N74" s="151">
        <v>129268.98</v>
      </c>
      <c r="O74" s="156">
        <f t="shared" si="2"/>
        <v>129268.98</v>
      </c>
      <c r="P74" s="156">
        <f t="shared" si="16"/>
        <v>0</v>
      </c>
      <c r="Q74" s="85">
        <f t="shared" si="3"/>
        <v>505.78128200214081</v>
      </c>
      <c r="R74" s="6">
        <f t="shared" si="4"/>
        <v>505.78128200214081</v>
      </c>
      <c r="S74" s="5">
        <f t="shared" si="5"/>
        <v>129268.98</v>
      </c>
      <c r="T74" s="113">
        <v>0.37268518518518512</v>
      </c>
      <c r="U74" s="87">
        <f t="shared" si="6"/>
        <v>29812.642205454391</v>
      </c>
      <c r="V74" s="87">
        <f t="shared" si="7"/>
        <v>18269.481598550301</v>
      </c>
      <c r="W74" s="87">
        <f t="shared" si="8"/>
        <v>3333.2190243598302</v>
      </c>
      <c r="X74" s="87">
        <f t="shared" si="9"/>
        <v>1565.1340571282367</v>
      </c>
      <c r="Y74" s="87">
        <f t="shared" si="10"/>
        <v>52980.476885492753</v>
      </c>
      <c r="Z74" s="91">
        <f t="shared" si="11"/>
        <v>0.40984679298539184</v>
      </c>
      <c r="AA74" s="131">
        <f t="shared" si="12"/>
        <v>52982.137809467444</v>
      </c>
      <c r="AC74" s="131">
        <v>53109.109205847584</v>
      </c>
      <c r="AD74" s="151">
        <f t="shared" si="17"/>
        <v>-126.9713963801405</v>
      </c>
    </row>
    <row r="75" spans="2:30" x14ac:dyDescent="0.3">
      <c r="B75">
        <v>731</v>
      </c>
      <c r="C75" s="25">
        <v>5</v>
      </c>
      <c r="D75" s="32" t="s">
        <v>96</v>
      </c>
      <c r="E75" s="153">
        <v>1049.3999999999999</v>
      </c>
      <c r="F75" s="153">
        <f>INDEX('Revised 2019 Lockdown'!H$5:H$257,MATCH(B75,'Revised 2019 Lockdown'!B$5:B$257,0))</f>
        <v>1049.3999999999999</v>
      </c>
      <c r="G75" s="153">
        <f t="shared" si="13"/>
        <v>0</v>
      </c>
      <c r="H75" s="151">
        <v>268966.73</v>
      </c>
      <c r="I75" s="151">
        <f>INDEX('Revised 2019 Lockdown'!E$5:E$257,MATCH(B75,'Revised 2019 Lockdown'!B$5:B$257,0))</f>
        <v>268966.73</v>
      </c>
      <c r="J75" s="151">
        <f t="shared" si="14"/>
        <v>0</v>
      </c>
      <c r="K75" s="151">
        <v>41367.85</v>
      </c>
      <c r="L75" s="151">
        <f>INDEX('Revised 2019 Lockdown'!F$5:F$257,MATCH(B75,'Revised 2019 Lockdown'!B$5:B$257,0))</f>
        <v>41367.85</v>
      </c>
      <c r="M75" s="151">
        <f t="shared" si="15"/>
        <v>0</v>
      </c>
      <c r="N75" s="151">
        <v>227598.87999999998</v>
      </c>
      <c r="O75" s="156">
        <f t="shared" si="2"/>
        <v>227598.87999999998</v>
      </c>
      <c r="P75" s="156">
        <f t="shared" si="16"/>
        <v>0</v>
      </c>
      <c r="Q75" s="85">
        <f t="shared" si="3"/>
        <v>216.88477225080999</v>
      </c>
      <c r="R75" s="6">
        <f t="shared" si="4"/>
        <v>216.88477225080999</v>
      </c>
      <c r="S75" s="5">
        <f t="shared" si="5"/>
        <v>227598.87999999998</v>
      </c>
      <c r="T75" s="113">
        <v>0.69907407407407396</v>
      </c>
      <c r="U75" s="87">
        <f t="shared" si="6"/>
        <v>52489.962988817177</v>
      </c>
      <c r="V75" s="87">
        <f t="shared" si="7"/>
        <v>75012.858448763945</v>
      </c>
      <c r="W75" s="87">
        <f t="shared" si="8"/>
        <v>11008.311682376932</v>
      </c>
      <c r="X75" s="87">
        <f t="shared" si="9"/>
        <v>2755.6708380637233</v>
      </c>
      <c r="Y75" s="87">
        <f t="shared" si="10"/>
        <v>141266.80395802177</v>
      </c>
      <c r="Z75" s="91">
        <f t="shared" si="11"/>
        <v>0.62068321231643053</v>
      </c>
      <c r="AA75" s="131">
        <f t="shared" si="12"/>
        <v>141271.23263506123</v>
      </c>
      <c r="AC75" s="131">
        <v>141565.24399894639</v>
      </c>
      <c r="AD75" s="151">
        <f t="shared" si="17"/>
        <v>-294.0113638851617</v>
      </c>
    </row>
    <row r="76" spans="2:30" x14ac:dyDescent="0.3">
      <c r="B76">
        <v>732</v>
      </c>
      <c r="C76" s="25">
        <v>5</v>
      </c>
      <c r="D76" s="32" t="s">
        <v>97</v>
      </c>
      <c r="E76" s="153">
        <v>190.20948473695086</v>
      </c>
      <c r="F76" s="153">
        <f>INDEX('Revised 2019 Lockdown'!H$5:H$257,MATCH(B76,'Revised 2019 Lockdown'!B$5:B$257,0))</f>
        <v>190.20948473695086</v>
      </c>
      <c r="G76" s="153">
        <f t="shared" si="13"/>
        <v>0</v>
      </c>
      <c r="H76" s="151">
        <v>70626.64</v>
      </c>
      <c r="I76" s="151">
        <f>INDEX('Revised 2019 Lockdown'!E$5:E$257,MATCH(B76,'Revised 2019 Lockdown'!B$5:B$257,0))</f>
        <v>70626.64</v>
      </c>
      <c r="J76" s="151">
        <f t="shared" si="14"/>
        <v>0</v>
      </c>
      <c r="K76" s="151">
        <v>0</v>
      </c>
      <c r="L76" s="151">
        <f>INDEX('Revised 2019 Lockdown'!F$5:F$257,MATCH(B76,'Revised 2019 Lockdown'!B$5:B$257,0))</f>
        <v>0</v>
      </c>
      <c r="M76" s="151">
        <f t="shared" si="15"/>
        <v>0</v>
      </c>
      <c r="N76" s="151">
        <v>70626.64</v>
      </c>
      <c r="O76" s="156">
        <f t="shared" si="2"/>
        <v>70626.64</v>
      </c>
      <c r="P76" s="156">
        <f t="shared" si="16"/>
        <v>0</v>
      </c>
      <c r="Q76" s="85">
        <f t="shared" si="3"/>
        <v>371.30976984493026</v>
      </c>
      <c r="R76" s="6">
        <f t="shared" si="4"/>
        <v>371.30976984493026</v>
      </c>
      <c r="S76" s="5">
        <f t="shared" si="5"/>
        <v>70626.64</v>
      </c>
      <c r="T76" s="113">
        <v>0.4907407407407407</v>
      </c>
      <c r="U76" s="87">
        <f t="shared" si="6"/>
        <v>16288.259940578422</v>
      </c>
      <c r="V76" s="87">
        <f t="shared" si="7"/>
        <v>13596.490522379667</v>
      </c>
      <c r="W76" s="87">
        <f t="shared" si="8"/>
        <v>2397.9938245851563</v>
      </c>
      <c r="X76" s="87">
        <f t="shared" si="9"/>
        <v>855.11744275026706</v>
      </c>
      <c r="Y76" s="87">
        <f t="shared" si="10"/>
        <v>33137.861730293509</v>
      </c>
      <c r="Z76" s="91">
        <f t="shared" si="11"/>
        <v>0.46919776631443189</v>
      </c>
      <c r="AA76" s="131">
        <f t="shared" si="12"/>
        <v>33138.900593517348</v>
      </c>
      <c r="AC76" s="131">
        <v>33214.635470658097</v>
      </c>
      <c r="AD76" s="151">
        <f t="shared" si="17"/>
        <v>-75.734877140748722</v>
      </c>
    </row>
    <row r="77" spans="2:30" x14ac:dyDescent="0.3">
      <c r="B77">
        <v>754</v>
      </c>
      <c r="C77" s="25">
        <v>5</v>
      </c>
      <c r="D77" s="32" t="s">
        <v>98</v>
      </c>
      <c r="E77" s="153">
        <v>100.39736101583898</v>
      </c>
      <c r="F77" s="153">
        <f>INDEX('Revised 2019 Lockdown'!H$5:H$257,MATCH(B77,'Revised 2019 Lockdown'!B$5:B$257,0))</f>
        <v>100.39736101583898</v>
      </c>
      <c r="G77" s="153">
        <f t="shared" si="13"/>
        <v>0</v>
      </c>
      <c r="H77" s="151">
        <v>35014.82</v>
      </c>
      <c r="I77" s="151">
        <f>INDEX('Revised 2019 Lockdown'!E$5:E$257,MATCH(B77,'Revised 2019 Lockdown'!B$5:B$257,0))</f>
        <v>35014.82</v>
      </c>
      <c r="J77" s="151">
        <f t="shared" si="14"/>
        <v>0</v>
      </c>
      <c r="K77" s="151">
        <v>0</v>
      </c>
      <c r="L77" s="151">
        <f>INDEX('Revised 2019 Lockdown'!F$5:F$257,MATCH(B77,'Revised 2019 Lockdown'!B$5:B$257,0))</f>
        <v>0</v>
      </c>
      <c r="M77" s="151">
        <f t="shared" si="15"/>
        <v>0</v>
      </c>
      <c r="N77" s="151">
        <v>35014.82</v>
      </c>
      <c r="O77" s="156">
        <f t="shared" si="2"/>
        <v>35014.82</v>
      </c>
      <c r="P77" s="156">
        <f t="shared" si="16"/>
        <v>0</v>
      </c>
      <c r="Q77" s="85">
        <f t="shared" si="3"/>
        <v>348.762354365828</v>
      </c>
      <c r="R77" s="6">
        <f t="shared" si="4"/>
        <v>348.762354365828</v>
      </c>
      <c r="S77" s="5">
        <f t="shared" si="5"/>
        <v>35014.82</v>
      </c>
      <c r="T77" s="113">
        <v>0.22222222222222221</v>
      </c>
      <c r="U77" s="87">
        <f t="shared" si="6"/>
        <v>8075.2884454444411</v>
      </c>
      <c r="V77" s="87">
        <f t="shared" si="7"/>
        <v>7176.5704502673743</v>
      </c>
      <c r="W77" s="87">
        <f t="shared" si="8"/>
        <v>538.35256302962932</v>
      </c>
      <c r="X77" s="87">
        <f t="shared" si="9"/>
        <v>423.94460980673733</v>
      </c>
      <c r="Y77" s="87">
        <f t="shared" si="10"/>
        <v>16214.156068548182</v>
      </c>
      <c r="Z77" s="91">
        <f t="shared" si="11"/>
        <v>0.46306552678403551</v>
      </c>
      <c r="AA77" s="131">
        <f t="shared" si="12"/>
        <v>16214.664378063813</v>
      </c>
      <c r="AC77" s="131">
        <v>16250.860250864715</v>
      </c>
      <c r="AD77" s="151">
        <f t="shared" si="17"/>
        <v>-36.19587280090127</v>
      </c>
    </row>
    <row r="78" spans="2:30" x14ac:dyDescent="0.3">
      <c r="B78">
        <v>885</v>
      </c>
      <c r="C78" s="25">
        <v>5</v>
      </c>
      <c r="D78" s="32" t="s">
        <v>99</v>
      </c>
      <c r="E78" s="153">
        <v>441.47999999999996</v>
      </c>
      <c r="F78" s="153">
        <f>INDEX('Revised 2019 Lockdown'!H$5:H$257,MATCH(B78,'Revised 2019 Lockdown'!B$5:B$257,0))</f>
        <v>441.47999999999996</v>
      </c>
      <c r="G78" s="153">
        <f t="shared" si="13"/>
        <v>0</v>
      </c>
      <c r="H78" s="151">
        <v>146152.16</v>
      </c>
      <c r="I78" s="151">
        <f>INDEX('Revised 2019 Lockdown'!E$5:E$257,MATCH(B78,'Revised 2019 Lockdown'!B$5:B$257,0))</f>
        <v>146152.16</v>
      </c>
      <c r="J78" s="151">
        <f t="shared" si="14"/>
        <v>0</v>
      </c>
      <c r="K78" s="151">
        <v>0</v>
      </c>
      <c r="L78" s="151">
        <f>INDEX('Revised 2019 Lockdown'!F$5:F$257,MATCH(B78,'Revised 2019 Lockdown'!B$5:B$257,0))</f>
        <v>0</v>
      </c>
      <c r="M78" s="151">
        <f t="shared" si="15"/>
        <v>0</v>
      </c>
      <c r="N78" s="151">
        <v>146152.16</v>
      </c>
      <c r="O78" s="156">
        <f t="shared" si="2"/>
        <v>146152.16</v>
      </c>
      <c r="P78" s="156">
        <f t="shared" si="16"/>
        <v>0</v>
      </c>
      <c r="Q78" s="85">
        <f t="shared" si="3"/>
        <v>331.05046661230409</v>
      </c>
      <c r="R78" s="6">
        <f t="shared" si="4"/>
        <v>331.05046661230409</v>
      </c>
      <c r="S78" s="5">
        <f t="shared" si="5"/>
        <v>146152.16</v>
      </c>
      <c r="T78" s="113">
        <v>0.4861111111111111</v>
      </c>
      <c r="U78" s="87">
        <f t="shared" si="6"/>
        <v>33706.323463172084</v>
      </c>
      <c r="V78" s="87">
        <f t="shared" si="7"/>
        <v>31557.725126701265</v>
      </c>
      <c r="W78" s="87">
        <f t="shared" si="8"/>
        <v>4915.5055050459287</v>
      </c>
      <c r="X78" s="87">
        <f t="shared" si="9"/>
        <v>1769.5484495882556</v>
      </c>
      <c r="Y78" s="87">
        <f t="shared" si="10"/>
        <v>71949.102544507536</v>
      </c>
      <c r="Z78" s="91">
        <f t="shared" si="11"/>
        <v>0.49228901265987129</v>
      </c>
      <c r="AA78" s="131">
        <f t="shared" si="12"/>
        <v>71951.35812989292</v>
      </c>
      <c r="AC78" s="131">
        <v>72112.372458699218</v>
      </c>
      <c r="AD78" s="151">
        <f t="shared" si="17"/>
        <v>-161.01432880629727</v>
      </c>
    </row>
    <row r="79" spans="2:30" x14ac:dyDescent="0.3">
      <c r="B79">
        <v>909</v>
      </c>
      <c r="C79" s="25">
        <v>5</v>
      </c>
      <c r="D79" s="32" t="s">
        <v>100</v>
      </c>
      <c r="E79" s="153">
        <v>447.85999999999996</v>
      </c>
      <c r="F79" s="153">
        <f>INDEX('Revised 2019 Lockdown'!H$5:H$257,MATCH(B79,'Revised 2019 Lockdown'!B$5:B$257,0))</f>
        <v>447.85999999999996</v>
      </c>
      <c r="G79" s="153">
        <f t="shared" si="13"/>
        <v>0</v>
      </c>
      <c r="H79" s="151">
        <v>200038.02</v>
      </c>
      <c r="I79" s="151">
        <f>INDEX('Revised 2019 Lockdown'!E$5:E$257,MATCH(B79,'Revised 2019 Lockdown'!B$5:B$257,0))</f>
        <v>200038.02</v>
      </c>
      <c r="J79" s="151">
        <f t="shared" si="14"/>
        <v>0</v>
      </c>
      <c r="K79" s="151">
        <v>620.13</v>
      </c>
      <c r="L79" s="151">
        <f>INDEX('Revised 2019 Lockdown'!F$5:F$257,MATCH(B79,'Revised 2019 Lockdown'!B$5:B$257,0))</f>
        <v>620.13</v>
      </c>
      <c r="M79" s="151">
        <f t="shared" si="15"/>
        <v>0</v>
      </c>
      <c r="N79" s="151">
        <v>199417.88999999998</v>
      </c>
      <c r="O79" s="156">
        <f t="shared" si="2"/>
        <v>199417.88999999998</v>
      </c>
      <c r="P79" s="156">
        <f t="shared" si="16"/>
        <v>0</v>
      </c>
      <c r="Q79" s="85">
        <f t="shared" si="3"/>
        <v>445.26836511409817</v>
      </c>
      <c r="R79" s="6">
        <f t="shared" si="4"/>
        <v>445.26836511409817</v>
      </c>
      <c r="S79" s="5">
        <f t="shared" si="5"/>
        <v>199417.88999999998</v>
      </c>
      <c r="T79" s="113">
        <v>0.69444444444444442</v>
      </c>
      <c r="U79" s="87">
        <f t="shared" si="6"/>
        <v>45990.725725047574</v>
      </c>
      <c r="V79" s="87">
        <f t="shared" si="7"/>
        <v>32013.778144523938</v>
      </c>
      <c r="W79" s="87">
        <f t="shared" si="8"/>
        <v>9581.4011927182437</v>
      </c>
      <c r="X79" s="87">
        <f t="shared" si="9"/>
        <v>2414.4673473841317</v>
      </c>
      <c r="Y79" s="87">
        <f t="shared" si="10"/>
        <v>90000.372409673888</v>
      </c>
      <c r="Z79" s="91">
        <f t="shared" si="11"/>
        <v>0.45131543819701381</v>
      </c>
      <c r="AA79" s="131">
        <f t="shared" si="12"/>
        <v>90003.193897607809</v>
      </c>
      <c r="AC79" s="131">
        <v>90217.107422458663</v>
      </c>
      <c r="AD79" s="151">
        <f t="shared" si="17"/>
        <v>-213.91352485085372</v>
      </c>
    </row>
    <row r="80" spans="2:30" x14ac:dyDescent="0.3">
      <c r="B80">
        <v>923</v>
      </c>
      <c r="C80" s="25">
        <v>5</v>
      </c>
      <c r="D80" s="32" t="s">
        <v>101</v>
      </c>
      <c r="E80" s="153">
        <v>44.943349148505419</v>
      </c>
      <c r="F80" s="153">
        <f>INDEX('Revised 2019 Lockdown'!H$5:H$257,MATCH(B80,'Revised 2019 Lockdown'!B$5:B$257,0))</f>
        <v>44.943349148505419</v>
      </c>
      <c r="G80" s="153">
        <f t="shared" si="13"/>
        <v>0</v>
      </c>
      <c r="H80" s="151">
        <v>31192.39</v>
      </c>
      <c r="I80" s="151">
        <f>INDEX('Revised 2019 Lockdown'!E$5:E$257,MATCH(B80,'Revised 2019 Lockdown'!B$5:B$257,0))</f>
        <v>31192.39</v>
      </c>
      <c r="J80" s="151">
        <f t="shared" si="14"/>
        <v>0</v>
      </c>
      <c r="K80" s="151">
        <v>84</v>
      </c>
      <c r="L80" s="151">
        <f>INDEX('Revised 2019 Lockdown'!F$5:F$257,MATCH(B80,'Revised 2019 Lockdown'!B$5:B$257,0))</f>
        <v>84</v>
      </c>
      <c r="M80" s="151">
        <f t="shared" si="15"/>
        <v>0</v>
      </c>
      <c r="N80" s="151">
        <v>31108.39</v>
      </c>
      <c r="O80" s="156">
        <f t="shared" si="2"/>
        <v>31108.39</v>
      </c>
      <c r="P80" s="156">
        <f t="shared" si="16"/>
        <v>0</v>
      </c>
      <c r="Q80" s="85">
        <f t="shared" si="3"/>
        <v>692.16893243111815</v>
      </c>
      <c r="R80" s="6">
        <f t="shared" si="4"/>
        <v>537.91820621973352</v>
      </c>
      <c r="S80" s="5">
        <f t="shared" si="5"/>
        <v>24175.845755471222</v>
      </c>
      <c r="T80" s="113">
        <v>0.37962962962962965</v>
      </c>
      <c r="U80" s="87">
        <f t="shared" si="6"/>
        <v>5575.5513776167854</v>
      </c>
      <c r="V80" s="87">
        <f t="shared" si="7"/>
        <v>3212.6253934536053</v>
      </c>
      <c r="W80" s="87">
        <f t="shared" si="8"/>
        <v>634.99335133968941</v>
      </c>
      <c r="X80" s="87">
        <f t="shared" si="9"/>
        <v>292.71090057156118</v>
      </c>
      <c r="Y80" s="87">
        <f t="shared" si="10"/>
        <v>9715.8810229816409</v>
      </c>
      <c r="Z80" s="91">
        <f t="shared" si="11"/>
        <v>0.4018838108603851</v>
      </c>
      <c r="AA80" s="131">
        <f t="shared" si="12"/>
        <v>9716.1856132887679</v>
      </c>
      <c r="AC80" s="131">
        <v>9756.1129249488949</v>
      </c>
      <c r="AD80" s="151">
        <f t="shared" si="17"/>
        <v>-39.927311660127089</v>
      </c>
    </row>
    <row r="81" spans="2:30" x14ac:dyDescent="0.3">
      <c r="B81">
        <v>394</v>
      </c>
      <c r="C81" s="25">
        <v>6</v>
      </c>
      <c r="D81" s="32" t="s">
        <v>102</v>
      </c>
      <c r="E81" s="153">
        <v>594.22</v>
      </c>
      <c r="F81" s="153">
        <f>INDEX('Revised 2019 Lockdown'!H$5:H$257,MATCH(B81,'Revised 2019 Lockdown'!B$5:B$257,0))</f>
        <v>594.22</v>
      </c>
      <c r="G81" s="153">
        <f t="shared" si="13"/>
        <v>0</v>
      </c>
      <c r="H81" s="151">
        <v>421357.69</v>
      </c>
      <c r="I81" s="151">
        <f>INDEX('Revised 2019 Lockdown'!E$5:E$257,MATCH(B81,'Revised 2019 Lockdown'!B$5:B$257,0))</f>
        <v>421357.69</v>
      </c>
      <c r="J81" s="151">
        <f t="shared" si="14"/>
        <v>0</v>
      </c>
      <c r="K81" s="151">
        <v>25617.809999999998</v>
      </c>
      <c r="L81" s="151">
        <f>INDEX('Revised 2019 Lockdown'!F$5:F$257,MATCH(B81,'Revised 2019 Lockdown'!B$5:B$257,0))</f>
        <v>25617.809999999998</v>
      </c>
      <c r="M81" s="151">
        <f t="shared" si="15"/>
        <v>0</v>
      </c>
      <c r="N81" s="151">
        <v>395739.88</v>
      </c>
      <c r="O81" s="156">
        <f t="shared" si="2"/>
        <v>395739.88</v>
      </c>
      <c r="P81" s="156">
        <f t="shared" si="16"/>
        <v>0</v>
      </c>
      <c r="Q81" s="85">
        <f t="shared" si="3"/>
        <v>665.982094173875</v>
      </c>
      <c r="R81" s="6">
        <f t="shared" si="4"/>
        <v>665.982094173875</v>
      </c>
      <c r="S81" s="5">
        <f t="shared" si="5"/>
        <v>395739.88</v>
      </c>
      <c r="T81" s="113">
        <v>0.77314814814814814</v>
      </c>
      <c r="U81" s="87">
        <f t="shared" si="6"/>
        <v>91267.459903137278</v>
      </c>
      <c r="V81" s="87">
        <f t="shared" si="7"/>
        <v>42475.834522035948</v>
      </c>
      <c r="W81" s="87">
        <f t="shared" si="8"/>
        <v>21168.980283088786</v>
      </c>
      <c r="X81" s="87">
        <f t="shared" si="9"/>
        <v>4791.4508488567135</v>
      </c>
      <c r="Y81" s="87">
        <f t="shared" si="10"/>
        <v>159703.72555711871</v>
      </c>
      <c r="Z81" s="91">
        <f t="shared" si="11"/>
        <v>0.40355732042249243</v>
      </c>
      <c r="AA81" s="131">
        <f t="shared" si="12"/>
        <v>159708.73222678684</v>
      </c>
      <c r="AC81" s="131">
        <v>160112.41721898186</v>
      </c>
      <c r="AD81" s="151">
        <f t="shared" si="17"/>
        <v>-403.68499219501973</v>
      </c>
    </row>
    <row r="82" spans="2:30" x14ac:dyDescent="0.3">
      <c r="B82">
        <v>414</v>
      </c>
      <c r="C82" s="25">
        <v>6</v>
      </c>
      <c r="D82" s="32" t="s">
        <v>103</v>
      </c>
      <c r="E82" s="153">
        <v>165.57474646336405</v>
      </c>
      <c r="F82" s="153">
        <f>INDEX('Revised 2019 Lockdown'!H$5:H$257,MATCH(B82,'Revised 2019 Lockdown'!B$5:B$257,0))</f>
        <v>165.57474646336405</v>
      </c>
      <c r="G82" s="153">
        <f t="shared" si="13"/>
        <v>0</v>
      </c>
      <c r="H82" s="151">
        <v>222802.48</v>
      </c>
      <c r="I82" s="151">
        <f>INDEX('Revised 2019 Lockdown'!E$5:E$257,MATCH(B82,'Revised 2019 Lockdown'!B$5:B$257,0))</f>
        <v>222802.48</v>
      </c>
      <c r="J82" s="151">
        <f t="shared" si="14"/>
        <v>0</v>
      </c>
      <c r="K82" s="151">
        <v>11641.15</v>
      </c>
      <c r="L82" s="151">
        <f>INDEX('Revised 2019 Lockdown'!F$5:F$257,MATCH(B82,'Revised 2019 Lockdown'!B$5:B$257,0))</f>
        <v>11641.15</v>
      </c>
      <c r="M82" s="151">
        <f t="shared" si="15"/>
        <v>0</v>
      </c>
      <c r="N82" s="151">
        <v>211161.33000000002</v>
      </c>
      <c r="O82" s="156">
        <f t="shared" si="2"/>
        <v>211161.33000000002</v>
      </c>
      <c r="P82" s="156">
        <f t="shared" si="16"/>
        <v>0</v>
      </c>
      <c r="Q82" s="85">
        <f t="shared" si="3"/>
        <v>1275.3232875807103</v>
      </c>
      <c r="R82" s="6">
        <f t="shared" si="4"/>
        <v>1275.3232875807103</v>
      </c>
      <c r="S82" s="5">
        <f t="shared" si="5"/>
        <v>211161.33000000002</v>
      </c>
      <c r="T82" s="113">
        <v>0.58796296296296302</v>
      </c>
      <c r="U82" s="87">
        <f t="shared" si="6"/>
        <v>48699.055093634088</v>
      </c>
      <c r="V82" s="87">
        <f t="shared" si="7"/>
        <v>11835.558432577003</v>
      </c>
      <c r="W82" s="87">
        <f t="shared" si="8"/>
        <v>8589.9722179049022</v>
      </c>
      <c r="X82" s="87">
        <f t="shared" si="9"/>
        <v>2556.651944894239</v>
      </c>
      <c r="Y82" s="87">
        <f t="shared" si="10"/>
        <v>71681.237689010231</v>
      </c>
      <c r="Z82" s="91">
        <f t="shared" si="11"/>
        <v>0.33946195399039314</v>
      </c>
      <c r="AA82" s="131">
        <f t="shared" si="12"/>
        <v>71683.48487690305</v>
      </c>
      <c r="AC82" s="131">
        <v>71876.931255227028</v>
      </c>
      <c r="AD82" s="151">
        <f t="shared" si="17"/>
        <v>-193.44637832397711</v>
      </c>
    </row>
    <row r="83" spans="2:30" x14ac:dyDescent="0.3">
      <c r="B83">
        <v>426</v>
      </c>
      <c r="C83" s="25">
        <v>6</v>
      </c>
      <c r="D83" s="32" t="s">
        <v>104</v>
      </c>
      <c r="E83" s="153">
        <v>463.46518252947482</v>
      </c>
      <c r="F83" s="153">
        <f>INDEX('Revised 2019 Lockdown'!H$5:H$257,MATCH(B83,'Revised 2019 Lockdown'!B$5:B$257,0))</f>
        <v>463.46518252947482</v>
      </c>
      <c r="G83" s="153">
        <f t="shared" si="13"/>
        <v>0</v>
      </c>
      <c r="H83" s="151">
        <v>170973.35</v>
      </c>
      <c r="I83" s="151">
        <f>INDEX('Revised 2019 Lockdown'!E$5:E$257,MATCH(B83,'Revised 2019 Lockdown'!B$5:B$257,0))</f>
        <v>170973.35</v>
      </c>
      <c r="J83" s="151">
        <f t="shared" si="14"/>
        <v>0</v>
      </c>
      <c r="K83" s="151">
        <v>420</v>
      </c>
      <c r="L83" s="151">
        <f>INDEX('Revised 2019 Lockdown'!F$5:F$257,MATCH(B83,'Revised 2019 Lockdown'!B$5:B$257,0))</f>
        <v>420</v>
      </c>
      <c r="M83" s="151">
        <f t="shared" si="15"/>
        <v>0</v>
      </c>
      <c r="N83" s="151">
        <v>170553.35</v>
      </c>
      <c r="O83" s="156">
        <f t="shared" si="2"/>
        <v>170553.35</v>
      </c>
      <c r="P83" s="156">
        <f t="shared" si="16"/>
        <v>0</v>
      </c>
      <c r="Q83" s="85">
        <f t="shared" si="3"/>
        <v>367.9960360110835</v>
      </c>
      <c r="R83" s="6">
        <f t="shared" si="4"/>
        <v>367.9960360110835</v>
      </c>
      <c r="S83" s="5">
        <f t="shared" si="5"/>
        <v>170553.35</v>
      </c>
      <c r="T83" s="113">
        <v>0.79629629629629628</v>
      </c>
      <c r="U83" s="87">
        <f t="shared" si="6"/>
        <v>39333.844828756555</v>
      </c>
      <c r="V83" s="87">
        <f t="shared" si="7"/>
        <v>33129.262562429998</v>
      </c>
      <c r="W83" s="87">
        <f t="shared" si="8"/>
        <v>9396.4184868696211</v>
      </c>
      <c r="X83" s="87">
        <f t="shared" si="9"/>
        <v>2064.9877228265605</v>
      </c>
      <c r="Y83" s="87">
        <f t="shared" si="10"/>
        <v>83924.513600882725</v>
      </c>
      <c r="Z83" s="91">
        <f t="shared" si="11"/>
        <v>0.49207191533254974</v>
      </c>
      <c r="AA83" s="131">
        <f t="shared" si="12"/>
        <v>83927.144612245742</v>
      </c>
      <c r="AC83" s="131">
        <v>84121.057172218847</v>
      </c>
      <c r="AD83" s="151">
        <f t="shared" si="17"/>
        <v>-193.91255997310509</v>
      </c>
    </row>
    <row r="84" spans="2:30" x14ac:dyDescent="0.3">
      <c r="B84">
        <v>430</v>
      </c>
      <c r="C84" s="25">
        <v>6</v>
      </c>
      <c r="D84" s="32" t="s">
        <v>105</v>
      </c>
      <c r="E84" s="153">
        <v>2460.6207907556477</v>
      </c>
      <c r="F84" s="153">
        <f>INDEX('Revised 2019 Lockdown'!H$5:H$257,MATCH(B84,'Revised 2019 Lockdown'!B$5:B$257,0))</f>
        <v>2460.6207907556477</v>
      </c>
      <c r="G84" s="153">
        <f t="shared" si="13"/>
        <v>0</v>
      </c>
      <c r="H84" s="151">
        <v>1748413.46</v>
      </c>
      <c r="I84" s="151">
        <f>INDEX('Revised 2019 Lockdown'!E$5:E$257,MATCH(B84,'Revised 2019 Lockdown'!B$5:B$257,0))</f>
        <v>1748413.46</v>
      </c>
      <c r="J84" s="151">
        <f t="shared" si="14"/>
        <v>0</v>
      </c>
      <c r="K84" s="151">
        <v>480</v>
      </c>
      <c r="L84" s="151">
        <f>INDEX('Revised 2019 Lockdown'!F$5:F$257,MATCH(B84,'Revised 2019 Lockdown'!B$5:B$257,0))</f>
        <v>480</v>
      </c>
      <c r="M84" s="151">
        <f t="shared" si="15"/>
        <v>0</v>
      </c>
      <c r="N84" s="151">
        <v>1747933.46</v>
      </c>
      <c r="O84" s="156">
        <f t="shared" si="2"/>
        <v>1747933.46</v>
      </c>
      <c r="P84" s="156">
        <f t="shared" si="16"/>
        <v>0</v>
      </c>
      <c r="Q84" s="85">
        <f t="shared" si="3"/>
        <v>710.36279404239929</v>
      </c>
      <c r="R84" s="6">
        <f t="shared" si="4"/>
        <v>710.36279404239929</v>
      </c>
      <c r="S84" s="5">
        <f t="shared" si="5"/>
        <v>1747933.4599999997</v>
      </c>
      <c r="T84" s="113">
        <v>0.53935185185185186</v>
      </c>
      <c r="U84" s="87">
        <f t="shared" si="6"/>
        <v>403116.93371388799</v>
      </c>
      <c r="V84" s="87">
        <f t="shared" si="7"/>
        <v>175889.26917575666</v>
      </c>
      <c r="W84" s="87">
        <f t="shared" si="8"/>
        <v>65226.559413427705</v>
      </c>
      <c r="X84" s="87">
        <f t="shared" si="9"/>
        <v>21163.237985168569</v>
      </c>
      <c r="Y84" s="87">
        <f t="shared" si="10"/>
        <v>665396.00028824096</v>
      </c>
      <c r="Z84" s="91">
        <f t="shared" si="11"/>
        <v>0.38067581833935549</v>
      </c>
      <c r="AA84" s="131">
        <f t="shared" si="12"/>
        <v>665416.86027732585</v>
      </c>
      <c r="AC84" s="131">
        <v>667101.34744308237</v>
      </c>
      <c r="AD84" s="151">
        <f t="shared" si="17"/>
        <v>-1684.4871657565236</v>
      </c>
    </row>
    <row r="85" spans="2:30" x14ac:dyDescent="0.3">
      <c r="B85">
        <v>443</v>
      </c>
      <c r="C85" s="25">
        <v>6</v>
      </c>
      <c r="D85" s="32" t="s">
        <v>106</v>
      </c>
      <c r="E85" s="153">
        <v>15.06</v>
      </c>
      <c r="F85" s="153">
        <f>INDEX('Revised 2019 Lockdown'!H$5:H$257,MATCH(B85,'Revised 2019 Lockdown'!B$5:B$257,0))</f>
        <v>15.06</v>
      </c>
      <c r="G85" s="153">
        <f t="shared" si="13"/>
        <v>0</v>
      </c>
      <c r="H85" s="151">
        <v>15830.2</v>
      </c>
      <c r="I85" s="151">
        <f>INDEX('Revised 2019 Lockdown'!E$5:E$257,MATCH(B85,'Revised 2019 Lockdown'!B$5:B$257,0))</f>
        <v>15830.2</v>
      </c>
      <c r="J85" s="151">
        <f t="shared" si="14"/>
        <v>0</v>
      </c>
      <c r="K85" s="151">
        <v>0</v>
      </c>
      <c r="L85" s="151">
        <f>INDEX('Revised 2019 Lockdown'!F$5:F$257,MATCH(B85,'Revised 2019 Lockdown'!B$5:B$257,0))</f>
        <v>0</v>
      </c>
      <c r="M85" s="151">
        <f t="shared" si="15"/>
        <v>0</v>
      </c>
      <c r="N85" s="151">
        <v>15830.2</v>
      </c>
      <c r="O85" s="156">
        <f t="shared" si="2"/>
        <v>15830.2</v>
      </c>
      <c r="P85" s="156">
        <f t="shared" si="16"/>
        <v>0</v>
      </c>
      <c r="Q85" s="85">
        <f t="shared" si="3"/>
        <v>1051.1420982735724</v>
      </c>
      <c r="R85" s="6">
        <f t="shared" si="4"/>
        <v>1051.1420982735724</v>
      </c>
      <c r="S85" s="5">
        <f t="shared" si="5"/>
        <v>15830.2</v>
      </c>
      <c r="T85" s="113">
        <v>0.40277777777777779</v>
      </c>
      <c r="U85" s="87">
        <f t="shared" si="6"/>
        <v>3650.8378780491971</v>
      </c>
      <c r="V85" s="87">
        <f t="shared" si="7"/>
        <v>1076.5138633870642</v>
      </c>
      <c r="W85" s="87">
        <f t="shared" si="8"/>
        <v>441.14291026427799</v>
      </c>
      <c r="X85" s="87">
        <f t="shared" si="9"/>
        <v>191.66535661650161</v>
      </c>
      <c r="Y85" s="87">
        <f t="shared" si="10"/>
        <v>5360.1600083170406</v>
      </c>
      <c r="Z85" s="91">
        <f t="shared" si="11"/>
        <v>0.33860342941447613</v>
      </c>
      <c r="AA85" s="131">
        <f t="shared" si="12"/>
        <v>5360.32804791935</v>
      </c>
      <c r="AC85" s="131">
        <v>5374.4770987785296</v>
      </c>
      <c r="AD85" s="151">
        <f t="shared" si="17"/>
        <v>-14.149050859179624</v>
      </c>
    </row>
    <row r="86" spans="2:30" x14ac:dyDescent="0.3">
      <c r="B86">
        <v>562</v>
      </c>
      <c r="C86" s="25">
        <v>6</v>
      </c>
      <c r="D86" s="32" t="s">
        <v>107</v>
      </c>
      <c r="E86" s="153">
        <v>81.472925896153384</v>
      </c>
      <c r="F86" s="153">
        <f>INDEX('Revised 2019 Lockdown'!H$5:H$257,MATCH(B86,'Revised 2019 Lockdown'!B$5:B$257,0))</f>
        <v>81.472925896153384</v>
      </c>
      <c r="G86" s="153">
        <f t="shared" si="13"/>
        <v>0</v>
      </c>
      <c r="H86" s="151">
        <v>48863.76</v>
      </c>
      <c r="I86" s="151">
        <f>INDEX('Revised 2019 Lockdown'!E$5:E$257,MATCH(B86,'Revised 2019 Lockdown'!B$5:B$257,0))</f>
        <v>48863.76</v>
      </c>
      <c r="J86" s="151">
        <f t="shared" si="14"/>
        <v>0</v>
      </c>
      <c r="K86" s="151">
        <v>0</v>
      </c>
      <c r="L86" s="151">
        <f>INDEX('Revised 2019 Lockdown'!F$5:F$257,MATCH(B86,'Revised 2019 Lockdown'!B$5:B$257,0))</f>
        <v>0</v>
      </c>
      <c r="M86" s="151">
        <f t="shared" si="15"/>
        <v>0</v>
      </c>
      <c r="N86" s="151">
        <v>48863.76</v>
      </c>
      <c r="O86" s="156">
        <f t="shared" si="2"/>
        <v>48863.76</v>
      </c>
      <c r="P86" s="156">
        <f t="shared" si="16"/>
        <v>0</v>
      </c>
      <c r="Q86" s="85">
        <f t="shared" si="3"/>
        <v>599.75457444946176</v>
      </c>
      <c r="R86" s="6">
        <f t="shared" si="4"/>
        <v>599.75457444946176</v>
      </c>
      <c r="S86" s="5">
        <f t="shared" si="5"/>
        <v>48863.760000000009</v>
      </c>
      <c r="T86" s="113">
        <v>0.5092592592592593</v>
      </c>
      <c r="U86" s="87">
        <f t="shared" si="6"/>
        <v>11269.198485925968</v>
      </c>
      <c r="V86" s="87">
        <f t="shared" si="7"/>
        <v>5823.820333194958</v>
      </c>
      <c r="W86" s="87">
        <f t="shared" si="8"/>
        <v>1721.6831020164675</v>
      </c>
      <c r="X86" s="87">
        <f t="shared" si="9"/>
        <v>591.62170951871417</v>
      </c>
      <c r="Y86" s="87">
        <f t="shared" si="10"/>
        <v>19406.323630656108</v>
      </c>
      <c r="Z86" s="91">
        <f t="shared" si="11"/>
        <v>0.39715166476456387</v>
      </c>
      <c r="AA86" s="131">
        <f t="shared" si="12"/>
        <v>19406.932013782753</v>
      </c>
      <c r="AC86" s="131">
        <v>19454.894936267461</v>
      </c>
      <c r="AD86" s="151">
        <f t="shared" si="17"/>
        <v>-47.962922484708542</v>
      </c>
    </row>
    <row r="87" spans="2:30" x14ac:dyDescent="0.3">
      <c r="B87">
        <v>603</v>
      </c>
      <c r="C87" s="25">
        <v>6</v>
      </c>
      <c r="D87" s="32" t="s">
        <v>108</v>
      </c>
      <c r="E87" s="153">
        <v>97.242758687043789</v>
      </c>
      <c r="F87" s="153">
        <f>INDEX('Revised 2019 Lockdown'!H$5:H$257,MATCH(B87,'Revised 2019 Lockdown'!B$5:B$257,0))</f>
        <v>97.242758687043789</v>
      </c>
      <c r="G87" s="153">
        <f t="shared" si="13"/>
        <v>0</v>
      </c>
      <c r="H87" s="151">
        <v>86512.44</v>
      </c>
      <c r="I87" s="151">
        <f>INDEX('Revised 2019 Lockdown'!E$5:E$257,MATCH(B87,'Revised 2019 Lockdown'!B$5:B$257,0))</f>
        <v>86512.44</v>
      </c>
      <c r="J87" s="151">
        <f t="shared" si="14"/>
        <v>0</v>
      </c>
      <c r="K87" s="151">
        <v>0</v>
      </c>
      <c r="L87" s="151">
        <f>INDEX('Revised 2019 Lockdown'!F$5:F$257,MATCH(B87,'Revised 2019 Lockdown'!B$5:B$257,0))</f>
        <v>0</v>
      </c>
      <c r="M87" s="151">
        <f t="shared" si="15"/>
        <v>0</v>
      </c>
      <c r="N87" s="151">
        <v>86512.44</v>
      </c>
      <c r="O87" s="156">
        <f t="shared" si="2"/>
        <v>86512.44</v>
      </c>
      <c r="P87" s="156">
        <f t="shared" si="16"/>
        <v>0</v>
      </c>
      <c r="Q87" s="85">
        <f t="shared" si="3"/>
        <v>889.65431635298262</v>
      </c>
      <c r="R87" s="6">
        <f t="shared" si="4"/>
        <v>889.65431635298262</v>
      </c>
      <c r="S87" s="5">
        <f t="shared" si="5"/>
        <v>86512.44</v>
      </c>
      <c r="T87" s="113">
        <v>0.31134259259259256</v>
      </c>
      <c r="U87" s="87">
        <f t="shared" si="6"/>
        <v>19951.920561613781</v>
      </c>
      <c r="V87" s="87">
        <f t="shared" si="7"/>
        <v>6951.074225803819</v>
      </c>
      <c r="W87" s="87">
        <f t="shared" si="8"/>
        <v>1863.564802456287</v>
      </c>
      <c r="X87" s="87">
        <f t="shared" si="9"/>
        <v>1047.4559806170294</v>
      </c>
      <c r="Y87" s="87">
        <f t="shared" si="10"/>
        <v>29814.015570490916</v>
      </c>
      <c r="Z87" s="91">
        <f t="shared" si="11"/>
        <v>0.34462113853789023</v>
      </c>
      <c r="AA87" s="131">
        <f t="shared" si="12"/>
        <v>29814.950232014438</v>
      </c>
      <c r="AC87" s="131">
        <v>29892.037027657116</v>
      </c>
      <c r="AD87" s="151">
        <f t="shared" si="17"/>
        <v>-77.086795642677316</v>
      </c>
    </row>
    <row r="88" spans="2:30" x14ac:dyDescent="0.3">
      <c r="B88">
        <v>618</v>
      </c>
      <c r="C88" s="25">
        <v>6</v>
      </c>
      <c r="D88" s="32" t="s">
        <v>109</v>
      </c>
      <c r="E88" s="153">
        <v>17.611337055752642</v>
      </c>
      <c r="F88" s="153">
        <f>INDEX('Revised 2019 Lockdown'!H$5:H$257,MATCH(B88,'Revised 2019 Lockdown'!B$5:B$257,0))</f>
        <v>17.611337055752642</v>
      </c>
      <c r="G88" s="153">
        <f t="shared" si="13"/>
        <v>0</v>
      </c>
      <c r="H88" s="151">
        <v>17288.669999999998</v>
      </c>
      <c r="I88" s="151">
        <f>INDEX('Revised 2019 Lockdown'!E$5:E$257,MATCH(B88,'Revised 2019 Lockdown'!B$5:B$257,0))</f>
        <v>17288.669999999998</v>
      </c>
      <c r="J88" s="151">
        <f t="shared" si="14"/>
        <v>0</v>
      </c>
      <c r="K88" s="151">
        <v>0</v>
      </c>
      <c r="L88" s="151">
        <f>INDEX('Revised 2019 Lockdown'!F$5:F$257,MATCH(B88,'Revised 2019 Lockdown'!B$5:B$257,0))</f>
        <v>0</v>
      </c>
      <c r="M88" s="151">
        <f t="shared" si="15"/>
        <v>0</v>
      </c>
      <c r="N88" s="151">
        <v>17288.669999999998</v>
      </c>
      <c r="O88" s="156">
        <f t="shared" si="2"/>
        <v>17288.669999999998</v>
      </c>
      <c r="P88" s="156">
        <f t="shared" si="16"/>
        <v>0</v>
      </c>
      <c r="Q88" s="85">
        <f t="shared" si="3"/>
        <v>981.6784464046558</v>
      </c>
      <c r="R88" s="6">
        <f t="shared" si="4"/>
        <v>981.6784464046558</v>
      </c>
      <c r="S88" s="5">
        <f t="shared" si="5"/>
        <v>17288.669999999998</v>
      </c>
      <c r="T88" s="113">
        <v>0.27777777777777779</v>
      </c>
      <c r="U88" s="87">
        <f t="shared" si="6"/>
        <v>3987.1973378158714</v>
      </c>
      <c r="V88" s="87">
        <f t="shared" si="7"/>
        <v>1258.8876821580373</v>
      </c>
      <c r="W88" s="87">
        <f t="shared" si="8"/>
        <v>332.26644481798928</v>
      </c>
      <c r="X88" s="87">
        <f t="shared" si="9"/>
        <v>209.32389363210905</v>
      </c>
      <c r="Y88" s="87">
        <f t="shared" si="10"/>
        <v>5787.6753584240068</v>
      </c>
      <c r="Z88" s="91">
        <f t="shared" si="11"/>
        <v>0.3347669519068851</v>
      </c>
      <c r="AA88" s="131">
        <f t="shared" si="12"/>
        <v>5787.8568005197676</v>
      </c>
      <c r="AC88" s="131">
        <v>377.66249999999945</v>
      </c>
      <c r="AD88" s="151">
        <f t="shared" si="17"/>
        <v>5410.1943005197681</v>
      </c>
    </row>
    <row r="89" spans="2:30" x14ac:dyDescent="0.3">
      <c r="B89">
        <v>620</v>
      </c>
      <c r="C89" s="25">
        <v>6</v>
      </c>
      <c r="D89" s="32" t="s">
        <v>110</v>
      </c>
      <c r="E89" s="153">
        <v>235.76910512683102</v>
      </c>
      <c r="F89" s="153">
        <f>INDEX('Revised 2019 Lockdown'!H$5:H$257,MATCH(B89,'Revised 2019 Lockdown'!B$5:B$257,0))</f>
        <v>235.76910512683102</v>
      </c>
      <c r="G89" s="153">
        <f t="shared" si="13"/>
        <v>0</v>
      </c>
      <c r="H89" s="151">
        <v>122866.55</v>
      </c>
      <c r="I89" s="151">
        <f>INDEX('Revised 2019 Lockdown'!E$5:E$257,MATCH(B89,'Revised 2019 Lockdown'!B$5:B$257,0))</f>
        <v>122866.55</v>
      </c>
      <c r="J89" s="151">
        <f t="shared" si="14"/>
        <v>0</v>
      </c>
      <c r="K89" s="151">
        <v>0</v>
      </c>
      <c r="L89" s="151">
        <f>INDEX('Revised 2019 Lockdown'!F$5:F$257,MATCH(B89,'Revised 2019 Lockdown'!B$5:B$257,0))</f>
        <v>0</v>
      </c>
      <c r="M89" s="151">
        <f t="shared" si="15"/>
        <v>0</v>
      </c>
      <c r="N89" s="151">
        <v>122866.55</v>
      </c>
      <c r="O89" s="156">
        <f t="shared" si="2"/>
        <v>122866.55</v>
      </c>
      <c r="P89" s="156">
        <f t="shared" si="16"/>
        <v>0</v>
      </c>
      <c r="Q89" s="85">
        <f t="shared" si="3"/>
        <v>521.13083236204523</v>
      </c>
      <c r="R89" s="6">
        <f t="shared" si="4"/>
        <v>521.13083236204523</v>
      </c>
      <c r="S89" s="5">
        <f t="shared" si="5"/>
        <v>122866.54999999999</v>
      </c>
      <c r="T89" s="113">
        <v>0.53703703703703698</v>
      </c>
      <c r="U89" s="87">
        <f t="shared" si="6"/>
        <v>28336.082594359232</v>
      </c>
      <c r="V89" s="87">
        <f t="shared" si="7"/>
        <v>16853.168009787234</v>
      </c>
      <c r="W89" s="87">
        <f t="shared" si="8"/>
        <v>4565.2577513134311</v>
      </c>
      <c r="X89" s="87">
        <f t="shared" si="9"/>
        <v>1487.6161464788331</v>
      </c>
      <c r="Y89" s="87">
        <f t="shared" si="10"/>
        <v>51242.124501938728</v>
      </c>
      <c r="Z89" s="91">
        <f t="shared" si="11"/>
        <v>0.4170551260854865</v>
      </c>
      <c r="AA89" s="131">
        <f t="shared" si="12"/>
        <v>51243.73092902475</v>
      </c>
      <c r="AC89" s="131">
        <v>51367.87949915159</v>
      </c>
      <c r="AD89" s="151">
        <f t="shared" si="17"/>
        <v>-124.14857012683933</v>
      </c>
    </row>
    <row r="90" spans="2:30" x14ac:dyDescent="0.3">
      <c r="B90">
        <v>622</v>
      </c>
      <c r="C90" s="25">
        <v>6</v>
      </c>
      <c r="D90" s="32" t="s">
        <v>111</v>
      </c>
      <c r="E90" s="153">
        <v>122.59818725735381</v>
      </c>
      <c r="F90" s="153">
        <f>INDEX('Revised 2019 Lockdown'!H$5:H$257,MATCH(B90,'Revised 2019 Lockdown'!B$5:B$257,0))</f>
        <v>122.59818725735381</v>
      </c>
      <c r="G90" s="153">
        <f t="shared" si="13"/>
        <v>0</v>
      </c>
      <c r="H90" s="151">
        <v>83536.710000000006</v>
      </c>
      <c r="I90" s="151">
        <f>INDEX('Revised 2019 Lockdown'!E$5:E$257,MATCH(B90,'Revised 2019 Lockdown'!B$5:B$257,0))</f>
        <v>83536.710000000006</v>
      </c>
      <c r="J90" s="151">
        <f t="shared" si="14"/>
        <v>0</v>
      </c>
      <c r="K90" s="151">
        <v>396</v>
      </c>
      <c r="L90" s="151">
        <f>INDEX('Revised 2019 Lockdown'!F$5:F$257,MATCH(B90,'Revised 2019 Lockdown'!B$5:B$257,0))</f>
        <v>396</v>
      </c>
      <c r="M90" s="151">
        <f t="shared" si="15"/>
        <v>0</v>
      </c>
      <c r="N90" s="151">
        <v>83140.710000000006</v>
      </c>
      <c r="O90" s="156">
        <f t="shared" ref="O90:O153" si="18">I90-L90</f>
        <v>83140.710000000006</v>
      </c>
      <c r="P90" s="156">
        <f t="shared" si="16"/>
        <v>0</v>
      </c>
      <c r="Q90" s="85">
        <f t="shared" ref="Q90:Q153" si="19">IFERROR(O90/F90,"n.a.")</f>
        <v>678.15611192907727</v>
      </c>
      <c r="R90" s="6">
        <f t="shared" ref="R90:R153" si="20">MIN(Q90,INDEX($T$3:$T$11,MATCH(C90,$Q$3:$Q$11,0)))</f>
        <v>678.15611192907727</v>
      </c>
      <c r="S90" s="5">
        <f t="shared" ref="S90:S153" si="21">F90*R90</f>
        <v>83140.710000000006</v>
      </c>
      <c r="T90" s="113">
        <v>0.33333333333333337</v>
      </c>
      <c r="U90" s="87">
        <f t="shared" ref="U90:U153" si="22">$E$14*(S90/$S$24)</f>
        <v>19174.315755701362</v>
      </c>
      <c r="V90" s="87">
        <f t="shared" ref="V90:V153" si="23">$E$15*(F90/$F$24)</f>
        <v>8763.5224574146541</v>
      </c>
      <c r="W90" s="87">
        <f t="shared" ref="W90:W153" si="24">IFERROR(T90*$E$16*(S90/$S$24),0)</f>
        <v>1917.4315755701364</v>
      </c>
      <c r="X90" s="87">
        <f t="shared" ref="X90:X153" si="25">($W$23+$E$9)*(S90/$S$24)</f>
        <v>1006.6325018950579</v>
      </c>
      <c r="Y90" s="87">
        <f t="shared" ref="Y90:Y153" si="26">U90+V90+W90+X90</f>
        <v>30861.902290581213</v>
      </c>
      <c r="Z90" s="91">
        <f t="shared" ref="Z90:Z153" si="27">IFERROR((Y90/S90),0)</f>
        <v>0.37120085082965026</v>
      </c>
      <c r="AA90" s="131">
        <f t="shared" ref="AA90:AA153" si="28">IF(Z90&gt;$Z$19,$Z$19*S90,Y90+($Z$23*Y90/$Z$22))</f>
        <v>30862.869803076988</v>
      </c>
      <c r="AC90" s="131">
        <v>30940.016903535252</v>
      </c>
      <c r="AD90" s="151">
        <f t="shared" si="17"/>
        <v>-77.147100458263594</v>
      </c>
    </row>
    <row r="91" spans="2:30" x14ac:dyDescent="0.3">
      <c r="B91">
        <v>623</v>
      </c>
      <c r="C91" s="25">
        <v>6</v>
      </c>
      <c r="D91" s="32" t="s">
        <v>112</v>
      </c>
      <c r="E91" s="153">
        <v>230.09002718232705</v>
      </c>
      <c r="F91" s="153">
        <f>INDEX('Revised 2019 Lockdown'!H$5:H$257,MATCH(B91,'Revised 2019 Lockdown'!B$5:B$257,0))</f>
        <v>230.09002718232705</v>
      </c>
      <c r="G91" s="153">
        <f t="shared" ref="G91:G154" si="29">E91-F91</f>
        <v>0</v>
      </c>
      <c r="H91" s="151">
        <v>79811.240000000005</v>
      </c>
      <c r="I91" s="151">
        <f>INDEX('Revised 2019 Lockdown'!E$5:E$257,MATCH(B91,'Revised 2019 Lockdown'!B$5:B$257,0))</f>
        <v>79811.240000000005</v>
      </c>
      <c r="J91" s="151">
        <f t="shared" ref="J91:J154" si="30">H91-I91</f>
        <v>0</v>
      </c>
      <c r="K91" s="151">
        <v>0</v>
      </c>
      <c r="L91" s="151">
        <f>INDEX('Revised 2019 Lockdown'!F$5:F$257,MATCH(B91,'Revised 2019 Lockdown'!B$5:B$257,0))</f>
        <v>0</v>
      </c>
      <c r="M91" s="151">
        <f t="shared" ref="M91:M154" si="31">K91-L91</f>
        <v>0</v>
      </c>
      <c r="N91" s="151">
        <v>79811.240000000005</v>
      </c>
      <c r="O91" s="156">
        <f t="shared" si="18"/>
        <v>79811.240000000005</v>
      </c>
      <c r="P91" s="156">
        <f t="shared" ref="P91:P154" si="32">N91-O91</f>
        <v>0</v>
      </c>
      <c r="Q91" s="85">
        <f t="shared" si="19"/>
        <v>346.86961871996431</v>
      </c>
      <c r="R91" s="6">
        <f t="shared" si="20"/>
        <v>346.86961871996431</v>
      </c>
      <c r="S91" s="5">
        <f t="shared" si="21"/>
        <v>79811.240000000005</v>
      </c>
      <c r="T91" s="113">
        <v>0.31944444444444442</v>
      </c>
      <c r="U91" s="87">
        <f t="shared" si="22"/>
        <v>18406.45715695792</v>
      </c>
      <c r="V91" s="87">
        <f t="shared" si="23"/>
        <v>16447.218066990805</v>
      </c>
      <c r="W91" s="87">
        <f t="shared" si="24"/>
        <v>1763.952144208467</v>
      </c>
      <c r="X91" s="87">
        <f t="shared" si="25"/>
        <v>966.32068935359007</v>
      </c>
      <c r="Y91" s="87">
        <f t="shared" si="26"/>
        <v>37583.948057510781</v>
      </c>
      <c r="Z91" s="91">
        <f t="shared" si="27"/>
        <v>0.47091046395859504</v>
      </c>
      <c r="AA91" s="131">
        <f t="shared" si="28"/>
        <v>37585.126304368147</v>
      </c>
      <c r="AC91" s="131">
        <v>37669.326953622724</v>
      </c>
      <c r="AD91" s="151">
        <f t="shared" ref="AD91:AD154" si="33">AA91-AC91</f>
        <v>-84.200649254577002</v>
      </c>
    </row>
    <row r="92" spans="2:30" x14ac:dyDescent="0.3">
      <c r="B92">
        <v>626</v>
      </c>
      <c r="C92" s="25">
        <v>6</v>
      </c>
      <c r="D92" s="32" t="s">
        <v>113</v>
      </c>
      <c r="E92" s="153">
        <v>21.510599845182803</v>
      </c>
      <c r="F92" s="153">
        <f>INDEX('Revised 2019 Lockdown'!H$5:H$257,MATCH(B92,'Revised 2019 Lockdown'!B$5:B$257,0))</f>
        <v>21.510599845182803</v>
      </c>
      <c r="G92" s="153">
        <f t="shared" si="29"/>
        <v>0</v>
      </c>
      <c r="H92" s="151">
        <v>17900.14</v>
      </c>
      <c r="I92" s="151">
        <f>INDEX('Revised 2019 Lockdown'!E$5:E$257,MATCH(B92,'Revised 2019 Lockdown'!B$5:B$257,0))</f>
        <v>17900.14</v>
      </c>
      <c r="J92" s="151">
        <f t="shared" si="30"/>
        <v>0</v>
      </c>
      <c r="K92" s="151">
        <v>0</v>
      </c>
      <c r="L92" s="151">
        <f>INDEX('Revised 2019 Lockdown'!F$5:F$257,MATCH(B92,'Revised 2019 Lockdown'!B$5:B$257,0))</f>
        <v>0</v>
      </c>
      <c r="M92" s="151">
        <f t="shared" si="31"/>
        <v>0</v>
      </c>
      <c r="N92" s="151">
        <v>17900.14</v>
      </c>
      <c r="O92" s="156">
        <f t="shared" si="18"/>
        <v>17900.14</v>
      </c>
      <c r="P92" s="156">
        <f t="shared" si="32"/>
        <v>0</v>
      </c>
      <c r="Q92" s="85">
        <f t="shared" si="19"/>
        <v>832.15438569039497</v>
      </c>
      <c r="R92" s="6">
        <f t="shared" si="20"/>
        <v>832.15438569039497</v>
      </c>
      <c r="S92" s="5">
        <f t="shared" si="21"/>
        <v>17900.14</v>
      </c>
      <c r="T92" s="113">
        <v>0.22222222222222221</v>
      </c>
      <c r="U92" s="87">
        <f t="shared" si="22"/>
        <v>4128.2175294300478</v>
      </c>
      <c r="V92" s="87">
        <f t="shared" si="23"/>
        <v>1537.6134756381755</v>
      </c>
      <c r="W92" s="87">
        <f t="shared" si="24"/>
        <v>275.21450196200317</v>
      </c>
      <c r="X92" s="87">
        <f t="shared" si="25"/>
        <v>216.72731340003946</v>
      </c>
      <c r="Y92" s="87">
        <f t="shared" si="26"/>
        <v>6157.7728204302657</v>
      </c>
      <c r="Z92" s="91">
        <f t="shared" si="27"/>
        <v>0.34400696421537852</v>
      </c>
      <c r="AA92" s="131">
        <f t="shared" si="28"/>
        <v>6157.9658649838329</v>
      </c>
      <c r="AC92" s="131">
        <v>6173.7194255025543</v>
      </c>
      <c r="AD92" s="151">
        <f t="shared" si="33"/>
        <v>-15.753560518721315</v>
      </c>
    </row>
    <row r="93" spans="2:30" x14ac:dyDescent="0.3">
      <c r="B93">
        <v>627</v>
      </c>
      <c r="C93" s="25">
        <v>6</v>
      </c>
      <c r="D93" s="32" t="s">
        <v>114</v>
      </c>
      <c r="E93" s="153">
        <v>166.68530619268788</v>
      </c>
      <c r="F93" s="153">
        <f>INDEX('Revised 2019 Lockdown'!H$5:H$257,MATCH(B93,'Revised 2019 Lockdown'!B$5:B$257,0))</f>
        <v>166.68530619268788</v>
      </c>
      <c r="G93" s="153">
        <f t="shared" si="29"/>
        <v>0</v>
      </c>
      <c r="H93" s="151">
        <v>81020.789999999994</v>
      </c>
      <c r="I93" s="151">
        <f>INDEX('Revised 2019 Lockdown'!E$5:E$257,MATCH(B93,'Revised 2019 Lockdown'!B$5:B$257,0))</f>
        <v>81020.789999999994</v>
      </c>
      <c r="J93" s="151">
        <f t="shared" si="30"/>
        <v>0</v>
      </c>
      <c r="K93" s="151">
        <v>0</v>
      </c>
      <c r="L93" s="151">
        <f>INDEX('Revised 2019 Lockdown'!F$5:F$257,MATCH(B93,'Revised 2019 Lockdown'!B$5:B$257,0))</f>
        <v>0</v>
      </c>
      <c r="M93" s="151">
        <f t="shared" si="31"/>
        <v>0</v>
      </c>
      <c r="N93" s="151">
        <v>81020.789999999994</v>
      </c>
      <c r="O93" s="156">
        <f t="shared" si="18"/>
        <v>81020.789999999994</v>
      </c>
      <c r="P93" s="156">
        <f t="shared" si="32"/>
        <v>0</v>
      </c>
      <c r="Q93" s="85">
        <f t="shared" si="19"/>
        <v>486.07037927110457</v>
      </c>
      <c r="R93" s="6">
        <f t="shared" si="20"/>
        <v>486.07037927110457</v>
      </c>
      <c r="S93" s="5">
        <f t="shared" si="21"/>
        <v>81020.789999999994</v>
      </c>
      <c r="T93" s="113">
        <v>0.34722222222222221</v>
      </c>
      <c r="U93" s="87">
        <f t="shared" si="22"/>
        <v>18685.409473125394</v>
      </c>
      <c r="V93" s="87">
        <f t="shared" si="23"/>
        <v>11914.94309026203</v>
      </c>
      <c r="W93" s="87">
        <f t="shared" si="24"/>
        <v>1946.3968201172281</v>
      </c>
      <c r="X93" s="87">
        <f t="shared" si="25"/>
        <v>980.96540844087167</v>
      </c>
      <c r="Y93" s="87">
        <f t="shared" si="26"/>
        <v>33527.714791945524</v>
      </c>
      <c r="Z93" s="91">
        <f t="shared" si="27"/>
        <v>0.41381619201621617</v>
      </c>
      <c r="AA93" s="131">
        <f t="shared" si="28"/>
        <v>33528.765876960009</v>
      </c>
      <c r="AC93" s="131">
        <v>33608.530739902722</v>
      </c>
      <c r="AD93" s="151">
        <f t="shared" si="33"/>
        <v>-79.76486294271308</v>
      </c>
    </row>
    <row r="94" spans="2:30" x14ac:dyDescent="0.3">
      <c r="B94">
        <v>634</v>
      </c>
      <c r="C94" s="25">
        <v>6</v>
      </c>
      <c r="D94" s="32" t="s">
        <v>115</v>
      </c>
      <c r="E94" s="153">
        <v>627.63282999291278</v>
      </c>
      <c r="F94" s="153">
        <f>INDEX('Revised 2019 Lockdown'!H$5:H$257,MATCH(B94,'Revised 2019 Lockdown'!B$5:B$257,0))</f>
        <v>627.63282999291278</v>
      </c>
      <c r="G94" s="153">
        <f t="shared" si="29"/>
        <v>0</v>
      </c>
      <c r="H94" s="151">
        <v>651840.68999999994</v>
      </c>
      <c r="I94" s="151">
        <f>INDEX('Revised 2019 Lockdown'!E$5:E$257,MATCH(B94,'Revised 2019 Lockdown'!B$5:B$257,0))</f>
        <v>651840.68999999994</v>
      </c>
      <c r="J94" s="151">
        <f t="shared" si="30"/>
        <v>0</v>
      </c>
      <c r="K94" s="151">
        <v>0</v>
      </c>
      <c r="L94" s="151">
        <f>INDEX('Revised 2019 Lockdown'!F$5:F$257,MATCH(B94,'Revised 2019 Lockdown'!B$5:B$257,0))</f>
        <v>0</v>
      </c>
      <c r="M94" s="151">
        <f t="shared" si="31"/>
        <v>0</v>
      </c>
      <c r="N94" s="151">
        <v>651840.68999999994</v>
      </c>
      <c r="O94" s="156">
        <f t="shared" si="18"/>
        <v>651840.68999999994</v>
      </c>
      <c r="P94" s="156">
        <f t="shared" si="32"/>
        <v>0</v>
      </c>
      <c r="Q94" s="85">
        <f t="shared" si="19"/>
        <v>1038.5700983923364</v>
      </c>
      <c r="R94" s="6">
        <f t="shared" si="20"/>
        <v>1038.5700983923364</v>
      </c>
      <c r="S94" s="5">
        <f t="shared" si="21"/>
        <v>651840.68999999994</v>
      </c>
      <c r="T94" s="113">
        <v>0.78703703703703698</v>
      </c>
      <c r="U94" s="87">
        <f t="shared" si="22"/>
        <v>150330.67690273808</v>
      </c>
      <c r="V94" s="87">
        <f t="shared" si="23"/>
        <v>44864.239216748145</v>
      </c>
      <c r="W94" s="87">
        <f t="shared" si="24"/>
        <v>35494.743157590936</v>
      </c>
      <c r="X94" s="87">
        <f t="shared" si="25"/>
        <v>7892.2109831838179</v>
      </c>
      <c r="Y94" s="87">
        <f t="shared" si="26"/>
        <v>238581.87026026097</v>
      </c>
      <c r="Z94" s="91">
        <f t="shared" si="27"/>
        <v>0.36601254558113117</v>
      </c>
      <c r="AA94" s="131">
        <f t="shared" si="28"/>
        <v>238589.34973895835</v>
      </c>
      <c r="AC94" s="131">
        <v>239223.7095436948</v>
      </c>
      <c r="AD94" s="151">
        <f t="shared" si="33"/>
        <v>-634.35980473645031</v>
      </c>
    </row>
    <row r="95" spans="2:30" x14ac:dyDescent="0.3">
      <c r="B95">
        <v>636</v>
      </c>
      <c r="C95" s="25">
        <v>6</v>
      </c>
      <c r="D95" s="32" t="s">
        <v>294</v>
      </c>
      <c r="E95" s="153">
        <v>71.040896564249138</v>
      </c>
      <c r="F95" s="153">
        <f>INDEX('Revised 2019 Lockdown'!H$5:H$257,MATCH(B95,'Revised 2019 Lockdown'!B$5:B$257,0))</f>
        <v>71.040896564249138</v>
      </c>
      <c r="G95" s="153">
        <f t="shared" si="29"/>
        <v>0</v>
      </c>
      <c r="H95" s="151">
        <v>82605.94</v>
      </c>
      <c r="I95" s="151">
        <f>INDEX('Revised 2019 Lockdown'!E$5:E$257,MATCH(B95,'Revised 2019 Lockdown'!B$5:B$257,0))</f>
        <v>82605.94</v>
      </c>
      <c r="J95" s="151">
        <f t="shared" si="30"/>
        <v>0</v>
      </c>
      <c r="K95" s="151">
        <v>76356</v>
      </c>
      <c r="L95" s="151">
        <f>INDEX('Revised 2019 Lockdown'!F$5:F$257,MATCH(B95,'Revised 2019 Lockdown'!B$5:B$257,0))</f>
        <v>76356</v>
      </c>
      <c r="M95" s="151">
        <f t="shared" si="31"/>
        <v>0</v>
      </c>
      <c r="N95" s="151">
        <v>6249.9400000000023</v>
      </c>
      <c r="O95" s="156">
        <f t="shared" si="18"/>
        <v>6249.9400000000023</v>
      </c>
      <c r="P95" s="156">
        <f t="shared" si="32"/>
        <v>0</v>
      </c>
      <c r="Q95" s="85">
        <f t="shared" si="19"/>
        <v>87.976648694848308</v>
      </c>
      <c r="R95" s="6">
        <f t="shared" si="20"/>
        <v>87.976648694848308</v>
      </c>
      <c r="S95" s="5">
        <f t="shared" si="21"/>
        <v>6249.9400000000023</v>
      </c>
      <c r="T95" s="113">
        <v>0.47222222222222215</v>
      </c>
      <c r="U95" s="87">
        <f t="shared" si="22"/>
        <v>1441.3916240814901</v>
      </c>
      <c r="V95" s="87">
        <f t="shared" si="23"/>
        <v>5078.1215151965907</v>
      </c>
      <c r="W95" s="87">
        <f t="shared" si="24"/>
        <v>204.19714674487776</v>
      </c>
      <c r="X95" s="87">
        <f t="shared" si="25"/>
        <v>75.671626317528435</v>
      </c>
      <c r="Y95" s="87">
        <f t="shared" si="26"/>
        <v>6799.3819123404865</v>
      </c>
      <c r="Z95" s="91">
        <f t="shared" si="27"/>
        <v>1.0879115499253567</v>
      </c>
      <c r="AA95" s="131">
        <f t="shared" si="28"/>
        <v>4687.4550000000017</v>
      </c>
      <c r="AC95" s="131">
        <v>4687.4550000000017</v>
      </c>
      <c r="AD95" s="151">
        <f t="shared" si="33"/>
        <v>0</v>
      </c>
    </row>
    <row r="96" spans="2:30" x14ac:dyDescent="0.3">
      <c r="B96">
        <v>641</v>
      </c>
      <c r="C96" s="25">
        <v>6</v>
      </c>
      <c r="D96" s="32" t="s">
        <v>309</v>
      </c>
      <c r="E96" s="153">
        <v>7.6885978325592479</v>
      </c>
      <c r="F96" s="153">
        <f>INDEX('Revised 2019 Lockdown'!H$5:H$257,MATCH(B96,'Revised 2019 Lockdown'!B$5:B$257,0))</f>
        <v>7.6885978325592479</v>
      </c>
      <c r="G96" s="153">
        <f t="shared" si="29"/>
        <v>0</v>
      </c>
      <c r="H96" s="151">
        <v>28951.200000000001</v>
      </c>
      <c r="I96" s="151">
        <f>INDEX('Revised 2019 Lockdown'!E$5:E$257,MATCH(B96,'Revised 2019 Lockdown'!B$5:B$257,0))</f>
        <v>28951.200000000001</v>
      </c>
      <c r="J96" s="151">
        <f t="shared" si="30"/>
        <v>0</v>
      </c>
      <c r="K96" s="151">
        <v>0</v>
      </c>
      <c r="L96" s="151">
        <f>INDEX('Revised 2019 Lockdown'!F$5:F$257,MATCH(B96,'Revised 2019 Lockdown'!B$5:B$257,0))</f>
        <v>0</v>
      </c>
      <c r="M96" s="151">
        <f t="shared" si="31"/>
        <v>0</v>
      </c>
      <c r="N96" s="151">
        <v>28951.200000000001</v>
      </c>
      <c r="O96" s="156">
        <f t="shared" si="18"/>
        <v>28951.200000000001</v>
      </c>
      <c r="P96" s="156">
        <f t="shared" si="32"/>
        <v>0</v>
      </c>
      <c r="Q96" s="85">
        <f t="shared" si="19"/>
        <v>3765.4720184997923</v>
      </c>
      <c r="R96" s="6">
        <f t="shared" si="20"/>
        <v>1517.426614892323</v>
      </c>
      <c r="S96" s="5">
        <f t="shared" si="21"/>
        <v>11666.882982328831</v>
      </c>
      <c r="T96" s="113">
        <v>8.3333333333333329E-2</v>
      </c>
      <c r="U96" s="87">
        <f t="shared" si="22"/>
        <v>2690.6734160436172</v>
      </c>
      <c r="V96" s="87">
        <f t="shared" si="23"/>
        <v>549.59376870901485</v>
      </c>
      <c r="W96" s="87">
        <f t="shared" si="24"/>
        <v>67.266835401090418</v>
      </c>
      <c r="X96" s="87">
        <f t="shared" si="25"/>
        <v>141.25767756636361</v>
      </c>
      <c r="Y96" s="87">
        <f t="shared" si="26"/>
        <v>3448.7916977200862</v>
      </c>
      <c r="Z96" s="91">
        <f t="shared" si="27"/>
        <v>0.29560523602951844</v>
      </c>
      <c r="AA96" s="131">
        <f t="shared" si="28"/>
        <v>3448.899816430056</v>
      </c>
      <c r="AC96" s="131">
        <v>3467.903169842868</v>
      </c>
      <c r="AD96" s="151">
        <f t="shared" si="33"/>
        <v>-19.003353412811975</v>
      </c>
    </row>
    <row r="97" spans="2:30" x14ac:dyDescent="0.3">
      <c r="B97">
        <v>694</v>
      </c>
      <c r="C97" s="25">
        <v>6</v>
      </c>
      <c r="D97" s="32" t="s">
        <v>116</v>
      </c>
      <c r="E97" s="153">
        <v>13.652308485619448</v>
      </c>
      <c r="F97" s="153">
        <f>INDEX('Revised 2019 Lockdown'!H$5:H$257,MATCH(B97,'Revised 2019 Lockdown'!B$5:B$257,0))</f>
        <v>13.652308485619448</v>
      </c>
      <c r="G97" s="153">
        <f t="shared" si="29"/>
        <v>0</v>
      </c>
      <c r="H97" s="151">
        <v>89610.08</v>
      </c>
      <c r="I97" s="151">
        <f>INDEX('Revised 2019 Lockdown'!E$5:E$257,MATCH(B97,'Revised 2019 Lockdown'!B$5:B$257,0))</f>
        <v>89610.08</v>
      </c>
      <c r="J97" s="151">
        <f t="shared" si="30"/>
        <v>0</v>
      </c>
      <c r="K97" s="151">
        <v>0</v>
      </c>
      <c r="L97" s="151">
        <f>INDEX('Revised 2019 Lockdown'!F$5:F$257,MATCH(B97,'Revised 2019 Lockdown'!B$5:B$257,0))</f>
        <v>0</v>
      </c>
      <c r="M97" s="151">
        <f t="shared" si="31"/>
        <v>0</v>
      </c>
      <c r="N97" s="151">
        <v>89610.08</v>
      </c>
      <c r="O97" s="156">
        <f t="shared" si="18"/>
        <v>89610.08</v>
      </c>
      <c r="P97" s="156">
        <f t="shared" si="32"/>
        <v>0</v>
      </c>
      <c r="Q97" s="85">
        <f t="shared" si="19"/>
        <v>6563.7309686043263</v>
      </c>
      <c r="R97" s="6">
        <f t="shared" si="20"/>
        <v>1517.426614892323</v>
      </c>
      <c r="S97" s="5">
        <f t="shared" si="21"/>
        <v>20716.376250799254</v>
      </c>
      <c r="T97" s="113">
        <v>0.72916666666666674</v>
      </c>
      <c r="U97" s="87">
        <f t="shared" si="22"/>
        <v>4777.7116595075704</v>
      </c>
      <c r="V97" s="87">
        <f t="shared" si="23"/>
        <v>975.88973120891046</v>
      </c>
      <c r="W97" s="87">
        <f t="shared" si="24"/>
        <v>1045.124425517281</v>
      </c>
      <c r="X97" s="87">
        <f t="shared" si="25"/>
        <v>250.82510908965548</v>
      </c>
      <c r="Y97" s="87">
        <f t="shared" si="26"/>
        <v>7049.5509253234177</v>
      </c>
      <c r="Z97" s="91">
        <f t="shared" si="27"/>
        <v>0.34028880533831007</v>
      </c>
      <c r="AA97" s="131">
        <f t="shared" si="28"/>
        <v>7049.7719268853316</v>
      </c>
      <c r="AC97" s="131">
        <v>7089.3210838575205</v>
      </c>
      <c r="AD97" s="151">
        <f t="shared" si="33"/>
        <v>-39.549156972188939</v>
      </c>
    </row>
    <row r="98" spans="2:30" x14ac:dyDescent="0.3">
      <c r="B98">
        <v>706</v>
      </c>
      <c r="C98" s="25">
        <v>6</v>
      </c>
      <c r="D98" s="32" t="s">
        <v>221</v>
      </c>
      <c r="E98" s="153">
        <v>56.018140906938008</v>
      </c>
      <c r="F98" s="153">
        <f>INDEX('Revised 2019 Lockdown'!H$5:H$257,MATCH(B98,'Revised 2019 Lockdown'!B$5:B$257,0))</f>
        <v>56.018140906938008</v>
      </c>
      <c r="G98" s="153">
        <f t="shared" si="29"/>
        <v>0</v>
      </c>
      <c r="H98" s="151">
        <v>63477.03</v>
      </c>
      <c r="I98" s="151">
        <f>INDEX('Revised 2019 Lockdown'!E$5:E$257,MATCH(B98,'Revised 2019 Lockdown'!B$5:B$257,0))</f>
        <v>63477.03</v>
      </c>
      <c r="J98" s="151">
        <f t="shared" si="30"/>
        <v>0</v>
      </c>
      <c r="K98" s="151">
        <v>0</v>
      </c>
      <c r="L98" s="151">
        <f>INDEX('Revised 2019 Lockdown'!F$5:F$257,MATCH(B98,'Revised 2019 Lockdown'!B$5:B$257,0))</f>
        <v>0</v>
      </c>
      <c r="M98" s="151">
        <f t="shared" si="31"/>
        <v>0</v>
      </c>
      <c r="N98" s="151">
        <v>63477.03</v>
      </c>
      <c r="O98" s="156">
        <f t="shared" si="18"/>
        <v>63477.03</v>
      </c>
      <c r="P98" s="156">
        <f t="shared" si="32"/>
        <v>0</v>
      </c>
      <c r="Q98" s="85">
        <f t="shared" si="19"/>
        <v>1133.1513144189007</v>
      </c>
      <c r="R98" s="6">
        <f t="shared" si="20"/>
        <v>1133.1513144189007</v>
      </c>
      <c r="S98" s="5">
        <f t="shared" si="21"/>
        <v>63477.029999999992</v>
      </c>
      <c r="T98" s="113">
        <v>0.375</v>
      </c>
      <c r="U98" s="87">
        <f t="shared" si="22"/>
        <v>14639.382036238658</v>
      </c>
      <c r="V98" s="87">
        <f t="shared" si="23"/>
        <v>4004.2699394082856</v>
      </c>
      <c r="W98" s="87">
        <f t="shared" si="24"/>
        <v>1646.9304790768488</v>
      </c>
      <c r="X98" s="87">
        <f t="shared" si="25"/>
        <v>768.55299313378043</v>
      </c>
      <c r="Y98" s="87">
        <f t="shared" si="26"/>
        <v>21059.13544785757</v>
      </c>
      <c r="Z98" s="91">
        <f t="shared" si="27"/>
        <v>0.3317599365921432</v>
      </c>
      <c r="AA98" s="131">
        <f t="shared" si="28"/>
        <v>21059.795646198691</v>
      </c>
      <c r="AC98" s="131">
        <v>21115.76684690348</v>
      </c>
      <c r="AD98" s="151">
        <f t="shared" si="33"/>
        <v>-55.971200704789226</v>
      </c>
    </row>
    <row r="99" spans="2:30" x14ac:dyDescent="0.3">
      <c r="B99">
        <v>710</v>
      </c>
      <c r="C99" s="25">
        <v>6</v>
      </c>
      <c r="D99" s="32" t="s">
        <v>117</v>
      </c>
      <c r="E99" s="153">
        <v>69.210000000000008</v>
      </c>
      <c r="F99" s="153">
        <f>INDEX('Revised 2019 Lockdown'!H$5:H$257,MATCH(B99,'Revised 2019 Lockdown'!B$5:B$257,0))</f>
        <v>69.210000000000008</v>
      </c>
      <c r="G99" s="153">
        <f t="shared" si="29"/>
        <v>0</v>
      </c>
      <c r="H99" s="151">
        <v>68111.539999999994</v>
      </c>
      <c r="I99" s="151">
        <f>INDEX('Revised 2019 Lockdown'!E$5:E$257,MATCH(B99,'Revised 2019 Lockdown'!B$5:B$257,0))</f>
        <v>68111.539999999994</v>
      </c>
      <c r="J99" s="151">
        <f t="shared" si="30"/>
        <v>0</v>
      </c>
      <c r="K99" s="151">
        <v>0</v>
      </c>
      <c r="L99" s="151">
        <f>INDEX('Revised 2019 Lockdown'!F$5:F$257,MATCH(B99,'Revised 2019 Lockdown'!B$5:B$257,0))</f>
        <v>0</v>
      </c>
      <c r="M99" s="151">
        <f t="shared" si="31"/>
        <v>0</v>
      </c>
      <c r="N99" s="151">
        <v>68111.539999999994</v>
      </c>
      <c r="O99" s="156">
        <f t="shared" si="18"/>
        <v>68111.539999999994</v>
      </c>
      <c r="P99" s="156">
        <f t="shared" si="32"/>
        <v>0</v>
      </c>
      <c r="Q99" s="85">
        <f t="shared" si="19"/>
        <v>984.12859413379545</v>
      </c>
      <c r="R99" s="6">
        <f t="shared" si="20"/>
        <v>984.12859413379545</v>
      </c>
      <c r="S99" s="5">
        <f t="shared" si="21"/>
        <v>68111.539999999994</v>
      </c>
      <c r="T99" s="113">
        <v>0.20138888888888887</v>
      </c>
      <c r="U99" s="87">
        <f t="shared" si="22"/>
        <v>15708.215320353689</v>
      </c>
      <c r="V99" s="87">
        <f t="shared" si="23"/>
        <v>4947.2459817409517</v>
      </c>
      <c r="W99" s="87">
        <f t="shared" si="24"/>
        <v>949.0380089380352</v>
      </c>
      <c r="X99" s="87">
        <f t="shared" si="25"/>
        <v>824.66567723712353</v>
      </c>
      <c r="Y99" s="87">
        <f t="shared" si="26"/>
        <v>22429.1649882698</v>
      </c>
      <c r="Z99" s="91">
        <f t="shared" si="27"/>
        <v>0.32930051189959592</v>
      </c>
      <c r="AA99" s="131">
        <f t="shared" si="28"/>
        <v>22429.868136675614</v>
      </c>
      <c r="AC99" s="131">
        <v>22488.356417280247</v>
      </c>
      <c r="AD99" s="151">
        <f t="shared" si="33"/>
        <v>-58.488280604633474</v>
      </c>
    </row>
    <row r="100" spans="2:30" x14ac:dyDescent="0.3">
      <c r="B100">
        <v>743</v>
      </c>
      <c r="C100" s="25">
        <v>6</v>
      </c>
      <c r="D100" s="32" t="s">
        <v>118</v>
      </c>
      <c r="E100" s="153">
        <v>71.12866810077378</v>
      </c>
      <c r="F100" s="153">
        <f>INDEX('Revised 2019 Lockdown'!H$5:H$257,MATCH(B100,'Revised 2019 Lockdown'!B$5:B$257,0))</f>
        <v>71.12866810077378</v>
      </c>
      <c r="G100" s="153">
        <f t="shared" si="29"/>
        <v>0</v>
      </c>
      <c r="H100" s="151">
        <v>137831.6</v>
      </c>
      <c r="I100" s="151">
        <f>INDEX('Revised 2019 Lockdown'!E$5:E$257,MATCH(B100,'Revised 2019 Lockdown'!B$5:B$257,0))</f>
        <v>137831.6</v>
      </c>
      <c r="J100" s="151">
        <f t="shared" si="30"/>
        <v>0</v>
      </c>
      <c r="K100" s="151">
        <v>0</v>
      </c>
      <c r="L100" s="151">
        <f>INDEX('Revised 2019 Lockdown'!F$5:F$257,MATCH(B100,'Revised 2019 Lockdown'!B$5:B$257,0))</f>
        <v>0</v>
      </c>
      <c r="M100" s="151">
        <f t="shared" si="31"/>
        <v>0</v>
      </c>
      <c r="N100" s="151">
        <v>137831.6</v>
      </c>
      <c r="O100" s="156">
        <f t="shared" si="18"/>
        <v>137831.6</v>
      </c>
      <c r="P100" s="156">
        <f t="shared" si="32"/>
        <v>0</v>
      </c>
      <c r="Q100" s="85">
        <f t="shared" si="19"/>
        <v>1937.7784468664977</v>
      </c>
      <c r="R100" s="6">
        <f t="shared" si="20"/>
        <v>1517.426614892323</v>
      </c>
      <c r="S100" s="5">
        <f t="shared" si="21"/>
        <v>107932.53405795671</v>
      </c>
      <c r="T100" s="113">
        <v>0.61342592592592582</v>
      </c>
      <c r="U100" s="87">
        <f t="shared" si="22"/>
        <v>24891.927051624323</v>
      </c>
      <c r="V100" s="87">
        <f t="shared" si="23"/>
        <v>5084.3955706998813</v>
      </c>
      <c r="W100" s="87">
        <f t="shared" si="24"/>
        <v>4580.8060199169749</v>
      </c>
      <c r="X100" s="87">
        <f t="shared" si="25"/>
        <v>1306.8014068515229</v>
      </c>
      <c r="Y100" s="87">
        <f t="shared" si="26"/>
        <v>35863.930049092705</v>
      </c>
      <c r="Z100" s="91">
        <f t="shared" si="27"/>
        <v>0.33228099721845494</v>
      </c>
      <c r="AA100" s="131">
        <f t="shared" si="28"/>
        <v>35865.05437383923</v>
      </c>
      <c r="AC100" s="131">
        <v>36065.682349062023</v>
      </c>
      <c r="AD100" s="151">
        <f t="shared" si="33"/>
        <v>-200.62797522279288</v>
      </c>
    </row>
    <row r="101" spans="2:30" x14ac:dyDescent="0.3">
      <c r="B101">
        <v>747</v>
      </c>
      <c r="C101" s="25">
        <v>6</v>
      </c>
      <c r="D101" s="32" t="s">
        <v>119</v>
      </c>
      <c r="E101" s="153">
        <v>38</v>
      </c>
      <c r="F101" s="153">
        <f>INDEX('Revised 2019 Lockdown'!H$5:H$257,MATCH(B101,'Revised 2019 Lockdown'!B$5:B$257,0))</f>
        <v>38</v>
      </c>
      <c r="G101" s="153">
        <f t="shared" si="29"/>
        <v>0</v>
      </c>
      <c r="H101" s="151">
        <v>67182.81</v>
      </c>
      <c r="I101" s="151">
        <f>INDEX('Revised 2019 Lockdown'!E$5:E$257,MATCH(B101,'Revised 2019 Lockdown'!B$5:B$257,0))</f>
        <v>67182.81</v>
      </c>
      <c r="J101" s="151">
        <f t="shared" si="30"/>
        <v>0</v>
      </c>
      <c r="K101" s="151">
        <v>0</v>
      </c>
      <c r="L101" s="151">
        <f>INDEX('Revised 2019 Lockdown'!F$5:F$257,MATCH(B101,'Revised 2019 Lockdown'!B$5:B$257,0))</f>
        <v>0</v>
      </c>
      <c r="M101" s="151">
        <f t="shared" si="31"/>
        <v>0</v>
      </c>
      <c r="N101" s="151">
        <v>67182.81</v>
      </c>
      <c r="O101" s="156">
        <f t="shared" si="18"/>
        <v>67182.81</v>
      </c>
      <c r="P101" s="156">
        <f t="shared" si="32"/>
        <v>0</v>
      </c>
      <c r="Q101" s="85">
        <f t="shared" si="19"/>
        <v>1767.9686842105264</v>
      </c>
      <c r="R101" s="6">
        <f t="shared" si="20"/>
        <v>1517.426614892323</v>
      </c>
      <c r="S101" s="5">
        <f t="shared" si="21"/>
        <v>57662.211365908275</v>
      </c>
      <c r="T101" s="113">
        <v>0.29166666666666663</v>
      </c>
      <c r="U101" s="87">
        <f t="shared" si="22"/>
        <v>13298.34022228</v>
      </c>
      <c r="V101" s="87">
        <f t="shared" si="23"/>
        <v>2716.3032409500956</v>
      </c>
      <c r="W101" s="87">
        <f t="shared" si="24"/>
        <v>1163.6047694494998</v>
      </c>
      <c r="X101" s="87">
        <f t="shared" si="25"/>
        <v>698.14963201620333</v>
      </c>
      <c r="Y101" s="87">
        <f t="shared" si="26"/>
        <v>17876.397864695798</v>
      </c>
      <c r="Z101" s="91">
        <f t="shared" si="27"/>
        <v>0.31001929064525768</v>
      </c>
      <c r="AA101" s="131">
        <f t="shared" si="28"/>
        <v>17876.958285053257</v>
      </c>
      <c r="AC101" s="131">
        <v>17976.096030987181</v>
      </c>
      <c r="AD101" s="151">
        <f t="shared" si="33"/>
        <v>-99.137745933923725</v>
      </c>
    </row>
    <row r="102" spans="2:30" x14ac:dyDescent="0.3">
      <c r="B102">
        <v>758</v>
      </c>
      <c r="C102" s="25">
        <v>6</v>
      </c>
      <c r="D102" s="32" t="s">
        <v>120</v>
      </c>
      <c r="E102" s="153">
        <v>242.43766590949087</v>
      </c>
      <c r="F102" s="153">
        <f>INDEX('Revised 2019 Lockdown'!H$5:H$257,MATCH(B102,'Revised 2019 Lockdown'!B$5:B$257,0))</f>
        <v>242.43766590949087</v>
      </c>
      <c r="G102" s="153">
        <f t="shared" si="29"/>
        <v>0</v>
      </c>
      <c r="H102" s="151">
        <v>340319.42</v>
      </c>
      <c r="I102" s="151">
        <f>INDEX('Revised 2019 Lockdown'!E$5:E$257,MATCH(B102,'Revised 2019 Lockdown'!B$5:B$257,0))</f>
        <v>340319.42</v>
      </c>
      <c r="J102" s="151">
        <f t="shared" si="30"/>
        <v>0</v>
      </c>
      <c r="K102" s="151">
        <v>142.1</v>
      </c>
      <c r="L102" s="151">
        <f>INDEX('Revised 2019 Lockdown'!F$5:F$257,MATCH(B102,'Revised 2019 Lockdown'!B$5:B$257,0))</f>
        <v>142.1</v>
      </c>
      <c r="M102" s="151">
        <f t="shared" si="31"/>
        <v>0</v>
      </c>
      <c r="N102" s="151">
        <v>340177.32</v>
      </c>
      <c r="O102" s="156">
        <f t="shared" si="18"/>
        <v>340177.32</v>
      </c>
      <c r="P102" s="156">
        <f t="shared" si="32"/>
        <v>0</v>
      </c>
      <c r="Q102" s="85">
        <f t="shared" si="19"/>
        <v>1403.1537497436484</v>
      </c>
      <c r="R102" s="6">
        <f t="shared" si="20"/>
        <v>1403.1537497436484</v>
      </c>
      <c r="S102" s="5">
        <f t="shared" si="21"/>
        <v>340177.32</v>
      </c>
      <c r="T102" s="113">
        <v>0.62037037037037024</v>
      </c>
      <c r="U102" s="87">
        <f t="shared" si="22"/>
        <v>78453.351512252688</v>
      </c>
      <c r="V102" s="87">
        <f t="shared" si="23"/>
        <v>17329.84783258754</v>
      </c>
      <c r="W102" s="87">
        <f t="shared" si="24"/>
        <v>14601.040420335914</v>
      </c>
      <c r="X102" s="87">
        <f t="shared" si="25"/>
        <v>4118.7229062580245</v>
      </c>
      <c r="Y102" s="87">
        <f t="shared" si="26"/>
        <v>114502.96267143417</v>
      </c>
      <c r="Z102" s="91">
        <f t="shared" si="27"/>
        <v>0.33659787393067286</v>
      </c>
      <c r="AA102" s="131">
        <f t="shared" si="28"/>
        <v>114506.55230910929</v>
      </c>
      <c r="AC102" s="131">
        <v>114818.19815650856</v>
      </c>
      <c r="AD102" s="151">
        <f t="shared" si="33"/>
        <v>-311.64584739926795</v>
      </c>
    </row>
    <row r="103" spans="2:30" x14ac:dyDescent="0.3">
      <c r="B103">
        <v>765</v>
      </c>
      <c r="C103" s="25">
        <v>6</v>
      </c>
      <c r="D103" s="32" t="s">
        <v>121</v>
      </c>
      <c r="E103" s="153">
        <v>86.906400000000005</v>
      </c>
      <c r="F103" s="153">
        <f>INDEX('Revised 2019 Lockdown'!H$5:H$257,MATCH(B103,'Revised 2019 Lockdown'!B$5:B$257,0))</f>
        <v>86.906400000000005</v>
      </c>
      <c r="G103" s="153">
        <f t="shared" si="29"/>
        <v>0</v>
      </c>
      <c r="H103" s="151">
        <v>83939.95</v>
      </c>
      <c r="I103" s="151">
        <f>INDEX('Revised 2019 Lockdown'!E$5:E$257,MATCH(B103,'Revised 2019 Lockdown'!B$5:B$257,0))</f>
        <v>83939.95</v>
      </c>
      <c r="J103" s="151">
        <f t="shared" si="30"/>
        <v>0</v>
      </c>
      <c r="K103" s="151">
        <v>0</v>
      </c>
      <c r="L103" s="151">
        <f>INDEX('Revised 2019 Lockdown'!F$5:F$257,MATCH(B103,'Revised 2019 Lockdown'!B$5:B$257,0))</f>
        <v>0</v>
      </c>
      <c r="M103" s="151">
        <f t="shared" si="31"/>
        <v>0</v>
      </c>
      <c r="N103" s="151">
        <v>83939.95</v>
      </c>
      <c r="O103" s="156">
        <f t="shared" si="18"/>
        <v>83939.95</v>
      </c>
      <c r="P103" s="156">
        <f t="shared" si="32"/>
        <v>0</v>
      </c>
      <c r="Q103" s="85">
        <f t="shared" si="19"/>
        <v>965.86615024900345</v>
      </c>
      <c r="R103" s="6">
        <f t="shared" si="20"/>
        <v>965.86615024900345</v>
      </c>
      <c r="S103" s="5">
        <f t="shared" si="21"/>
        <v>83939.95</v>
      </c>
      <c r="T103" s="113">
        <v>0.36111111111111105</v>
      </c>
      <c r="U103" s="87">
        <f t="shared" si="22"/>
        <v>19358.640379878692</v>
      </c>
      <c r="V103" s="87">
        <f t="shared" si="23"/>
        <v>6212.2141047185632</v>
      </c>
      <c r="W103" s="87">
        <f t="shared" si="24"/>
        <v>2097.1860411535245</v>
      </c>
      <c r="X103" s="87">
        <f t="shared" si="25"/>
        <v>1016.3093612917912</v>
      </c>
      <c r="Y103" s="87">
        <f t="shared" si="26"/>
        <v>28684.349887042572</v>
      </c>
      <c r="Z103" s="91">
        <f t="shared" si="27"/>
        <v>0.34172464824011178</v>
      </c>
      <c r="AA103" s="131">
        <f t="shared" si="28"/>
        <v>28685.249133844911</v>
      </c>
      <c r="AC103" s="131">
        <v>28760.212007277194</v>
      </c>
      <c r="AD103" s="151">
        <f t="shared" si="33"/>
        <v>-74.962873432283232</v>
      </c>
    </row>
    <row r="104" spans="2:30" x14ac:dyDescent="0.3">
      <c r="B104">
        <v>770</v>
      </c>
      <c r="C104" s="25">
        <v>6</v>
      </c>
      <c r="D104" s="32" t="s">
        <v>122</v>
      </c>
      <c r="E104" s="153">
        <v>26.529718140785779</v>
      </c>
      <c r="F104" s="153">
        <f>INDEX('Revised 2019 Lockdown'!H$5:H$257,MATCH(B104,'Revised 2019 Lockdown'!B$5:B$257,0))</f>
        <v>26.529718140785779</v>
      </c>
      <c r="G104" s="153">
        <f t="shared" si="29"/>
        <v>0</v>
      </c>
      <c r="H104" s="151">
        <v>30839.79</v>
      </c>
      <c r="I104" s="151">
        <f>INDEX('Revised 2019 Lockdown'!E$5:E$257,MATCH(B104,'Revised 2019 Lockdown'!B$5:B$257,0))</f>
        <v>30839.79</v>
      </c>
      <c r="J104" s="151">
        <f t="shared" si="30"/>
        <v>0</v>
      </c>
      <c r="K104" s="151">
        <v>0</v>
      </c>
      <c r="L104" s="151">
        <f>INDEX('Revised 2019 Lockdown'!F$5:F$257,MATCH(B104,'Revised 2019 Lockdown'!B$5:B$257,0))</f>
        <v>0</v>
      </c>
      <c r="M104" s="151">
        <f t="shared" si="31"/>
        <v>0</v>
      </c>
      <c r="N104" s="151">
        <v>30839.79</v>
      </c>
      <c r="O104" s="156">
        <f t="shared" si="18"/>
        <v>30839.79</v>
      </c>
      <c r="P104" s="156">
        <f t="shared" si="32"/>
        <v>0</v>
      </c>
      <c r="Q104" s="85">
        <f t="shared" si="19"/>
        <v>1162.4620298015184</v>
      </c>
      <c r="R104" s="6">
        <f t="shared" si="20"/>
        <v>1162.4620298015184</v>
      </c>
      <c r="S104" s="5">
        <f t="shared" si="21"/>
        <v>30839.79</v>
      </c>
      <c r="T104" s="113">
        <v>0.29166666666666663</v>
      </c>
      <c r="U104" s="87">
        <f t="shared" si="22"/>
        <v>7112.4226783668464</v>
      </c>
      <c r="V104" s="87">
        <f t="shared" si="23"/>
        <v>1896.3884044028673</v>
      </c>
      <c r="W104" s="87">
        <f t="shared" si="24"/>
        <v>622.33698435709891</v>
      </c>
      <c r="X104" s="87">
        <f t="shared" si="25"/>
        <v>373.39511492767116</v>
      </c>
      <c r="Y104" s="87">
        <f t="shared" si="26"/>
        <v>10004.543182054482</v>
      </c>
      <c r="Z104" s="91">
        <f t="shared" si="27"/>
        <v>0.32440373887288082</v>
      </c>
      <c r="AA104" s="131">
        <f t="shared" si="28"/>
        <v>10004.856821844151</v>
      </c>
      <c r="AC104" s="131">
        <v>10031.462656171489</v>
      </c>
      <c r="AD104" s="151">
        <f t="shared" si="33"/>
        <v>-26.605834327338016</v>
      </c>
    </row>
    <row r="105" spans="2:30" x14ac:dyDescent="0.3">
      <c r="B105">
        <v>774</v>
      </c>
      <c r="C105" s="25">
        <v>6</v>
      </c>
      <c r="D105" s="32" t="s">
        <v>123</v>
      </c>
      <c r="E105" s="153">
        <v>357.53127583624553</v>
      </c>
      <c r="F105" s="153">
        <f>INDEX('Revised 2019 Lockdown'!H$5:H$257,MATCH(B105,'Revised 2019 Lockdown'!B$5:B$257,0))</f>
        <v>357.53127583624553</v>
      </c>
      <c r="G105" s="153">
        <f t="shared" si="29"/>
        <v>0</v>
      </c>
      <c r="H105" s="151">
        <v>291174.90000000002</v>
      </c>
      <c r="I105" s="151">
        <f>INDEX('Revised 2019 Lockdown'!E$5:E$257,MATCH(B105,'Revised 2019 Lockdown'!B$5:B$257,0))</f>
        <v>291174.90000000002</v>
      </c>
      <c r="J105" s="151">
        <f t="shared" si="30"/>
        <v>0</v>
      </c>
      <c r="K105" s="151">
        <v>0</v>
      </c>
      <c r="L105" s="151">
        <f>INDEX('Revised 2019 Lockdown'!F$5:F$257,MATCH(B105,'Revised 2019 Lockdown'!B$5:B$257,0))</f>
        <v>0</v>
      </c>
      <c r="M105" s="151">
        <f t="shared" si="31"/>
        <v>0</v>
      </c>
      <c r="N105" s="151">
        <v>291174.90000000002</v>
      </c>
      <c r="O105" s="156">
        <f t="shared" si="18"/>
        <v>291174.90000000002</v>
      </c>
      <c r="P105" s="156">
        <f t="shared" si="32"/>
        <v>0</v>
      </c>
      <c r="Q105" s="85">
        <f t="shared" si="19"/>
        <v>814.40399673835054</v>
      </c>
      <c r="R105" s="6">
        <f t="shared" si="20"/>
        <v>814.40399673835054</v>
      </c>
      <c r="S105" s="5">
        <f t="shared" si="21"/>
        <v>291174.90000000002</v>
      </c>
      <c r="T105" s="113">
        <v>0.6689814814814814</v>
      </c>
      <c r="U105" s="87">
        <f t="shared" si="22"/>
        <v>67152.174581318439</v>
      </c>
      <c r="V105" s="87">
        <f t="shared" si="23"/>
        <v>25556.930613026747</v>
      </c>
      <c r="W105" s="87">
        <f t="shared" si="24"/>
        <v>13477.068370834046</v>
      </c>
      <c r="X105" s="87">
        <f t="shared" si="25"/>
        <v>3525.4223601896501</v>
      </c>
      <c r="Y105" s="87">
        <f t="shared" si="26"/>
        <v>109711.59592536889</v>
      </c>
      <c r="Z105" s="91">
        <f t="shared" si="27"/>
        <v>0.376789331516449</v>
      </c>
      <c r="AA105" s="131">
        <f t="shared" si="28"/>
        <v>109715.03535496043</v>
      </c>
      <c r="AC105" s="131">
        <v>109998.50870971034</v>
      </c>
      <c r="AD105" s="151">
        <f t="shared" si="33"/>
        <v>-283.47335474990541</v>
      </c>
    </row>
    <row r="106" spans="2:30" x14ac:dyDescent="0.3">
      <c r="B106">
        <v>794</v>
      </c>
      <c r="C106" s="25">
        <v>6</v>
      </c>
      <c r="D106" s="32" t="s">
        <v>124</v>
      </c>
      <c r="E106" s="153">
        <v>19.658346730975349</v>
      </c>
      <c r="F106" s="153">
        <f>INDEX('Revised 2019 Lockdown'!H$5:H$257,MATCH(B106,'Revised 2019 Lockdown'!B$5:B$257,0))</f>
        <v>19.658346730975349</v>
      </c>
      <c r="G106" s="153">
        <f t="shared" si="29"/>
        <v>0</v>
      </c>
      <c r="H106" s="151">
        <v>44067.08</v>
      </c>
      <c r="I106" s="151">
        <f>INDEX('Revised 2019 Lockdown'!E$5:E$257,MATCH(B106,'Revised 2019 Lockdown'!B$5:B$257,0))</f>
        <v>44067.08</v>
      </c>
      <c r="J106" s="151">
        <f t="shared" si="30"/>
        <v>0</v>
      </c>
      <c r="K106" s="151">
        <v>0</v>
      </c>
      <c r="L106" s="151">
        <f>INDEX('Revised 2019 Lockdown'!F$5:F$257,MATCH(B106,'Revised 2019 Lockdown'!B$5:B$257,0))</f>
        <v>0</v>
      </c>
      <c r="M106" s="151">
        <f t="shared" si="31"/>
        <v>0</v>
      </c>
      <c r="N106" s="151">
        <v>44067.08</v>
      </c>
      <c r="O106" s="156">
        <f t="shared" si="18"/>
        <v>44067.08</v>
      </c>
      <c r="P106" s="156">
        <f t="shared" si="32"/>
        <v>0</v>
      </c>
      <c r="Q106" s="85">
        <f t="shared" si="19"/>
        <v>2241.6473065135328</v>
      </c>
      <c r="R106" s="6">
        <f t="shared" si="20"/>
        <v>1517.426614892323</v>
      </c>
      <c r="S106" s="5">
        <f t="shared" si="21"/>
        <v>29830.098534363489</v>
      </c>
      <c r="T106" s="113">
        <v>0.56944444444444442</v>
      </c>
      <c r="U106" s="87">
        <f t="shared" si="22"/>
        <v>6879.5627114751587</v>
      </c>
      <c r="V106" s="87">
        <f t="shared" si="23"/>
        <v>1405.2113404491859</v>
      </c>
      <c r="W106" s="87">
        <f t="shared" si="24"/>
        <v>1175.2586298770061</v>
      </c>
      <c r="X106" s="87">
        <f t="shared" si="25"/>
        <v>361.17019832308881</v>
      </c>
      <c r="Y106" s="87">
        <f t="shared" si="26"/>
        <v>9821.2028801244396</v>
      </c>
      <c r="Z106" s="91">
        <f t="shared" si="27"/>
        <v>0.32923803013290998</v>
      </c>
      <c r="AA106" s="131">
        <f t="shared" si="28"/>
        <v>9821.5107722440061</v>
      </c>
      <c r="AC106" s="131">
        <v>9876.3949399512203</v>
      </c>
      <c r="AD106" s="151">
        <f t="shared" si="33"/>
        <v>-54.884167707214147</v>
      </c>
    </row>
    <row r="107" spans="2:30" x14ac:dyDescent="0.3">
      <c r="B107">
        <v>806</v>
      </c>
      <c r="C107" s="25">
        <v>6</v>
      </c>
      <c r="D107" s="32" t="s">
        <v>125</v>
      </c>
      <c r="E107" s="153">
        <v>28</v>
      </c>
      <c r="F107" s="153">
        <f>INDEX('Revised 2019 Lockdown'!H$5:H$257,MATCH(B107,'Revised 2019 Lockdown'!B$5:B$257,0))</f>
        <v>28</v>
      </c>
      <c r="G107" s="153">
        <f t="shared" si="29"/>
        <v>0</v>
      </c>
      <c r="H107" s="151">
        <v>39624.269999999997</v>
      </c>
      <c r="I107" s="151">
        <f>INDEX('Revised 2019 Lockdown'!E$5:E$257,MATCH(B107,'Revised 2019 Lockdown'!B$5:B$257,0))</f>
        <v>39624.269999999997</v>
      </c>
      <c r="J107" s="151">
        <f t="shared" si="30"/>
        <v>0</v>
      </c>
      <c r="K107" s="151">
        <v>0</v>
      </c>
      <c r="L107" s="151">
        <f>INDEX('Revised 2019 Lockdown'!F$5:F$257,MATCH(B107,'Revised 2019 Lockdown'!B$5:B$257,0))</f>
        <v>0</v>
      </c>
      <c r="M107" s="151">
        <f t="shared" si="31"/>
        <v>0</v>
      </c>
      <c r="N107" s="151">
        <v>39624.269999999997</v>
      </c>
      <c r="O107" s="156">
        <f t="shared" si="18"/>
        <v>39624.269999999997</v>
      </c>
      <c r="P107" s="156">
        <f t="shared" si="32"/>
        <v>0</v>
      </c>
      <c r="Q107" s="85">
        <f t="shared" si="19"/>
        <v>1415.1524999999999</v>
      </c>
      <c r="R107" s="6">
        <f t="shared" si="20"/>
        <v>1415.1524999999999</v>
      </c>
      <c r="S107" s="5">
        <f t="shared" si="21"/>
        <v>39624.269999999997</v>
      </c>
      <c r="T107" s="113">
        <v>0.31944444444444442</v>
      </c>
      <c r="U107" s="87">
        <f t="shared" si="22"/>
        <v>9138.3422702207463</v>
      </c>
      <c r="V107" s="87">
        <f t="shared" si="23"/>
        <v>2001.4865985948074</v>
      </c>
      <c r="W107" s="87">
        <f t="shared" si="24"/>
        <v>875.75780089615466</v>
      </c>
      <c r="X107" s="87">
        <f t="shared" si="25"/>
        <v>479.75387804440538</v>
      </c>
      <c r="Y107" s="87">
        <f t="shared" si="26"/>
        <v>12495.340547756114</v>
      </c>
      <c r="Z107" s="91">
        <f t="shared" si="27"/>
        <v>0.31534563407114163</v>
      </c>
      <c r="AA107" s="131">
        <f t="shared" si="28"/>
        <v>12495.732273386151</v>
      </c>
      <c r="AC107" s="131">
        <v>12529.580704231217</v>
      </c>
      <c r="AD107" s="151">
        <f t="shared" si="33"/>
        <v>-33.848430845066105</v>
      </c>
    </row>
    <row r="108" spans="2:30" x14ac:dyDescent="0.3">
      <c r="B108">
        <v>809</v>
      </c>
      <c r="C108" s="25">
        <v>6</v>
      </c>
      <c r="D108" s="32" t="s">
        <v>299</v>
      </c>
      <c r="E108" s="153">
        <v>348.4649595199441</v>
      </c>
      <c r="F108" s="153">
        <f>INDEX('Revised 2019 Lockdown'!H$5:H$257,MATCH(B108,'Revised 2019 Lockdown'!B$5:B$257,0))</f>
        <v>348.4649595199441</v>
      </c>
      <c r="G108" s="153">
        <f t="shared" si="29"/>
        <v>0</v>
      </c>
      <c r="H108" s="151">
        <v>495521.19</v>
      </c>
      <c r="I108" s="151">
        <f>INDEX('Revised 2019 Lockdown'!E$5:E$257,MATCH(B108,'Revised 2019 Lockdown'!B$5:B$257,0))</f>
        <v>495521.19</v>
      </c>
      <c r="J108" s="151">
        <f t="shared" si="30"/>
        <v>0</v>
      </c>
      <c r="K108" s="151">
        <v>0</v>
      </c>
      <c r="L108" s="151">
        <f>INDEX('Revised 2019 Lockdown'!F$5:F$257,MATCH(B108,'Revised 2019 Lockdown'!B$5:B$257,0))</f>
        <v>0</v>
      </c>
      <c r="M108" s="151">
        <f t="shared" si="31"/>
        <v>0</v>
      </c>
      <c r="N108" s="151">
        <v>495521.19</v>
      </c>
      <c r="O108" s="156">
        <f t="shared" si="18"/>
        <v>495521.19</v>
      </c>
      <c r="P108" s="156">
        <f t="shared" si="32"/>
        <v>0</v>
      </c>
      <c r="Q108" s="85">
        <f t="shared" si="19"/>
        <v>1422.0115293160179</v>
      </c>
      <c r="R108" s="6">
        <f t="shared" si="20"/>
        <v>1422.0115293160179</v>
      </c>
      <c r="S108" s="5">
        <f t="shared" si="21"/>
        <v>495521.19</v>
      </c>
      <c r="T108" s="113">
        <v>0.51851851851851849</v>
      </c>
      <c r="U108" s="87">
        <f t="shared" si="22"/>
        <v>114279.51193465736</v>
      </c>
      <c r="V108" s="87">
        <f t="shared" si="23"/>
        <v>24908.855234251791</v>
      </c>
      <c r="W108" s="87">
        <f t="shared" si="24"/>
        <v>17776.812967613369</v>
      </c>
      <c r="X108" s="87">
        <f t="shared" si="25"/>
        <v>5999.5606873181168</v>
      </c>
      <c r="Y108" s="87">
        <f t="shared" si="26"/>
        <v>162964.74082384064</v>
      </c>
      <c r="Z108" s="91">
        <f t="shared" si="27"/>
        <v>0.32887542271167181</v>
      </c>
      <c r="AA108" s="131">
        <f t="shared" si="28"/>
        <v>162969.84972547714</v>
      </c>
      <c r="AC108" s="131">
        <v>163413.08754437556</v>
      </c>
      <c r="AD108" s="151">
        <f t="shared" si="33"/>
        <v>-443.2378188984294</v>
      </c>
    </row>
    <row r="109" spans="2:30" x14ac:dyDescent="0.3">
      <c r="B109">
        <v>811</v>
      </c>
      <c r="C109" s="25">
        <v>6</v>
      </c>
      <c r="D109" s="32" t="s">
        <v>126</v>
      </c>
      <c r="E109" s="153">
        <v>586.72521627981052</v>
      </c>
      <c r="F109" s="153">
        <f>INDEX('Revised 2019 Lockdown'!H$5:H$257,MATCH(B109,'Revised 2019 Lockdown'!B$5:B$257,0))</f>
        <v>586.72521627981052</v>
      </c>
      <c r="G109" s="153">
        <f t="shared" si="29"/>
        <v>0</v>
      </c>
      <c r="H109" s="151">
        <v>508959.18</v>
      </c>
      <c r="I109" s="151">
        <f>INDEX('Revised 2019 Lockdown'!E$5:E$257,MATCH(B109,'Revised 2019 Lockdown'!B$5:B$257,0))</f>
        <v>508959.18</v>
      </c>
      <c r="J109" s="151">
        <f t="shared" si="30"/>
        <v>0</v>
      </c>
      <c r="K109" s="151">
        <v>7228.6</v>
      </c>
      <c r="L109" s="151">
        <f>INDEX('Revised 2019 Lockdown'!F$5:F$257,MATCH(B109,'Revised 2019 Lockdown'!B$5:B$257,0))</f>
        <v>7228.6</v>
      </c>
      <c r="M109" s="151">
        <f t="shared" si="31"/>
        <v>0</v>
      </c>
      <c r="N109" s="151">
        <v>501730.58</v>
      </c>
      <c r="O109" s="156">
        <f t="shared" si="18"/>
        <v>501730.58</v>
      </c>
      <c r="P109" s="156">
        <f t="shared" si="32"/>
        <v>0</v>
      </c>
      <c r="Q109" s="85">
        <f t="shared" si="19"/>
        <v>855.1372364414002</v>
      </c>
      <c r="R109" s="6">
        <f t="shared" si="20"/>
        <v>855.1372364414002</v>
      </c>
      <c r="S109" s="5">
        <f t="shared" si="21"/>
        <v>501730.58</v>
      </c>
      <c r="T109" s="113">
        <v>0.47222222222222221</v>
      </c>
      <c r="U109" s="87">
        <f t="shared" si="22"/>
        <v>115711.55172010415</v>
      </c>
      <c r="V109" s="87">
        <f t="shared" si="23"/>
        <v>41940.09490863145</v>
      </c>
      <c r="W109" s="87">
        <f t="shared" si="24"/>
        <v>16392.469827014753</v>
      </c>
      <c r="X109" s="87">
        <f t="shared" si="25"/>
        <v>6074.7413514108594</v>
      </c>
      <c r="Y109" s="87">
        <f t="shared" si="26"/>
        <v>180118.8578071612</v>
      </c>
      <c r="Z109" s="91">
        <f t="shared" si="27"/>
        <v>0.35899517587140334</v>
      </c>
      <c r="AA109" s="131">
        <f t="shared" si="28"/>
        <v>180124.50448584007</v>
      </c>
      <c r="AC109" s="131">
        <v>186129.69163627899</v>
      </c>
      <c r="AD109" s="151">
        <f t="shared" si="33"/>
        <v>-6005.1871504389273</v>
      </c>
    </row>
    <row r="110" spans="2:30" x14ac:dyDescent="0.3">
      <c r="B110">
        <v>824</v>
      </c>
      <c r="C110" s="25">
        <v>6</v>
      </c>
      <c r="D110" s="32" t="s">
        <v>127</v>
      </c>
      <c r="E110" s="153">
        <v>33.61</v>
      </c>
      <c r="F110" s="153">
        <f>INDEX('Revised 2019 Lockdown'!H$5:H$257,MATCH(B110,'Revised 2019 Lockdown'!B$5:B$257,0))</f>
        <v>33.61</v>
      </c>
      <c r="G110" s="153">
        <f t="shared" si="29"/>
        <v>0</v>
      </c>
      <c r="H110" s="151">
        <v>64105.83</v>
      </c>
      <c r="I110" s="151">
        <f>INDEX('Revised 2019 Lockdown'!E$5:E$257,MATCH(B110,'Revised 2019 Lockdown'!B$5:B$257,0))</f>
        <v>64105.83</v>
      </c>
      <c r="J110" s="151">
        <f t="shared" si="30"/>
        <v>0</v>
      </c>
      <c r="K110" s="151">
        <v>0</v>
      </c>
      <c r="L110" s="151">
        <f>INDEX('Revised 2019 Lockdown'!F$5:F$257,MATCH(B110,'Revised 2019 Lockdown'!B$5:B$257,0))</f>
        <v>0</v>
      </c>
      <c r="M110" s="151">
        <f t="shared" si="31"/>
        <v>0</v>
      </c>
      <c r="N110" s="151">
        <v>64105.83</v>
      </c>
      <c r="O110" s="156">
        <f t="shared" si="18"/>
        <v>64105.83</v>
      </c>
      <c r="P110" s="156">
        <f t="shared" si="32"/>
        <v>0</v>
      </c>
      <c r="Q110" s="85">
        <f t="shared" si="19"/>
        <v>1907.3439452543887</v>
      </c>
      <c r="R110" s="6">
        <f t="shared" si="20"/>
        <v>1517.426614892323</v>
      </c>
      <c r="S110" s="5">
        <f t="shared" si="21"/>
        <v>51000.708526530972</v>
      </c>
      <c r="T110" s="113">
        <v>0.27777777777777779</v>
      </c>
      <c r="U110" s="87">
        <f t="shared" si="22"/>
        <v>11762.031970285021</v>
      </c>
      <c r="V110" s="87">
        <f t="shared" si="23"/>
        <v>2402.4987349561243</v>
      </c>
      <c r="W110" s="87">
        <f t="shared" si="24"/>
        <v>980.16933085708501</v>
      </c>
      <c r="X110" s="87">
        <f t="shared" si="25"/>
        <v>617.49497715959455</v>
      </c>
      <c r="Y110" s="87">
        <f t="shared" si="26"/>
        <v>15762.195013257824</v>
      </c>
      <c r="Z110" s="91">
        <f t="shared" si="27"/>
        <v>0.30905835367087509</v>
      </c>
      <c r="AA110" s="131">
        <f t="shared" si="28"/>
        <v>15762.689153913594</v>
      </c>
      <c r="AC110" s="131">
        <v>15850.066327204455</v>
      </c>
      <c r="AD110" s="151">
        <f t="shared" si="33"/>
        <v>-87.37717329086081</v>
      </c>
    </row>
    <row r="111" spans="2:30" x14ac:dyDescent="0.3">
      <c r="B111">
        <v>826</v>
      </c>
      <c r="C111" s="25">
        <v>6</v>
      </c>
      <c r="D111" s="32" t="s">
        <v>128</v>
      </c>
      <c r="E111" s="153">
        <v>39.180399999999999</v>
      </c>
      <c r="F111" s="153">
        <f>INDEX('Revised 2019 Lockdown'!H$5:H$257,MATCH(B111,'Revised 2019 Lockdown'!B$5:B$257,0))</f>
        <v>39.180399999999999</v>
      </c>
      <c r="G111" s="153">
        <f t="shared" si="29"/>
        <v>0</v>
      </c>
      <c r="H111" s="151">
        <v>36328.44</v>
      </c>
      <c r="I111" s="151">
        <f>INDEX('Revised 2019 Lockdown'!E$5:E$257,MATCH(B111,'Revised 2019 Lockdown'!B$5:B$257,0))</f>
        <v>36328.44</v>
      </c>
      <c r="J111" s="151">
        <f t="shared" si="30"/>
        <v>0</v>
      </c>
      <c r="K111" s="151">
        <v>0</v>
      </c>
      <c r="L111" s="151">
        <f>INDEX('Revised 2019 Lockdown'!F$5:F$257,MATCH(B111,'Revised 2019 Lockdown'!B$5:B$257,0))</f>
        <v>0</v>
      </c>
      <c r="M111" s="151">
        <f t="shared" si="31"/>
        <v>0</v>
      </c>
      <c r="N111" s="151">
        <v>36328.44</v>
      </c>
      <c r="O111" s="156">
        <f t="shared" si="18"/>
        <v>36328.44</v>
      </c>
      <c r="P111" s="156">
        <f t="shared" si="32"/>
        <v>0</v>
      </c>
      <c r="Q111" s="85">
        <f t="shared" si="19"/>
        <v>927.20952312891143</v>
      </c>
      <c r="R111" s="6">
        <f t="shared" si="20"/>
        <v>927.20952312891143</v>
      </c>
      <c r="S111" s="5">
        <f t="shared" si="21"/>
        <v>36328.44</v>
      </c>
      <c r="T111" s="113">
        <v>0.40277777777777779</v>
      </c>
      <c r="U111" s="87">
        <f t="shared" si="22"/>
        <v>8378.2418922336783</v>
      </c>
      <c r="V111" s="87">
        <f t="shared" si="23"/>
        <v>2800.6801974137138</v>
      </c>
      <c r="W111" s="87">
        <f t="shared" si="24"/>
        <v>1012.3708953115695</v>
      </c>
      <c r="X111" s="87">
        <f t="shared" si="25"/>
        <v>439.84936437449824</v>
      </c>
      <c r="Y111" s="87">
        <f t="shared" si="26"/>
        <v>12631.142349333461</v>
      </c>
      <c r="Z111" s="91">
        <f t="shared" si="27"/>
        <v>0.34769294660969369</v>
      </c>
      <c r="AA111" s="131">
        <f t="shared" si="28"/>
        <v>12631.538332314154</v>
      </c>
      <c r="AC111" s="131">
        <v>12664.434879988468</v>
      </c>
      <c r="AD111" s="151">
        <f t="shared" si="33"/>
        <v>-32.896547674314206</v>
      </c>
    </row>
    <row r="112" spans="2:30" x14ac:dyDescent="0.3">
      <c r="B112">
        <v>840</v>
      </c>
      <c r="C112" s="25">
        <v>6</v>
      </c>
      <c r="D112" s="32" t="s">
        <v>129</v>
      </c>
      <c r="E112" s="153">
        <v>138.55202775991427</v>
      </c>
      <c r="F112" s="153">
        <f>INDEX('Revised 2019 Lockdown'!H$5:H$257,MATCH(B112,'Revised 2019 Lockdown'!B$5:B$257,0))</f>
        <v>138.55202775991427</v>
      </c>
      <c r="G112" s="153">
        <f t="shared" si="29"/>
        <v>0</v>
      </c>
      <c r="H112" s="151">
        <v>115261.04</v>
      </c>
      <c r="I112" s="151">
        <f>INDEX('Revised 2019 Lockdown'!E$5:E$257,MATCH(B112,'Revised 2019 Lockdown'!B$5:B$257,0))</f>
        <v>115261.04</v>
      </c>
      <c r="J112" s="151">
        <f t="shared" si="30"/>
        <v>0</v>
      </c>
      <c r="K112" s="151">
        <v>0</v>
      </c>
      <c r="L112" s="151">
        <f>INDEX('Revised 2019 Lockdown'!F$5:F$257,MATCH(B112,'Revised 2019 Lockdown'!B$5:B$257,0))</f>
        <v>0</v>
      </c>
      <c r="M112" s="151">
        <f t="shared" si="31"/>
        <v>0</v>
      </c>
      <c r="N112" s="151">
        <v>115261.04</v>
      </c>
      <c r="O112" s="156">
        <f t="shared" si="18"/>
        <v>115261.04</v>
      </c>
      <c r="P112" s="156">
        <f t="shared" si="32"/>
        <v>0</v>
      </c>
      <c r="Q112" s="85">
        <f t="shared" si="19"/>
        <v>831.89717150676881</v>
      </c>
      <c r="R112" s="6">
        <f t="shared" si="20"/>
        <v>831.89717150676881</v>
      </c>
      <c r="S112" s="5">
        <f t="shared" si="21"/>
        <v>115261.04</v>
      </c>
      <c r="T112" s="113">
        <v>0.37962962962962965</v>
      </c>
      <c r="U112" s="87">
        <f t="shared" si="22"/>
        <v>26582.062810030424</v>
      </c>
      <c r="V112" s="87">
        <f t="shared" si="23"/>
        <v>9903.9295274858614</v>
      </c>
      <c r="W112" s="87">
        <f t="shared" si="24"/>
        <v>3027.4015978090206</v>
      </c>
      <c r="X112" s="87">
        <f t="shared" si="25"/>
        <v>1395.5318527617374</v>
      </c>
      <c r="Y112" s="87">
        <f t="shared" si="26"/>
        <v>40908.925788087035</v>
      </c>
      <c r="Z112" s="91">
        <f t="shared" si="27"/>
        <v>0.35492414252107252</v>
      </c>
      <c r="AA112" s="131">
        <f t="shared" si="28"/>
        <v>40910.208272119162</v>
      </c>
      <c r="AC112" s="131">
        <v>41015.350608957437</v>
      </c>
      <c r="AD112" s="151">
        <f t="shared" si="33"/>
        <v>-105.14233683827479</v>
      </c>
    </row>
    <row r="113" spans="2:30" x14ac:dyDescent="0.3">
      <c r="B113">
        <v>843</v>
      </c>
      <c r="C113" s="25">
        <v>6</v>
      </c>
      <c r="D113" s="32" t="s">
        <v>130</v>
      </c>
      <c r="E113" s="153">
        <v>24.72</v>
      </c>
      <c r="F113" s="153">
        <f>INDEX('Revised 2019 Lockdown'!H$5:H$257,MATCH(B113,'Revised 2019 Lockdown'!B$5:B$257,0))</f>
        <v>24.72</v>
      </c>
      <c r="G113" s="153">
        <f t="shared" si="29"/>
        <v>0</v>
      </c>
      <c r="H113" s="151">
        <v>32653.86</v>
      </c>
      <c r="I113" s="151">
        <f>INDEX('Revised 2019 Lockdown'!E$5:E$257,MATCH(B113,'Revised 2019 Lockdown'!B$5:B$257,0))</f>
        <v>32653.86</v>
      </c>
      <c r="J113" s="151">
        <f t="shared" si="30"/>
        <v>0</v>
      </c>
      <c r="K113" s="151">
        <v>0</v>
      </c>
      <c r="L113" s="151">
        <f>INDEX('Revised 2019 Lockdown'!F$5:F$257,MATCH(B113,'Revised 2019 Lockdown'!B$5:B$257,0))</f>
        <v>0</v>
      </c>
      <c r="M113" s="151">
        <f t="shared" si="31"/>
        <v>0</v>
      </c>
      <c r="N113" s="151">
        <v>32653.86</v>
      </c>
      <c r="O113" s="156">
        <f t="shared" si="18"/>
        <v>32653.86</v>
      </c>
      <c r="P113" s="156">
        <f t="shared" si="32"/>
        <v>0</v>
      </c>
      <c r="Q113" s="85">
        <f t="shared" si="19"/>
        <v>1320.9490291262136</v>
      </c>
      <c r="R113" s="6">
        <f t="shared" si="20"/>
        <v>1320.9490291262136</v>
      </c>
      <c r="S113" s="5">
        <f t="shared" si="21"/>
        <v>32653.86</v>
      </c>
      <c r="T113" s="113">
        <v>0.19444444444444442</v>
      </c>
      <c r="U113" s="87">
        <f t="shared" si="22"/>
        <v>7530.7923432752305</v>
      </c>
      <c r="V113" s="87">
        <f t="shared" si="23"/>
        <v>1767.0267399022728</v>
      </c>
      <c r="W113" s="87">
        <f t="shared" si="24"/>
        <v>439.29622002438839</v>
      </c>
      <c r="X113" s="87">
        <f t="shared" si="25"/>
        <v>395.35910612660086</v>
      </c>
      <c r="Y113" s="87">
        <f t="shared" si="26"/>
        <v>10132.474409328493</v>
      </c>
      <c r="Z113" s="91">
        <f t="shared" si="27"/>
        <v>0.31029943808568095</v>
      </c>
      <c r="AA113" s="131">
        <f t="shared" si="28"/>
        <v>10132.79205972839</v>
      </c>
      <c r="AC113" s="131">
        <v>10160.00564487267</v>
      </c>
      <c r="AD113" s="151">
        <f t="shared" si="33"/>
        <v>-27.213585144279932</v>
      </c>
    </row>
    <row r="114" spans="2:30" x14ac:dyDescent="0.3">
      <c r="B114">
        <v>846</v>
      </c>
      <c r="C114" s="25">
        <v>6</v>
      </c>
      <c r="D114" s="32" t="s">
        <v>131</v>
      </c>
      <c r="E114" s="153">
        <v>24.695999999999998</v>
      </c>
      <c r="F114" s="153">
        <f>INDEX('Revised 2019 Lockdown'!H$5:H$257,MATCH(B114,'Revised 2019 Lockdown'!B$5:B$257,0))</f>
        <v>24.695999999999998</v>
      </c>
      <c r="G114" s="153">
        <f t="shared" si="29"/>
        <v>0</v>
      </c>
      <c r="H114" s="151">
        <v>35434.99</v>
      </c>
      <c r="I114" s="151">
        <f>INDEX('Revised 2019 Lockdown'!E$5:E$257,MATCH(B114,'Revised 2019 Lockdown'!B$5:B$257,0))</f>
        <v>35434.99</v>
      </c>
      <c r="J114" s="151">
        <f t="shared" si="30"/>
        <v>0</v>
      </c>
      <c r="K114" s="151">
        <v>0</v>
      </c>
      <c r="L114" s="151">
        <f>INDEX('Revised 2019 Lockdown'!F$5:F$257,MATCH(B114,'Revised 2019 Lockdown'!B$5:B$257,0))</f>
        <v>0</v>
      </c>
      <c r="M114" s="151">
        <f t="shared" si="31"/>
        <v>0</v>
      </c>
      <c r="N114" s="151">
        <v>35434.99</v>
      </c>
      <c r="O114" s="156">
        <f t="shared" si="18"/>
        <v>35434.99</v>
      </c>
      <c r="P114" s="156">
        <f t="shared" si="32"/>
        <v>0</v>
      </c>
      <c r="Q114" s="85">
        <f t="shared" si="19"/>
        <v>1434.8473436993845</v>
      </c>
      <c r="R114" s="6">
        <f t="shared" si="20"/>
        <v>1434.8473436993845</v>
      </c>
      <c r="S114" s="5">
        <f t="shared" si="21"/>
        <v>35434.99</v>
      </c>
      <c r="T114" s="113">
        <v>0.2361111111111111</v>
      </c>
      <c r="U114" s="87">
        <f t="shared" si="22"/>
        <v>8172.1900986907631</v>
      </c>
      <c r="V114" s="87">
        <f t="shared" si="23"/>
        <v>1765.3111799606199</v>
      </c>
      <c r="W114" s="87">
        <f t="shared" si="24"/>
        <v>578.86346532392895</v>
      </c>
      <c r="X114" s="87">
        <f t="shared" si="25"/>
        <v>429.03185020101881</v>
      </c>
      <c r="Y114" s="87">
        <f t="shared" si="26"/>
        <v>10945.396594176333</v>
      </c>
      <c r="Z114" s="91">
        <f t="shared" si="27"/>
        <v>0.30888668500192418</v>
      </c>
      <c r="AA114" s="131">
        <f t="shared" si="28"/>
        <v>10945.739729472283</v>
      </c>
      <c r="AC114" s="131">
        <v>10975.375714515088</v>
      </c>
      <c r="AD114" s="151">
        <f t="shared" si="33"/>
        <v>-29.63598504280526</v>
      </c>
    </row>
    <row r="115" spans="2:30" x14ac:dyDescent="0.3">
      <c r="B115">
        <v>888</v>
      </c>
      <c r="C115" s="25">
        <v>6</v>
      </c>
      <c r="D115" s="32" t="s">
        <v>132</v>
      </c>
      <c r="E115" s="153">
        <v>103.64754100869358</v>
      </c>
      <c r="F115" s="153">
        <f>INDEX('Revised 2019 Lockdown'!H$5:H$257,MATCH(B115,'Revised 2019 Lockdown'!B$5:B$257,0))</f>
        <v>103.64754100869358</v>
      </c>
      <c r="G115" s="153">
        <f t="shared" si="29"/>
        <v>0</v>
      </c>
      <c r="H115" s="151">
        <v>49302.5</v>
      </c>
      <c r="I115" s="151">
        <f>INDEX('Revised 2019 Lockdown'!E$5:E$257,MATCH(B115,'Revised 2019 Lockdown'!B$5:B$257,0))</f>
        <v>49302.5</v>
      </c>
      <c r="J115" s="151">
        <f t="shared" si="30"/>
        <v>0</v>
      </c>
      <c r="K115" s="151">
        <v>0</v>
      </c>
      <c r="L115" s="151">
        <f>INDEX('Revised 2019 Lockdown'!F$5:F$257,MATCH(B115,'Revised 2019 Lockdown'!B$5:B$257,0))</f>
        <v>0</v>
      </c>
      <c r="M115" s="151">
        <f t="shared" si="31"/>
        <v>0</v>
      </c>
      <c r="N115" s="151">
        <v>49302.5</v>
      </c>
      <c r="O115" s="156">
        <f t="shared" si="18"/>
        <v>49302.5</v>
      </c>
      <c r="P115" s="156">
        <f t="shared" si="32"/>
        <v>0</v>
      </c>
      <c r="Q115" s="85">
        <f t="shared" si="19"/>
        <v>475.67457481566964</v>
      </c>
      <c r="R115" s="6">
        <f t="shared" si="20"/>
        <v>475.67457481566964</v>
      </c>
      <c r="S115" s="5">
        <f t="shared" si="21"/>
        <v>49302.5</v>
      </c>
      <c r="T115" s="113">
        <v>0.51851851851851849</v>
      </c>
      <c r="U115" s="87">
        <f t="shared" si="22"/>
        <v>11370.382843079718</v>
      </c>
      <c r="V115" s="87">
        <f t="shared" si="23"/>
        <v>7408.8987252216402</v>
      </c>
      <c r="W115" s="87">
        <f t="shared" si="24"/>
        <v>1768.7262200346227</v>
      </c>
      <c r="X115" s="87">
        <f t="shared" si="25"/>
        <v>596.93378760755206</v>
      </c>
      <c r="Y115" s="87">
        <f t="shared" si="26"/>
        <v>21144.941575943532</v>
      </c>
      <c r="Z115" s="91">
        <f t="shared" si="27"/>
        <v>0.42888173167574734</v>
      </c>
      <c r="AA115" s="131">
        <f t="shared" si="28"/>
        <v>21145.604464284133</v>
      </c>
      <c r="AC115" s="131">
        <v>21196.069243929196</v>
      </c>
      <c r="AD115" s="151">
        <f t="shared" si="33"/>
        <v>-50.464779645062663</v>
      </c>
    </row>
    <row r="116" spans="2:30" x14ac:dyDescent="0.3">
      <c r="B116">
        <v>889</v>
      </c>
      <c r="C116" s="25">
        <v>6</v>
      </c>
      <c r="D116" s="32" t="s">
        <v>133</v>
      </c>
      <c r="E116" s="153">
        <v>36.258728414910088</v>
      </c>
      <c r="F116" s="153">
        <f>INDEX('Revised 2019 Lockdown'!H$5:H$257,MATCH(B116,'Revised 2019 Lockdown'!B$5:B$257,0))</f>
        <v>36.258728414910088</v>
      </c>
      <c r="G116" s="153">
        <f t="shared" si="29"/>
        <v>0</v>
      </c>
      <c r="H116" s="151">
        <v>52828.79</v>
      </c>
      <c r="I116" s="151">
        <f>INDEX('Revised 2019 Lockdown'!E$5:E$257,MATCH(B116,'Revised 2019 Lockdown'!B$5:B$257,0))</f>
        <v>52828.79</v>
      </c>
      <c r="J116" s="151">
        <f t="shared" si="30"/>
        <v>0</v>
      </c>
      <c r="K116" s="151">
        <v>0</v>
      </c>
      <c r="L116" s="151">
        <f>INDEX('Revised 2019 Lockdown'!F$5:F$257,MATCH(B116,'Revised 2019 Lockdown'!B$5:B$257,0))</f>
        <v>0</v>
      </c>
      <c r="M116" s="151">
        <f t="shared" si="31"/>
        <v>0</v>
      </c>
      <c r="N116" s="151">
        <v>52828.79</v>
      </c>
      <c r="O116" s="156">
        <f t="shared" si="18"/>
        <v>52828.79</v>
      </c>
      <c r="P116" s="156">
        <f t="shared" si="32"/>
        <v>0</v>
      </c>
      <c r="Q116" s="85">
        <f t="shared" si="19"/>
        <v>1456.9951101284644</v>
      </c>
      <c r="R116" s="6">
        <f t="shared" si="20"/>
        <v>1456.9951101284644</v>
      </c>
      <c r="S116" s="5">
        <f t="shared" si="21"/>
        <v>52828.79</v>
      </c>
      <c r="T116" s="113">
        <v>0.43055555555555558</v>
      </c>
      <c r="U116" s="87">
        <f t="shared" si="22"/>
        <v>12183.633029494678</v>
      </c>
      <c r="V116" s="87">
        <f t="shared" si="23"/>
        <v>2591.8342501618317</v>
      </c>
      <c r="W116" s="87">
        <f t="shared" si="24"/>
        <v>1573.7192663097292</v>
      </c>
      <c r="X116" s="87">
        <f t="shared" si="25"/>
        <v>639.62861334463719</v>
      </c>
      <c r="Y116" s="87">
        <f t="shared" si="26"/>
        <v>16988.815159310874</v>
      </c>
      <c r="Z116" s="91">
        <f t="shared" si="27"/>
        <v>0.32158251512690095</v>
      </c>
      <c r="AA116" s="131">
        <f t="shared" si="28"/>
        <v>16989.347754184655</v>
      </c>
      <c r="AC116" s="131">
        <v>17035.573934479911</v>
      </c>
      <c r="AD116" s="151">
        <f t="shared" si="33"/>
        <v>-46.226180295256199</v>
      </c>
    </row>
    <row r="117" spans="2:30" x14ac:dyDescent="0.3">
      <c r="B117">
        <v>891</v>
      </c>
      <c r="C117" s="25">
        <v>6</v>
      </c>
      <c r="D117" s="32" t="s">
        <v>134</v>
      </c>
      <c r="E117" s="153">
        <v>291.1435796708804</v>
      </c>
      <c r="F117" s="153">
        <f>INDEX('Revised 2019 Lockdown'!H$5:H$257,MATCH(B117,'Revised 2019 Lockdown'!B$5:B$257,0))</f>
        <v>291.1435796708804</v>
      </c>
      <c r="G117" s="153">
        <f t="shared" si="29"/>
        <v>0</v>
      </c>
      <c r="H117" s="151">
        <v>101210.64</v>
      </c>
      <c r="I117" s="151">
        <f>INDEX('Revised 2019 Lockdown'!E$5:E$257,MATCH(B117,'Revised 2019 Lockdown'!B$5:B$257,0))</f>
        <v>101210.64</v>
      </c>
      <c r="J117" s="151">
        <f t="shared" si="30"/>
        <v>0</v>
      </c>
      <c r="K117" s="151">
        <v>0</v>
      </c>
      <c r="L117" s="151">
        <f>INDEX('Revised 2019 Lockdown'!F$5:F$257,MATCH(B117,'Revised 2019 Lockdown'!B$5:B$257,0))</f>
        <v>0</v>
      </c>
      <c r="M117" s="151">
        <f t="shared" si="31"/>
        <v>0</v>
      </c>
      <c r="N117" s="151">
        <v>101210.64</v>
      </c>
      <c r="O117" s="156">
        <f t="shared" si="18"/>
        <v>101210.64</v>
      </c>
      <c r="P117" s="156">
        <f t="shared" si="32"/>
        <v>0</v>
      </c>
      <c r="Q117" s="85">
        <f t="shared" si="19"/>
        <v>347.63136495887113</v>
      </c>
      <c r="R117" s="6">
        <f t="shared" si="20"/>
        <v>347.63136495887113</v>
      </c>
      <c r="S117" s="5">
        <f t="shared" si="21"/>
        <v>101210.64</v>
      </c>
      <c r="T117" s="113">
        <v>0.44444444444444442</v>
      </c>
      <c r="U117" s="87">
        <f t="shared" si="22"/>
        <v>23341.691082462708</v>
      </c>
      <c r="V117" s="87">
        <f t="shared" si="23"/>
        <v>20811.42760636381</v>
      </c>
      <c r="W117" s="87">
        <f t="shared" si="24"/>
        <v>3112.2254776616942</v>
      </c>
      <c r="X117" s="87">
        <f t="shared" si="25"/>
        <v>1225.4155606994457</v>
      </c>
      <c r="Y117" s="87">
        <f t="shared" si="26"/>
        <v>48490.759727187666</v>
      </c>
      <c r="Z117" s="91">
        <f t="shared" si="27"/>
        <v>0.4791073322645491</v>
      </c>
      <c r="AA117" s="131">
        <f t="shared" si="28"/>
        <v>48492.27989971378</v>
      </c>
      <c r="AC117" s="131">
        <v>48601.567500067009</v>
      </c>
      <c r="AD117" s="151">
        <f t="shared" si="33"/>
        <v>-109.28760035322921</v>
      </c>
    </row>
    <row r="118" spans="2:30" x14ac:dyDescent="0.3">
      <c r="B118">
        <v>897</v>
      </c>
      <c r="C118" s="25">
        <v>6</v>
      </c>
      <c r="D118" s="32" t="s">
        <v>242</v>
      </c>
      <c r="E118" s="153">
        <v>72.361461694676464</v>
      </c>
      <c r="F118" s="153">
        <f>INDEX('Revised 2019 Lockdown'!H$5:H$257,MATCH(B118,'Revised 2019 Lockdown'!B$5:B$257,0))</f>
        <v>72.361461694676464</v>
      </c>
      <c r="G118" s="153">
        <f t="shared" si="29"/>
        <v>0</v>
      </c>
      <c r="H118" s="151">
        <v>311526.77</v>
      </c>
      <c r="I118" s="151">
        <f>INDEX('Revised 2019 Lockdown'!E$5:E$257,MATCH(B118,'Revised 2019 Lockdown'!B$5:B$257,0))</f>
        <v>311526.77</v>
      </c>
      <c r="J118" s="151">
        <f t="shared" si="30"/>
        <v>0</v>
      </c>
      <c r="K118" s="151">
        <v>84</v>
      </c>
      <c r="L118" s="151">
        <f>INDEX('Revised 2019 Lockdown'!F$5:F$257,MATCH(B118,'Revised 2019 Lockdown'!B$5:B$257,0))</f>
        <v>84</v>
      </c>
      <c r="M118" s="151">
        <f t="shared" si="31"/>
        <v>0</v>
      </c>
      <c r="N118" s="151">
        <v>311442.77</v>
      </c>
      <c r="O118" s="156">
        <f t="shared" si="18"/>
        <v>311442.77</v>
      </c>
      <c r="P118" s="156">
        <f t="shared" si="32"/>
        <v>0</v>
      </c>
      <c r="Q118" s="85">
        <f t="shared" si="19"/>
        <v>4303.9867175998797</v>
      </c>
      <c r="R118" s="6">
        <f t="shared" si="20"/>
        <v>1517.426614892323</v>
      </c>
      <c r="S118" s="5">
        <f t="shared" si="21"/>
        <v>109803.2078680134</v>
      </c>
      <c r="T118" s="113">
        <v>0.46527777777777773</v>
      </c>
      <c r="U118" s="87">
        <f t="shared" si="22"/>
        <v>25323.350963086563</v>
      </c>
      <c r="V118" s="87">
        <f t="shared" si="23"/>
        <v>5172.5177084509442</v>
      </c>
      <c r="W118" s="87">
        <f t="shared" si="24"/>
        <v>3534.7177385974987</v>
      </c>
      <c r="X118" s="87">
        <f t="shared" si="25"/>
        <v>1329.4507330077095</v>
      </c>
      <c r="Y118" s="87">
        <f t="shared" si="26"/>
        <v>35360.037143142719</v>
      </c>
      <c r="Z118" s="91">
        <f t="shared" si="27"/>
        <v>0.32203100282504038</v>
      </c>
      <c r="AA118" s="131">
        <f t="shared" si="28"/>
        <v>35361.145670979568</v>
      </c>
      <c r="AC118" s="131">
        <v>35558.188453983348</v>
      </c>
      <c r="AD118" s="151">
        <f t="shared" si="33"/>
        <v>-197.04278300378064</v>
      </c>
    </row>
    <row r="119" spans="2:30" x14ac:dyDescent="0.3">
      <c r="B119">
        <v>904</v>
      </c>
      <c r="C119" s="25">
        <v>6</v>
      </c>
      <c r="D119" s="32" t="s">
        <v>135</v>
      </c>
      <c r="E119" s="153">
        <v>23.641458863642349</v>
      </c>
      <c r="F119" s="153">
        <f>INDEX('Revised 2019 Lockdown'!H$5:H$257,MATCH(B119,'Revised 2019 Lockdown'!B$5:B$257,0))</f>
        <v>23.641458863642349</v>
      </c>
      <c r="G119" s="153">
        <f t="shared" si="29"/>
        <v>0</v>
      </c>
      <c r="H119" s="151">
        <v>14117.02</v>
      </c>
      <c r="I119" s="151">
        <f>INDEX('Revised 2019 Lockdown'!E$5:E$257,MATCH(B119,'Revised 2019 Lockdown'!B$5:B$257,0))</f>
        <v>14117.02</v>
      </c>
      <c r="J119" s="151">
        <f t="shared" si="30"/>
        <v>0</v>
      </c>
      <c r="K119" s="151">
        <v>0</v>
      </c>
      <c r="L119" s="151">
        <f>INDEX('Revised 2019 Lockdown'!F$5:F$257,MATCH(B119,'Revised 2019 Lockdown'!B$5:B$257,0))</f>
        <v>0</v>
      </c>
      <c r="M119" s="151">
        <f t="shared" si="31"/>
        <v>0</v>
      </c>
      <c r="N119" s="151">
        <v>14117.02</v>
      </c>
      <c r="O119" s="156">
        <f t="shared" si="18"/>
        <v>14117.02</v>
      </c>
      <c r="P119" s="156">
        <f t="shared" si="32"/>
        <v>0</v>
      </c>
      <c r="Q119" s="85">
        <f t="shared" si="19"/>
        <v>597.12981679443806</v>
      </c>
      <c r="R119" s="6">
        <f t="shared" si="20"/>
        <v>597.12981679443806</v>
      </c>
      <c r="S119" s="5">
        <f t="shared" si="21"/>
        <v>14117.019999999999</v>
      </c>
      <c r="T119" s="113">
        <v>0.18055555555555555</v>
      </c>
      <c r="U119" s="87">
        <f t="shared" si="22"/>
        <v>3255.7359566637228</v>
      </c>
      <c r="V119" s="87">
        <f t="shared" si="23"/>
        <v>1689.9308245289494</v>
      </c>
      <c r="W119" s="87">
        <f t="shared" si="24"/>
        <v>176.35236431928496</v>
      </c>
      <c r="X119" s="87">
        <f t="shared" si="25"/>
        <v>170.92289880496045</v>
      </c>
      <c r="Y119" s="87">
        <f t="shared" si="26"/>
        <v>5292.9420443169183</v>
      </c>
      <c r="Z119" s="91">
        <f t="shared" si="27"/>
        <v>0.37493338143014027</v>
      </c>
      <c r="AA119" s="131">
        <f t="shared" si="28"/>
        <v>5293.1079766537878</v>
      </c>
      <c r="AC119" s="131">
        <v>5306.0272908458455</v>
      </c>
      <c r="AD119" s="151">
        <f t="shared" si="33"/>
        <v>-12.919314192057755</v>
      </c>
    </row>
    <row r="120" spans="2:30" x14ac:dyDescent="0.3">
      <c r="B120">
        <v>906</v>
      </c>
      <c r="C120" s="25">
        <v>6</v>
      </c>
      <c r="D120" s="32" t="s">
        <v>301</v>
      </c>
      <c r="E120" s="153">
        <v>251.9</v>
      </c>
      <c r="F120" s="153">
        <f>INDEX('Revised 2019 Lockdown'!H$5:H$257,MATCH(B120,'Revised 2019 Lockdown'!B$5:B$257,0))</f>
        <v>251.9</v>
      </c>
      <c r="G120" s="153">
        <f t="shared" si="29"/>
        <v>0</v>
      </c>
      <c r="H120" s="151">
        <v>141116.71</v>
      </c>
      <c r="I120" s="151">
        <f>INDEX('Revised 2019 Lockdown'!E$5:E$257,MATCH(B120,'Revised 2019 Lockdown'!B$5:B$257,0))</f>
        <v>141116.71</v>
      </c>
      <c r="J120" s="151">
        <f t="shared" si="30"/>
        <v>0</v>
      </c>
      <c r="K120" s="151">
        <v>58.4</v>
      </c>
      <c r="L120" s="151">
        <f>INDEX('Revised 2019 Lockdown'!F$5:F$257,MATCH(B120,'Revised 2019 Lockdown'!B$5:B$257,0))</f>
        <v>58.4</v>
      </c>
      <c r="M120" s="151">
        <f t="shared" si="31"/>
        <v>0</v>
      </c>
      <c r="N120" s="151">
        <v>141058.31</v>
      </c>
      <c r="O120" s="156">
        <f t="shared" si="18"/>
        <v>141058.31</v>
      </c>
      <c r="P120" s="156">
        <f t="shared" si="32"/>
        <v>0</v>
      </c>
      <c r="Q120" s="85">
        <f t="shared" si="19"/>
        <v>559.97741167129811</v>
      </c>
      <c r="R120" s="6">
        <f t="shared" si="20"/>
        <v>559.97741167129811</v>
      </c>
      <c r="S120" s="5">
        <f t="shared" si="21"/>
        <v>141058.31</v>
      </c>
      <c r="T120" s="113">
        <v>0.79166666666666674</v>
      </c>
      <c r="U120" s="87">
        <f t="shared" si="22"/>
        <v>32531.554949501951</v>
      </c>
      <c r="V120" s="87">
        <f t="shared" si="23"/>
        <v>18006.231220929716</v>
      </c>
      <c r="W120" s="87">
        <f t="shared" si="24"/>
        <v>7726.2443005067144</v>
      </c>
      <c r="X120" s="87">
        <f t="shared" si="25"/>
        <v>1707.8742713213373</v>
      </c>
      <c r="Y120" s="87">
        <f t="shared" si="26"/>
        <v>59971.904742259714</v>
      </c>
      <c r="Z120" s="91">
        <f t="shared" si="27"/>
        <v>0.42515683579549274</v>
      </c>
      <c r="AA120" s="131">
        <f t="shared" si="28"/>
        <v>59973.784845653448</v>
      </c>
      <c r="AC120" s="131">
        <v>72842.628192973352</v>
      </c>
      <c r="AD120" s="151">
        <f t="shared" si="33"/>
        <v>-12868.843347319904</v>
      </c>
    </row>
    <row r="121" spans="2:30" x14ac:dyDescent="0.3">
      <c r="B121">
        <v>917</v>
      </c>
      <c r="C121" s="25">
        <v>6</v>
      </c>
      <c r="D121" s="32" t="s">
        <v>136</v>
      </c>
      <c r="E121" s="153">
        <v>188.10316882508283</v>
      </c>
      <c r="F121" s="153">
        <f>INDEX('Revised 2019 Lockdown'!H$5:H$257,MATCH(B121,'Revised 2019 Lockdown'!B$5:B$257,0))</f>
        <v>188.10316882508283</v>
      </c>
      <c r="G121" s="153">
        <f t="shared" si="29"/>
        <v>0</v>
      </c>
      <c r="H121" s="151">
        <v>59201.33</v>
      </c>
      <c r="I121" s="151">
        <f>INDEX('Revised 2019 Lockdown'!E$5:E$257,MATCH(B121,'Revised 2019 Lockdown'!B$5:B$257,0))</f>
        <v>59201.33</v>
      </c>
      <c r="J121" s="151">
        <f t="shared" si="30"/>
        <v>0</v>
      </c>
      <c r="K121" s="151">
        <v>0</v>
      </c>
      <c r="L121" s="151">
        <f>INDEX('Revised 2019 Lockdown'!F$5:F$257,MATCH(B121,'Revised 2019 Lockdown'!B$5:B$257,0))</f>
        <v>0</v>
      </c>
      <c r="M121" s="151">
        <f t="shared" si="31"/>
        <v>0</v>
      </c>
      <c r="N121" s="151">
        <v>59201.33</v>
      </c>
      <c r="O121" s="156">
        <f t="shared" si="18"/>
        <v>59201.33</v>
      </c>
      <c r="P121" s="156">
        <f t="shared" si="32"/>
        <v>0</v>
      </c>
      <c r="Q121" s="85">
        <f t="shared" si="19"/>
        <v>314.72797810786125</v>
      </c>
      <c r="R121" s="6">
        <f t="shared" si="20"/>
        <v>314.72797810786125</v>
      </c>
      <c r="S121" s="5">
        <f t="shared" si="21"/>
        <v>59201.329999999994</v>
      </c>
      <c r="T121" s="113">
        <v>0.5625</v>
      </c>
      <c r="U121" s="87">
        <f t="shared" si="22"/>
        <v>13653.299263110401</v>
      </c>
      <c r="V121" s="87">
        <f t="shared" si="23"/>
        <v>13445.927555593567</v>
      </c>
      <c r="W121" s="87">
        <f t="shared" si="24"/>
        <v>2303.9942506498801</v>
      </c>
      <c r="X121" s="87">
        <f t="shared" si="25"/>
        <v>716.78462853414328</v>
      </c>
      <c r="Y121" s="87">
        <f t="shared" si="26"/>
        <v>30120.005697887991</v>
      </c>
      <c r="Z121" s="91">
        <f t="shared" si="27"/>
        <v>0.50877244984002878</v>
      </c>
      <c r="AA121" s="131">
        <f t="shared" si="28"/>
        <v>30120.949952121293</v>
      </c>
      <c r="AC121" s="131">
        <v>30187.942651841386</v>
      </c>
      <c r="AD121" s="151">
        <f t="shared" si="33"/>
        <v>-66.992699720092787</v>
      </c>
    </row>
    <row r="122" spans="2:30" x14ac:dyDescent="0.3">
      <c r="B122">
        <v>957</v>
      </c>
      <c r="C122" s="25">
        <v>6</v>
      </c>
      <c r="D122" s="32" t="s">
        <v>137</v>
      </c>
      <c r="E122" s="153">
        <v>101.14874671311182</v>
      </c>
      <c r="F122" s="153">
        <f>INDEX('Revised 2019 Lockdown'!H$5:H$257,MATCH(B122,'Revised 2019 Lockdown'!B$5:B$257,0))</f>
        <v>101.14874671311182</v>
      </c>
      <c r="G122" s="153">
        <f t="shared" si="29"/>
        <v>0</v>
      </c>
      <c r="H122" s="151">
        <v>40203.24</v>
      </c>
      <c r="I122" s="151">
        <f>INDEX('Revised 2019 Lockdown'!E$5:E$257,MATCH(B122,'Revised 2019 Lockdown'!B$5:B$257,0))</f>
        <v>40203.24</v>
      </c>
      <c r="J122" s="151">
        <f t="shared" si="30"/>
        <v>0</v>
      </c>
      <c r="K122" s="151">
        <v>0</v>
      </c>
      <c r="L122" s="151">
        <f>INDEX('Revised 2019 Lockdown'!F$5:F$257,MATCH(B122,'Revised 2019 Lockdown'!B$5:B$257,0))</f>
        <v>0</v>
      </c>
      <c r="M122" s="151">
        <f t="shared" si="31"/>
        <v>0</v>
      </c>
      <c r="N122" s="151">
        <v>40203.24</v>
      </c>
      <c r="O122" s="156">
        <f t="shared" si="18"/>
        <v>40203.24</v>
      </c>
      <c r="P122" s="156">
        <f t="shared" si="32"/>
        <v>0</v>
      </c>
      <c r="Q122" s="85">
        <f t="shared" si="19"/>
        <v>397.46651645648603</v>
      </c>
      <c r="R122" s="6">
        <f t="shared" si="20"/>
        <v>397.46651645648603</v>
      </c>
      <c r="S122" s="5">
        <f t="shared" si="21"/>
        <v>40203.24</v>
      </c>
      <c r="T122" s="113">
        <v>0.46296296296296291</v>
      </c>
      <c r="U122" s="87">
        <f t="shared" si="22"/>
        <v>9271.8671534347377</v>
      </c>
      <c r="V122" s="87">
        <f t="shared" si="23"/>
        <v>7230.2807503912099</v>
      </c>
      <c r="W122" s="87">
        <f t="shared" si="24"/>
        <v>1287.7593268659355</v>
      </c>
      <c r="X122" s="87">
        <f t="shared" si="25"/>
        <v>486.76380157792084</v>
      </c>
      <c r="Y122" s="87">
        <f t="shared" si="26"/>
        <v>18276.671032269805</v>
      </c>
      <c r="Z122" s="91">
        <f t="shared" si="27"/>
        <v>0.45460691805610209</v>
      </c>
      <c r="AA122" s="131">
        <f t="shared" si="28"/>
        <v>18277.244001085481</v>
      </c>
      <c r="AC122" s="131">
        <v>18319.473739427533</v>
      </c>
      <c r="AD122" s="151">
        <f t="shared" si="33"/>
        <v>-42.22973834205186</v>
      </c>
    </row>
    <row r="123" spans="2:30" x14ac:dyDescent="0.3">
      <c r="B123">
        <v>959</v>
      </c>
      <c r="C123" s="25">
        <v>6</v>
      </c>
      <c r="D123" s="32" t="s">
        <v>138</v>
      </c>
      <c r="E123" s="153">
        <v>330.53661839718791</v>
      </c>
      <c r="F123" s="153">
        <f>INDEX('Revised 2019 Lockdown'!H$5:H$257,MATCH(B123,'Revised 2019 Lockdown'!B$5:B$257,0))</f>
        <v>330.53661839718791</v>
      </c>
      <c r="G123" s="153">
        <f t="shared" si="29"/>
        <v>0</v>
      </c>
      <c r="H123" s="151">
        <v>123075.62</v>
      </c>
      <c r="I123" s="151">
        <f>INDEX('Revised 2019 Lockdown'!E$5:E$257,MATCH(B123,'Revised 2019 Lockdown'!B$5:B$257,0))</f>
        <v>123075.62</v>
      </c>
      <c r="J123" s="151">
        <f t="shared" si="30"/>
        <v>0</v>
      </c>
      <c r="K123" s="151">
        <v>0</v>
      </c>
      <c r="L123" s="151">
        <f>INDEX('Revised 2019 Lockdown'!F$5:F$257,MATCH(B123,'Revised 2019 Lockdown'!B$5:B$257,0))</f>
        <v>0</v>
      </c>
      <c r="M123" s="151">
        <f t="shared" si="31"/>
        <v>0</v>
      </c>
      <c r="N123" s="151">
        <v>123075.62</v>
      </c>
      <c r="O123" s="156">
        <f t="shared" si="18"/>
        <v>123075.62</v>
      </c>
      <c r="P123" s="156">
        <f t="shared" si="32"/>
        <v>0</v>
      </c>
      <c r="Q123" s="85">
        <f t="shared" si="19"/>
        <v>372.35093829182551</v>
      </c>
      <c r="R123" s="6">
        <f t="shared" si="20"/>
        <v>372.35093829182551</v>
      </c>
      <c r="S123" s="5">
        <f t="shared" si="21"/>
        <v>123075.62</v>
      </c>
      <c r="T123" s="113">
        <v>0.7685185185185186</v>
      </c>
      <c r="U123" s="87">
        <f t="shared" si="22"/>
        <v>28384.299336735436</v>
      </c>
      <c r="V123" s="87">
        <f t="shared" si="23"/>
        <v>23627.307573814905</v>
      </c>
      <c r="W123" s="87">
        <f t="shared" si="24"/>
        <v>6544.1579026362251</v>
      </c>
      <c r="X123" s="87">
        <f t="shared" si="25"/>
        <v>1490.1474774858837</v>
      </c>
      <c r="Y123" s="87">
        <f t="shared" si="26"/>
        <v>60045.912290672451</v>
      </c>
      <c r="Z123" s="91">
        <f t="shared" si="27"/>
        <v>0.48787820277218552</v>
      </c>
      <c r="AA123" s="131">
        <f t="shared" si="28"/>
        <v>60047.794714183306</v>
      </c>
      <c r="AC123" s="131">
        <v>60186.65759632564</v>
      </c>
      <c r="AD123" s="151">
        <f t="shared" si="33"/>
        <v>-138.86288214233355</v>
      </c>
    </row>
    <row r="124" spans="2:30" x14ac:dyDescent="0.3">
      <c r="B124">
        <v>969</v>
      </c>
      <c r="C124" s="25">
        <v>6</v>
      </c>
      <c r="D124" s="32" t="s">
        <v>139</v>
      </c>
      <c r="E124" s="153">
        <v>20.253037614115541</v>
      </c>
      <c r="F124" s="153">
        <f>INDEX('Revised 2019 Lockdown'!H$5:H$257,MATCH(B124,'Revised 2019 Lockdown'!B$5:B$257,0))</f>
        <v>20.253037614115541</v>
      </c>
      <c r="G124" s="153">
        <f t="shared" si="29"/>
        <v>0</v>
      </c>
      <c r="H124" s="151">
        <v>87738.63</v>
      </c>
      <c r="I124" s="151">
        <f>INDEX('Revised 2019 Lockdown'!E$5:E$257,MATCH(B124,'Revised 2019 Lockdown'!B$5:B$257,0))</f>
        <v>87738.63</v>
      </c>
      <c r="J124" s="151">
        <f t="shared" si="30"/>
        <v>0</v>
      </c>
      <c r="K124" s="151">
        <v>0</v>
      </c>
      <c r="L124" s="151">
        <f>INDEX('Revised 2019 Lockdown'!F$5:F$257,MATCH(B124,'Revised 2019 Lockdown'!B$5:B$257,0))</f>
        <v>0</v>
      </c>
      <c r="M124" s="151">
        <f t="shared" si="31"/>
        <v>0</v>
      </c>
      <c r="N124" s="151">
        <v>87738.63</v>
      </c>
      <c r="O124" s="156">
        <f t="shared" si="18"/>
        <v>87738.63</v>
      </c>
      <c r="P124" s="156">
        <f t="shared" si="32"/>
        <v>0</v>
      </c>
      <c r="Q124" s="85">
        <f t="shared" si="19"/>
        <v>4332.1220091375208</v>
      </c>
      <c r="R124" s="6">
        <f t="shared" si="20"/>
        <v>1517.426614892323</v>
      </c>
      <c r="S124" s="5">
        <f t="shared" si="21"/>
        <v>30732.498308074235</v>
      </c>
      <c r="T124" s="113">
        <v>0.35763888888888884</v>
      </c>
      <c r="U124" s="87">
        <f t="shared" si="22"/>
        <v>7087.6785454511173</v>
      </c>
      <c r="V124" s="87">
        <f t="shared" si="23"/>
        <v>1447.7208344817429</v>
      </c>
      <c r="W124" s="87">
        <f t="shared" si="24"/>
        <v>760.44884393902589</v>
      </c>
      <c r="X124" s="87">
        <f t="shared" si="25"/>
        <v>372.09607256592341</v>
      </c>
      <c r="Y124" s="87">
        <f t="shared" si="26"/>
        <v>9667.9442964378104</v>
      </c>
      <c r="Z124" s="91">
        <f t="shared" si="27"/>
        <v>0.31458374127357513</v>
      </c>
      <c r="AA124" s="131">
        <f t="shared" si="28"/>
        <v>9668.247383941205</v>
      </c>
      <c r="AC124" s="131">
        <v>9721.960923284425</v>
      </c>
      <c r="AD124" s="151">
        <f t="shared" si="33"/>
        <v>-53.713539343219963</v>
      </c>
    </row>
    <row r="125" spans="2:30" x14ac:dyDescent="0.3">
      <c r="B125">
        <v>970</v>
      </c>
      <c r="C125" s="25">
        <v>6</v>
      </c>
      <c r="D125" s="32" t="s">
        <v>140</v>
      </c>
      <c r="E125" s="153">
        <v>155.9519118961008</v>
      </c>
      <c r="F125" s="153">
        <f>INDEX('Revised 2019 Lockdown'!H$5:H$257,MATCH(B125,'Revised 2019 Lockdown'!B$5:B$257,0))</f>
        <v>155.9519118961008</v>
      </c>
      <c r="G125" s="153">
        <f t="shared" si="29"/>
        <v>0</v>
      </c>
      <c r="H125" s="151">
        <v>73920.09</v>
      </c>
      <c r="I125" s="151">
        <f>INDEX('Revised 2019 Lockdown'!E$5:E$257,MATCH(B125,'Revised 2019 Lockdown'!B$5:B$257,0))</f>
        <v>73920.09</v>
      </c>
      <c r="J125" s="151">
        <f t="shared" si="30"/>
        <v>0</v>
      </c>
      <c r="K125" s="151">
        <v>161.72</v>
      </c>
      <c r="L125" s="151">
        <f>INDEX('Revised 2019 Lockdown'!F$5:F$257,MATCH(B125,'Revised 2019 Lockdown'!B$5:B$257,0))</f>
        <v>161.72</v>
      </c>
      <c r="M125" s="151">
        <f t="shared" si="31"/>
        <v>0</v>
      </c>
      <c r="N125" s="151">
        <v>73758.37</v>
      </c>
      <c r="O125" s="156">
        <f t="shared" si="18"/>
        <v>73758.37</v>
      </c>
      <c r="P125" s="156">
        <f t="shared" si="32"/>
        <v>0</v>
      </c>
      <c r="Q125" s="85">
        <f t="shared" si="19"/>
        <v>472.95585609197104</v>
      </c>
      <c r="R125" s="6">
        <f t="shared" si="20"/>
        <v>472.95585609197104</v>
      </c>
      <c r="S125" s="5">
        <f t="shared" si="21"/>
        <v>73758.37</v>
      </c>
      <c r="T125" s="113">
        <v>0.40277777777777773</v>
      </c>
      <c r="U125" s="87">
        <f t="shared" si="22"/>
        <v>17010.514776766402</v>
      </c>
      <c r="V125" s="87">
        <f t="shared" si="23"/>
        <v>11147.702203045852</v>
      </c>
      <c r="W125" s="87">
        <f t="shared" si="24"/>
        <v>2055.4372021926069</v>
      </c>
      <c r="X125" s="87">
        <f t="shared" si="25"/>
        <v>893.03510312578942</v>
      </c>
      <c r="Y125" s="87">
        <f t="shared" si="26"/>
        <v>31106.689285130651</v>
      </c>
      <c r="Z125" s="91">
        <f t="shared" si="27"/>
        <v>0.42173775376449685</v>
      </c>
      <c r="AA125" s="131">
        <f t="shared" si="28"/>
        <v>31107.664471634136</v>
      </c>
      <c r="AC125" s="131">
        <v>31181.497810726276</v>
      </c>
      <c r="AD125" s="151">
        <f t="shared" si="33"/>
        <v>-73.833339092139795</v>
      </c>
    </row>
    <row r="126" spans="2:30" x14ac:dyDescent="0.3">
      <c r="B126" s="24">
        <v>978</v>
      </c>
      <c r="C126" s="25">
        <v>6</v>
      </c>
      <c r="D126" s="32" t="s">
        <v>252</v>
      </c>
      <c r="E126" s="153">
        <v>25.008098619168752</v>
      </c>
      <c r="F126" s="153">
        <f>INDEX('Revised 2019 Lockdown'!H$5:H$257,MATCH(B126,'Revised 2019 Lockdown'!B$5:B$257,0))</f>
        <v>25.008098619168752</v>
      </c>
      <c r="G126" s="153">
        <f t="shared" si="29"/>
        <v>0</v>
      </c>
      <c r="H126" s="151">
        <v>28052.51</v>
      </c>
      <c r="I126" s="151">
        <f>INDEX('Revised 2019 Lockdown'!E$5:E$257,MATCH(B126,'Revised 2019 Lockdown'!B$5:B$257,0))</f>
        <v>28052.51</v>
      </c>
      <c r="J126" s="151">
        <f t="shared" si="30"/>
        <v>0</v>
      </c>
      <c r="K126" s="151">
        <v>0</v>
      </c>
      <c r="L126" s="151">
        <f>INDEX('Revised 2019 Lockdown'!F$5:F$257,MATCH(B126,'Revised 2019 Lockdown'!B$5:B$257,0))</f>
        <v>0</v>
      </c>
      <c r="M126" s="151">
        <f t="shared" si="31"/>
        <v>0</v>
      </c>
      <c r="N126" s="151">
        <v>28052.51</v>
      </c>
      <c r="O126" s="156">
        <f t="shared" si="18"/>
        <v>28052.51</v>
      </c>
      <c r="P126" s="156">
        <f t="shared" si="32"/>
        <v>0</v>
      </c>
      <c r="Q126" s="85">
        <f t="shared" si="19"/>
        <v>1121.7370191629723</v>
      </c>
      <c r="R126" s="6">
        <f t="shared" si="20"/>
        <v>1121.7370191629723</v>
      </c>
      <c r="S126" s="5">
        <f t="shared" si="21"/>
        <v>28052.51</v>
      </c>
      <c r="T126" s="113">
        <v>0.39351851851851855</v>
      </c>
      <c r="U126" s="87">
        <f t="shared" si="22"/>
        <v>6469.6065799771241</v>
      </c>
      <c r="V126" s="87">
        <f t="shared" si="23"/>
        <v>1787.6205086644131</v>
      </c>
      <c r="W126" s="87">
        <f t="shared" si="24"/>
        <v>763.77299902507707</v>
      </c>
      <c r="X126" s="87">
        <f t="shared" si="25"/>
        <v>339.64790925812542</v>
      </c>
      <c r="Y126" s="87">
        <f t="shared" si="26"/>
        <v>9360.6479969247393</v>
      </c>
      <c r="Z126" s="91">
        <f t="shared" si="27"/>
        <v>0.33368308208159414</v>
      </c>
      <c r="AA126" s="131">
        <f t="shared" si="28"/>
        <v>9360.9414507702058</v>
      </c>
      <c r="AC126" s="131">
        <v>9385.8060530945841</v>
      </c>
      <c r="AD126" s="151">
        <f t="shared" si="33"/>
        <v>-24.864602324378211</v>
      </c>
    </row>
    <row r="127" spans="2:30" x14ac:dyDescent="0.3">
      <c r="B127" s="24">
        <v>986</v>
      </c>
      <c r="C127" s="25">
        <v>6</v>
      </c>
      <c r="D127" s="32" t="s">
        <v>142</v>
      </c>
      <c r="E127" s="153">
        <v>7.8194336527541735</v>
      </c>
      <c r="F127" s="153">
        <f>INDEX('Revised 2019 Lockdown'!H$5:H$257,MATCH(B127,'Revised 2019 Lockdown'!B$5:B$257,0))</f>
        <v>7.8194336527541735</v>
      </c>
      <c r="G127" s="153">
        <f t="shared" si="29"/>
        <v>0</v>
      </c>
      <c r="H127" s="151">
        <v>43562.55</v>
      </c>
      <c r="I127" s="151">
        <f>INDEX('Revised 2019 Lockdown'!E$5:E$257,MATCH(B127,'Revised 2019 Lockdown'!B$5:B$257,0))</f>
        <v>43562.55</v>
      </c>
      <c r="J127" s="151">
        <f t="shared" si="30"/>
        <v>0</v>
      </c>
      <c r="K127" s="151">
        <v>0</v>
      </c>
      <c r="L127" s="151">
        <f>INDEX('Revised 2019 Lockdown'!F$5:F$257,MATCH(B127,'Revised 2019 Lockdown'!B$5:B$257,0))</f>
        <v>0</v>
      </c>
      <c r="M127" s="151">
        <f t="shared" si="31"/>
        <v>0</v>
      </c>
      <c r="N127" s="151">
        <v>43562.55</v>
      </c>
      <c r="O127" s="156">
        <f t="shared" si="18"/>
        <v>43562.55</v>
      </c>
      <c r="P127" s="156">
        <f t="shared" si="32"/>
        <v>0</v>
      </c>
      <c r="Q127" s="85">
        <f t="shared" si="19"/>
        <v>5571.0620403635412</v>
      </c>
      <c r="R127" s="6">
        <f t="shared" si="20"/>
        <v>1517.426614892323</v>
      </c>
      <c r="S127" s="5">
        <f t="shared" si="21"/>
        <v>11865.416738073878</v>
      </c>
      <c r="T127" s="113">
        <v>0.22453703703703703</v>
      </c>
      <c r="U127" s="87">
        <f t="shared" si="22"/>
        <v>2736.4602384176487</v>
      </c>
      <c r="V127" s="87">
        <f t="shared" si="23"/>
        <v>558.94613087816856</v>
      </c>
      <c r="W127" s="87">
        <f t="shared" si="24"/>
        <v>184.33100217118883</v>
      </c>
      <c r="X127" s="87">
        <f t="shared" si="25"/>
        <v>143.66144019066954</v>
      </c>
      <c r="Y127" s="87">
        <f t="shared" si="26"/>
        <v>3623.3988116576752</v>
      </c>
      <c r="Z127" s="91">
        <f t="shared" si="27"/>
        <v>0.3053747619357417</v>
      </c>
      <c r="AA127" s="131">
        <f t="shared" si="28"/>
        <v>3623.5124042546076</v>
      </c>
      <c r="AC127" s="131">
        <v>3643.5648371485136</v>
      </c>
      <c r="AD127" s="151">
        <f t="shared" si="33"/>
        <v>-20.052432893905916</v>
      </c>
    </row>
    <row r="128" spans="2:30" x14ac:dyDescent="0.3">
      <c r="B128" s="24">
        <v>988</v>
      </c>
      <c r="C128" s="25">
        <v>6</v>
      </c>
      <c r="D128" s="32" t="s">
        <v>143</v>
      </c>
      <c r="E128" s="153">
        <v>133.20495744908894</v>
      </c>
      <c r="F128" s="153">
        <f>INDEX('Revised 2019 Lockdown'!H$5:H$257,MATCH(B128,'Revised 2019 Lockdown'!B$5:B$257,0))</f>
        <v>133.20495744908894</v>
      </c>
      <c r="G128" s="153">
        <f t="shared" si="29"/>
        <v>0</v>
      </c>
      <c r="H128" s="151">
        <v>132703.88</v>
      </c>
      <c r="I128" s="151">
        <f>INDEX('Revised 2019 Lockdown'!E$5:E$257,MATCH(B128,'Revised 2019 Lockdown'!B$5:B$257,0))</f>
        <v>132703.88</v>
      </c>
      <c r="J128" s="151">
        <f t="shared" si="30"/>
        <v>0</v>
      </c>
      <c r="K128" s="151">
        <v>91</v>
      </c>
      <c r="L128" s="151">
        <f>INDEX('Revised 2019 Lockdown'!F$5:F$257,MATCH(B128,'Revised 2019 Lockdown'!B$5:B$257,0))</f>
        <v>91</v>
      </c>
      <c r="M128" s="151">
        <f t="shared" si="31"/>
        <v>0</v>
      </c>
      <c r="N128" s="151">
        <v>132612.88</v>
      </c>
      <c r="O128" s="156">
        <f t="shared" si="18"/>
        <v>132612.88</v>
      </c>
      <c r="P128" s="156">
        <f t="shared" si="32"/>
        <v>0</v>
      </c>
      <c r="Q128" s="85">
        <f t="shared" si="19"/>
        <v>995.55513953513912</v>
      </c>
      <c r="R128" s="6">
        <f t="shared" si="20"/>
        <v>995.55513953513912</v>
      </c>
      <c r="S128" s="5">
        <f t="shared" si="21"/>
        <v>132612.88</v>
      </c>
      <c r="T128" s="113">
        <v>0.67361111111111116</v>
      </c>
      <c r="U128" s="87">
        <f t="shared" si="22"/>
        <v>30583.828721127516</v>
      </c>
      <c r="V128" s="87">
        <f t="shared" si="23"/>
        <v>9521.7120428836806</v>
      </c>
      <c r="W128" s="87">
        <f t="shared" si="24"/>
        <v>6180.4820540611854</v>
      </c>
      <c r="X128" s="87">
        <f t="shared" si="25"/>
        <v>1605.6205819977849</v>
      </c>
      <c r="Y128" s="87">
        <f t="shared" si="26"/>
        <v>47891.643400070163</v>
      </c>
      <c r="Z128" s="91">
        <f t="shared" si="27"/>
        <v>0.3611387023648846</v>
      </c>
      <c r="AA128" s="131">
        <f t="shared" si="28"/>
        <v>47893.14479045746</v>
      </c>
      <c r="AC128" s="131">
        <v>48019.647570264875</v>
      </c>
      <c r="AD128" s="151">
        <f t="shared" si="33"/>
        <v>-126.50277980741521</v>
      </c>
    </row>
    <row r="129" spans="2:30" x14ac:dyDescent="0.3">
      <c r="B129" s="24">
        <v>989</v>
      </c>
      <c r="C129" s="25">
        <v>6</v>
      </c>
      <c r="D129" s="32" t="s">
        <v>144</v>
      </c>
      <c r="E129" s="153">
        <v>311.67839867788797</v>
      </c>
      <c r="F129" s="153">
        <f>INDEX('Revised 2019 Lockdown'!H$5:H$257,MATCH(B129,'Revised 2019 Lockdown'!B$5:B$257,0))</f>
        <v>311.67839867788797</v>
      </c>
      <c r="G129" s="153">
        <f t="shared" si="29"/>
        <v>0</v>
      </c>
      <c r="H129" s="151">
        <v>276934.09999999998</v>
      </c>
      <c r="I129" s="151">
        <f>INDEX('Revised 2019 Lockdown'!E$5:E$257,MATCH(B129,'Revised 2019 Lockdown'!B$5:B$257,0))</f>
        <v>276934.09999999998</v>
      </c>
      <c r="J129" s="151">
        <f t="shared" si="30"/>
        <v>0</v>
      </c>
      <c r="K129" s="151">
        <v>36351.42</v>
      </c>
      <c r="L129" s="151">
        <f>INDEX('Revised 2019 Lockdown'!F$5:F$257,MATCH(B129,'Revised 2019 Lockdown'!B$5:B$257,0))</f>
        <v>36351.42</v>
      </c>
      <c r="M129" s="151">
        <f t="shared" si="31"/>
        <v>0</v>
      </c>
      <c r="N129" s="151">
        <v>240582.68</v>
      </c>
      <c r="O129" s="156">
        <f t="shared" si="18"/>
        <v>240582.68</v>
      </c>
      <c r="P129" s="156">
        <f t="shared" si="32"/>
        <v>0</v>
      </c>
      <c r="Q129" s="85">
        <f t="shared" si="19"/>
        <v>771.89398116946927</v>
      </c>
      <c r="R129" s="6">
        <f t="shared" si="20"/>
        <v>771.89398116946927</v>
      </c>
      <c r="S129" s="5">
        <f t="shared" si="21"/>
        <v>240582.68</v>
      </c>
      <c r="T129" s="113">
        <v>0.53703703703703698</v>
      </c>
      <c r="U129" s="87">
        <f t="shared" si="22"/>
        <v>55484.350225934541</v>
      </c>
      <c r="V129" s="87">
        <f t="shared" si="23"/>
        <v>22279.29064376008</v>
      </c>
      <c r="W129" s="87">
        <f t="shared" si="24"/>
        <v>8939.1453141783404</v>
      </c>
      <c r="X129" s="87">
        <f t="shared" si="25"/>
        <v>2912.8731890913373</v>
      </c>
      <c r="Y129" s="87">
        <f t="shared" si="26"/>
        <v>89615.659372964292</v>
      </c>
      <c r="Z129" s="91">
        <f t="shared" si="27"/>
        <v>0.37249422682033589</v>
      </c>
      <c r="AA129" s="131">
        <f t="shared" si="28"/>
        <v>89618.468800246003</v>
      </c>
      <c r="AC129" s="131">
        <v>97289.273309413169</v>
      </c>
      <c r="AD129" s="151">
        <f t="shared" si="33"/>
        <v>-7670.8045091671665</v>
      </c>
    </row>
    <row r="130" spans="2:30" x14ac:dyDescent="0.3">
      <c r="B130">
        <v>39</v>
      </c>
      <c r="C130" s="25">
        <v>7</v>
      </c>
      <c r="D130" s="32" t="s">
        <v>145</v>
      </c>
      <c r="E130" s="153">
        <v>314.39</v>
      </c>
      <c r="F130" s="153">
        <f>INDEX('Revised 2019 Lockdown'!H$5:H$257,MATCH(B130,'Revised 2019 Lockdown'!B$5:B$257,0))</f>
        <v>314.39</v>
      </c>
      <c r="G130" s="153">
        <f t="shared" si="29"/>
        <v>0</v>
      </c>
      <c r="H130" s="151">
        <v>131981.43</v>
      </c>
      <c r="I130" s="151">
        <f>INDEX('Revised 2019 Lockdown'!E$5:E$257,MATCH(B130,'Revised 2019 Lockdown'!B$5:B$257,0))</f>
        <v>131981.43</v>
      </c>
      <c r="J130" s="151">
        <f t="shared" si="30"/>
        <v>0</v>
      </c>
      <c r="K130" s="151">
        <v>1501.53</v>
      </c>
      <c r="L130" s="151">
        <f>INDEX('Revised 2019 Lockdown'!F$5:F$257,MATCH(B130,'Revised 2019 Lockdown'!B$5:B$257,0))</f>
        <v>1501.53</v>
      </c>
      <c r="M130" s="151">
        <f t="shared" si="31"/>
        <v>0</v>
      </c>
      <c r="N130" s="151">
        <v>130479.9</v>
      </c>
      <c r="O130" s="156">
        <f t="shared" si="18"/>
        <v>130479.9</v>
      </c>
      <c r="P130" s="156">
        <f t="shared" si="32"/>
        <v>0</v>
      </c>
      <c r="Q130" s="85">
        <f t="shared" si="19"/>
        <v>415.02560514011259</v>
      </c>
      <c r="R130" s="6">
        <f t="shared" si="20"/>
        <v>415.02560514011259</v>
      </c>
      <c r="S130" s="5">
        <f t="shared" si="21"/>
        <v>130479.9</v>
      </c>
      <c r="T130" s="113">
        <v>0.60185185185185186</v>
      </c>
      <c r="U130" s="87">
        <f t="shared" si="22"/>
        <v>30091.910477699043</v>
      </c>
      <c r="V130" s="87">
        <f t="shared" si="23"/>
        <v>22473.120419007908</v>
      </c>
      <c r="W130" s="87">
        <f t="shared" si="24"/>
        <v>5433.2616140289929</v>
      </c>
      <c r="X130" s="87">
        <f t="shared" si="25"/>
        <v>1579.7953635952463</v>
      </c>
      <c r="Y130" s="87">
        <f t="shared" si="26"/>
        <v>59578.087874331184</v>
      </c>
      <c r="Z130" s="91">
        <f t="shared" si="27"/>
        <v>0.45660739987025734</v>
      </c>
      <c r="AA130" s="131">
        <f t="shared" si="28"/>
        <v>59579.955631669996</v>
      </c>
      <c r="AC130" s="131">
        <v>59719.426478088775</v>
      </c>
      <c r="AD130" s="151">
        <f t="shared" si="33"/>
        <v>-139.47084641877882</v>
      </c>
    </row>
    <row r="131" spans="2:30" x14ac:dyDescent="0.3">
      <c r="B131">
        <v>59</v>
      </c>
      <c r="C131" s="25">
        <v>7</v>
      </c>
      <c r="D131" s="32" t="s">
        <v>146</v>
      </c>
      <c r="E131" s="153">
        <v>199.24762291396314</v>
      </c>
      <c r="F131" s="153">
        <f>INDEX('Revised 2019 Lockdown'!H$5:H$257,MATCH(B131,'Revised 2019 Lockdown'!B$5:B$257,0))</f>
        <v>199.24762291396314</v>
      </c>
      <c r="G131" s="153">
        <f t="shared" si="29"/>
        <v>0</v>
      </c>
      <c r="H131" s="151">
        <v>176388.86</v>
      </c>
      <c r="I131" s="151">
        <f>INDEX('Revised 2019 Lockdown'!E$5:E$257,MATCH(B131,'Revised 2019 Lockdown'!B$5:B$257,0))</f>
        <v>176388.86</v>
      </c>
      <c r="J131" s="151">
        <f t="shared" si="30"/>
        <v>0</v>
      </c>
      <c r="K131" s="151">
        <v>0</v>
      </c>
      <c r="L131" s="151">
        <f>INDEX('Revised 2019 Lockdown'!F$5:F$257,MATCH(B131,'Revised 2019 Lockdown'!B$5:B$257,0))</f>
        <v>0</v>
      </c>
      <c r="M131" s="151">
        <f t="shared" si="31"/>
        <v>0</v>
      </c>
      <c r="N131" s="151">
        <v>176388.86</v>
      </c>
      <c r="O131" s="156">
        <f t="shared" si="18"/>
        <v>176388.86</v>
      </c>
      <c r="P131" s="156">
        <f t="shared" si="32"/>
        <v>0</v>
      </c>
      <c r="Q131" s="85">
        <f t="shared" si="19"/>
        <v>885.27460162556736</v>
      </c>
      <c r="R131" s="6">
        <f t="shared" si="20"/>
        <v>782.54308711894498</v>
      </c>
      <c r="S131" s="5">
        <f t="shared" si="21"/>
        <v>155919.84993620415</v>
      </c>
      <c r="T131" s="113">
        <v>0.22222222222222221</v>
      </c>
      <c r="U131" s="87">
        <f t="shared" si="22"/>
        <v>35958.995722532927</v>
      </c>
      <c r="V131" s="87">
        <f t="shared" si="23"/>
        <v>14242.551680863175</v>
      </c>
      <c r="W131" s="87">
        <f t="shared" si="24"/>
        <v>2397.2663815021951</v>
      </c>
      <c r="X131" s="87">
        <f t="shared" si="25"/>
        <v>1887.8115021676279</v>
      </c>
      <c r="Y131" s="87">
        <f t="shared" si="26"/>
        <v>54486.625287065923</v>
      </c>
      <c r="Z131" s="91">
        <f t="shared" si="27"/>
        <v>0.34945278172958455</v>
      </c>
      <c r="AA131" s="131">
        <f t="shared" si="28"/>
        <v>54488.333428395694</v>
      </c>
      <c r="AC131" s="131">
        <v>55072.989908104159</v>
      </c>
      <c r="AD131" s="151">
        <f t="shared" si="33"/>
        <v>-584.65647970846476</v>
      </c>
    </row>
    <row r="132" spans="2:30" x14ac:dyDescent="0.3">
      <c r="B132">
        <v>100</v>
      </c>
      <c r="C132" s="25">
        <v>7</v>
      </c>
      <c r="D132" s="32" t="s">
        <v>254</v>
      </c>
      <c r="E132" s="153">
        <v>28.459920682096275</v>
      </c>
      <c r="F132" s="153">
        <f>INDEX('Revised 2019 Lockdown'!H$5:H$257,MATCH(B132,'Revised 2019 Lockdown'!B$5:B$257,0))</f>
        <v>28.459920682096275</v>
      </c>
      <c r="G132" s="153">
        <f t="shared" si="29"/>
        <v>0</v>
      </c>
      <c r="H132" s="151">
        <v>31057.59</v>
      </c>
      <c r="I132" s="151">
        <f>INDEX('Revised 2019 Lockdown'!E$5:E$257,MATCH(B132,'Revised 2019 Lockdown'!B$5:B$257,0))</f>
        <v>31057.59</v>
      </c>
      <c r="J132" s="151">
        <f t="shared" si="30"/>
        <v>0</v>
      </c>
      <c r="K132" s="151">
        <v>0</v>
      </c>
      <c r="L132" s="151">
        <f>INDEX('Revised 2019 Lockdown'!F$5:F$257,MATCH(B132,'Revised 2019 Lockdown'!B$5:B$257,0))</f>
        <v>0</v>
      </c>
      <c r="M132" s="151">
        <f t="shared" si="31"/>
        <v>0</v>
      </c>
      <c r="N132" s="151">
        <v>31057.59</v>
      </c>
      <c r="O132" s="156">
        <f t="shared" si="18"/>
        <v>31057.59</v>
      </c>
      <c r="P132" s="156">
        <f t="shared" si="32"/>
        <v>0</v>
      </c>
      <c r="Q132" s="85">
        <f t="shared" si="19"/>
        <v>1091.27465065417</v>
      </c>
      <c r="R132" s="6">
        <f t="shared" si="20"/>
        <v>782.54308711894498</v>
      </c>
      <c r="S132" s="5">
        <f t="shared" si="21"/>
        <v>22271.11418972793</v>
      </c>
      <c r="T132" s="113">
        <v>6.0185185185185182E-2</v>
      </c>
      <c r="U132" s="87">
        <f t="shared" si="22"/>
        <v>5136.2729005456458</v>
      </c>
      <c r="V132" s="87">
        <f t="shared" si="23"/>
        <v>2034.3624943673885</v>
      </c>
      <c r="W132" s="87">
        <f t="shared" si="24"/>
        <v>92.73826070429638</v>
      </c>
      <c r="X132" s="87">
        <f t="shared" si="25"/>
        <v>269.64921753490376</v>
      </c>
      <c r="Y132" s="87">
        <f t="shared" si="26"/>
        <v>7533.0228731522348</v>
      </c>
      <c r="Z132" s="91">
        <f t="shared" si="27"/>
        <v>0.33824185036178739</v>
      </c>
      <c r="AA132" s="131">
        <f t="shared" si="28"/>
        <v>7533.2590314321787</v>
      </c>
      <c r="AC132" s="131">
        <v>7613.2646370467182</v>
      </c>
      <c r="AD132" s="151">
        <f t="shared" si="33"/>
        <v>-80.00560561453949</v>
      </c>
    </row>
    <row r="133" spans="2:30" x14ac:dyDescent="0.3">
      <c r="B133">
        <v>128</v>
      </c>
      <c r="C133" s="25">
        <v>7</v>
      </c>
      <c r="D133" s="32" t="s">
        <v>147</v>
      </c>
      <c r="E133" s="153">
        <v>124.30081693950216</v>
      </c>
      <c r="F133" s="153">
        <f>INDEX('Revised 2019 Lockdown'!H$5:H$257,MATCH(B133,'Revised 2019 Lockdown'!B$5:B$257,0))</f>
        <v>124.30081693950216</v>
      </c>
      <c r="G133" s="153">
        <f t="shared" si="29"/>
        <v>0</v>
      </c>
      <c r="H133" s="151">
        <v>94207.63</v>
      </c>
      <c r="I133" s="151">
        <f>INDEX('Revised 2019 Lockdown'!E$5:E$257,MATCH(B133,'Revised 2019 Lockdown'!B$5:B$257,0))</f>
        <v>94207.63</v>
      </c>
      <c r="J133" s="151">
        <f t="shared" si="30"/>
        <v>0</v>
      </c>
      <c r="K133" s="151">
        <v>265.42</v>
      </c>
      <c r="L133" s="151">
        <f>INDEX('Revised 2019 Lockdown'!F$5:F$257,MATCH(B133,'Revised 2019 Lockdown'!B$5:B$257,0))</f>
        <v>265.42</v>
      </c>
      <c r="M133" s="151">
        <f t="shared" si="31"/>
        <v>0</v>
      </c>
      <c r="N133" s="151">
        <v>93942.21</v>
      </c>
      <c r="O133" s="156">
        <f t="shared" si="18"/>
        <v>93942.21</v>
      </c>
      <c r="P133" s="156">
        <f t="shared" si="32"/>
        <v>0</v>
      </c>
      <c r="Q133" s="85">
        <f t="shared" si="19"/>
        <v>755.76502482459273</v>
      </c>
      <c r="R133" s="6">
        <f t="shared" si="20"/>
        <v>755.76502482459273</v>
      </c>
      <c r="S133" s="5">
        <f t="shared" si="21"/>
        <v>93942.21</v>
      </c>
      <c r="T133" s="113">
        <v>9.722222222222221E-2</v>
      </c>
      <c r="U133" s="87">
        <f t="shared" si="22"/>
        <v>21665.410330611874</v>
      </c>
      <c r="V133" s="87">
        <f t="shared" si="23"/>
        <v>8885.2292606714273</v>
      </c>
      <c r="W133" s="87">
        <f t="shared" si="24"/>
        <v>631.90780130951293</v>
      </c>
      <c r="X133" s="87">
        <f t="shared" si="25"/>
        <v>1137.4124888499377</v>
      </c>
      <c r="Y133" s="87">
        <f t="shared" si="26"/>
        <v>32319.959881442755</v>
      </c>
      <c r="Z133" s="91">
        <f t="shared" si="27"/>
        <v>0.34404087237720671</v>
      </c>
      <c r="AA133" s="131">
        <f t="shared" si="28"/>
        <v>32320.973103659388</v>
      </c>
      <c r="AC133" s="131">
        <v>32402.30372410042</v>
      </c>
      <c r="AD133" s="151">
        <f t="shared" si="33"/>
        <v>-81.330620441032806</v>
      </c>
    </row>
    <row r="134" spans="2:30" x14ac:dyDescent="0.3">
      <c r="B134">
        <v>152</v>
      </c>
      <c r="C134" s="25">
        <v>7</v>
      </c>
      <c r="D134" s="32" t="s">
        <v>148</v>
      </c>
      <c r="E134" s="153">
        <v>416.02</v>
      </c>
      <c r="F134" s="153">
        <f>INDEX('Revised 2019 Lockdown'!H$5:H$257,MATCH(B134,'Revised 2019 Lockdown'!B$5:B$257,0))</f>
        <v>416.02</v>
      </c>
      <c r="G134" s="153">
        <f t="shared" si="29"/>
        <v>0</v>
      </c>
      <c r="H134" s="151">
        <v>201392.59</v>
      </c>
      <c r="I134" s="151">
        <f>INDEX('Revised 2019 Lockdown'!E$5:E$257,MATCH(B134,'Revised 2019 Lockdown'!B$5:B$257,0))</f>
        <v>201392.59</v>
      </c>
      <c r="J134" s="151">
        <f t="shared" si="30"/>
        <v>0</v>
      </c>
      <c r="K134" s="151">
        <v>0</v>
      </c>
      <c r="L134" s="151">
        <f>INDEX('Revised 2019 Lockdown'!F$5:F$257,MATCH(B134,'Revised 2019 Lockdown'!B$5:B$257,0))</f>
        <v>0</v>
      </c>
      <c r="M134" s="151">
        <f t="shared" si="31"/>
        <v>0</v>
      </c>
      <c r="N134" s="151">
        <v>201392.59</v>
      </c>
      <c r="O134" s="156">
        <f t="shared" si="18"/>
        <v>201392.59</v>
      </c>
      <c r="P134" s="156">
        <f t="shared" si="32"/>
        <v>0</v>
      </c>
      <c r="Q134" s="85">
        <f t="shared" si="19"/>
        <v>484.09352915725208</v>
      </c>
      <c r="R134" s="6">
        <f t="shared" si="20"/>
        <v>484.09352915725208</v>
      </c>
      <c r="S134" s="5">
        <f t="shared" si="21"/>
        <v>201392.59</v>
      </c>
      <c r="T134" s="113">
        <v>0.62037037037037035</v>
      </c>
      <c r="U134" s="87">
        <f t="shared" si="22"/>
        <v>46446.140663442784</v>
      </c>
      <c r="V134" s="87">
        <f t="shared" si="23"/>
        <v>29737.801955264706</v>
      </c>
      <c r="W134" s="87">
        <f t="shared" si="24"/>
        <v>8644.1428456962949</v>
      </c>
      <c r="X134" s="87">
        <f t="shared" si="25"/>
        <v>2438.3761785871875</v>
      </c>
      <c r="Y134" s="87">
        <f t="shared" si="26"/>
        <v>87266.461642990966</v>
      </c>
      <c r="Z134" s="91">
        <f t="shared" si="27"/>
        <v>0.43331515644637653</v>
      </c>
      <c r="AA134" s="131">
        <f t="shared" si="28"/>
        <v>87269.197423543534</v>
      </c>
      <c r="AC134" s="131">
        <v>87478.841004918388</v>
      </c>
      <c r="AD134" s="151">
        <f t="shared" si="33"/>
        <v>-209.64358137485397</v>
      </c>
    </row>
    <row r="135" spans="2:30" x14ac:dyDescent="0.3">
      <c r="B135">
        <v>162</v>
      </c>
      <c r="C135" s="25">
        <v>7</v>
      </c>
      <c r="D135" s="32" t="s">
        <v>149</v>
      </c>
      <c r="E135" s="153">
        <v>817.57999999999993</v>
      </c>
      <c r="F135" s="153">
        <f>INDEX('Revised 2019 Lockdown'!H$5:H$257,MATCH(B135,'Revised 2019 Lockdown'!B$5:B$257,0))</f>
        <v>817.57999999999993</v>
      </c>
      <c r="G135" s="153">
        <f t="shared" si="29"/>
        <v>0</v>
      </c>
      <c r="H135" s="151">
        <v>406976.46</v>
      </c>
      <c r="I135" s="151">
        <f>INDEX('Revised 2019 Lockdown'!E$5:E$257,MATCH(B135,'Revised 2019 Lockdown'!B$5:B$257,0))</f>
        <v>406976.46</v>
      </c>
      <c r="J135" s="151">
        <f t="shared" si="30"/>
        <v>0</v>
      </c>
      <c r="K135" s="151">
        <v>20849.919999999998</v>
      </c>
      <c r="L135" s="151">
        <f>INDEX('Revised 2019 Lockdown'!F$5:F$257,MATCH(B135,'Revised 2019 Lockdown'!B$5:B$257,0))</f>
        <v>20849.919999999998</v>
      </c>
      <c r="M135" s="151">
        <f t="shared" si="31"/>
        <v>0</v>
      </c>
      <c r="N135" s="151">
        <v>386126.54000000004</v>
      </c>
      <c r="O135" s="156">
        <f t="shared" si="18"/>
        <v>386126.54000000004</v>
      </c>
      <c r="P135" s="156">
        <f t="shared" si="32"/>
        <v>0</v>
      </c>
      <c r="Q135" s="85">
        <f t="shared" si="19"/>
        <v>472.27982582744204</v>
      </c>
      <c r="R135" s="6">
        <f t="shared" si="20"/>
        <v>472.27982582744204</v>
      </c>
      <c r="S135" s="5">
        <f t="shared" si="21"/>
        <v>386126.54000000004</v>
      </c>
      <c r="T135" s="113">
        <v>0.86111111111111116</v>
      </c>
      <c r="U135" s="87">
        <f t="shared" si="22"/>
        <v>89050.384578342564</v>
      </c>
      <c r="V135" s="87">
        <f t="shared" si="23"/>
        <v>58441.979045683656</v>
      </c>
      <c r="W135" s="87">
        <f t="shared" si="24"/>
        <v>23004.682682738494</v>
      </c>
      <c r="X135" s="87">
        <f t="shared" si="25"/>
        <v>4675.0565999289893</v>
      </c>
      <c r="Y135" s="87">
        <f t="shared" si="26"/>
        <v>175172.1029066937</v>
      </c>
      <c r="Z135" s="91">
        <f t="shared" si="27"/>
        <v>0.4536650158952909</v>
      </c>
      <c r="AA135" s="131">
        <f t="shared" si="28"/>
        <v>175177.59450591134</v>
      </c>
      <c r="AC135" s="131">
        <v>175600.33526948417</v>
      </c>
      <c r="AD135" s="151">
        <f t="shared" si="33"/>
        <v>-422.74076357283047</v>
      </c>
    </row>
    <row r="136" spans="2:30" x14ac:dyDescent="0.3">
      <c r="B136">
        <v>166</v>
      </c>
      <c r="C136" s="25">
        <v>7</v>
      </c>
      <c r="D136" s="32" t="s">
        <v>150</v>
      </c>
      <c r="E136" s="153">
        <v>812.39060000000006</v>
      </c>
      <c r="F136" s="153">
        <f>INDEX('Revised 2019 Lockdown'!H$5:H$257,MATCH(B136,'Revised 2019 Lockdown'!B$5:B$257,0))</f>
        <v>812.39060000000006</v>
      </c>
      <c r="G136" s="153">
        <f t="shared" si="29"/>
        <v>0</v>
      </c>
      <c r="H136" s="151">
        <v>468737.5</v>
      </c>
      <c r="I136" s="151">
        <f>INDEX('Revised 2019 Lockdown'!E$5:E$257,MATCH(B136,'Revised 2019 Lockdown'!B$5:B$257,0))</f>
        <v>468737.5</v>
      </c>
      <c r="J136" s="151">
        <f t="shared" si="30"/>
        <v>0</v>
      </c>
      <c r="K136" s="151">
        <v>69372.91</v>
      </c>
      <c r="L136" s="151">
        <f>INDEX('Revised 2019 Lockdown'!F$5:F$257,MATCH(B136,'Revised 2019 Lockdown'!B$5:B$257,0))</f>
        <v>69372.91</v>
      </c>
      <c r="M136" s="151">
        <f t="shared" si="31"/>
        <v>0</v>
      </c>
      <c r="N136" s="151">
        <v>399364.58999999997</v>
      </c>
      <c r="O136" s="156">
        <f t="shared" si="18"/>
        <v>399364.58999999997</v>
      </c>
      <c r="P136" s="156">
        <f t="shared" si="32"/>
        <v>0</v>
      </c>
      <c r="Q136" s="85">
        <f t="shared" si="19"/>
        <v>491.59184018131174</v>
      </c>
      <c r="R136" s="6">
        <f t="shared" si="20"/>
        <v>491.59184018131174</v>
      </c>
      <c r="S136" s="5">
        <f t="shared" si="21"/>
        <v>399364.58999999997</v>
      </c>
      <c r="T136" s="113">
        <v>0.8379629629629628</v>
      </c>
      <c r="U136" s="87">
        <f t="shared" si="22"/>
        <v>92103.408189636742</v>
      </c>
      <c r="V136" s="87">
        <f t="shared" si="23"/>
        <v>58071.032097299809</v>
      </c>
      <c r="W136" s="87">
        <f t="shared" si="24"/>
        <v>23153.773447672564</v>
      </c>
      <c r="X136" s="87">
        <f t="shared" si="25"/>
        <v>4835.3373022673723</v>
      </c>
      <c r="Y136" s="87">
        <f t="shared" si="26"/>
        <v>178163.55103687651</v>
      </c>
      <c r="Z136" s="91">
        <f t="shared" si="27"/>
        <v>0.44611754646769392</v>
      </c>
      <c r="AA136" s="131">
        <f t="shared" si="28"/>
        <v>178169.1364172039</v>
      </c>
      <c r="AC136" s="131">
        <v>178601.42102554109</v>
      </c>
      <c r="AD136" s="151">
        <f t="shared" si="33"/>
        <v>-432.28460833718418</v>
      </c>
    </row>
    <row r="137" spans="2:30" x14ac:dyDescent="0.3">
      <c r="B137">
        <v>192</v>
      </c>
      <c r="C137" s="25">
        <v>7</v>
      </c>
      <c r="D137" s="32" t="s">
        <v>151</v>
      </c>
      <c r="E137" s="153">
        <v>176.93</v>
      </c>
      <c r="F137" s="153">
        <f>INDEX('Revised 2019 Lockdown'!H$5:H$257,MATCH(B137,'Revised 2019 Lockdown'!B$5:B$257,0))</f>
        <v>176.93</v>
      </c>
      <c r="G137" s="153">
        <f t="shared" si="29"/>
        <v>0</v>
      </c>
      <c r="H137" s="151">
        <v>131883.44</v>
      </c>
      <c r="I137" s="151">
        <f>INDEX('Revised 2019 Lockdown'!E$5:E$257,MATCH(B137,'Revised 2019 Lockdown'!B$5:B$257,0))</f>
        <v>131883.44</v>
      </c>
      <c r="J137" s="151">
        <f t="shared" si="30"/>
        <v>0</v>
      </c>
      <c r="K137" s="151">
        <v>15209.029999999999</v>
      </c>
      <c r="L137" s="151">
        <f>INDEX('Revised 2019 Lockdown'!F$5:F$257,MATCH(B137,'Revised 2019 Lockdown'!B$5:B$257,0))</f>
        <v>15209.029999999999</v>
      </c>
      <c r="M137" s="151">
        <f t="shared" si="31"/>
        <v>0</v>
      </c>
      <c r="N137" s="151">
        <v>116674.41</v>
      </c>
      <c r="O137" s="156">
        <f t="shared" si="18"/>
        <v>116674.41</v>
      </c>
      <c r="P137" s="156">
        <f t="shared" si="32"/>
        <v>0</v>
      </c>
      <c r="Q137" s="85">
        <f t="shared" si="19"/>
        <v>659.43825241620982</v>
      </c>
      <c r="R137" s="6">
        <f t="shared" si="20"/>
        <v>659.43825241620982</v>
      </c>
      <c r="S137" s="5">
        <f t="shared" si="21"/>
        <v>116674.41</v>
      </c>
      <c r="T137" s="113">
        <v>0.68981481481481488</v>
      </c>
      <c r="U137" s="87">
        <f t="shared" si="22"/>
        <v>26908.021087986381</v>
      </c>
      <c r="V137" s="87">
        <f t="shared" si="23"/>
        <v>12647.250853192116</v>
      </c>
      <c r="W137" s="87">
        <f t="shared" si="24"/>
        <v>5568.4654751527369</v>
      </c>
      <c r="X137" s="87">
        <f t="shared" si="25"/>
        <v>1412.6443380797414</v>
      </c>
      <c r="Y137" s="87">
        <f t="shared" si="26"/>
        <v>46536.38175441097</v>
      </c>
      <c r="Z137" s="91">
        <f t="shared" si="27"/>
        <v>0.39885679948508818</v>
      </c>
      <c r="AA137" s="131">
        <f t="shared" si="28"/>
        <v>46537.840657703178</v>
      </c>
      <c r="AC137" s="131">
        <v>46655.035338537004</v>
      </c>
      <c r="AD137" s="151">
        <f t="shared" si="33"/>
        <v>-117.19468083382526</v>
      </c>
    </row>
    <row r="138" spans="2:30" x14ac:dyDescent="0.3">
      <c r="B138">
        <v>205</v>
      </c>
      <c r="C138" s="25">
        <v>7</v>
      </c>
      <c r="D138" s="32" t="s">
        <v>152</v>
      </c>
      <c r="E138" s="153">
        <v>569.83868095153036</v>
      </c>
      <c r="F138" s="153">
        <f>INDEX('Revised 2019 Lockdown'!H$5:H$257,MATCH(B138,'Revised 2019 Lockdown'!B$5:B$257,0))</f>
        <v>569.83868095153036</v>
      </c>
      <c r="G138" s="153">
        <f t="shared" si="29"/>
        <v>0</v>
      </c>
      <c r="H138" s="151">
        <v>404989.35</v>
      </c>
      <c r="I138" s="151">
        <f>INDEX('Revised 2019 Lockdown'!E$5:E$257,MATCH(B138,'Revised 2019 Lockdown'!B$5:B$257,0))</f>
        <v>404989.35</v>
      </c>
      <c r="J138" s="151">
        <f t="shared" si="30"/>
        <v>0</v>
      </c>
      <c r="K138" s="151">
        <v>12086.56</v>
      </c>
      <c r="L138" s="151">
        <f>INDEX('Revised 2019 Lockdown'!F$5:F$257,MATCH(B138,'Revised 2019 Lockdown'!B$5:B$257,0))</f>
        <v>12086.56</v>
      </c>
      <c r="M138" s="151">
        <f t="shared" si="31"/>
        <v>0</v>
      </c>
      <c r="N138" s="151">
        <v>392902.79</v>
      </c>
      <c r="O138" s="156">
        <f t="shared" si="18"/>
        <v>392902.79</v>
      </c>
      <c r="P138" s="156">
        <f t="shared" si="32"/>
        <v>0</v>
      </c>
      <c r="Q138" s="85">
        <f t="shared" si="19"/>
        <v>689.49827930936772</v>
      </c>
      <c r="R138" s="6">
        <f t="shared" si="20"/>
        <v>689.49827930936772</v>
      </c>
      <c r="S138" s="5">
        <f t="shared" si="21"/>
        <v>392902.79</v>
      </c>
      <c r="T138" s="113">
        <v>0.56018518518518523</v>
      </c>
      <c r="U138" s="87">
        <f t="shared" si="22"/>
        <v>90613.156379780994</v>
      </c>
      <c r="V138" s="87">
        <f t="shared" si="23"/>
        <v>40733.017260193934</v>
      </c>
      <c r="W138" s="87">
        <f t="shared" si="24"/>
        <v>15228.044336046527</v>
      </c>
      <c r="X138" s="87">
        <f t="shared" si="25"/>
        <v>4757.1005648045148</v>
      </c>
      <c r="Y138" s="87">
        <f t="shared" si="26"/>
        <v>151331.31854082597</v>
      </c>
      <c r="Z138" s="91">
        <f t="shared" si="27"/>
        <v>0.3851622395983138</v>
      </c>
      <c r="AA138" s="131">
        <f t="shared" si="28"/>
        <v>151336.06273774267</v>
      </c>
      <c r="AC138" s="131">
        <v>151717.93609209292</v>
      </c>
      <c r="AD138" s="151">
        <f t="shared" si="33"/>
        <v>-381.87335435024579</v>
      </c>
    </row>
    <row r="139" spans="2:30" x14ac:dyDescent="0.3">
      <c r="B139">
        <v>212</v>
      </c>
      <c r="C139" s="25">
        <v>7</v>
      </c>
      <c r="D139" s="32" t="s">
        <v>153</v>
      </c>
      <c r="E139" s="153">
        <v>406.16674424941203</v>
      </c>
      <c r="F139" s="153">
        <f>INDEX('Revised 2019 Lockdown'!H$5:H$257,MATCH(B139,'Revised 2019 Lockdown'!B$5:B$257,0))</f>
        <v>406.16674424941203</v>
      </c>
      <c r="G139" s="153">
        <f t="shared" si="29"/>
        <v>0</v>
      </c>
      <c r="H139" s="151">
        <v>252953.60000000001</v>
      </c>
      <c r="I139" s="151">
        <f>INDEX('Revised 2019 Lockdown'!E$5:E$257,MATCH(B139,'Revised 2019 Lockdown'!B$5:B$257,0))</f>
        <v>252953.60000000001</v>
      </c>
      <c r="J139" s="151">
        <f t="shared" si="30"/>
        <v>0</v>
      </c>
      <c r="K139" s="151">
        <v>851</v>
      </c>
      <c r="L139" s="151">
        <f>INDEX('Revised 2019 Lockdown'!F$5:F$257,MATCH(B139,'Revised 2019 Lockdown'!B$5:B$257,0))</f>
        <v>851</v>
      </c>
      <c r="M139" s="151">
        <f t="shared" si="31"/>
        <v>0</v>
      </c>
      <c r="N139" s="151">
        <v>252102.6</v>
      </c>
      <c r="O139" s="156">
        <f t="shared" si="18"/>
        <v>252102.6</v>
      </c>
      <c r="P139" s="156">
        <f t="shared" si="32"/>
        <v>0</v>
      </c>
      <c r="Q139" s="85">
        <f t="shared" si="19"/>
        <v>620.68744812153579</v>
      </c>
      <c r="R139" s="6">
        <f t="shared" si="20"/>
        <v>620.68744812153579</v>
      </c>
      <c r="S139" s="5">
        <f t="shared" si="21"/>
        <v>252102.60000000003</v>
      </c>
      <c r="T139" s="113">
        <v>0.26851851851851849</v>
      </c>
      <c r="U139" s="87">
        <f t="shared" si="22"/>
        <v>58141.13032271769</v>
      </c>
      <c r="V139" s="87">
        <f t="shared" si="23"/>
        <v>29033.47483607438</v>
      </c>
      <c r="W139" s="87">
        <f t="shared" si="24"/>
        <v>4683.5910537744794</v>
      </c>
      <c r="X139" s="87">
        <f t="shared" si="25"/>
        <v>3052.3515011147847</v>
      </c>
      <c r="Y139" s="87">
        <f t="shared" si="26"/>
        <v>94910.547713681328</v>
      </c>
      <c r="Z139" s="91">
        <f t="shared" si="27"/>
        <v>0.37647587812930655</v>
      </c>
      <c r="AA139" s="131">
        <f t="shared" si="28"/>
        <v>94913.523134315779</v>
      </c>
      <c r="AC139" s="131">
        <v>95126.292331299614</v>
      </c>
      <c r="AD139" s="151">
        <f t="shared" si="33"/>
        <v>-212.76919698383426</v>
      </c>
    </row>
    <row r="140" spans="2:30" x14ac:dyDescent="0.3">
      <c r="B140">
        <v>216</v>
      </c>
      <c r="C140" s="25">
        <v>7</v>
      </c>
      <c r="D140" s="32" t="s">
        <v>154</v>
      </c>
      <c r="E140" s="153">
        <v>734.36593752530666</v>
      </c>
      <c r="F140" s="153">
        <f>INDEX('Revised 2019 Lockdown'!H$5:H$257,MATCH(B140,'Revised 2019 Lockdown'!B$5:B$257,0))</f>
        <v>734.36593752530666</v>
      </c>
      <c r="G140" s="153">
        <f t="shared" si="29"/>
        <v>0</v>
      </c>
      <c r="H140" s="151">
        <v>322813.15000000002</v>
      </c>
      <c r="I140" s="151">
        <f>INDEX('Revised 2019 Lockdown'!E$5:E$257,MATCH(B140,'Revised 2019 Lockdown'!B$5:B$257,0))</f>
        <v>322813.15000000002</v>
      </c>
      <c r="J140" s="151">
        <f t="shared" si="30"/>
        <v>0</v>
      </c>
      <c r="K140" s="151">
        <v>665</v>
      </c>
      <c r="L140" s="151">
        <f>INDEX('Revised 2019 Lockdown'!F$5:F$257,MATCH(B140,'Revised 2019 Lockdown'!B$5:B$257,0))</f>
        <v>665</v>
      </c>
      <c r="M140" s="151">
        <f t="shared" si="31"/>
        <v>0</v>
      </c>
      <c r="N140" s="151">
        <v>322148.15000000002</v>
      </c>
      <c r="O140" s="156">
        <f t="shared" si="18"/>
        <v>322148.15000000002</v>
      </c>
      <c r="P140" s="156">
        <f t="shared" si="32"/>
        <v>0</v>
      </c>
      <c r="Q140" s="85">
        <f t="shared" si="19"/>
        <v>438.6752347005455</v>
      </c>
      <c r="R140" s="6">
        <f t="shared" si="20"/>
        <v>438.6752347005455</v>
      </c>
      <c r="S140" s="5">
        <f t="shared" si="21"/>
        <v>322148.15000000002</v>
      </c>
      <c r="T140" s="113">
        <v>0.6064814814814814</v>
      </c>
      <c r="U140" s="87">
        <f t="shared" si="22"/>
        <v>74295.376455349557</v>
      </c>
      <c r="V140" s="87">
        <f t="shared" si="23"/>
        <v>52493.699372193318</v>
      </c>
      <c r="W140" s="87">
        <f t="shared" si="24"/>
        <v>13517.63099395943</v>
      </c>
      <c r="X140" s="87">
        <f t="shared" si="25"/>
        <v>3900.433352269476</v>
      </c>
      <c r="Y140" s="87">
        <f t="shared" si="26"/>
        <v>144207.14017377177</v>
      </c>
      <c r="Z140" s="91">
        <f t="shared" si="27"/>
        <v>0.44764230424347234</v>
      </c>
      <c r="AA140" s="131">
        <f t="shared" si="28"/>
        <v>144211.66102957595</v>
      </c>
      <c r="AC140" s="131">
        <v>144552.45110932592</v>
      </c>
      <c r="AD140" s="151">
        <f t="shared" si="33"/>
        <v>-340.79007974997512</v>
      </c>
    </row>
    <row r="141" spans="2:30" x14ac:dyDescent="0.3">
      <c r="B141">
        <v>218</v>
      </c>
      <c r="C141" s="25">
        <v>7</v>
      </c>
      <c r="D141" s="32" t="s">
        <v>258</v>
      </c>
      <c r="E141" s="153">
        <v>234.26633373228532</v>
      </c>
      <c r="F141" s="153">
        <f>INDEX('Revised 2019 Lockdown'!H$5:H$257,MATCH(B141,'Revised 2019 Lockdown'!B$5:B$257,0))</f>
        <v>234.26633373228532</v>
      </c>
      <c r="G141" s="153">
        <f t="shared" si="29"/>
        <v>0</v>
      </c>
      <c r="H141" s="151">
        <v>202407.39</v>
      </c>
      <c r="I141" s="151">
        <f>INDEX('Revised 2019 Lockdown'!E$5:E$257,MATCH(B141,'Revised 2019 Lockdown'!B$5:B$257,0))</f>
        <v>202407.39</v>
      </c>
      <c r="J141" s="151">
        <f t="shared" si="30"/>
        <v>0</v>
      </c>
      <c r="K141" s="151">
        <v>240</v>
      </c>
      <c r="L141" s="151">
        <f>INDEX('Revised 2019 Lockdown'!F$5:F$257,MATCH(B141,'Revised 2019 Lockdown'!B$5:B$257,0))</f>
        <v>240</v>
      </c>
      <c r="M141" s="151">
        <f t="shared" si="31"/>
        <v>0</v>
      </c>
      <c r="N141" s="151">
        <v>202167.39</v>
      </c>
      <c r="O141" s="156">
        <f t="shared" si="18"/>
        <v>202167.39</v>
      </c>
      <c r="P141" s="156">
        <f t="shared" si="32"/>
        <v>0</v>
      </c>
      <c r="Q141" s="85">
        <f t="shared" si="19"/>
        <v>862.98097886755124</v>
      </c>
      <c r="R141" s="6">
        <f t="shared" si="20"/>
        <v>782.54308711894498</v>
      </c>
      <c r="S141" s="5">
        <f t="shared" si="21"/>
        <v>183323.50000689959</v>
      </c>
      <c r="T141" s="113">
        <v>0.4236111111111111</v>
      </c>
      <c r="U141" s="87">
        <f t="shared" si="22"/>
        <v>42278.959063166687</v>
      </c>
      <c r="V141" s="87">
        <f t="shared" si="23"/>
        <v>16745.747409539563</v>
      </c>
      <c r="W141" s="87">
        <f t="shared" si="24"/>
        <v>5372.9510476107662</v>
      </c>
      <c r="X141" s="87">
        <f t="shared" si="25"/>
        <v>2219.6032902305496</v>
      </c>
      <c r="Y141" s="87">
        <f t="shared" si="26"/>
        <v>66617.260810547567</v>
      </c>
      <c r="Z141" s="91">
        <f t="shared" si="27"/>
        <v>0.3633863678581325</v>
      </c>
      <c r="AA141" s="131">
        <f t="shared" si="28"/>
        <v>66619.349244101075</v>
      </c>
      <c r="AC141" s="131">
        <v>67342.651584823063</v>
      </c>
      <c r="AD141" s="151">
        <f t="shared" si="33"/>
        <v>-723.302340721988</v>
      </c>
    </row>
    <row r="142" spans="2:30" x14ac:dyDescent="0.3">
      <c r="B142">
        <v>229</v>
      </c>
      <c r="C142" s="25">
        <v>7</v>
      </c>
      <c r="D142" s="32" t="s">
        <v>155</v>
      </c>
      <c r="E142" s="153">
        <v>828.46</v>
      </c>
      <c r="F142" s="153">
        <f>INDEX('Revised 2019 Lockdown'!H$5:H$257,MATCH(B142,'Revised 2019 Lockdown'!B$5:B$257,0))</f>
        <v>828.46</v>
      </c>
      <c r="G142" s="153">
        <f t="shared" si="29"/>
        <v>0</v>
      </c>
      <c r="H142" s="151">
        <v>520124.41</v>
      </c>
      <c r="I142" s="151">
        <f>INDEX('Revised 2019 Lockdown'!E$5:E$257,MATCH(B142,'Revised 2019 Lockdown'!B$5:B$257,0))</f>
        <v>520124.41</v>
      </c>
      <c r="J142" s="151">
        <f t="shared" si="30"/>
        <v>0</v>
      </c>
      <c r="K142" s="151">
        <v>81188.479999999996</v>
      </c>
      <c r="L142" s="151">
        <f>INDEX('Revised 2019 Lockdown'!F$5:F$257,MATCH(B142,'Revised 2019 Lockdown'!B$5:B$257,0))</f>
        <v>81188.479999999996</v>
      </c>
      <c r="M142" s="151">
        <f t="shared" si="31"/>
        <v>0</v>
      </c>
      <c r="N142" s="151">
        <v>438935.93</v>
      </c>
      <c r="O142" s="156">
        <f t="shared" si="18"/>
        <v>438935.93</v>
      </c>
      <c r="P142" s="156">
        <f t="shared" si="32"/>
        <v>0</v>
      </c>
      <c r="Q142" s="85">
        <f t="shared" si="19"/>
        <v>529.82151220336527</v>
      </c>
      <c r="R142" s="6">
        <f t="shared" si="20"/>
        <v>529.82151220336527</v>
      </c>
      <c r="S142" s="5">
        <f t="shared" si="21"/>
        <v>438935.93</v>
      </c>
      <c r="T142" s="113">
        <v>0.79976851851851838</v>
      </c>
      <c r="U142" s="87">
        <f t="shared" si="22"/>
        <v>101229.54348528452</v>
      </c>
      <c r="V142" s="87">
        <f t="shared" si="23"/>
        <v>59219.699552566221</v>
      </c>
      <c r="W142" s="87">
        <f t="shared" si="24"/>
        <v>24288.060607059575</v>
      </c>
      <c r="X142" s="87">
        <f t="shared" si="25"/>
        <v>5314.450326290621</v>
      </c>
      <c r="Y142" s="87">
        <f t="shared" si="26"/>
        <v>190051.75397120093</v>
      </c>
      <c r="Z142" s="91">
        <f t="shared" si="27"/>
        <v>0.4329829047514997</v>
      </c>
      <c r="AA142" s="131">
        <f t="shared" si="28"/>
        <v>190057.71204355435</v>
      </c>
      <c r="AC142" s="131">
        <v>190523.46808670493</v>
      </c>
      <c r="AD142" s="151">
        <f t="shared" si="33"/>
        <v>-465.75604315058445</v>
      </c>
    </row>
    <row r="143" spans="2:30" x14ac:dyDescent="0.3">
      <c r="B143">
        <v>236</v>
      </c>
      <c r="C143" s="25">
        <v>7</v>
      </c>
      <c r="D143" s="32" t="s">
        <v>156</v>
      </c>
      <c r="E143" s="153">
        <v>1063.22</v>
      </c>
      <c r="F143" s="153">
        <f>INDEX('Revised 2019 Lockdown'!H$5:H$257,MATCH(B143,'Revised 2019 Lockdown'!B$5:B$257,0))</f>
        <v>1063.22</v>
      </c>
      <c r="G143" s="153">
        <f t="shared" si="29"/>
        <v>0</v>
      </c>
      <c r="H143" s="151">
        <v>641009.56000000006</v>
      </c>
      <c r="I143" s="151">
        <f>INDEX('Revised 2019 Lockdown'!E$5:E$257,MATCH(B143,'Revised 2019 Lockdown'!B$5:B$257,0))</f>
        <v>641009.56000000006</v>
      </c>
      <c r="J143" s="151">
        <f t="shared" si="30"/>
        <v>0</v>
      </c>
      <c r="K143" s="151">
        <v>131330.90000000002</v>
      </c>
      <c r="L143" s="151">
        <f>INDEX('Revised 2019 Lockdown'!F$5:F$257,MATCH(B143,'Revised 2019 Lockdown'!B$5:B$257,0))</f>
        <v>131330.90000000002</v>
      </c>
      <c r="M143" s="151">
        <f t="shared" si="31"/>
        <v>0</v>
      </c>
      <c r="N143" s="151">
        <v>509678.66000000003</v>
      </c>
      <c r="O143" s="156">
        <f t="shared" si="18"/>
        <v>509678.66000000003</v>
      </c>
      <c r="P143" s="156">
        <f t="shared" si="32"/>
        <v>0</v>
      </c>
      <c r="Q143" s="85">
        <f t="shared" si="19"/>
        <v>479.37271684129342</v>
      </c>
      <c r="R143" s="6">
        <f t="shared" si="20"/>
        <v>479.37271684129342</v>
      </c>
      <c r="S143" s="5">
        <f t="shared" si="21"/>
        <v>509678.66000000003</v>
      </c>
      <c r="T143" s="113">
        <v>0.78703703703703698</v>
      </c>
      <c r="U143" s="87">
        <f t="shared" si="22"/>
        <v>117544.57666746841</v>
      </c>
      <c r="V143" s="87">
        <f t="shared" si="23"/>
        <v>76000.735048498973</v>
      </c>
      <c r="W143" s="87">
        <f t="shared" si="24"/>
        <v>27753.580602041151</v>
      </c>
      <c r="X143" s="87">
        <f t="shared" si="25"/>
        <v>6170.9733375902188</v>
      </c>
      <c r="Y143" s="87">
        <f t="shared" si="26"/>
        <v>227469.86565559875</v>
      </c>
      <c r="Z143" s="91">
        <f t="shared" si="27"/>
        <v>0.44630054877243386</v>
      </c>
      <c r="AA143" s="131">
        <f t="shared" si="28"/>
        <v>227476.99677588299</v>
      </c>
      <c r="AC143" s="131">
        <v>228025.83420079519</v>
      </c>
      <c r="AD143" s="151">
        <f t="shared" si="33"/>
        <v>-548.83742491219891</v>
      </c>
    </row>
    <row r="144" spans="2:30" x14ac:dyDescent="0.3">
      <c r="B144">
        <v>238</v>
      </c>
      <c r="C144" s="25">
        <v>7</v>
      </c>
      <c r="D144" s="32" t="s">
        <v>292</v>
      </c>
      <c r="E144" s="153">
        <v>59.944851964987492</v>
      </c>
      <c r="F144" s="153">
        <f>INDEX('Revised 2019 Lockdown'!H$5:H$257,MATCH(B144,'Revised 2019 Lockdown'!B$5:B$257,0))</f>
        <v>59.944851964987492</v>
      </c>
      <c r="G144" s="153">
        <f t="shared" si="29"/>
        <v>0</v>
      </c>
      <c r="H144" s="151">
        <v>35866.36</v>
      </c>
      <c r="I144" s="151">
        <f>INDEX('Revised 2019 Lockdown'!E$5:E$257,MATCH(B144,'Revised 2019 Lockdown'!B$5:B$257,0))</f>
        <v>35866.36</v>
      </c>
      <c r="J144" s="151">
        <f t="shared" si="30"/>
        <v>0</v>
      </c>
      <c r="K144" s="151">
        <v>24</v>
      </c>
      <c r="L144" s="151">
        <f>INDEX('Revised 2019 Lockdown'!F$5:F$257,MATCH(B144,'Revised 2019 Lockdown'!B$5:B$257,0))</f>
        <v>24</v>
      </c>
      <c r="M144" s="151">
        <f t="shared" si="31"/>
        <v>0</v>
      </c>
      <c r="N144" s="151">
        <v>35842.36</v>
      </c>
      <c r="O144" s="156">
        <f t="shared" si="18"/>
        <v>35842.36</v>
      </c>
      <c r="P144" s="156">
        <f t="shared" si="32"/>
        <v>0</v>
      </c>
      <c r="Q144" s="85">
        <f t="shared" si="19"/>
        <v>597.92223727459964</v>
      </c>
      <c r="R144" s="6">
        <f t="shared" si="20"/>
        <v>597.92223727459964</v>
      </c>
      <c r="S144" s="5">
        <f t="shared" si="21"/>
        <v>35842.36</v>
      </c>
      <c r="T144" s="113">
        <v>0.65277777777777779</v>
      </c>
      <c r="U144" s="87">
        <f t="shared" si="22"/>
        <v>8266.1397535517808</v>
      </c>
      <c r="V144" s="87">
        <f t="shared" si="23"/>
        <v>4284.9577808097165</v>
      </c>
      <c r="W144" s="87">
        <f t="shared" si="24"/>
        <v>1618.7857017372239</v>
      </c>
      <c r="X144" s="87">
        <f t="shared" si="25"/>
        <v>433.96411361682306</v>
      </c>
      <c r="Y144" s="87">
        <f t="shared" si="26"/>
        <v>14603.847349715545</v>
      </c>
      <c r="Z144" s="91">
        <f t="shared" si="27"/>
        <v>0.40744658972555226</v>
      </c>
      <c r="AA144" s="131">
        <f t="shared" si="28"/>
        <v>14604.305176477623</v>
      </c>
      <c r="AC144" s="131">
        <v>14640.552542363959</v>
      </c>
      <c r="AD144" s="151">
        <f t="shared" si="33"/>
        <v>-36.247365886336411</v>
      </c>
    </row>
    <row r="145" spans="2:30" x14ac:dyDescent="0.3">
      <c r="B145">
        <v>239</v>
      </c>
      <c r="C145" s="25">
        <v>7</v>
      </c>
      <c r="D145" s="32" t="s">
        <v>157</v>
      </c>
      <c r="E145" s="153">
        <v>2925.25</v>
      </c>
      <c r="F145" s="153">
        <f>INDEX('Revised 2019 Lockdown'!H$5:H$257,MATCH(B145,'Revised 2019 Lockdown'!B$5:B$257,0))</f>
        <v>2925.25</v>
      </c>
      <c r="G145" s="153">
        <f t="shared" si="29"/>
        <v>0</v>
      </c>
      <c r="H145" s="151">
        <v>1822993.26</v>
      </c>
      <c r="I145" s="151">
        <f>INDEX('Revised 2019 Lockdown'!E$5:E$257,MATCH(B145,'Revised 2019 Lockdown'!B$5:B$257,0))</f>
        <v>1822993.26</v>
      </c>
      <c r="J145" s="151">
        <f t="shared" si="30"/>
        <v>0</v>
      </c>
      <c r="K145" s="151">
        <v>204609.35</v>
      </c>
      <c r="L145" s="151">
        <f>INDEX('Revised 2019 Lockdown'!F$5:F$257,MATCH(B145,'Revised 2019 Lockdown'!B$5:B$257,0))</f>
        <v>204609.35</v>
      </c>
      <c r="M145" s="151">
        <f t="shared" si="31"/>
        <v>0</v>
      </c>
      <c r="N145" s="151">
        <v>1618383.91</v>
      </c>
      <c r="O145" s="156">
        <f t="shared" si="18"/>
        <v>1618383.91</v>
      </c>
      <c r="P145" s="156">
        <f t="shared" si="32"/>
        <v>0</v>
      </c>
      <c r="Q145" s="85">
        <f t="shared" si="19"/>
        <v>553.24635843090334</v>
      </c>
      <c r="R145" s="6">
        <f t="shared" si="20"/>
        <v>553.24635843090334</v>
      </c>
      <c r="S145" s="5">
        <f t="shared" si="21"/>
        <v>1618383.91</v>
      </c>
      <c r="T145" s="113">
        <v>0.86111111111111116</v>
      </c>
      <c r="U145" s="87">
        <f t="shared" si="22"/>
        <v>373239.58508757706</v>
      </c>
      <c r="V145" s="87">
        <f t="shared" si="23"/>
        <v>209101.73830498071</v>
      </c>
      <c r="W145" s="87">
        <f t="shared" si="24"/>
        <v>96420.226147624067</v>
      </c>
      <c r="X145" s="87">
        <f t="shared" si="25"/>
        <v>19594.706905317573</v>
      </c>
      <c r="Y145" s="87">
        <f t="shared" si="26"/>
        <v>698356.25644549949</v>
      </c>
      <c r="Z145" s="91">
        <f t="shared" si="27"/>
        <v>0.43151458200390752</v>
      </c>
      <c r="AA145" s="131">
        <f t="shared" si="28"/>
        <v>698378.14972992032</v>
      </c>
      <c r="AC145" s="131">
        <v>700103.73280750203</v>
      </c>
      <c r="AD145" s="151">
        <f t="shared" si="33"/>
        <v>-1725.5830775817158</v>
      </c>
    </row>
    <row r="146" spans="2:30" x14ac:dyDescent="0.3">
      <c r="B146">
        <v>249</v>
      </c>
      <c r="C146" s="25">
        <v>7</v>
      </c>
      <c r="D146" s="32" t="s">
        <v>158</v>
      </c>
      <c r="E146" s="153">
        <v>1034.1306673789729</v>
      </c>
      <c r="F146" s="153">
        <f>INDEX('Revised 2019 Lockdown'!H$5:H$257,MATCH(B146,'Revised 2019 Lockdown'!B$5:B$257,0))</f>
        <v>1034.1306673789729</v>
      </c>
      <c r="G146" s="153">
        <f t="shared" si="29"/>
        <v>0</v>
      </c>
      <c r="H146" s="151">
        <v>679586.79</v>
      </c>
      <c r="I146" s="151">
        <f>INDEX('Revised 2019 Lockdown'!E$5:E$257,MATCH(B146,'Revised 2019 Lockdown'!B$5:B$257,0))</f>
        <v>679586.79</v>
      </c>
      <c r="J146" s="151">
        <f t="shared" si="30"/>
        <v>0</v>
      </c>
      <c r="K146" s="151">
        <v>0</v>
      </c>
      <c r="L146" s="151">
        <f>INDEX('Revised 2019 Lockdown'!F$5:F$257,MATCH(B146,'Revised 2019 Lockdown'!B$5:B$257,0))</f>
        <v>0</v>
      </c>
      <c r="M146" s="151">
        <f t="shared" si="31"/>
        <v>0</v>
      </c>
      <c r="N146" s="151">
        <v>679586.79</v>
      </c>
      <c r="O146" s="156">
        <f t="shared" si="18"/>
        <v>679586.79</v>
      </c>
      <c r="P146" s="156">
        <f t="shared" si="32"/>
        <v>0</v>
      </c>
      <c r="Q146" s="85">
        <f t="shared" si="19"/>
        <v>657.15756377521211</v>
      </c>
      <c r="R146" s="6">
        <f t="shared" si="20"/>
        <v>657.15756377521211</v>
      </c>
      <c r="S146" s="5">
        <f t="shared" si="21"/>
        <v>679586.79</v>
      </c>
      <c r="T146" s="113">
        <v>0.67592592592592604</v>
      </c>
      <c r="U146" s="87">
        <f t="shared" si="22"/>
        <v>156729.61771511828</v>
      </c>
      <c r="V146" s="87">
        <f t="shared" si="23"/>
        <v>73921.381141247097</v>
      </c>
      <c r="W146" s="87">
        <f t="shared" si="24"/>
        <v>31781.283592232325</v>
      </c>
      <c r="X146" s="87">
        <f t="shared" si="25"/>
        <v>8228.1490099438797</v>
      </c>
      <c r="Y146" s="87">
        <f t="shared" si="26"/>
        <v>270660.4314585416</v>
      </c>
      <c r="Z146" s="91">
        <f t="shared" si="27"/>
        <v>0.39827206096596079</v>
      </c>
      <c r="AA146" s="131">
        <f t="shared" si="28"/>
        <v>270668.91659167054</v>
      </c>
      <c r="AC146" s="131">
        <v>271349.90348589793</v>
      </c>
      <c r="AD146" s="151">
        <f t="shared" si="33"/>
        <v>-680.98689422738971</v>
      </c>
    </row>
    <row r="147" spans="2:30" x14ac:dyDescent="0.3">
      <c r="B147">
        <v>271</v>
      </c>
      <c r="C147" s="25">
        <v>7</v>
      </c>
      <c r="D147" s="32" t="s">
        <v>159</v>
      </c>
      <c r="E147" s="153">
        <v>759.30399999999997</v>
      </c>
      <c r="F147" s="153">
        <f>INDEX('Revised 2019 Lockdown'!H$5:H$257,MATCH(B147,'Revised 2019 Lockdown'!B$5:B$257,0))</f>
        <v>759.30399999999997</v>
      </c>
      <c r="G147" s="153">
        <f t="shared" si="29"/>
        <v>0</v>
      </c>
      <c r="H147" s="151">
        <v>726125.85</v>
      </c>
      <c r="I147" s="151">
        <f>INDEX('Revised 2019 Lockdown'!E$5:E$257,MATCH(B147,'Revised 2019 Lockdown'!B$5:B$257,0))</f>
        <v>726125.85</v>
      </c>
      <c r="J147" s="151">
        <f t="shared" si="30"/>
        <v>0</v>
      </c>
      <c r="K147" s="151">
        <v>103587.01000000002</v>
      </c>
      <c r="L147" s="151">
        <f>INDEX('Revised 2019 Lockdown'!F$5:F$257,MATCH(B147,'Revised 2019 Lockdown'!B$5:B$257,0))</f>
        <v>103587.01000000002</v>
      </c>
      <c r="M147" s="151">
        <f t="shared" si="31"/>
        <v>0</v>
      </c>
      <c r="N147" s="151">
        <v>622538.84</v>
      </c>
      <c r="O147" s="156">
        <f t="shared" si="18"/>
        <v>622538.84</v>
      </c>
      <c r="P147" s="156">
        <f t="shared" si="32"/>
        <v>0</v>
      </c>
      <c r="Q147" s="85">
        <f t="shared" si="19"/>
        <v>819.88089092115933</v>
      </c>
      <c r="R147" s="6">
        <f t="shared" si="20"/>
        <v>782.54308711894498</v>
      </c>
      <c r="S147" s="5">
        <f t="shared" si="21"/>
        <v>594188.09622176341</v>
      </c>
      <c r="T147" s="113">
        <v>0.65509259259259256</v>
      </c>
      <c r="U147" s="87">
        <f t="shared" si="22"/>
        <v>137034.55473540162</v>
      </c>
      <c r="V147" s="87">
        <f t="shared" si="23"/>
        <v>54276.313580693975</v>
      </c>
      <c r="W147" s="87">
        <f t="shared" si="24"/>
        <v>26931.096520915733</v>
      </c>
      <c r="X147" s="87">
        <f t="shared" si="25"/>
        <v>7194.1777968455526</v>
      </c>
      <c r="Y147" s="87">
        <f t="shared" si="26"/>
        <v>225436.14263385689</v>
      </c>
      <c r="Z147" s="91">
        <f t="shared" si="27"/>
        <v>0.37940198409784265</v>
      </c>
      <c r="AA147" s="131">
        <f t="shared" si="28"/>
        <v>225443.20999746086</v>
      </c>
      <c r="AC147" s="131">
        <v>227921.16904601367</v>
      </c>
      <c r="AD147" s="151">
        <f t="shared" si="33"/>
        <v>-2477.959048552817</v>
      </c>
    </row>
    <row r="148" spans="2:30" x14ac:dyDescent="0.3">
      <c r="B148">
        <v>275</v>
      </c>
      <c r="C148" s="25">
        <v>7</v>
      </c>
      <c r="D148" s="32" t="s">
        <v>160</v>
      </c>
      <c r="E148" s="153">
        <v>689.9799999999999</v>
      </c>
      <c r="F148" s="153">
        <f>INDEX('Revised 2019 Lockdown'!H$5:H$257,MATCH(B148,'Revised 2019 Lockdown'!B$5:B$257,0))</f>
        <v>689.9799999999999</v>
      </c>
      <c r="G148" s="153">
        <f t="shared" si="29"/>
        <v>0</v>
      </c>
      <c r="H148" s="151">
        <v>403137.48</v>
      </c>
      <c r="I148" s="151">
        <f>INDEX('Revised 2019 Lockdown'!E$5:E$257,MATCH(B148,'Revised 2019 Lockdown'!B$5:B$257,0))</f>
        <v>403137.48</v>
      </c>
      <c r="J148" s="151">
        <f t="shared" si="30"/>
        <v>0</v>
      </c>
      <c r="K148" s="151">
        <v>66785.36</v>
      </c>
      <c r="L148" s="151">
        <f>INDEX('Revised 2019 Lockdown'!F$5:F$257,MATCH(B148,'Revised 2019 Lockdown'!B$5:B$257,0))</f>
        <v>66785.36</v>
      </c>
      <c r="M148" s="151">
        <f t="shared" si="31"/>
        <v>0</v>
      </c>
      <c r="N148" s="151">
        <v>336352.12</v>
      </c>
      <c r="O148" s="156">
        <f t="shared" si="18"/>
        <v>336352.12</v>
      </c>
      <c r="P148" s="156">
        <f t="shared" si="32"/>
        <v>0</v>
      </c>
      <c r="Q148" s="85">
        <f t="shared" si="19"/>
        <v>487.48097046291201</v>
      </c>
      <c r="R148" s="6">
        <f t="shared" si="20"/>
        <v>487.48097046291201</v>
      </c>
      <c r="S148" s="5">
        <f t="shared" si="21"/>
        <v>336352.12</v>
      </c>
      <c r="T148" s="113">
        <v>0.54629629629629628</v>
      </c>
      <c r="U148" s="87">
        <f t="shared" si="22"/>
        <v>77571.165244794684</v>
      </c>
      <c r="V148" s="87">
        <f t="shared" si="23"/>
        <v>49320.91868923018</v>
      </c>
      <c r="W148" s="87">
        <f t="shared" si="24"/>
        <v>12713.052081785794</v>
      </c>
      <c r="X148" s="87">
        <f t="shared" si="25"/>
        <v>4072.4090048462012</v>
      </c>
      <c r="Y148" s="87">
        <f t="shared" si="26"/>
        <v>143677.54502065686</v>
      </c>
      <c r="Z148" s="91">
        <f t="shared" si="27"/>
        <v>0.42716408334413608</v>
      </c>
      <c r="AA148" s="131">
        <f t="shared" si="28"/>
        <v>143682.04927379268</v>
      </c>
      <c r="AC148" s="131">
        <v>143339.9267347476</v>
      </c>
      <c r="AD148" s="151">
        <f t="shared" si="33"/>
        <v>342.12253904508543</v>
      </c>
    </row>
    <row r="149" spans="2:30" x14ac:dyDescent="0.3">
      <c r="B149">
        <v>282</v>
      </c>
      <c r="C149" s="25">
        <v>7</v>
      </c>
      <c r="D149" s="32" t="s">
        <v>161</v>
      </c>
      <c r="E149" s="153">
        <v>110.63441938423811</v>
      </c>
      <c r="F149" s="153">
        <f>INDEX('Revised 2019 Lockdown'!H$5:H$257,MATCH(B149,'Revised 2019 Lockdown'!B$5:B$257,0))</f>
        <v>110.63441938423811</v>
      </c>
      <c r="G149" s="153">
        <f t="shared" si="29"/>
        <v>0</v>
      </c>
      <c r="H149" s="151">
        <v>58517.06</v>
      </c>
      <c r="I149" s="151">
        <f>INDEX('Revised 2019 Lockdown'!E$5:E$257,MATCH(B149,'Revised 2019 Lockdown'!B$5:B$257,0))</f>
        <v>58517.06</v>
      </c>
      <c r="J149" s="151">
        <f t="shared" si="30"/>
        <v>0</v>
      </c>
      <c r="K149" s="151">
        <v>0</v>
      </c>
      <c r="L149" s="151">
        <f>INDEX('Revised 2019 Lockdown'!F$5:F$257,MATCH(B149,'Revised 2019 Lockdown'!B$5:B$257,0))</f>
        <v>0</v>
      </c>
      <c r="M149" s="151">
        <f t="shared" si="31"/>
        <v>0</v>
      </c>
      <c r="N149" s="151">
        <v>58517.06</v>
      </c>
      <c r="O149" s="156">
        <f t="shared" si="18"/>
        <v>58517.06</v>
      </c>
      <c r="P149" s="156">
        <f t="shared" si="32"/>
        <v>0</v>
      </c>
      <c r="Q149" s="85">
        <f t="shared" si="19"/>
        <v>528.92273783954818</v>
      </c>
      <c r="R149" s="6">
        <f t="shared" si="20"/>
        <v>528.92273783954818</v>
      </c>
      <c r="S149" s="5">
        <f t="shared" si="21"/>
        <v>58517.060000000005</v>
      </c>
      <c r="T149" s="113">
        <v>0.2361111111111111</v>
      </c>
      <c r="U149" s="87">
        <f t="shared" si="22"/>
        <v>13495.489580679812</v>
      </c>
      <c r="V149" s="87">
        <f t="shared" si="23"/>
        <v>7908.3324193167909</v>
      </c>
      <c r="W149" s="87">
        <f t="shared" si="24"/>
        <v>955.93051196481997</v>
      </c>
      <c r="X149" s="87">
        <f t="shared" si="25"/>
        <v>708.49977720112338</v>
      </c>
      <c r="Y149" s="87">
        <f t="shared" si="26"/>
        <v>23068.252289162545</v>
      </c>
      <c r="Z149" s="91">
        <f t="shared" si="27"/>
        <v>0.39421413668360206</v>
      </c>
      <c r="AA149" s="131">
        <f t="shared" si="28"/>
        <v>23068.975472786657</v>
      </c>
      <c r="AC149" s="131">
        <v>23124.356097730004</v>
      </c>
      <c r="AD149" s="151">
        <f t="shared" si="33"/>
        <v>-55.380624943347357</v>
      </c>
    </row>
    <row r="150" spans="2:30" x14ac:dyDescent="0.3">
      <c r="B150">
        <v>287</v>
      </c>
      <c r="C150" s="25">
        <v>7</v>
      </c>
      <c r="D150" s="32" t="s">
        <v>162</v>
      </c>
      <c r="E150" s="153">
        <v>159.07264082238018</v>
      </c>
      <c r="F150" s="153">
        <f>INDEX('Revised 2019 Lockdown'!H$5:H$257,MATCH(B150,'Revised 2019 Lockdown'!B$5:B$257,0))</f>
        <v>159.07264082238018</v>
      </c>
      <c r="G150" s="153">
        <f t="shared" si="29"/>
        <v>0</v>
      </c>
      <c r="H150" s="151">
        <v>122709.58</v>
      </c>
      <c r="I150" s="151">
        <f>INDEX('Revised 2019 Lockdown'!E$5:E$257,MATCH(B150,'Revised 2019 Lockdown'!B$5:B$257,0))</f>
        <v>122709.58</v>
      </c>
      <c r="J150" s="151">
        <f t="shared" si="30"/>
        <v>0</v>
      </c>
      <c r="K150" s="151">
        <v>1002.5</v>
      </c>
      <c r="L150" s="151">
        <f>INDEX('Revised 2019 Lockdown'!F$5:F$257,MATCH(B150,'Revised 2019 Lockdown'!B$5:B$257,0))</f>
        <v>1002.5</v>
      </c>
      <c r="M150" s="151">
        <f t="shared" si="31"/>
        <v>0</v>
      </c>
      <c r="N150" s="151">
        <v>121707.08</v>
      </c>
      <c r="O150" s="156">
        <f t="shared" si="18"/>
        <v>121707.08</v>
      </c>
      <c r="P150" s="156">
        <f t="shared" si="32"/>
        <v>0</v>
      </c>
      <c r="Q150" s="85">
        <f t="shared" si="19"/>
        <v>765.10378762050982</v>
      </c>
      <c r="R150" s="6">
        <f t="shared" si="20"/>
        <v>765.10378762050982</v>
      </c>
      <c r="S150" s="5">
        <f t="shared" si="21"/>
        <v>121707.08</v>
      </c>
      <c r="T150" s="113">
        <v>0.26388888888888884</v>
      </c>
      <c r="U150" s="87">
        <f t="shared" si="22"/>
        <v>28068.679971874255</v>
      </c>
      <c r="V150" s="87">
        <f t="shared" si="23"/>
        <v>11370.777100324256</v>
      </c>
      <c r="W150" s="87">
        <f t="shared" si="24"/>
        <v>2222.1038311067114</v>
      </c>
      <c r="X150" s="87">
        <f t="shared" si="25"/>
        <v>1473.5777748198436</v>
      </c>
      <c r="Y150" s="87">
        <f t="shared" si="26"/>
        <v>43135.138678125062</v>
      </c>
      <c r="Z150" s="91">
        <f t="shared" si="27"/>
        <v>0.35441766147150239</v>
      </c>
      <c r="AA150" s="131">
        <f t="shared" si="28"/>
        <v>43136.490953344044</v>
      </c>
      <c r="AC150" s="131">
        <v>43245.813885739561</v>
      </c>
      <c r="AD150" s="151">
        <f t="shared" si="33"/>
        <v>-109.32293239551655</v>
      </c>
    </row>
    <row r="151" spans="2:30" x14ac:dyDescent="0.3">
      <c r="B151">
        <v>290</v>
      </c>
      <c r="C151" s="25">
        <v>7</v>
      </c>
      <c r="D151" s="32" t="s">
        <v>163</v>
      </c>
      <c r="E151" s="153">
        <v>274.87774876618727</v>
      </c>
      <c r="F151" s="153">
        <f>INDEX('Revised 2019 Lockdown'!H$5:H$257,MATCH(B151,'Revised 2019 Lockdown'!B$5:B$257,0))</f>
        <v>274.87774876618727</v>
      </c>
      <c r="G151" s="153">
        <f t="shared" si="29"/>
        <v>0</v>
      </c>
      <c r="H151" s="151">
        <v>123807.44</v>
      </c>
      <c r="I151" s="151">
        <f>INDEX('Revised 2019 Lockdown'!E$5:E$257,MATCH(B151,'Revised 2019 Lockdown'!B$5:B$257,0))</f>
        <v>123807.44</v>
      </c>
      <c r="J151" s="151">
        <f t="shared" si="30"/>
        <v>0</v>
      </c>
      <c r="K151" s="151">
        <v>4228.57</v>
      </c>
      <c r="L151" s="151">
        <f>INDEX('Revised 2019 Lockdown'!F$5:F$257,MATCH(B151,'Revised 2019 Lockdown'!B$5:B$257,0))</f>
        <v>4228.57</v>
      </c>
      <c r="M151" s="151">
        <f t="shared" si="31"/>
        <v>0</v>
      </c>
      <c r="N151" s="151">
        <v>119578.87</v>
      </c>
      <c r="O151" s="156">
        <f t="shared" si="18"/>
        <v>119578.87</v>
      </c>
      <c r="P151" s="156">
        <f t="shared" si="32"/>
        <v>0</v>
      </c>
      <c r="Q151" s="85">
        <f t="shared" si="19"/>
        <v>435.02564517040821</v>
      </c>
      <c r="R151" s="6">
        <f t="shared" si="20"/>
        <v>435.02564517040821</v>
      </c>
      <c r="S151" s="5">
        <f t="shared" si="21"/>
        <v>119578.87</v>
      </c>
      <c r="T151" s="113">
        <v>0.58333333333333326</v>
      </c>
      <c r="U151" s="87">
        <f t="shared" si="22"/>
        <v>27577.861809094058</v>
      </c>
      <c r="V151" s="87">
        <f t="shared" si="23"/>
        <v>19648.718943122647</v>
      </c>
      <c r="W151" s="87">
        <f t="shared" si="24"/>
        <v>4826.1258165914587</v>
      </c>
      <c r="X151" s="87">
        <f t="shared" si="25"/>
        <v>1447.8103095569409</v>
      </c>
      <c r="Y151" s="87">
        <f t="shared" si="26"/>
        <v>53500.516878365102</v>
      </c>
      <c r="Z151" s="91">
        <f t="shared" si="27"/>
        <v>0.44740778097639744</v>
      </c>
      <c r="AA151" s="131">
        <f t="shared" si="28"/>
        <v>53502.194105456387</v>
      </c>
      <c r="AC151" s="131">
        <v>53628.329792216522</v>
      </c>
      <c r="AD151" s="151">
        <f t="shared" si="33"/>
        <v>-126.13568676013529</v>
      </c>
    </row>
    <row r="152" spans="2:30" x14ac:dyDescent="0.3">
      <c r="B152">
        <v>294</v>
      </c>
      <c r="C152" s="25">
        <v>7</v>
      </c>
      <c r="D152" s="32" t="s">
        <v>164</v>
      </c>
      <c r="E152" s="153">
        <v>1039.1314711563653</v>
      </c>
      <c r="F152" s="153">
        <f>INDEX('Revised 2019 Lockdown'!H$5:H$257,MATCH(B152,'Revised 2019 Lockdown'!B$5:B$257,0))</f>
        <v>1039.1314711563653</v>
      </c>
      <c r="G152" s="153">
        <f t="shared" si="29"/>
        <v>0</v>
      </c>
      <c r="H152" s="151">
        <v>587423.01</v>
      </c>
      <c r="I152" s="151">
        <f>INDEX('Revised 2019 Lockdown'!E$5:E$257,MATCH(B152,'Revised 2019 Lockdown'!B$5:B$257,0))</f>
        <v>587423.01</v>
      </c>
      <c r="J152" s="151">
        <f t="shared" si="30"/>
        <v>0</v>
      </c>
      <c r="K152" s="151">
        <v>1414</v>
      </c>
      <c r="L152" s="151">
        <f>INDEX('Revised 2019 Lockdown'!F$5:F$257,MATCH(B152,'Revised 2019 Lockdown'!B$5:B$257,0))</f>
        <v>1414</v>
      </c>
      <c r="M152" s="151">
        <f t="shared" si="31"/>
        <v>0</v>
      </c>
      <c r="N152" s="151">
        <v>586009.01</v>
      </c>
      <c r="O152" s="156">
        <f t="shared" si="18"/>
        <v>586009.01</v>
      </c>
      <c r="P152" s="156">
        <f t="shared" si="32"/>
        <v>0</v>
      </c>
      <c r="Q152" s="85">
        <f t="shared" si="19"/>
        <v>563.94116265950265</v>
      </c>
      <c r="R152" s="6">
        <f t="shared" si="20"/>
        <v>563.94116265950265</v>
      </c>
      <c r="S152" s="5">
        <f t="shared" si="21"/>
        <v>586009.01</v>
      </c>
      <c r="T152" s="113">
        <v>0.875</v>
      </c>
      <c r="U152" s="87">
        <f t="shared" si="22"/>
        <v>135148.25400728421</v>
      </c>
      <c r="V152" s="87">
        <f t="shared" si="23"/>
        <v>74278.84691777041</v>
      </c>
      <c r="W152" s="87">
        <f t="shared" si="24"/>
        <v>35476.416676912108</v>
      </c>
      <c r="X152" s="87">
        <f t="shared" si="25"/>
        <v>7095.1488851772601</v>
      </c>
      <c r="Y152" s="87">
        <f t="shared" si="26"/>
        <v>251998.66648714402</v>
      </c>
      <c r="Z152" s="91">
        <f t="shared" si="27"/>
        <v>0.43002524225206712</v>
      </c>
      <c r="AA152" s="131">
        <f t="shared" si="28"/>
        <v>252006.56657886389</v>
      </c>
      <c r="AC152" s="131">
        <v>251424.51840152004</v>
      </c>
      <c r="AD152" s="151">
        <f t="shared" si="33"/>
        <v>582.04817734385142</v>
      </c>
    </row>
    <row r="153" spans="2:30" x14ac:dyDescent="0.3">
      <c r="B153">
        <v>296</v>
      </c>
      <c r="C153" s="25">
        <v>7</v>
      </c>
      <c r="D153" s="32" t="s">
        <v>165</v>
      </c>
      <c r="E153" s="153">
        <v>799.83</v>
      </c>
      <c r="F153" s="153">
        <f>INDEX('Revised 2019 Lockdown'!H$5:H$257,MATCH(B153,'Revised 2019 Lockdown'!B$5:B$257,0))</f>
        <v>799.83</v>
      </c>
      <c r="G153" s="153">
        <f t="shared" si="29"/>
        <v>0</v>
      </c>
      <c r="H153" s="151">
        <v>880549.01</v>
      </c>
      <c r="I153" s="151">
        <f>INDEX('Revised 2019 Lockdown'!E$5:E$257,MATCH(B153,'Revised 2019 Lockdown'!B$5:B$257,0))</f>
        <v>880549.01</v>
      </c>
      <c r="J153" s="151">
        <f t="shared" si="30"/>
        <v>0</v>
      </c>
      <c r="K153" s="151">
        <v>140281.66999999998</v>
      </c>
      <c r="L153" s="151">
        <f>INDEX('Revised 2019 Lockdown'!F$5:F$257,MATCH(B153,'Revised 2019 Lockdown'!B$5:B$257,0))</f>
        <v>140281.66999999998</v>
      </c>
      <c r="M153" s="151">
        <f t="shared" si="31"/>
        <v>0</v>
      </c>
      <c r="N153" s="151">
        <v>740267.34000000008</v>
      </c>
      <c r="O153" s="156">
        <f t="shared" si="18"/>
        <v>740267.34000000008</v>
      </c>
      <c r="P153" s="156">
        <f t="shared" si="32"/>
        <v>0</v>
      </c>
      <c r="Q153" s="85">
        <f t="shared" si="19"/>
        <v>925.53085030569002</v>
      </c>
      <c r="R153" s="6">
        <f t="shared" si="20"/>
        <v>782.54308711894498</v>
      </c>
      <c r="S153" s="5">
        <f t="shared" si="21"/>
        <v>625901.43737034581</v>
      </c>
      <c r="T153" s="113">
        <v>0.52777777777777779</v>
      </c>
      <c r="U153" s="87">
        <f t="shared" si="22"/>
        <v>144348.44003721341</v>
      </c>
      <c r="V153" s="87">
        <f t="shared" si="23"/>
        <v>57173.179505503023</v>
      </c>
      <c r="W153" s="87">
        <f t="shared" si="24"/>
        <v>22855.16967255879</v>
      </c>
      <c r="X153" s="87">
        <f t="shared" si="25"/>
        <v>7578.1494990820256</v>
      </c>
      <c r="Y153" s="87">
        <f t="shared" si="26"/>
        <v>231954.93871435724</v>
      </c>
      <c r="Z153" s="91">
        <f t="shared" si="27"/>
        <v>0.37059339516600204</v>
      </c>
      <c r="AA153" s="131">
        <f t="shared" si="28"/>
        <v>231962.21044049875</v>
      </c>
      <c r="AC153" s="131">
        <v>234495.02754705097</v>
      </c>
      <c r="AD153" s="151">
        <f t="shared" si="33"/>
        <v>-2532.8171065522183</v>
      </c>
    </row>
    <row r="154" spans="2:30" x14ac:dyDescent="0.3">
      <c r="B154">
        <v>301</v>
      </c>
      <c r="C154" s="25">
        <v>7</v>
      </c>
      <c r="D154" s="32" t="s">
        <v>166</v>
      </c>
      <c r="E154" s="153">
        <v>570.30440560902662</v>
      </c>
      <c r="F154" s="153">
        <f>INDEX('Revised 2019 Lockdown'!H$5:H$257,MATCH(B154,'Revised 2019 Lockdown'!B$5:B$257,0))</f>
        <v>570.30440560902662</v>
      </c>
      <c r="G154" s="153">
        <f t="shared" si="29"/>
        <v>0</v>
      </c>
      <c r="H154" s="151">
        <v>272819.37</v>
      </c>
      <c r="I154" s="151">
        <f>INDEX('Revised 2019 Lockdown'!E$5:E$257,MATCH(B154,'Revised 2019 Lockdown'!B$5:B$257,0))</f>
        <v>272819.37</v>
      </c>
      <c r="J154" s="151">
        <f t="shared" si="30"/>
        <v>0</v>
      </c>
      <c r="K154" s="151">
        <v>512.72</v>
      </c>
      <c r="L154" s="151">
        <f>INDEX('Revised 2019 Lockdown'!F$5:F$257,MATCH(B154,'Revised 2019 Lockdown'!B$5:B$257,0))</f>
        <v>512.72</v>
      </c>
      <c r="M154" s="151">
        <f t="shared" si="31"/>
        <v>0</v>
      </c>
      <c r="N154" s="151">
        <v>272306.65000000002</v>
      </c>
      <c r="O154" s="156">
        <f t="shared" ref="O154:O217" si="34">I154-L154</f>
        <v>272306.65000000002</v>
      </c>
      <c r="P154" s="156">
        <f t="shared" si="32"/>
        <v>0</v>
      </c>
      <c r="Q154" s="85">
        <f t="shared" ref="Q154:Q217" si="35">IFERROR(O154/F154,"n.a.")</f>
        <v>477.47597129151484</v>
      </c>
      <c r="R154" s="6">
        <f t="shared" ref="R154:R217" si="36">MIN(Q154,INDEX($T$3:$T$11,MATCH(C154,$Q$3:$Q$11,0)))</f>
        <v>477.47597129151484</v>
      </c>
      <c r="S154" s="5">
        <f t="shared" ref="S154:S217" si="37">F154*R154</f>
        <v>272306.65000000002</v>
      </c>
      <c r="T154" s="113">
        <v>0.67361111111111116</v>
      </c>
      <c r="U154" s="87">
        <f t="shared" ref="U154:U217" si="38">$E$14*(S154/$S$24)</f>
        <v>62800.6868052637</v>
      </c>
      <c r="V154" s="87">
        <f t="shared" ref="V154:V217" si="39">$E$15*(F154/$F$24)</f>
        <v>40766.308033787289</v>
      </c>
      <c r="W154" s="87">
        <f t="shared" ref="W154:W217" si="40">IFERROR(T154*$E$16*(S154/$S$24),0)</f>
        <v>12690.972125230373</v>
      </c>
      <c r="X154" s="87">
        <f t="shared" ref="X154:X217" si="41">($W$23+$E$9)*(S154/$S$24)</f>
        <v>3296.9735809588569</v>
      </c>
      <c r="Y154" s="87">
        <f t="shared" ref="Y154:Y217" si="42">U154+V154+W154+X154</f>
        <v>119554.94054524021</v>
      </c>
      <c r="Z154" s="91">
        <f t="shared" ref="Z154:Z217" si="43">IFERROR((Y154/S154),0)</f>
        <v>0.4390452475003464</v>
      </c>
      <c r="AA154" s="131">
        <f t="shared" ref="AA154:AA217" si="44">IF(Z154&gt;$Z$19,$Z$19*S154,Y154+($Z$23*Y154/$Z$22))</f>
        <v>119558.68856108902</v>
      </c>
      <c r="AC154" s="131">
        <v>119845.80722066246</v>
      </c>
      <c r="AD154" s="151">
        <f t="shared" si="33"/>
        <v>-287.11865957344708</v>
      </c>
    </row>
    <row r="155" spans="2:30" x14ac:dyDescent="0.3">
      <c r="B155">
        <v>321</v>
      </c>
      <c r="C155" s="25">
        <v>7</v>
      </c>
      <c r="D155" s="32" t="s">
        <v>167</v>
      </c>
      <c r="E155" s="153">
        <v>367.13</v>
      </c>
      <c r="F155" s="153">
        <f>INDEX('Revised 2019 Lockdown'!H$5:H$257,MATCH(B155,'Revised 2019 Lockdown'!B$5:B$257,0))</f>
        <v>367.13</v>
      </c>
      <c r="G155" s="153">
        <f t="shared" ref="G155:G218" si="45">E155-F155</f>
        <v>0</v>
      </c>
      <c r="H155" s="151">
        <v>499165.92</v>
      </c>
      <c r="I155" s="151">
        <f>INDEX('Revised 2019 Lockdown'!E$5:E$257,MATCH(B155,'Revised 2019 Lockdown'!B$5:B$257,0))</f>
        <v>499165.92</v>
      </c>
      <c r="J155" s="151">
        <f t="shared" ref="J155:J218" si="46">H155-I155</f>
        <v>0</v>
      </c>
      <c r="K155" s="151">
        <v>29784.109999999997</v>
      </c>
      <c r="L155" s="151">
        <f>INDEX('Revised 2019 Lockdown'!F$5:F$257,MATCH(B155,'Revised 2019 Lockdown'!B$5:B$257,0))</f>
        <v>29784.109999999997</v>
      </c>
      <c r="M155" s="151">
        <f t="shared" ref="M155:M218" si="47">K155-L155</f>
        <v>0</v>
      </c>
      <c r="N155" s="151">
        <v>469381.81</v>
      </c>
      <c r="O155" s="156">
        <f t="shared" si="34"/>
        <v>469381.81</v>
      </c>
      <c r="P155" s="156">
        <f t="shared" ref="P155:P218" si="48">N155-O155</f>
        <v>0</v>
      </c>
      <c r="Q155" s="85">
        <f t="shared" si="35"/>
        <v>1278.5166289870074</v>
      </c>
      <c r="R155" s="6">
        <f t="shared" si="36"/>
        <v>782.54308711894498</v>
      </c>
      <c r="S155" s="5">
        <f t="shared" si="37"/>
        <v>287295.04357397824</v>
      </c>
      <c r="T155" s="113">
        <v>0.49999999999999994</v>
      </c>
      <c r="U155" s="87">
        <f t="shared" si="38"/>
        <v>66257.383182503967</v>
      </c>
      <c r="V155" s="87">
        <f t="shared" si="39"/>
        <v>26243.063390789703</v>
      </c>
      <c r="W155" s="87">
        <f t="shared" si="40"/>
        <v>9938.6074773755918</v>
      </c>
      <c r="X155" s="87">
        <f t="shared" si="41"/>
        <v>3478.4467019216377</v>
      </c>
      <c r="Y155" s="87">
        <f t="shared" si="42"/>
        <v>105917.5007525909</v>
      </c>
      <c r="Z155" s="91">
        <f t="shared" si="43"/>
        <v>0.36867152121723684</v>
      </c>
      <c r="AA155" s="131">
        <f t="shared" si="44"/>
        <v>105920.82123829961</v>
      </c>
      <c r="AC155" s="131">
        <v>107075.65859493148</v>
      </c>
      <c r="AD155" s="151">
        <f t="shared" ref="AD155:AD218" si="49">AA155-AC155</f>
        <v>-1154.8373566318623</v>
      </c>
    </row>
    <row r="156" spans="2:30" x14ac:dyDescent="0.3">
      <c r="B156">
        <v>325</v>
      </c>
      <c r="C156" s="25">
        <v>7</v>
      </c>
      <c r="D156" s="32" t="s">
        <v>168</v>
      </c>
      <c r="E156" s="153">
        <v>334.4714798023104</v>
      </c>
      <c r="F156" s="153">
        <f>INDEX('Revised 2019 Lockdown'!H$5:H$257,MATCH(B156,'Revised 2019 Lockdown'!B$5:B$257,0))</f>
        <v>334.4714798023104</v>
      </c>
      <c r="G156" s="153">
        <f t="shared" si="45"/>
        <v>0</v>
      </c>
      <c r="H156" s="151">
        <v>167952.06</v>
      </c>
      <c r="I156" s="151">
        <f>INDEX('Revised 2019 Lockdown'!E$5:E$257,MATCH(B156,'Revised 2019 Lockdown'!B$5:B$257,0))</f>
        <v>167952.06</v>
      </c>
      <c r="J156" s="151">
        <f t="shared" si="46"/>
        <v>0</v>
      </c>
      <c r="K156" s="151">
        <v>0</v>
      </c>
      <c r="L156" s="151">
        <f>INDEX('Revised 2019 Lockdown'!F$5:F$257,MATCH(B156,'Revised 2019 Lockdown'!B$5:B$257,0))</f>
        <v>0</v>
      </c>
      <c r="M156" s="151">
        <f t="shared" si="47"/>
        <v>0</v>
      </c>
      <c r="N156" s="151">
        <v>167952.06</v>
      </c>
      <c r="O156" s="156">
        <f t="shared" si="34"/>
        <v>167952.06</v>
      </c>
      <c r="P156" s="156">
        <f t="shared" si="48"/>
        <v>0</v>
      </c>
      <c r="Q156" s="85">
        <f t="shared" si="35"/>
        <v>502.14164776999274</v>
      </c>
      <c r="R156" s="6">
        <f t="shared" si="36"/>
        <v>502.14164776999274</v>
      </c>
      <c r="S156" s="5">
        <f t="shared" si="37"/>
        <v>167952.06</v>
      </c>
      <c r="T156" s="113">
        <v>0.24305555555555555</v>
      </c>
      <c r="U156" s="87">
        <f t="shared" si="38"/>
        <v>38733.922650654538</v>
      </c>
      <c r="V156" s="87">
        <f t="shared" si="39"/>
        <v>23908.578015589217</v>
      </c>
      <c r="W156" s="87">
        <f t="shared" si="40"/>
        <v>2824.3485266102266</v>
      </c>
      <c r="X156" s="87">
        <f t="shared" si="41"/>
        <v>2033.4924052997483</v>
      </c>
      <c r="Y156" s="87">
        <f t="shared" si="42"/>
        <v>67500.341598153725</v>
      </c>
      <c r="Z156" s="91">
        <f t="shared" si="43"/>
        <v>0.40190243333814263</v>
      </c>
      <c r="AA156" s="131">
        <f t="shared" si="44"/>
        <v>67502.457716056975</v>
      </c>
      <c r="AC156" s="131">
        <v>67663.218824153621</v>
      </c>
      <c r="AD156" s="151">
        <f t="shared" si="49"/>
        <v>-160.76110809664533</v>
      </c>
    </row>
    <row r="157" spans="2:30" x14ac:dyDescent="0.3">
      <c r="B157">
        <v>346</v>
      </c>
      <c r="C157" s="25">
        <v>7</v>
      </c>
      <c r="D157" s="32" t="s">
        <v>169</v>
      </c>
      <c r="E157" s="153">
        <v>223.88000000000002</v>
      </c>
      <c r="F157" s="153">
        <f>INDEX('Revised 2019 Lockdown'!H$5:H$257,MATCH(B157,'Revised 2019 Lockdown'!B$5:B$257,0))</f>
        <v>223.88000000000002</v>
      </c>
      <c r="G157" s="153">
        <f t="shared" si="45"/>
        <v>0</v>
      </c>
      <c r="H157" s="151">
        <v>141740.18</v>
      </c>
      <c r="I157" s="151">
        <f>INDEX('Revised 2019 Lockdown'!E$5:E$257,MATCH(B157,'Revised 2019 Lockdown'!B$5:B$257,0))</f>
        <v>141740.18</v>
      </c>
      <c r="J157" s="151">
        <f t="shared" si="46"/>
        <v>0</v>
      </c>
      <c r="K157" s="151">
        <v>18678.990000000002</v>
      </c>
      <c r="L157" s="151">
        <f>INDEX('Revised 2019 Lockdown'!F$5:F$257,MATCH(B157,'Revised 2019 Lockdown'!B$5:B$257,0))</f>
        <v>18678.990000000002</v>
      </c>
      <c r="M157" s="151">
        <f t="shared" si="47"/>
        <v>0</v>
      </c>
      <c r="N157" s="151">
        <v>123061.18999999999</v>
      </c>
      <c r="O157" s="156">
        <f t="shared" si="34"/>
        <v>123061.18999999999</v>
      </c>
      <c r="P157" s="156">
        <f t="shared" si="48"/>
        <v>0</v>
      </c>
      <c r="Q157" s="85">
        <f t="shared" si="35"/>
        <v>549.67478113274956</v>
      </c>
      <c r="R157" s="6">
        <f t="shared" si="36"/>
        <v>549.67478113274956</v>
      </c>
      <c r="S157" s="5">
        <f t="shared" si="37"/>
        <v>123061.18999999999</v>
      </c>
      <c r="T157" s="113">
        <v>0.5532407407407407</v>
      </c>
      <c r="U157" s="87">
        <f t="shared" si="38"/>
        <v>28380.971419805752</v>
      </c>
      <c r="V157" s="87">
        <f t="shared" si="39"/>
        <v>16003.314989050195</v>
      </c>
      <c r="W157" s="87">
        <f t="shared" si="40"/>
        <v>4710.4528953705367</v>
      </c>
      <c r="X157" s="87">
        <f t="shared" si="41"/>
        <v>1489.9727651578035</v>
      </c>
      <c r="Y157" s="87">
        <f t="shared" si="42"/>
        <v>50584.712069384288</v>
      </c>
      <c r="Z157" s="91">
        <f t="shared" si="43"/>
        <v>0.41105333102486896</v>
      </c>
      <c r="AA157" s="131">
        <f t="shared" si="44"/>
        <v>50586.297886763969</v>
      </c>
      <c r="AC157" s="131">
        <v>50709.918497835664</v>
      </c>
      <c r="AD157" s="151">
        <f t="shared" si="49"/>
        <v>-123.62061107169575</v>
      </c>
    </row>
    <row r="158" spans="2:30" x14ac:dyDescent="0.3">
      <c r="B158">
        <v>358</v>
      </c>
      <c r="C158" s="25">
        <v>7</v>
      </c>
      <c r="D158" s="32" t="s">
        <v>170</v>
      </c>
      <c r="E158" s="153">
        <v>394.71</v>
      </c>
      <c r="F158" s="153">
        <f>INDEX('Revised 2019 Lockdown'!H$5:H$257,MATCH(B158,'Revised 2019 Lockdown'!B$5:B$257,0))</f>
        <v>394.71</v>
      </c>
      <c r="G158" s="153">
        <f t="shared" si="45"/>
        <v>0</v>
      </c>
      <c r="H158" s="151">
        <v>249358.72</v>
      </c>
      <c r="I158" s="151">
        <f>INDEX('Revised 2019 Lockdown'!E$5:E$257,MATCH(B158,'Revised 2019 Lockdown'!B$5:B$257,0))</f>
        <v>249358.72</v>
      </c>
      <c r="J158" s="151">
        <f t="shared" si="46"/>
        <v>0</v>
      </c>
      <c r="K158" s="151">
        <v>33885.050000000003</v>
      </c>
      <c r="L158" s="151">
        <f>INDEX('Revised 2019 Lockdown'!F$5:F$257,MATCH(B158,'Revised 2019 Lockdown'!B$5:B$257,0))</f>
        <v>33885.050000000003</v>
      </c>
      <c r="M158" s="151">
        <f t="shared" si="47"/>
        <v>0</v>
      </c>
      <c r="N158" s="151">
        <v>215473.66999999998</v>
      </c>
      <c r="O158" s="156">
        <f t="shared" si="34"/>
        <v>215473.66999999998</v>
      </c>
      <c r="P158" s="156">
        <f t="shared" si="48"/>
        <v>0</v>
      </c>
      <c r="Q158" s="85">
        <f t="shared" si="35"/>
        <v>545.90375212181095</v>
      </c>
      <c r="R158" s="6">
        <f t="shared" si="36"/>
        <v>545.90375212181095</v>
      </c>
      <c r="S158" s="5">
        <f t="shared" si="37"/>
        <v>215473.66999999998</v>
      </c>
      <c r="T158" s="113">
        <v>0.78703703703703698</v>
      </c>
      <c r="U158" s="87">
        <f t="shared" si="38"/>
        <v>49693.587962140271</v>
      </c>
      <c r="V158" s="87">
        <f t="shared" si="39"/>
        <v>28214.527690405586</v>
      </c>
      <c r="W158" s="87">
        <f t="shared" si="40"/>
        <v>11733.208268838674</v>
      </c>
      <c r="X158" s="87">
        <f t="shared" si="41"/>
        <v>2608.8639310947674</v>
      </c>
      <c r="Y158" s="87">
        <f t="shared" si="42"/>
        <v>92250.187852479285</v>
      </c>
      <c r="Z158" s="91">
        <f t="shared" si="43"/>
        <v>0.42812742667110693</v>
      </c>
      <c r="AA158" s="131">
        <f t="shared" si="44"/>
        <v>92253.079871533875</v>
      </c>
      <c r="AC158" s="131">
        <v>92480.054915772766</v>
      </c>
      <c r="AD158" s="151">
        <f t="shared" si="49"/>
        <v>-226.9750442388904</v>
      </c>
    </row>
    <row r="159" spans="2:30" x14ac:dyDescent="0.3">
      <c r="B159">
        <v>361</v>
      </c>
      <c r="C159" s="25">
        <v>7</v>
      </c>
      <c r="D159" s="32" t="s">
        <v>171</v>
      </c>
      <c r="E159" s="153">
        <v>1529.9173871204</v>
      </c>
      <c r="F159" s="153">
        <f>INDEX('Revised 2019 Lockdown'!H$5:H$257,MATCH(B159,'Revised 2019 Lockdown'!B$5:B$257,0))</f>
        <v>1529.9173871204</v>
      </c>
      <c r="G159" s="153">
        <f t="shared" si="45"/>
        <v>0</v>
      </c>
      <c r="H159" s="151">
        <v>950847.24</v>
      </c>
      <c r="I159" s="151">
        <f>INDEX('Revised 2019 Lockdown'!E$5:E$257,MATCH(B159,'Revised 2019 Lockdown'!B$5:B$257,0))</f>
        <v>950847.24</v>
      </c>
      <c r="J159" s="151">
        <f t="shared" si="46"/>
        <v>0</v>
      </c>
      <c r="K159" s="151">
        <v>8401.06</v>
      </c>
      <c r="L159" s="151">
        <f>INDEX('Revised 2019 Lockdown'!F$5:F$257,MATCH(B159,'Revised 2019 Lockdown'!B$5:B$257,0))</f>
        <v>8401.06</v>
      </c>
      <c r="M159" s="151">
        <f t="shared" si="47"/>
        <v>0</v>
      </c>
      <c r="N159" s="151">
        <v>942446.17999999993</v>
      </c>
      <c r="O159" s="156">
        <f t="shared" si="34"/>
        <v>942446.17999999993</v>
      </c>
      <c r="P159" s="156">
        <f t="shared" si="48"/>
        <v>0</v>
      </c>
      <c r="Q159" s="85">
        <f t="shared" si="35"/>
        <v>616.01115716049583</v>
      </c>
      <c r="R159" s="6">
        <f t="shared" si="36"/>
        <v>616.01115716049583</v>
      </c>
      <c r="S159" s="5">
        <f t="shared" si="37"/>
        <v>942446.17999999982</v>
      </c>
      <c r="T159" s="113">
        <v>0.3611111111111111</v>
      </c>
      <c r="U159" s="87">
        <f t="shared" si="38"/>
        <v>217351.53137463651</v>
      </c>
      <c r="V159" s="87">
        <f t="shared" si="39"/>
        <v>109361.04097423803</v>
      </c>
      <c r="W159" s="87">
        <f t="shared" si="40"/>
        <v>23546.415898918953</v>
      </c>
      <c r="X159" s="87">
        <f t="shared" si="41"/>
        <v>11410.739168270751</v>
      </c>
      <c r="Y159" s="87">
        <f t="shared" si="42"/>
        <v>361669.72741606418</v>
      </c>
      <c r="Z159" s="91">
        <f t="shared" si="43"/>
        <v>0.38375637260905898</v>
      </c>
      <c r="AA159" s="131">
        <f t="shared" si="44"/>
        <v>361681.06566661416</v>
      </c>
      <c r="AC159" s="131">
        <v>362573.84228530107</v>
      </c>
      <c r="AD159" s="151">
        <f t="shared" si="49"/>
        <v>-892.77661868691212</v>
      </c>
    </row>
    <row r="160" spans="2:30" x14ac:dyDescent="0.3">
      <c r="B160">
        <v>376</v>
      </c>
      <c r="C160" s="25">
        <v>7</v>
      </c>
      <c r="D160" s="32" t="s">
        <v>172</v>
      </c>
      <c r="E160" s="153">
        <v>640.18619104625316</v>
      </c>
      <c r="F160" s="153">
        <f>INDEX('Revised 2019 Lockdown'!H$5:H$257,MATCH(B160,'Revised 2019 Lockdown'!B$5:B$257,0))</f>
        <v>640.18619104625316</v>
      </c>
      <c r="G160" s="153">
        <f t="shared" si="45"/>
        <v>0</v>
      </c>
      <c r="H160" s="151">
        <v>292314.15999999997</v>
      </c>
      <c r="I160" s="151">
        <f>INDEX('Revised 2019 Lockdown'!E$5:E$257,MATCH(B160,'Revised 2019 Lockdown'!B$5:B$257,0))</f>
        <v>292314.15999999997</v>
      </c>
      <c r="J160" s="151">
        <f t="shared" si="46"/>
        <v>0</v>
      </c>
      <c r="K160" s="151">
        <v>428</v>
      </c>
      <c r="L160" s="151">
        <f>INDEX('Revised 2019 Lockdown'!F$5:F$257,MATCH(B160,'Revised 2019 Lockdown'!B$5:B$257,0))</f>
        <v>428</v>
      </c>
      <c r="M160" s="151">
        <f t="shared" si="47"/>
        <v>0</v>
      </c>
      <c r="N160" s="151">
        <v>291886.15999999997</v>
      </c>
      <c r="O160" s="156">
        <f t="shared" si="34"/>
        <v>291886.15999999997</v>
      </c>
      <c r="P160" s="156">
        <f t="shared" si="48"/>
        <v>0</v>
      </c>
      <c r="Q160" s="85">
        <f t="shared" si="35"/>
        <v>455.93948148580313</v>
      </c>
      <c r="R160" s="6">
        <f t="shared" si="36"/>
        <v>455.93948148580313</v>
      </c>
      <c r="S160" s="5">
        <f t="shared" si="37"/>
        <v>291886.15999999997</v>
      </c>
      <c r="T160" s="113">
        <v>0.64814814814814814</v>
      </c>
      <c r="U160" s="87">
        <f t="shared" si="38"/>
        <v>67316.208829094277</v>
      </c>
      <c r="V160" s="87">
        <f t="shared" si="39"/>
        <v>45761.574356590383</v>
      </c>
      <c r="W160" s="87">
        <f t="shared" si="40"/>
        <v>13089.262827879444</v>
      </c>
      <c r="X160" s="87">
        <f t="shared" si="41"/>
        <v>3534.0339950108805</v>
      </c>
      <c r="Y160" s="87">
        <f t="shared" si="42"/>
        <v>129701.08000857498</v>
      </c>
      <c r="Z160" s="91">
        <f t="shared" si="43"/>
        <v>0.44435501843792452</v>
      </c>
      <c r="AA160" s="131">
        <f t="shared" si="44"/>
        <v>129705.14610321952</v>
      </c>
      <c r="AC160" s="131">
        <v>130014.05658885844</v>
      </c>
      <c r="AD160" s="151">
        <f t="shared" si="49"/>
        <v>-308.91048563891673</v>
      </c>
    </row>
    <row r="161" spans="2:30" x14ac:dyDescent="0.3">
      <c r="B161">
        <v>382</v>
      </c>
      <c r="C161" s="25">
        <v>7</v>
      </c>
      <c r="D161" s="32" t="s">
        <v>173</v>
      </c>
      <c r="E161" s="153">
        <v>188.48</v>
      </c>
      <c r="F161" s="153">
        <f>INDEX('Revised 2019 Lockdown'!H$5:H$257,MATCH(B161,'Revised 2019 Lockdown'!B$5:B$257,0))</f>
        <v>188.48</v>
      </c>
      <c r="G161" s="153">
        <f t="shared" si="45"/>
        <v>0</v>
      </c>
      <c r="H161" s="151">
        <v>102492.26</v>
      </c>
      <c r="I161" s="151">
        <f>INDEX('Revised 2019 Lockdown'!E$5:E$257,MATCH(B161,'Revised 2019 Lockdown'!B$5:B$257,0))</f>
        <v>102492.26</v>
      </c>
      <c r="J161" s="151">
        <f t="shared" si="46"/>
        <v>0</v>
      </c>
      <c r="K161" s="151">
        <v>19148.469999999998</v>
      </c>
      <c r="L161" s="151">
        <f>INDEX('Revised 2019 Lockdown'!F$5:F$257,MATCH(B161,'Revised 2019 Lockdown'!B$5:B$257,0))</f>
        <v>19148.469999999998</v>
      </c>
      <c r="M161" s="151">
        <f t="shared" si="47"/>
        <v>0</v>
      </c>
      <c r="N161" s="151">
        <v>83343.789999999994</v>
      </c>
      <c r="O161" s="156">
        <f t="shared" si="34"/>
        <v>83343.789999999994</v>
      </c>
      <c r="P161" s="156">
        <f t="shared" si="48"/>
        <v>0</v>
      </c>
      <c r="Q161" s="85">
        <f t="shared" si="35"/>
        <v>442.18903862478777</v>
      </c>
      <c r="R161" s="6">
        <f t="shared" si="36"/>
        <v>442.18903862478777</v>
      </c>
      <c r="S161" s="5">
        <f t="shared" si="37"/>
        <v>83343.789999999994</v>
      </c>
      <c r="T161" s="113">
        <v>0.65046296296296302</v>
      </c>
      <c r="U161" s="87">
        <f t="shared" si="38"/>
        <v>19221.151055083184</v>
      </c>
      <c r="V161" s="87">
        <f t="shared" si="39"/>
        <v>13472.864075112473</v>
      </c>
      <c r="W161" s="87">
        <f t="shared" si="40"/>
        <v>3750.7940600544271</v>
      </c>
      <c r="X161" s="87">
        <f t="shared" si="41"/>
        <v>1009.0913085192112</v>
      </c>
      <c r="Y161" s="87">
        <f t="shared" si="42"/>
        <v>37453.90049876929</v>
      </c>
      <c r="Z161" s="91">
        <f t="shared" si="43"/>
        <v>0.44939041647577216</v>
      </c>
      <c r="AA161" s="131">
        <f t="shared" si="44"/>
        <v>37455.074668669993</v>
      </c>
      <c r="AC161" s="131">
        <v>35876.840863176636</v>
      </c>
      <c r="AD161" s="151">
        <f t="shared" si="49"/>
        <v>1578.2338054933571</v>
      </c>
    </row>
    <row r="162" spans="2:30" x14ac:dyDescent="0.3">
      <c r="B162">
        <v>389</v>
      </c>
      <c r="C162" s="25">
        <v>7</v>
      </c>
      <c r="D162" s="32" t="s">
        <v>174</v>
      </c>
      <c r="E162" s="153">
        <v>867.99901008098129</v>
      </c>
      <c r="F162" s="153">
        <f>INDEX('Revised 2019 Lockdown'!H$5:H$257,MATCH(B162,'Revised 2019 Lockdown'!B$5:B$257,0))</f>
        <v>867.99901008098129</v>
      </c>
      <c r="G162" s="153">
        <f t="shared" si="45"/>
        <v>0</v>
      </c>
      <c r="H162" s="151">
        <v>170757.02</v>
      </c>
      <c r="I162" s="151">
        <f>INDEX('Revised 2019 Lockdown'!E$5:E$257,MATCH(B162,'Revised 2019 Lockdown'!B$5:B$257,0))</f>
        <v>170757.02</v>
      </c>
      <c r="J162" s="151">
        <f t="shared" si="46"/>
        <v>0</v>
      </c>
      <c r="K162" s="151">
        <v>807.5</v>
      </c>
      <c r="L162" s="151">
        <f>INDEX('Revised 2019 Lockdown'!F$5:F$257,MATCH(B162,'Revised 2019 Lockdown'!B$5:B$257,0))</f>
        <v>807.5</v>
      </c>
      <c r="M162" s="151">
        <f t="shared" si="47"/>
        <v>0</v>
      </c>
      <c r="N162" s="151">
        <v>169949.52</v>
      </c>
      <c r="O162" s="156">
        <f t="shared" si="34"/>
        <v>169949.52</v>
      </c>
      <c r="P162" s="156">
        <f t="shared" si="48"/>
        <v>0</v>
      </c>
      <c r="Q162" s="85">
        <f t="shared" si="35"/>
        <v>195.79460117603622</v>
      </c>
      <c r="R162" s="6">
        <f t="shared" si="36"/>
        <v>195.79460117603622</v>
      </c>
      <c r="S162" s="5">
        <f t="shared" si="37"/>
        <v>169949.52</v>
      </c>
      <c r="T162" s="113">
        <v>0.52546296296296291</v>
      </c>
      <c r="U162" s="87">
        <f t="shared" si="38"/>
        <v>39194.586611178602</v>
      </c>
      <c r="V162" s="87">
        <f t="shared" si="39"/>
        <v>62046.01379538011</v>
      </c>
      <c r="W162" s="87">
        <f t="shared" si="40"/>
        <v>6178.5910838455138</v>
      </c>
      <c r="X162" s="87">
        <f t="shared" si="41"/>
        <v>2057.6768049426582</v>
      </c>
      <c r="Y162" s="87">
        <f t="shared" si="42"/>
        <v>109476.8682953469</v>
      </c>
      <c r="Z162" s="91">
        <f t="shared" si="43"/>
        <v>0.64417285965471927</v>
      </c>
      <c r="AA162" s="131">
        <f t="shared" si="44"/>
        <v>109480.30036628916</v>
      </c>
      <c r="AC162" s="131">
        <v>109701.61068987174</v>
      </c>
      <c r="AD162" s="151">
        <f t="shared" si="49"/>
        <v>-221.31032358258381</v>
      </c>
    </row>
    <row r="163" spans="2:30" x14ac:dyDescent="0.3">
      <c r="B163">
        <v>420</v>
      </c>
      <c r="C163" s="25">
        <v>7</v>
      </c>
      <c r="D163" s="32" t="s">
        <v>265</v>
      </c>
      <c r="E163" s="153">
        <v>342.99840049783847</v>
      </c>
      <c r="F163" s="153">
        <f>INDEX('Revised 2019 Lockdown'!H$5:H$257,MATCH(B163,'Revised 2019 Lockdown'!B$5:B$257,0))</f>
        <v>342.99840049783847</v>
      </c>
      <c r="G163" s="153">
        <f t="shared" si="45"/>
        <v>0</v>
      </c>
      <c r="H163" s="151">
        <v>176959.11</v>
      </c>
      <c r="I163" s="151">
        <f>INDEX('Revised 2019 Lockdown'!E$5:E$257,MATCH(B163,'Revised 2019 Lockdown'!B$5:B$257,0))</f>
        <v>176959.11</v>
      </c>
      <c r="J163" s="151">
        <f t="shared" si="46"/>
        <v>0</v>
      </c>
      <c r="K163" s="151">
        <v>167</v>
      </c>
      <c r="L163" s="151">
        <f>INDEX('Revised 2019 Lockdown'!F$5:F$257,MATCH(B163,'Revised 2019 Lockdown'!B$5:B$257,0))</f>
        <v>167</v>
      </c>
      <c r="M163" s="151">
        <f t="shared" si="47"/>
        <v>0</v>
      </c>
      <c r="N163" s="151">
        <v>176792.11</v>
      </c>
      <c r="O163" s="156">
        <f t="shared" si="34"/>
        <v>176792.11</v>
      </c>
      <c r="P163" s="156">
        <f t="shared" si="48"/>
        <v>0</v>
      </c>
      <c r="Q163" s="85">
        <f t="shared" si="35"/>
        <v>515.43129572440705</v>
      </c>
      <c r="R163" s="6">
        <f t="shared" si="36"/>
        <v>515.43129572440705</v>
      </c>
      <c r="S163" s="5">
        <f t="shared" si="37"/>
        <v>176792.11</v>
      </c>
      <c r="T163" s="113">
        <v>0.51388888888888884</v>
      </c>
      <c r="U163" s="87">
        <f t="shared" si="38"/>
        <v>40772.658066748379</v>
      </c>
      <c r="V163" s="87">
        <f t="shared" si="39"/>
        <v>24518.096497709936</v>
      </c>
      <c r="W163" s="87">
        <f t="shared" si="40"/>
        <v>6285.7847852903751</v>
      </c>
      <c r="X163" s="87">
        <f t="shared" si="41"/>
        <v>2140.5239864394498</v>
      </c>
      <c r="Y163" s="87">
        <f t="shared" si="42"/>
        <v>73717.063336188148</v>
      </c>
      <c r="Z163" s="91">
        <f t="shared" si="43"/>
        <v>0.41697032371064613</v>
      </c>
      <c r="AA163" s="131">
        <f t="shared" si="44"/>
        <v>73719.374346677985</v>
      </c>
      <c r="AC163" s="131">
        <v>73897.510930569537</v>
      </c>
      <c r="AD163" s="151">
        <f t="shared" si="49"/>
        <v>-178.13658389155171</v>
      </c>
    </row>
    <row r="164" spans="2:30" x14ac:dyDescent="0.3">
      <c r="B164">
        <v>434</v>
      </c>
      <c r="C164" s="25">
        <v>7</v>
      </c>
      <c r="D164" s="32" t="s">
        <v>175</v>
      </c>
      <c r="E164" s="153">
        <v>253.47645197603669</v>
      </c>
      <c r="F164" s="153">
        <f>INDEX('Revised 2019 Lockdown'!H$5:H$257,MATCH(B164,'Revised 2019 Lockdown'!B$5:B$257,0))</f>
        <v>253.47645197603669</v>
      </c>
      <c r="G164" s="153">
        <f t="shared" si="45"/>
        <v>0</v>
      </c>
      <c r="H164" s="151">
        <v>134168.73000000001</v>
      </c>
      <c r="I164" s="151">
        <f>INDEX('Revised 2019 Lockdown'!E$5:E$257,MATCH(B164,'Revised 2019 Lockdown'!B$5:B$257,0))</f>
        <v>134168.73000000001</v>
      </c>
      <c r="J164" s="151">
        <f t="shared" si="46"/>
        <v>0</v>
      </c>
      <c r="K164" s="151">
        <v>0</v>
      </c>
      <c r="L164" s="151">
        <f>INDEX('Revised 2019 Lockdown'!F$5:F$257,MATCH(B164,'Revised 2019 Lockdown'!B$5:B$257,0))</f>
        <v>0</v>
      </c>
      <c r="M164" s="151">
        <f t="shared" si="47"/>
        <v>0</v>
      </c>
      <c r="N164" s="151">
        <v>134168.73000000001</v>
      </c>
      <c r="O164" s="156">
        <f t="shared" si="34"/>
        <v>134168.73000000001</v>
      </c>
      <c r="P164" s="156">
        <f t="shared" si="48"/>
        <v>0</v>
      </c>
      <c r="Q164" s="85">
        <f t="shared" si="35"/>
        <v>529.31437596690103</v>
      </c>
      <c r="R164" s="6">
        <f t="shared" si="36"/>
        <v>529.31437596690103</v>
      </c>
      <c r="S164" s="5">
        <f t="shared" si="37"/>
        <v>134168.73000000001</v>
      </c>
      <c r="T164" s="113">
        <v>0.40509259259259256</v>
      </c>
      <c r="U164" s="87">
        <f t="shared" si="38"/>
        <v>30942.646431109883</v>
      </c>
      <c r="V164" s="87">
        <f t="shared" si="39"/>
        <v>18118.918631764205</v>
      </c>
      <c r="W164" s="87">
        <f t="shared" si="40"/>
        <v>3760.3910593362698</v>
      </c>
      <c r="X164" s="87">
        <f t="shared" si="41"/>
        <v>1624.4581548074641</v>
      </c>
      <c r="Y164" s="87">
        <f t="shared" si="42"/>
        <v>54446.414277017815</v>
      </c>
      <c r="Z164" s="91">
        <f t="shared" si="43"/>
        <v>0.40580554259563917</v>
      </c>
      <c r="AA164" s="131">
        <f t="shared" si="44"/>
        <v>54448.121157743029</v>
      </c>
      <c r="AC164" s="131">
        <v>54579.704233016004</v>
      </c>
      <c r="AD164" s="151">
        <f t="shared" si="49"/>
        <v>-131.58307527297438</v>
      </c>
    </row>
    <row r="165" spans="2:30" x14ac:dyDescent="0.3">
      <c r="B165">
        <v>437</v>
      </c>
      <c r="C165" s="25">
        <v>7</v>
      </c>
      <c r="D165" s="32" t="s">
        <v>176</v>
      </c>
      <c r="E165" s="153">
        <v>305.36649547710624</v>
      </c>
      <c r="F165" s="153">
        <f>INDEX('Revised 2019 Lockdown'!H$5:H$257,MATCH(B165,'Revised 2019 Lockdown'!B$5:B$257,0))</f>
        <v>305.36649547710624</v>
      </c>
      <c r="G165" s="153">
        <f t="shared" si="45"/>
        <v>0</v>
      </c>
      <c r="H165" s="151">
        <v>243556.24</v>
      </c>
      <c r="I165" s="151">
        <f>INDEX('Revised 2019 Lockdown'!E$5:E$257,MATCH(B165,'Revised 2019 Lockdown'!B$5:B$257,0))</f>
        <v>243556.24</v>
      </c>
      <c r="J165" s="151">
        <f t="shared" si="46"/>
        <v>0</v>
      </c>
      <c r="K165" s="151">
        <v>0</v>
      </c>
      <c r="L165" s="151">
        <f>INDEX('Revised 2019 Lockdown'!F$5:F$257,MATCH(B165,'Revised 2019 Lockdown'!B$5:B$257,0))</f>
        <v>0</v>
      </c>
      <c r="M165" s="151">
        <f t="shared" si="47"/>
        <v>0</v>
      </c>
      <c r="N165" s="151">
        <v>243556.24</v>
      </c>
      <c r="O165" s="156">
        <f t="shared" si="34"/>
        <v>243556.24</v>
      </c>
      <c r="P165" s="156">
        <f t="shared" si="48"/>
        <v>0</v>
      </c>
      <c r="Q165" s="85">
        <f t="shared" si="35"/>
        <v>797.58664950935895</v>
      </c>
      <c r="R165" s="6">
        <f t="shared" si="36"/>
        <v>782.54308711894498</v>
      </c>
      <c r="S165" s="5">
        <f t="shared" si="37"/>
        <v>238962.44007334806</v>
      </c>
      <c r="T165" s="113">
        <v>0.41782407407407401</v>
      </c>
      <c r="U165" s="87">
        <f t="shared" si="38"/>
        <v>55110.682597240739</v>
      </c>
      <c r="V165" s="87">
        <f t="shared" si="39"/>
        <v>21828.105298474642</v>
      </c>
      <c r="W165" s="87">
        <f t="shared" si="40"/>
        <v>6907.9709783346889</v>
      </c>
      <c r="X165" s="87">
        <f t="shared" si="41"/>
        <v>2893.256010322526</v>
      </c>
      <c r="Y165" s="87">
        <f t="shared" si="42"/>
        <v>86740.014884372606</v>
      </c>
      <c r="Z165" s="91">
        <f t="shared" si="43"/>
        <v>0.36298597745213973</v>
      </c>
      <c r="AA165" s="131">
        <f t="shared" si="44"/>
        <v>86742.734160958164</v>
      </c>
      <c r="AC165" s="131">
        <v>87684.174410801264</v>
      </c>
      <c r="AD165" s="151">
        <f t="shared" si="49"/>
        <v>-941.4402498431009</v>
      </c>
    </row>
    <row r="166" spans="2:30" x14ac:dyDescent="0.3">
      <c r="B166">
        <v>502</v>
      </c>
      <c r="C166" s="25">
        <v>7</v>
      </c>
      <c r="D166" s="32" t="s">
        <v>177</v>
      </c>
      <c r="E166" s="153">
        <v>497.74569693932585</v>
      </c>
      <c r="F166" s="153">
        <f>INDEX('Revised 2019 Lockdown'!H$5:H$257,MATCH(B166,'Revised 2019 Lockdown'!B$5:B$257,0))</f>
        <v>497.74569693932585</v>
      </c>
      <c r="G166" s="153">
        <f t="shared" si="45"/>
        <v>0</v>
      </c>
      <c r="H166" s="151">
        <v>294346.69</v>
      </c>
      <c r="I166" s="151">
        <f>INDEX('Revised 2019 Lockdown'!E$5:E$257,MATCH(B166,'Revised 2019 Lockdown'!B$5:B$257,0))</f>
        <v>294346.69</v>
      </c>
      <c r="J166" s="151">
        <f t="shared" si="46"/>
        <v>0</v>
      </c>
      <c r="K166" s="151">
        <v>0</v>
      </c>
      <c r="L166" s="151">
        <f>INDEX('Revised 2019 Lockdown'!F$5:F$257,MATCH(B166,'Revised 2019 Lockdown'!B$5:B$257,0))</f>
        <v>0</v>
      </c>
      <c r="M166" s="151">
        <f t="shared" si="47"/>
        <v>0</v>
      </c>
      <c r="N166" s="151">
        <v>294346.69</v>
      </c>
      <c r="O166" s="156">
        <f t="shared" si="34"/>
        <v>294346.69</v>
      </c>
      <c r="P166" s="156">
        <f t="shared" si="48"/>
        <v>0</v>
      </c>
      <c r="Q166" s="85">
        <f t="shared" si="35"/>
        <v>591.35958745592177</v>
      </c>
      <c r="R166" s="6">
        <f t="shared" si="36"/>
        <v>591.35958745592177</v>
      </c>
      <c r="S166" s="5">
        <f t="shared" si="37"/>
        <v>294346.69</v>
      </c>
      <c r="T166" s="113">
        <v>0.31018518518518517</v>
      </c>
      <c r="U166" s="87">
        <f t="shared" si="38"/>
        <v>67883.668249952927</v>
      </c>
      <c r="V166" s="87">
        <f t="shared" si="39"/>
        <v>35579.690783296181</v>
      </c>
      <c r="W166" s="87">
        <f t="shared" si="40"/>
        <v>6316.9524621483961</v>
      </c>
      <c r="X166" s="87">
        <f t="shared" si="41"/>
        <v>3563.8250500775002</v>
      </c>
      <c r="Y166" s="87">
        <f t="shared" si="42"/>
        <v>113344.13654547502</v>
      </c>
      <c r="Z166" s="91">
        <f t="shared" si="43"/>
        <v>0.38507019238257789</v>
      </c>
      <c r="AA166" s="131">
        <f t="shared" si="44"/>
        <v>113347.68985425678</v>
      </c>
      <c r="AC166" s="131">
        <v>113625.28750871605</v>
      </c>
      <c r="AD166" s="151">
        <f t="shared" si="49"/>
        <v>-277.59765445927042</v>
      </c>
    </row>
    <row r="167" spans="2:30" x14ac:dyDescent="0.3">
      <c r="B167">
        <v>503</v>
      </c>
      <c r="C167" s="25">
        <v>7</v>
      </c>
      <c r="D167" s="32" t="s">
        <v>178</v>
      </c>
      <c r="E167" s="153">
        <v>391.2185740323925</v>
      </c>
      <c r="F167" s="153">
        <f>INDEX('Revised 2019 Lockdown'!H$5:H$257,MATCH(B167,'Revised 2019 Lockdown'!B$5:B$257,0))</f>
        <v>391.2185740323925</v>
      </c>
      <c r="G167" s="153">
        <f t="shared" si="45"/>
        <v>0</v>
      </c>
      <c r="H167" s="151">
        <v>213000.07</v>
      </c>
      <c r="I167" s="151">
        <f>INDEX('Revised 2019 Lockdown'!E$5:E$257,MATCH(B167,'Revised 2019 Lockdown'!B$5:B$257,0))</f>
        <v>213000.07</v>
      </c>
      <c r="J167" s="151">
        <f t="shared" si="46"/>
        <v>0</v>
      </c>
      <c r="K167" s="151">
        <v>33972.22</v>
      </c>
      <c r="L167" s="151">
        <f>INDEX('Revised 2019 Lockdown'!F$5:F$257,MATCH(B167,'Revised 2019 Lockdown'!B$5:B$257,0))</f>
        <v>33972.22</v>
      </c>
      <c r="M167" s="151">
        <f t="shared" si="47"/>
        <v>0</v>
      </c>
      <c r="N167" s="151">
        <v>179027.85</v>
      </c>
      <c r="O167" s="156">
        <f t="shared" si="34"/>
        <v>179027.85</v>
      </c>
      <c r="P167" s="156">
        <f t="shared" si="48"/>
        <v>0</v>
      </c>
      <c r="Q167" s="85">
        <f t="shared" si="35"/>
        <v>457.61592593805807</v>
      </c>
      <c r="R167" s="6">
        <f t="shared" si="36"/>
        <v>457.61592593805807</v>
      </c>
      <c r="S167" s="5">
        <f t="shared" si="37"/>
        <v>179027.85</v>
      </c>
      <c r="T167" s="113">
        <v>0.73611111111111116</v>
      </c>
      <c r="U167" s="87">
        <f t="shared" si="38"/>
        <v>41288.275322213871</v>
      </c>
      <c r="V167" s="87">
        <f t="shared" si="39"/>
        <v>27964.954751685858</v>
      </c>
      <c r="W167" s="87">
        <f t="shared" si="40"/>
        <v>9117.827466988896</v>
      </c>
      <c r="X167" s="87">
        <f t="shared" si="41"/>
        <v>2167.5933793973268</v>
      </c>
      <c r="Y167" s="87">
        <f t="shared" si="42"/>
        <v>80538.650920285945</v>
      </c>
      <c r="Z167" s="91">
        <f t="shared" si="43"/>
        <v>0.44986660410816498</v>
      </c>
      <c r="AA167" s="131">
        <f t="shared" si="44"/>
        <v>80541.17578574708</v>
      </c>
      <c r="AC167" s="131">
        <v>80733.737349276824</v>
      </c>
      <c r="AD167" s="151">
        <f t="shared" si="49"/>
        <v>-192.56156352974358</v>
      </c>
    </row>
    <row r="168" spans="2:30" x14ac:dyDescent="0.3">
      <c r="B168">
        <v>510</v>
      </c>
      <c r="C168" s="25">
        <v>7</v>
      </c>
      <c r="D168" s="32" t="s">
        <v>179</v>
      </c>
      <c r="E168" s="153">
        <v>507.29892721805413</v>
      </c>
      <c r="F168" s="153">
        <f>INDEX('Revised 2019 Lockdown'!H$5:H$257,MATCH(B168,'Revised 2019 Lockdown'!B$5:B$257,0))</f>
        <v>507.29892721805413</v>
      </c>
      <c r="G168" s="153">
        <f t="shared" si="45"/>
        <v>0</v>
      </c>
      <c r="H168" s="151">
        <v>285919.75</v>
      </c>
      <c r="I168" s="151">
        <f>INDEX('Revised 2019 Lockdown'!E$5:E$257,MATCH(B168,'Revised 2019 Lockdown'!B$5:B$257,0))</f>
        <v>285919.75</v>
      </c>
      <c r="J168" s="151">
        <f t="shared" si="46"/>
        <v>0</v>
      </c>
      <c r="K168" s="151">
        <v>1071</v>
      </c>
      <c r="L168" s="151">
        <f>INDEX('Revised 2019 Lockdown'!F$5:F$257,MATCH(B168,'Revised 2019 Lockdown'!B$5:B$257,0))</f>
        <v>1071</v>
      </c>
      <c r="M168" s="151">
        <f t="shared" si="47"/>
        <v>0</v>
      </c>
      <c r="N168" s="151">
        <v>284848.75</v>
      </c>
      <c r="O168" s="156">
        <f t="shared" si="34"/>
        <v>284848.75</v>
      </c>
      <c r="P168" s="156">
        <f t="shared" si="48"/>
        <v>0</v>
      </c>
      <c r="Q168" s="85">
        <f t="shared" si="35"/>
        <v>561.50079315575294</v>
      </c>
      <c r="R168" s="6">
        <f t="shared" si="36"/>
        <v>561.50079315575294</v>
      </c>
      <c r="S168" s="5">
        <f t="shared" si="37"/>
        <v>284848.75</v>
      </c>
      <c r="T168" s="113">
        <v>0.37731481481481488</v>
      </c>
      <c r="U168" s="87">
        <f t="shared" si="38"/>
        <v>65693.207035600703</v>
      </c>
      <c r="V168" s="87">
        <f t="shared" si="39"/>
        <v>36262.571582444922</v>
      </c>
      <c r="W168" s="87">
        <f t="shared" si="40"/>
        <v>7436.1060741686906</v>
      </c>
      <c r="X168" s="87">
        <f t="shared" si="41"/>
        <v>3448.8280154713593</v>
      </c>
      <c r="Y168" s="87">
        <f t="shared" si="42"/>
        <v>112840.71270768567</v>
      </c>
      <c r="Z168" s="91">
        <f t="shared" si="43"/>
        <v>0.39614255884108907</v>
      </c>
      <c r="AA168" s="131">
        <f t="shared" si="44"/>
        <v>112844.25023426292</v>
      </c>
      <c r="AC168" s="131">
        <v>106098.0606045543</v>
      </c>
      <c r="AD168" s="151">
        <f t="shared" si="49"/>
        <v>6746.1896297086205</v>
      </c>
    </row>
    <row r="169" spans="2:30" x14ac:dyDescent="0.3">
      <c r="B169">
        <v>531</v>
      </c>
      <c r="C169" s="25">
        <v>7</v>
      </c>
      <c r="D169" s="32" t="s">
        <v>180</v>
      </c>
      <c r="E169" s="153">
        <v>1984.57</v>
      </c>
      <c r="F169" s="153">
        <f>INDEX('Revised 2019 Lockdown'!H$5:H$257,MATCH(B169,'Revised 2019 Lockdown'!B$5:B$257,0))</f>
        <v>1984.57</v>
      </c>
      <c r="G169" s="153">
        <f t="shared" si="45"/>
        <v>0</v>
      </c>
      <c r="H169" s="151">
        <v>629818.71</v>
      </c>
      <c r="I169" s="151">
        <f>INDEX('Revised 2019 Lockdown'!E$5:E$257,MATCH(B169,'Revised 2019 Lockdown'!B$5:B$257,0))</f>
        <v>629818.71</v>
      </c>
      <c r="J169" s="151">
        <f t="shared" si="46"/>
        <v>0</v>
      </c>
      <c r="K169" s="151">
        <v>2609.7399999999998</v>
      </c>
      <c r="L169" s="151">
        <f>INDEX('Revised 2019 Lockdown'!F$5:F$257,MATCH(B169,'Revised 2019 Lockdown'!B$5:B$257,0))</f>
        <v>2609.7399999999998</v>
      </c>
      <c r="M169" s="151">
        <f t="shared" si="47"/>
        <v>0</v>
      </c>
      <c r="N169" s="151">
        <v>627208.97</v>
      </c>
      <c r="O169" s="156">
        <f t="shared" si="34"/>
        <v>627208.97</v>
      </c>
      <c r="P169" s="156">
        <f t="shared" si="48"/>
        <v>0</v>
      </c>
      <c r="Q169" s="85">
        <f t="shared" si="35"/>
        <v>316.04275485369624</v>
      </c>
      <c r="R169" s="6">
        <f t="shared" si="36"/>
        <v>316.04275485369624</v>
      </c>
      <c r="S169" s="5">
        <f t="shared" si="37"/>
        <v>627208.97</v>
      </c>
      <c r="T169" s="113">
        <v>0.89814814814814814</v>
      </c>
      <c r="U169" s="87">
        <f t="shared" si="38"/>
        <v>144649.98958498455</v>
      </c>
      <c r="V169" s="87">
        <f t="shared" si="39"/>
        <v>141860.36639190346</v>
      </c>
      <c r="W169" s="87">
        <f t="shared" si="40"/>
        <v>38975.136082620833</v>
      </c>
      <c r="X169" s="87">
        <f t="shared" si="41"/>
        <v>7593.9805503479838</v>
      </c>
      <c r="Y169" s="87">
        <f t="shared" si="42"/>
        <v>333079.47260985681</v>
      </c>
      <c r="Z169" s="91">
        <f t="shared" si="43"/>
        <v>0.5310502377060341</v>
      </c>
      <c r="AA169" s="131">
        <f t="shared" si="44"/>
        <v>333089.91456346039</v>
      </c>
      <c r="AC169" s="131">
        <v>333841.89929198747</v>
      </c>
      <c r="AD169" s="151">
        <f t="shared" si="49"/>
        <v>-751.98472852708073</v>
      </c>
    </row>
    <row r="170" spans="2:30" x14ac:dyDescent="0.3">
      <c r="B170">
        <v>551</v>
      </c>
      <c r="C170" s="25">
        <v>7</v>
      </c>
      <c r="D170" s="32" t="s">
        <v>182</v>
      </c>
      <c r="E170" s="153">
        <v>153.38752675955698</v>
      </c>
      <c r="F170" s="153">
        <f>INDEX('Revised 2019 Lockdown'!H$5:H$257,MATCH(B170,'Revised 2019 Lockdown'!B$5:B$257,0))</f>
        <v>153.38752675955698</v>
      </c>
      <c r="G170" s="153">
        <f t="shared" si="45"/>
        <v>0</v>
      </c>
      <c r="H170" s="151">
        <v>117853.72</v>
      </c>
      <c r="I170" s="151">
        <f>INDEX('Revised 2019 Lockdown'!E$5:E$257,MATCH(B170,'Revised 2019 Lockdown'!B$5:B$257,0))</f>
        <v>117853.72</v>
      </c>
      <c r="J170" s="151">
        <f t="shared" si="46"/>
        <v>0</v>
      </c>
      <c r="K170" s="151">
        <v>72</v>
      </c>
      <c r="L170" s="151">
        <f>INDEX('Revised 2019 Lockdown'!F$5:F$257,MATCH(B170,'Revised 2019 Lockdown'!B$5:B$257,0))</f>
        <v>72</v>
      </c>
      <c r="M170" s="151">
        <f t="shared" si="47"/>
        <v>0</v>
      </c>
      <c r="N170" s="151">
        <v>117781.72</v>
      </c>
      <c r="O170" s="156">
        <f t="shared" si="34"/>
        <v>117781.72</v>
      </c>
      <c r="P170" s="156">
        <f t="shared" si="48"/>
        <v>0</v>
      </c>
      <c r="Q170" s="85">
        <f t="shared" si="35"/>
        <v>767.87025965044108</v>
      </c>
      <c r="R170" s="6">
        <f t="shared" si="36"/>
        <v>767.87025965044108</v>
      </c>
      <c r="S170" s="5">
        <f t="shared" si="37"/>
        <v>117781.72</v>
      </c>
      <c r="T170" s="113">
        <v>0.49074074074074076</v>
      </c>
      <c r="U170" s="87">
        <f t="shared" si="38"/>
        <v>27163.394317051247</v>
      </c>
      <c r="V170" s="87">
        <f t="shared" si="39"/>
        <v>10964.395685744847</v>
      </c>
      <c r="W170" s="87">
        <f t="shared" si="40"/>
        <v>3999.0552744547667</v>
      </c>
      <c r="X170" s="87">
        <f t="shared" si="41"/>
        <v>1426.0511785514359</v>
      </c>
      <c r="Y170" s="87">
        <f t="shared" si="42"/>
        <v>43552.8964558023</v>
      </c>
      <c r="Z170" s="91">
        <f t="shared" si="43"/>
        <v>0.36977636644975381</v>
      </c>
      <c r="AA170" s="131">
        <f t="shared" si="44"/>
        <v>43554.261827617411</v>
      </c>
      <c r="AC170" s="131">
        <v>43665.461069047538</v>
      </c>
      <c r="AD170" s="151">
        <f t="shared" si="49"/>
        <v>-111.19924143012759</v>
      </c>
    </row>
    <row r="171" spans="2:30" x14ac:dyDescent="0.3">
      <c r="B171">
        <v>555</v>
      </c>
      <c r="C171" s="25">
        <v>7</v>
      </c>
      <c r="D171" s="32" t="s">
        <v>183</v>
      </c>
      <c r="E171" s="153">
        <v>517.66764141679323</v>
      </c>
      <c r="F171" s="153">
        <f>INDEX('Revised 2019 Lockdown'!H$5:H$257,MATCH(B171,'Revised 2019 Lockdown'!B$5:B$257,0))</f>
        <v>517.66764141679323</v>
      </c>
      <c r="G171" s="153">
        <f t="shared" si="45"/>
        <v>0</v>
      </c>
      <c r="H171" s="151">
        <v>492608.68</v>
      </c>
      <c r="I171" s="151">
        <f>INDEX('Revised 2019 Lockdown'!E$5:E$257,MATCH(B171,'Revised 2019 Lockdown'!B$5:B$257,0))</f>
        <v>492608.68</v>
      </c>
      <c r="J171" s="151">
        <f t="shared" si="46"/>
        <v>0</v>
      </c>
      <c r="K171" s="151">
        <v>497.7</v>
      </c>
      <c r="L171" s="151">
        <f>INDEX('Revised 2019 Lockdown'!F$5:F$257,MATCH(B171,'Revised 2019 Lockdown'!B$5:B$257,0))</f>
        <v>497.7</v>
      </c>
      <c r="M171" s="151">
        <f t="shared" si="47"/>
        <v>0</v>
      </c>
      <c r="N171" s="151">
        <v>492110.98</v>
      </c>
      <c r="O171" s="156">
        <f t="shared" si="34"/>
        <v>492110.98</v>
      </c>
      <c r="P171" s="156">
        <f t="shared" si="48"/>
        <v>0</v>
      </c>
      <c r="Q171" s="85">
        <f t="shared" si="35"/>
        <v>950.63113980459013</v>
      </c>
      <c r="R171" s="6">
        <f t="shared" si="36"/>
        <v>782.54308711894498</v>
      </c>
      <c r="S171" s="5">
        <f t="shared" si="37"/>
        <v>405097.23421588039</v>
      </c>
      <c r="T171" s="113">
        <v>0.65625</v>
      </c>
      <c r="U171" s="87">
        <f t="shared" si="38"/>
        <v>93425.498538761574</v>
      </c>
      <c r="V171" s="87">
        <f t="shared" si="39"/>
        <v>37003.744529353353</v>
      </c>
      <c r="W171" s="87">
        <f t="shared" si="40"/>
        <v>18393.145024818685</v>
      </c>
      <c r="X171" s="87">
        <f t="shared" si="41"/>
        <v>4904.7457303347528</v>
      </c>
      <c r="Y171" s="87">
        <f t="shared" si="42"/>
        <v>153727.13382326835</v>
      </c>
      <c r="Z171" s="91">
        <f t="shared" si="43"/>
        <v>0.37948206217904124</v>
      </c>
      <c r="AA171" s="131">
        <f t="shared" si="44"/>
        <v>153731.95312836216</v>
      </c>
      <c r="AC171" s="131">
        <v>155421.72188672333</v>
      </c>
      <c r="AD171" s="151">
        <f t="shared" si="49"/>
        <v>-1689.7687583611696</v>
      </c>
    </row>
    <row r="172" spans="2:30" x14ac:dyDescent="0.3">
      <c r="B172">
        <v>556</v>
      </c>
      <c r="C172" s="25">
        <v>7</v>
      </c>
      <c r="D172" s="32" t="s">
        <v>184</v>
      </c>
      <c r="E172" s="153">
        <v>429.57419276527332</v>
      </c>
      <c r="F172" s="153">
        <f>INDEX('Revised 2019 Lockdown'!H$5:H$257,MATCH(B172,'Revised 2019 Lockdown'!B$5:B$257,0))</f>
        <v>429.57419276527332</v>
      </c>
      <c r="G172" s="153">
        <f t="shared" si="45"/>
        <v>0</v>
      </c>
      <c r="H172" s="151">
        <v>251644.37</v>
      </c>
      <c r="I172" s="151">
        <f>INDEX('Revised 2019 Lockdown'!E$5:E$257,MATCH(B172,'Revised 2019 Lockdown'!B$5:B$257,0))</f>
        <v>251644.37</v>
      </c>
      <c r="J172" s="151">
        <f t="shared" si="46"/>
        <v>0</v>
      </c>
      <c r="K172" s="151">
        <v>73939.33</v>
      </c>
      <c r="L172" s="151">
        <f>INDEX('Revised 2019 Lockdown'!F$5:F$257,MATCH(B172,'Revised 2019 Lockdown'!B$5:B$257,0))</f>
        <v>73939.33</v>
      </c>
      <c r="M172" s="151">
        <f t="shared" si="47"/>
        <v>0</v>
      </c>
      <c r="N172" s="151">
        <v>177705.03999999998</v>
      </c>
      <c r="O172" s="156">
        <f t="shared" si="34"/>
        <v>177705.03999999998</v>
      </c>
      <c r="P172" s="156">
        <f t="shared" si="48"/>
        <v>0</v>
      </c>
      <c r="Q172" s="85">
        <f t="shared" si="35"/>
        <v>413.67717845448192</v>
      </c>
      <c r="R172" s="6">
        <f t="shared" si="36"/>
        <v>413.67717845448192</v>
      </c>
      <c r="S172" s="5">
        <f t="shared" si="37"/>
        <v>177705.03999999998</v>
      </c>
      <c r="T172" s="113">
        <v>0.84259259259259256</v>
      </c>
      <c r="U172" s="87">
        <f t="shared" si="38"/>
        <v>40983.202432833918</v>
      </c>
      <c r="V172" s="87">
        <f t="shared" si="39"/>
        <v>30706.678211495604</v>
      </c>
      <c r="W172" s="87">
        <f t="shared" si="40"/>
        <v>10359.642837188572</v>
      </c>
      <c r="X172" s="87">
        <f t="shared" si="41"/>
        <v>2151.577356202049</v>
      </c>
      <c r="Y172" s="87">
        <f t="shared" si="42"/>
        <v>84201.100837720136</v>
      </c>
      <c r="Z172" s="91">
        <f t="shared" si="43"/>
        <v>0.47382505773454792</v>
      </c>
      <c r="AA172" s="131">
        <f t="shared" si="44"/>
        <v>84203.740520020074</v>
      </c>
      <c r="AC172" s="131">
        <v>84402.542569631201</v>
      </c>
      <c r="AD172" s="151">
        <f t="shared" si="49"/>
        <v>-198.80204961112759</v>
      </c>
    </row>
    <row r="173" spans="2:30" x14ac:dyDescent="0.3">
      <c r="B173">
        <v>558</v>
      </c>
      <c r="C173" s="25">
        <v>7</v>
      </c>
      <c r="D173" s="32" t="s">
        <v>185</v>
      </c>
      <c r="E173" s="153">
        <v>390.35176357334609</v>
      </c>
      <c r="F173" s="153">
        <f>INDEX('Revised 2019 Lockdown'!H$5:H$257,MATCH(B173,'Revised 2019 Lockdown'!B$5:B$257,0))</f>
        <v>390.35176357334609</v>
      </c>
      <c r="G173" s="153">
        <f t="shared" si="45"/>
        <v>0</v>
      </c>
      <c r="H173" s="151">
        <v>237481.28</v>
      </c>
      <c r="I173" s="151">
        <f>INDEX('Revised 2019 Lockdown'!E$5:E$257,MATCH(B173,'Revised 2019 Lockdown'!B$5:B$257,0))</f>
        <v>237481.28</v>
      </c>
      <c r="J173" s="151">
        <f t="shared" si="46"/>
        <v>0</v>
      </c>
      <c r="K173" s="151">
        <v>9049.75</v>
      </c>
      <c r="L173" s="151">
        <f>INDEX('Revised 2019 Lockdown'!F$5:F$257,MATCH(B173,'Revised 2019 Lockdown'!B$5:B$257,0))</f>
        <v>9049.75</v>
      </c>
      <c r="M173" s="151">
        <f t="shared" si="47"/>
        <v>0</v>
      </c>
      <c r="N173" s="151">
        <v>228431.53</v>
      </c>
      <c r="O173" s="156">
        <f t="shared" si="34"/>
        <v>228431.53</v>
      </c>
      <c r="P173" s="156">
        <f t="shared" si="48"/>
        <v>0</v>
      </c>
      <c r="Q173" s="85">
        <f t="shared" si="35"/>
        <v>585.19405140865547</v>
      </c>
      <c r="R173" s="6">
        <f t="shared" si="36"/>
        <v>585.19405140865547</v>
      </c>
      <c r="S173" s="5">
        <f t="shared" si="37"/>
        <v>228431.53000000003</v>
      </c>
      <c r="T173" s="113">
        <v>0.34722222222222221</v>
      </c>
      <c r="U173" s="87">
        <f t="shared" si="38"/>
        <v>52681.992790029915</v>
      </c>
      <c r="V173" s="87">
        <f t="shared" si="39"/>
        <v>27902.993697496462</v>
      </c>
      <c r="W173" s="87">
        <f t="shared" si="40"/>
        <v>5487.7075822947827</v>
      </c>
      <c r="X173" s="87">
        <f t="shared" si="41"/>
        <v>2765.7522115894362</v>
      </c>
      <c r="Y173" s="87">
        <f t="shared" si="42"/>
        <v>88838.446281410594</v>
      </c>
      <c r="Z173" s="91">
        <f t="shared" si="43"/>
        <v>0.38890623497295046</v>
      </c>
      <c r="AA173" s="131">
        <f t="shared" si="44"/>
        <v>88841.231343266903</v>
      </c>
      <c r="AC173" s="131">
        <v>89058.76498328663</v>
      </c>
      <c r="AD173" s="151">
        <f t="shared" si="49"/>
        <v>-217.53364001972659</v>
      </c>
    </row>
    <row r="174" spans="2:30" x14ac:dyDescent="0.3">
      <c r="B174">
        <v>600</v>
      </c>
      <c r="C174" s="25">
        <v>7</v>
      </c>
      <c r="D174" s="32" t="s">
        <v>186</v>
      </c>
      <c r="E174" s="153">
        <v>754.93</v>
      </c>
      <c r="F174" s="153">
        <f>INDEX('Revised 2019 Lockdown'!H$5:H$257,MATCH(B174,'Revised 2019 Lockdown'!B$5:B$257,0))</f>
        <v>754.93</v>
      </c>
      <c r="G174" s="153">
        <f t="shared" si="45"/>
        <v>0</v>
      </c>
      <c r="H174" s="151">
        <v>289349.82</v>
      </c>
      <c r="I174" s="151">
        <f>INDEX('Revised 2019 Lockdown'!E$5:E$257,MATCH(B174,'Revised 2019 Lockdown'!B$5:B$257,0))</f>
        <v>289349.82</v>
      </c>
      <c r="J174" s="151">
        <f t="shared" si="46"/>
        <v>0</v>
      </c>
      <c r="K174" s="151">
        <v>0</v>
      </c>
      <c r="L174" s="151">
        <f>INDEX('Revised 2019 Lockdown'!F$5:F$257,MATCH(B174,'Revised 2019 Lockdown'!B$5:B$257,0))</f>
        <v>0</v>
      </c>
      <c r="M174" s="151">
        <f t="shared" si="47"/>
        <v>0</v>
      </c>
      <c r="N174" s="151">
        <v>289349.82</v>
      </c>
      <c r="O174" s="156">
        <f t="shared" si="34"/>
        <v>289349.82</v>
      </c>
      <c r="P174" s="156">
        <f t="shared" si="48"/>
        <v>0</v>
      </c>
      <c r="Q174" s="85">
        <f t="shared" si="35"/>
        <v>383.28033062668067</v>
      </c>
      <c r="R174" s="6">
        <f t="shared" si="36"/>
        <v>383.28033062668067</v>
      </c>
      <c r="S174" s="5">
        <f t="shared" si="37"/>
        <v>289349.82</v>
      </c>
      <c r="T174" s="113">
        <v>0.9004629629629628</v>
      </c>
      <c r="U174" s="87">
        <f t="shared" si="38"/>
        <v>66731.265736548943</v>
      </c>
      <c r="V174" s="87">
        <f t="shared" si="39"/>
        <v>53963.652781327779</v>
      </c>
      <c r="W174" s="87">
        <f t="shared" si="40"/>
        <v>18026.709980220508</v>
      </c>
      <c r="X174" s="87">
        <f t="shared" si="41"/>
        <v>3503.3250645740768</v>
      </c>
      <c r="Y174" s="87">
        <f t="shared" si="42"/>
        <v>142224.95356267132</v>
      </c>
      <c r="Z174" s="91">
        <f t="shared" si="43"/>
        <v>0.49153289109587595</v>
      </c>
      <c r="AA174" s="131">
        <f t="shared" si="44"/>
        <v>142229.41227744811</v>
      </c>
      <c r="AC174" s="131">
        <v>142561.64510315808</v>
      </c>
      <c r="AD174" s="151">
        <f t="shared" si="49"/>
        <v>-332.23282570997253</v>
      </c>
    </row>
    <row r="175" spans="2:30" x14ac:dyDescent="0.3">
      <c r="B175">
        <v>604</v>
      </c>
      <c r="C175" s="25">
        <v>7</v>
      </c>
      <c r="D175" s="32" t="s">
        <v>187</v>
      </c>
      <c r="E175" s="153">
        <v>515.3006777165001</v>
      </c>
      <c r="F175" s="153">
        <f>INDEX('Revised 2019 Lockdown'!H$5:H$257,MATCH(B175,'Revised 2019 Lockdown'!B$5:B$257,0))</f>
        <v>515.3006777165001</v>
      </c>
      <c r="G175" s="153">
        <f t="shared" si="45"/>
        <v>0</v>
      </c>
      <c r="H175" s="151">
        <v>227300.68</v>
      </c>
      <c r="I175" s="151">
        <f>INDEX('Revised 2019 Lockdown'!E$5:E$257,MATCH(B175,'Revised 2019 Lockdown'!B$5:B$257,0))</f>
        <v>227300.68</v>
      </c>
      <c r="J175" s="151">
        <f t="shared" si="46"/>
        <v>0</v>
      </c>
      <c r="K175" s="151">
        <v>4684.6499999999996</v>
      </c>
      <c r="L175" s="151">
        <f>INDEX('Revised 2019 Lockdown'!F$5:F$257,MATCH(B175,'Revised 2019 Lockdown'!B$5:B$257,0))</f>
        <v>4684.6499999999996</v>
      </c>
      <c r="M175" s="151">
        <f t="shared" si="47"/>
        <v>0</v>
      </c>
      <c r="N175" s="151">
        <v>222616.03</v>
      </c>
      <c r="O175" s="156">
        <f t="shared" si="34"/>
        <v>222616.03</v>
      </c>
      <c r="P175" s="156">
        <f t="shared" si="48"/>
        <v>0</v>
      </c>
      <c r="Q175" s="85">
        <f t="shared" si="35"/>
        <v>432.01190999107388</v>
      </c>
      <c r="R175" s="6">
        <f t="shared" si="36"/>
        <v>432.01190999107388</v>
      </c>
      <c r="S175" s="5">
        <f t="shared" si="37"/>
        <v>222616.03</v>
      </c>
      <c r="T175" s="113">
        <v>0.55092592592592593</v>
      </c>
      <c r="U175" s="87">
        <f t="shared" si="38"/>
        <v>51340.793836144607</v>
      </c>
      <c r="V175" s="87">
        <f t="shared" si="39"/>
        <v>36834.550024871314</v>
      </c>
      <c r="W175" s="87">
        <f t="shared" si="40"/>
        <v>8485.4923145850116</v>
      </c>
      <c r="X175" s="87">
        <f t="shared" si="41"/>
        <v>2695.3406007820381</v>
      </c>
      <c r="Y175" s="87">
        <f t="shared" si="42"/>
        <v>99356.176776382985</v>
      </c>
      <c r="Z175" s="91">
        <f t="shared" si="43"/>
        <v>0.44631187060690547</v>
      </c>
      <c r="AA175" s="131">
        <f t="shared" si="44"/>
        <v>99359.291566315849</v>
      </c>
      <c r="AC175" s="131">
        <v>99592.972355681777</v>
      </c>
      <c r="AD175" s="151">
        <f t="shared" si="49"/>
        <v>-233.68078936592792</v>
      </c>
    </row>
    <row r="176" spans="2:30" x14ac:dyDescent="0.3">
      <c r="B176">
        <v>612</v>
      </c>
      <c r="C176" s="25">
        <v>7</v>
      </c>
      <c r="D176" s="32" t="s">
        <v>188</v>
      </c>
      <c r="E176" s="153">
        <v>465.46763838354235</v>
      </c>
      <c r="F176" s="153">
        <f>INDEX('Revised 2019 Lockdown'!H$5:H$257,MATCH(B176,'Revised 2019 Lockdown'!B$5:B$257,0))</f>
        <v>465.46763838354235</v>
      </c>
      <c r="G176" s="153">
        <f t="shared" si="45"/>
        <v>0</v>
      </c>
      <c r="H176" s="151">
        <v>309970.14</v>
      </c>
      <c r="I176" s="151">
        <f>INDEX('Revised 2019 Lockdown'!E$5:E$257,MATCH(B176,'Revised 2019 Lockdown'!B$5:B$257,0))</f>
        <v>309970.14</v>
      </c>
      <c r="J176" s="151">
        <f t="shared" si="46"/>
        <v>0</v>
      </c>
      <c r="K176" s="151">
        <v>6701.21</v>
      </c>
      <c r="L176" s="151">
        <f>INDEX('Revised 2019 Lockdown'!F$5:F$257,MATCH(B176,'Revised 2019 Lockdown'!B$5:B$257,0))</f>
        <v>6701.21</v>
      </c>
      <c r="M176" s="151">
        <f t="shared" si="47"/>
        <v>0</v>
      </c>
      <c r="N176" s="151">
        <v>303268.93</v>
      </c>
      <c r="O176" s="156">
        <f t="shared" si="34"/>
        <v>303268.93</v>
      </c>
      <c r="P176" s="156">
        <f t="shared" si="48"/>
        <v>0</v>
      </c>
      <c r="Q176" s="85">
        <f t="shared" si="35"/>
        <v>651.53601451903376</v>
      </c>
      <c r="R176" s="6">
        <f t="shared" si="36"/>
        <v>651.53601451903376</v>
      </c>
      <c r="S176" s="5">
        <f t="shared" si="37"/>
        <v>303268.93</v>
      </c>
      <c r="T176" s="113">
        <v>0.79166666666666674</v>
      </c>
      <c r="U176" s="87">
        <f t="shared" si="38"/>
        <v>69941.358724428646</v>
      </c>
      <c r="V176" s="87">
        <f t="shared" si="39"/>
        <v>33272.40143943693</v>
      </c>
      <c r="W176" s="87">
        <f t="shared" si="40"/>
        <v>16611.072697051808</v>
      </c>
      <c r="X176" s="87">
        <f t="shared" si="41"/>
        <v>3671.8517529250967</v>
      </c>
      <c r="Y176" s="87">
        <f t="shared" si="42"/>
        <v>123496.68461384247</v>
      </c>
      <c r="Z176" s="91">
        <f t="shared" si="43"/>
        <v>0.40721838736939681</v>
      </c>
      <c r="AA176" s="131">
        <f t="shared" si="44"/>
        <v>123500.55620232804</v>
      </c>
      <c r="AC176" s="131">
        <v>123811.97425834088</v>
      </c>
      <c r="AD176" s="151">
        <f t="shared" si="49"/>
        <v>-311.41805601284432</v>
      </c>
    </row>
    <row r="177" spans="2:30" x14ac:dyDescent="0.3">
      <c r="B177">
        <v>635</v>
      </c>
      <c r="C177" s="25">
        <v>7</v>
      </c>
      <c r="D177" s="32" t="s">
        <v>293</v>
      </c>
      <c r="E177" s="153">
        <v>58.100000000000016</v>
      </c>
      <c r="F177" s="153">
        <f>INDEX('Revised 2019 Lockdown'!H$5:H$257,MATCH(B177,'Revised 2019 Lockdown'!B$5:B$257,0))</f>
        <v>58.100000000000016</v>
      </c>
      <c r="G177" s="153">
        <f t="shared" si="45"/>
        <v>0</v>
      </c>
      <c r="H177" s="151">
        <v>38338.959999999999</v>
      </c>
      <c r="I177" s="151">
        <f>INDEX('Revised 2019 Lockdown'!E$5:E$257,MATCH(B177,'Revised 2019 Lockdown'!B$5:B$257,0))</f>
        <v>38338.959999999999</v>
      </c>
      <c r="J177" s="151">
        <f t="shared" si="46"/>
        <v>0</v>
      </c>
      <c r="K177" s="151">
        <v>0</v>
      </c>
      <c r="L177" s="151">
        <f>INDEX('Revised 2019 Lockdown'!F$5:F$257,MATCH(B177,'Revised 2019 Lockdown'!B$5:B$257,0))</f>
        <v>0</v>
      </c>
      <c r="M177" s="151">
        <f t="shared" si="47"/>
        <v>0</v>
      </c>
      <c r="N177" s="151">
        <v>38338.959999999999</v>
      </c>
      <c r="O177" s="156">
        <f t="shared" si="34"/>
        <v>38338.959999999999</v>
      </c>
      <c r="P177" s="156">
        <f t="shared" si="48"/>
        <v>0</v>
      </c>
      <c r="Q177" s="85">
        <f t="shared" si="35"/>
        <v>659.8788296041306</v>
      </c>
      <c r="R177" s="6">
        <f t="shared" si="36"/>
        <v>659.8788296041306</v>
      </c>
      <c r="S177" s="5">
        <f t="shared" si="37"/>
        <v>38338.959999999999</v>
      </c>
      <c r="T177" s="113">
        <v>0.4143518518518518</v>
      </c>
      <c r="U177" s="87">
        <f t="shared" si="38"/>
        <v>8841.9178136102528</v>
      </c>
      <c r="V177" s="87">
        <f t="shared" si="39"/>
        <v>4153.0846920842268</v>
      </c>
      <c r="W177" s="87">
        <f t="shared" si="40"/>
        <v>1099.0995059973854</v>
      </c>
      <c r="X177" s="87">
        <f t="shared" si="41"/>
        <v>464.19188896576105</v>
      </c>
      <c r="Y177" s="87">
        <f t="shared" si="42"/>
        <v>14558.293900657625</v>
      </c>
      <c r="Z177" s="91">
        <f t="shared" si="43"/>
        <v>0.37972584286735023</v>
      </c>
      <c r="AA177" s="131">
        <f t="shared" si="44"/>
        <v>14558.750299331092</v>
      </c>
      <c r="AC177" s="131">
        <v>14595.103217030333</v>
      </c>
      <c r="AD177" s="151">
        <f t="shared" si="49"/>
        <v>-36.352917699241516</v>
      </c>
    </row>
    <row r="178" spans="2:30" x14ac:dyDescent="0.3">
      <c r="B178">
        <v>642</v>
      </c>
      <c r="C178" s="25">
        <v>7</v>
      </c>
      <c r="D178" s="32" t="s">
        <v>310</v>
      </c>
      <c r="E178" s="153">
        <v>131.41386363582231</v>
      </c>
      <c r="F178" s="153">
        <f>INDEX('Revised 2019 Lockdown'!H$5:H$257,MATCH(B178,'Revised 2019 Lockdown'!B$5:B$257,0))</f>
        <v>131.41386363582231</v>
      </c>
      <c r="G178" s="153">
        <f t="shared" si="45"/>
        <v>0</v>
      </c>
      <c r="H178" s="151">
        <v>68196.52</v>
      </c>
      <c r="I178" s="151">
        <f>INDEX('Revised 2019 Lockdown'!E$5:E$257,MATCH(B178,'Revised 2019 Lockdown'!B$5:B$257,0))</f>
        <v>68196.52</v>
      </c>
      <c r="J178" s="151">
        <f t="shared" si="46"/>
        <v>0</v>
      </c>
      <c r="K178" s="151">
        <v>0</v>
      </c>
      <c r="L178" s="151">
        <f>INDEX('Revised 2019 Lockdown'!F$5:F$257,MATCH(B178,'Revised 2019 Lockdown'!B$5:B$257,0))</f>
        <v>0</v>
      </c>
      <c r="M178" s="151">
        <f t="shared" si="47"/>
        <v>0</v>
      </c>
      <c r="N178" s="151">
        <v>68196.52</v>
      </c>
      <c r="O178" s="156">
        <f t="shared" si="34"/>
        <v>68196.52</v>
      </c>
      <c r="P178" s="156">
        <f t="shared" si="48"/>
        <v>0</v>
      </c>
      <c r="Q178" s="85">
        <f t="shared" si="35"/>
        <v>518.94463881670856</v>
      </c>
      <c r="R178" s="6">
        <f t="shared" si="36"/>
        <v>518.94463881670856</v>
      </c>
      <c r="S178" s="5">
        <f t="shared" si="37"/>
        <v>68196.52</v>
      </c>
      <c r="T178" s="113">
        <v>0.31944444444444442</v>
      </c>
      <c r="U178" s="87">
        <f t="shared" si="38"/>
        <v>15727.813822133621</v>
      </c>
      <c r="V178" s="87">
        <f t="shared" si="39"/>
        <v>9393.681676309423</v>
      </c>
      <c r="W178" s="87">
        <f t="shared" si="40"/>
        <v>1507.2488246211385</v>
      </c>
      <c r="X178" s="87">
        <f t="shared" si="41"/>
        <v>825.69457908329559</v>
      </c>
      <c r="Y178" s="87">
        <f t="shared" si="42"/>
        <v>27454.438902147478</v>
      </c>
      <c r="Z178" s="91">
        <f t="shared" si="43"/>
        <v>0.40257829728184774</v>
      </c>
      <c r="AA178" s="131">
        <f t="shared" si="44"/>
        <v>27455.299591564879</v>
      </c>
      <c r="AC178" s="131">
        <v>24652.005146395335</v>
      </c>
      <c r="AD178" s="151">
        <f t="shared" si="49"/>
        <v>2803.2944451695439</v>
      </c>
    </row>
    <row r="179" spans="2:30" x14ac:dyDescent="0.3">
      <c r="B179">
        <v>643</v>
      </c>
      <c r="C179" s="25">
        <v>7</v>
      </c>
      <c r="D179" s="32" t="s">
        <v>311</v>
      </c>
      <c r="E179" s="153">
        <v>8.1079758961533877</v>
      </c>
      <c r="F179" s="153">
        <f>INDEX('Revised 2019 Lockdown'!H$5:H$257,MATCH(B179,'Revised 2019 Lockdown'!B$5:B$257,0))</f>
        <v>8.1079758961533877</v>
      </c>
      <c r="G179" s="153">
        <f t="shared" si="45"/>
        <v>0</v>
      </c>
      <c r="H179" s="151">
        <v>25324.71</v>
      </c>
      <c r="I179" s="151">
        <f>INDEX('Revised 2019 Lockdown'!E$5:E$257,MATCH(B179,'Revised 2019 Lockdown'!B$5:B$257,0))</f>
        <v>25324.71</v>
      </c>
      <c r="J179" s="151">
        <f t="shared" si="46"/>
        <v>0</v>
      </c>
      <c r="K179" s="151">
        <v>0</v>
      </c>
      <c r="L179" s="151">
        <f>INDEX('Revised 2019 Lockdown'!F$5:F$257,MATCH(B179,'Revised 2019 Lockdown'!B$5:B$257,0))</f>
        <v>0</v>
      </c>
      <c r="M179" s="151">
        <f t="shared" si="47"/>
        <v>0</v>
      </c>
      <c r="N179" s="151">
        <v>25324.71</v>
      </c>
      <c r="O179" s="156">
        <f t="shared" si="34"/>
        <v>25324.71</v>
      </c>
      <c r="P179" s="156">
        <f t="shared" si="48"/>
        <v>0</v>
      </c>
      <c r="Q179" s="85">
        <f t="shared" si="35"/>
        <v>3123.4318311200986</v>
      </c>
      <c r="R179" s="6">
        <f t="shared" si="36"/>
        <v>782.54308711894498</v>
      </c>
      <c r="S179" s="5">
        <f t="shared" si="37"/>
        <v>6344.8404880618664</v>
      </c>
      <c r="T179" s="113">
        <v>0.61342592592592582</v>
      </c>
      <c r="U179" s="87">
        <f t="shared" si="38"/>
        <v>1463.2780371692345</v>
      </c>
      <c r="V179" s="87">
        <f t="shared" si="39"/>
        <v>579.57161063859746</v>
      </c>
      <c r="W179" s="87">
        <f t="shared" si="40"/>
        <v>269.28380545128272</v>
      </c>
      <c r="X179" s="87">
        <f t="shared" si="41"/>
        <v>76.820641231266549</v>
      </c>
      <c r="Y179" s="87">
        <f t="shared" si="42"/>
        <v>2388.9540944903811</v>
      </c>
      <c r="Z179" s="91">
        <f t="shared" si="43"/>
        <v>0.3765191731746948</v>
      </c>
      <c r="AA179" s="131">
        <f t="shared" si="44"/>
        <v>2389.0289875710632</v>
      </c>
      <c r="AC179" s="131">
        <v>2415.2322788105066</v>
      </c>
      <c r="AD179" s="151">
        <f t="shared" si="49"/>
        <v>-26.203291239443388</v>
      </c>
    </row>
    <row r="180" spans="2:30" x14ac:dyDescent="0.3">
      <c r="B180">
        <v>711</v>
      </c>
      <c r="C180" s="25">
        <v>7</v>
      </c>
      <c r="D180" s="32" t="s">
        <v>189</v>
      </c>
      <c r="E180" s="153">
        <v>456.7</v>
      </c>
      <c r="F180" s="153">
        <f>INDEX('Revised 2019 Lockdown'!H$5:H$257,MATCH(B180,'Revised 2019 Lockdown'!B$5:B$257,0))</f>
        <v>456.7</v>
      </c>
      <c r="G180" s="153">
        <f t="shared" si="45"/>
        <v>0</v>
      </c>
      <c r="H180" s="151">
        <v>239906.51</v>
      </c>
      <c r="I180" s="151">
        <f>INDEX('Revised 2019 Lockdown'!E$5:E$257,MATCH(B180,'Revised 2019 Lockdown'!B$5:B$257,0))</f>
        <v>239906.51</v>
      </c>
      <c r="J180" s="151">
        <f t="shared" si="46"/>
        <v>0</v>
      </c>
      <c r="K180" s="151">
        <v>6079.57</v>
      </c>
      <c r="L180" s="151">
        <f>INDEX('Revised 2019 Lockdown'!F$5:F$257,MATCH(B180,'Revised 2019 Lockdown'!B$5:B$257,0))</f>
        <v>6079.57</v>
      </c>
      <c r="M180" s="151">
        <f t="shared" si="47"/>
        <v>0</v>
      </c>
      <c r="N180" s="151">
        <v>233826.94</v>
      </c>
      <c r="O180" s="156">
        <f t="shared" si="34"/>
        <v>233826.94</v>
      </c>
      <c r="P180" s="156">
        <f t="shared" si="48"/>
        <v>0</v>
      </c>
      <c r="Q180" s="85">
        <f t="shared" si="35"/>
        <v>511.99242391066349</v>
      </c>
      <c r="R180" s="6">
        <f t="shared" si="36"/>
        <v>511.99242391066349</v>
      </c>
      <c r="S180" s="5">
        <f t="shared" si="37"/>
        <v>233826.94</v>
      </c>
      <c r="T180" s="113">
        <v>0.75462962962962965</v>
      </c>
      <c r="U180" s="87">
        <f t="shared" si="38"/>
        <v>53926.3085406588</v>
      </c>
      <c r="V180" s="87">
        <f t="shared" si="39"/>
        <v>32645.676056366014</v>
      </c>
      <c r="W180" s="87">
        <f t="shared" si="40"/>
        <v>12208.317072399142</v>
      </c>
      <c r="X180" s="87">
        <f t="shared" si="41"/>
        <v>2831.0775506086675</v>
      </c>
      <c r="Y180" s="87">
        <f t="shared" si="42"/>
        <v>101611.37922003263</v>
      </c>
      <c r="Z180" s="91">
        <f t="shared" si="43"/>
        <v>0.43455805058233504</v>
      </c>
      <c r="AA180" s="131">
        <f t="shared" si="44"/>
        <v>101614.56470996721</v>
      </c>
      <c r="AC180" s="131">
        <v>101861.94467489838</v>
      </c>
      <c r="AD180" s="151">
        <f t="shared" si="49"/>
        <v>-247.37996493116952</v>
      </c>
    </row>
    <row r="181" spans="2:30" x14ac:dyDescent="0.3">
      <c r="B181">
        <v>712</v>
      </c>
      <c r="C181" s="25">
        <v>7</v>
      </c>
      <c r="D181" s="32" t="s">
        <v>190</v>
      </c>
      <c r="E181" s="153">
        <v>732.75000000000011</v>
      </c>
      <c r="F181" s="153">
        <f>INDEX('Revised 2019 Lockdown'!H$5:H$257,MATCH(B181,'Revised 2019 Lockdown'!B$5:B$257,0))</f>
        <v>732.75000000000011</v>
      </c>
      <c r="G181" s="153">
        <f t="shared" si="45"/>
        <v>0</v>
      </c>
      <c r="H181" s="151">
        <v>294954.17</v>
      </c>
      <c r="I181" s="151">
        <f>INDEX('Revised 2019 Lockdown'!E$5:E$257,MATCH(B181,'Revised 2019 Lockdown'!B$5:B$257,0))</f>
        <v>294954.17</v>
      </c>
      <c r="J181" s="151">
        <f t="shared" si="46"/>
        <v>0</v>
      </c>
      <c r="K181" s="151">
        <v>0</v>
      </c>
      <c r="L181" s="151">
        <f>INDEX('Revised 2019 Lockdown'!F$5:F$257,MATCH(B181,'Revised 2019 Lockdown'!B$5:B$257,0))</f>
        <v>0</v>
      </c>
      <c r="M181" s="151">
        <f t="shared" si="47"/>
        <v>0</v>
      </c>
      <c r="N181" s="151">
        <v>294954.17</v>
      </c>
      <c r="O181" s="156">
        <f t="shared" si="34"/>
        <v>294954.17</v>
      </c>
      <c r="P181" s="156">
        <f t="shared" si="48"/>
        <v>0</v>
      </c>
      <c r="Q181" s="85">
        <f t="shared" si="35"/>
        <v>402.53042647560551</v>
      </c>
      <c r="R181" s="6">
        <f t="shared" si="36"/>
        <v>402.53042647560551</v>
      </c>
      <c r="S181" s="5">
        <f t="shared" si="37"/>
        <v>294954.17</v>
      </c>
      <c r="T181" s="113">
        <v>0.84027777777777768</v>
      </c>
      <c r="U181" s="87">
        <f t="shared" si="38"/>
        <v>68023.768248320426</v>
      </c>
      <c r="V181" s="87">
        <f t="shared" si="39"/>
        <v>52378.189468583761</v>
      </c>
      <c r="W181" s="87">
        <f t="shared" si="40"/>
        <v>17147.658245930772</v>
      </c>
      <c r="X181" s="87">
        <f t="shared" si="41"/>
        <v>3571.1801606154213</v>
      </c>
      <c r="Y181" s="87">
        <f t="shared" si="42"/>
        <v>141120.79612345039</v>
      </c>
      <c r="Z181" s="91">
        <f t="shared" si="43"/>
        <v>0.47844991011129084</v>
      </c>
      <c r="AA181" s="131">
        <f t="shared" si="44"/>
        <v>141125.22022318273</v>
      </c>
      <c r="AC181" s="131">
        <v>141456.8733272932</v>
      </c>
      <c r="AD181" s="151">
        <f t="shared" si="49"/>
        <v>-331.6531041104754</v>
      </c>
    </row>
    <row r="182" spans="2:30" x14ac:dyDescent="0.3">
      <c r="B182">
        <v>718</v>
      </c>
      <c r="C182" s="25">
        <v>7</v>
      </c>
      <c r="D182" s="32" t="s">
        <v>191</v>
      </c>
      <c r="E182" s="153">
        <v>33.193848082682578</v>
      </c>
      <c r="F182" s="153">
        <f>INDEX('Revised 2019 Lockdown'!H$5:H$257,MATCH(B182,'Revised 2019 Lockdown'!B$5:B$257,0))</f>
        <v>33.193848082682578</v>
      </c>
      <c r="G182" s="153">
        <f t="shared" si="45"/>
        <v>0</v>
      </c>
      <c r="H182" s="151">
        <v>24351.48</v>
      </c>
      <c r="I182" s="151">
        <f>INDEX('Revised 2019 Lockdown'!E$5:E$257,MATCH(B182,'Revised 2019 Lockdown'!B$5:B$257,0))</f>
        <v>24351.48</v>
      </c>
      <c r="J182" s="151">
        <f t="shared" si="46"/>
        <v>0</v>
      </c>
      <c r="K182" s="151">
        <v>0</v>
      </c>
      <c r="L182" s="151">
        <f>INDEX('Revised 2019 Lockdown'!F$5:F$257,MATCH(B182,'Revised 2019 Lockdown'!B$5:B$257,0))</f>
        <v>0</v>
      </c>
      <c r="M182" s="151">
        <f t="shared" si="47"/>
        <v>0</v>
      </c>
      <c r="N182" s="151">
        <v>24351.48</v>
      </c>
      <c r="O182" s="156">
        <f t="shared" si="34"/>
        <v>24351.48</v>
      </c>
      <c r="P182" s="156">
        <f t="shared" si="48"/>
        <v>0</v>
      </c>
      <c r="Q182" s="85">
        <f t="shared" si="35"/>
        <v>733.614251030579</v>
      </c>
      <c r="R182" s="6">
        <f t="shared" si="36"/>
        <v>733.614251030579</v>
      </c>
      <c r="S182" s="5">
        <f t="shared" si="37"/>
        <v>24351.48</v>
      </c>
      <c r="T182" s="113">
        <v>0.20833333333333331</v>
      </c>
      <c r="U182" s="87">
        <f t="shared" si="38"/>
        <v>5616.0570031052966</v>
      </c>
      <c r="V182" s="87">
        <f t="shared" si="39"/>
        <v>2372.7515033314685</v>
      </c>
      <c r="W182" s="87">
        <f t="shared" si="40"/>
        <v>351.00356269408098</v>
      </c>
      <c r="X182" s="87">
        <f t="shared" si="41"/>
        <v>294.83740561329654</v>
      </c>
      <c r="Y182" s="87">
        <f t="shared" si="42"/>
        <v>8634.6494747441429</v>
      </c>
      <c r="Z182" s="91">
        <f t="shared" si="43"/>
        <v>0.35458417618740806</v>
      </c>
      <c r="AA182" s="131">
        <f t="shared" si="44"/>
        <v>8634.9201687274508</v>
      </c>
      <c r="AC182" s="131">
        <v>8656.6439234053269</v>
      </c>
      <c r="AD182" s="151">
        <f t="shared" si="49"/>
        <v>-21.723754677876059</v>
      </c>
    </row>
    <row r="183" spans="2:30" x14ac:dyDescent="0.3">
      <c r="B183">
        <v>736</v>
      </c>
      <c r="C183" s="25">
        <v>7</v>
      </c>
      <c r="D183" s="32" t="s">
        <v>192</v>
      </c>
      <c r="E183" s="153">
        <v>122.59818725735381</v>
      </c>
      <c r="F183" s="153">
        <f>INDEX('Revised 2019 Lockdown'!H$5:H$257,MATCH(B183,'Revised 2019 Lockdown'!B$5:B$257,0))</f>
        <v>122.59818725735381</v>
      </c>
      <c r="G183" s="153">
        <f t="shared" si="45"/>
        <v>0</v>
      </c>
      <c r="H183" s="151">
        <v>112946.17</v>
      </c>
      <c r="I183" s="151">
        <f>INDEX('Revised 2019 Lockdown'!E$5:E$257,MATCH(B183,'Revised 2019 Lockdown'!B$5:B$257,0))</f>
        <v>112946.17</v>
      </c>
      <c r="J183" s="151">
        <f t="shared" si="46"/>
        <v>0</v>
      </c>
      <c r="K183" s="151">
        <v>198</v>
      </c>
      <c r="L183" s="151">
        <f>INDEX('Revised 2019 Lockdown'!F$5:F$257,MATCH(B183,'Revised 2019 Lockdown'!B$5:B$257,0))</f>
        <v>198</v>
      </c>
      <c r="M183" s="151">
        <f t="shared" si="47"/>
        <v>0</v>
      </c>
      <c r="N183" s="151">
        <v>112748.17</v>
      </c>
      <c r="O183" s="156">
        <f t="shared" si="34"/>
        <v>112748.17</v>
      </c>
      <c r="P183" s="156">
        <f t="shared" si="48"/>
        <v>0</v>
      </c>
      <c r="Q183" s="85">
        <f t="shared" si="35"/>
        <v>919.65609379951923</v>
      </c>
      <c r="R183" s="6">
        <f t="shared" si="36"/>
        <v>782.54308711894498</v>
      </c>
      <c r="S183" s="5">
        <f t="shared" si="37"/>
        <v>95938.36393155616</v>
      </c>
      <c r="T183" s="113">
        <v>0.17592592592592593</v>
      </c>
      <c r="U183" s="87">
        <f t="shared" si="38"/>
        <v>22125.77307926584</v>
      </c>
      <c r="V183" s="87">
        <f t="shared" si="39"/>
        <v>8763.5224574146541</v>
      </c>
      <c r="W183" s="87">
        <f t="shared" si="40"/>
        <v>1167.7491347390305</v>
      </c>
      <c r="X183" s="87">
        <f t="shared" si="41"/>
        <v>1161.5810751693236</v>
      </c>
      <c r="Y183" s="87">
        <f t="shared" si="42"/>
        <v>33218.625746588848</v>
      </c>
      <c r="Z183" s="91">
        <f t="shared" si="43"/>
        <v>0.34624965848164252</v>
      </c>
      <c r="AA183" s="131">
        <f t="shared" si="44"/>
        <v>33219.667141743295</v>
      </c>
      <c r="AC183" s="131">
        <v>33575.111915093155</v>
      </c>
      <c r="AD183" s="151">
        <f t="shared" si="49"/>
        <v>-355.44477334986004</v>
      </c>
    </row>
    <row r="184" spans="2:30" x14ac:dyDescent="0.3">
      <c r="B184">
        <v>757</v>
      </c>
      <c r="C184" s="25">
        <v>7</v>
      </c>
      <c r="D184" s="32" t="s">
        <v>193</v>
      </c>
      <c r="E184" s="153">
        <v>525.4</v>
      </c>
      <c r="F184" s="153">
        <f>INDEX('Revised 2019 Lockdown'!H$5:H$257,MATCH(B184,'Revised 2019 Lockdown'!B$5:B$257,0))</f>
        <v>525.4</v>
      </c>
      <c r="G184" s="153">
        <f t="shared" si="45"/>
        <v>0</v>
      </c>
      <c r="H184" s="151">
        <v>282725.34000000003</v>
      </c>
      <c r="I184" s="151">
        <f>INDEX('Revised 2019 Lockdown'!E$5:E$257,MATCH(B184,'Revised 2019 Lockdown'!B$5:B$257,0))</f>
        <v>282725.34000000003</v>
      </c>
      <c r="J184" s="151">
        <f t="shared" si="46"/>
        <v>0</v>
      </c>
      <c r="K184" s="151">
        <v>29075.73</v>
      </c>
      <c r="L184" s="151">
        <f>INDEX('Revised 2019 Lockdown'!F$5:F$257,MATCH(B184,'Revised 2019 Lockdown'!B$5:B$257,0))</f>
        <v>29075.73</v>
      </c>
      <c r="M184" s="151">
        <f t="shared" si="47"/>
        <v>0</v>
      </c>
      <c r="N184" s="151">
        <v>253649.61000000002</v>
      </c>
      <c r="O184" s="156">
        <f t="shared" si="34"/>
        <v>253649.61000000002</v>
      </c>
      <c r="P184" s="156">
        <f t="shared" si="48"/>
        <v>0</v>
      </c>
      <c r="Q184" s="85">
        <f t="shared" si="35"/>
        <v>482.77428625808915</v>
      </c>
      <c r="R184" s="6">
        <f t="shared" si="36"/>
        <v>482.77428625808915</v>
      </c>
      <c r="S184" s="5">
        <f t="shared" si="37"/>
        <v>253649.61000000002</v>
      </c>
      <c r="T184" s="113">
        <v>0.91666666666666674</v>
      </c>
      <c r="U184" s="87">
        <f t="shared" si="38"/>
        <v>58497.9093088152</v>
      </c>
      <c r="V184" s="87">
        <f t="shared" si="39"/>
        <v>37556.466389346846</v>
      </c>
      <c r="W184" s="87">
        <f t="shared" si="40"/>
        <v>16086.92505992418</v>
      </c>
      <c r="X184" s="87">
        <f t="shared" si="41"/>
        <v>3071.0820429487026</v>
      </c>
      <c r="Y184" s="87">
        <f t="shared" si="42"/>
        <v>115212.38280103492</v>
      </c>
      <c r="Z184" s="91">
        <f t="shared" si="43"/>
        <v>0.45421864753127322</v>
      </c>
      <c r="AA184" s="131">
        <f t="shared" si="44"/>
        <v>115215.99467884397</v>
      </c>
      <c r="AC184" s="131">
        <v>115495.49280317752</v>
      </c>
      <c r="AD184" s="151">
        <f t="shared" si="49"/>
        <v>-279.49812433354964</v>
      </c>
    </row>
    <row r="185" spans="2:30" x14ac:dyDescent="0.3">
      <c r="B185">
        <v>786</v>
      </c>
      <c r="C185" s="25">
        <v>7</v>
      </c>
      <c r="D185" s="32" t="s">
        <v>194</v>
      </c>
      <c r="E185" s="153">
        <v>3077.6600000000003</v>
      </c>
      <c r="F185" s="153">
        <f>INDEX('Revised 2019 Lockdown'!H$5:H$257,MATCH(B185,'Revised 2019 Lockdown'!B$5:B$257,0))</f>
        <v>3077.6600000000003</v>
      </c>
      <c r="G185" s="153">
        <f t="shared" si="45"/>
        <v>0</v>
      </c>
      <c r="H185" s="151">
        <v>1688120.75</v>
      </c>
      <c r="I185" s="151">
        <f>INDEX('Revised 2019 Lockdown'!E$5:E$257,MATCH(B185,'Revised 2019 Lockdown'!B$5:B$257,0))</f>
        <v>1688120.75</v>
      </c>
      <c r="J185" s="151">
        <f t="shared" si="46"/>
        <v>0</v>
      </c>
      <c r="K185" s="151">
        <v>214655.14</v>
      </c>
      <c r="L185" s="151">
        <f>INDEX('Revised 2019 Lockdown'!F$5:F$257,MATCH(B185,'Revised 2019 Lockdown'!B$5:B$257,0))</f>
        <v>214655.14</v>
      </c>
      <c r="M185" s="151">
        <f t="shared" si="47"/>
        <v>0</v>
      </c>
      <c r="N185" s="151">
        <v>1473465.6099999999</v>
      </c>
      <c r="O185" s="156">
        <f t="shared" si="34"/>
        <v>1473465.6099999999</v>
      </c>
      <c r="P185" s="156">
        <f t="shared" si="48"/>
        <v>0</v>
      </c>
      <c r="Q185" s="85">
        <f t="shared" si="35"/>
        <v>478.76165983247006</v>
      </c>
      <c r="R185" s="6">
        <f t="shared" si="36"/>
        <v>478.76165983247006</v>
      </c>
      <c r="S185" s="5">
        <f t="shared" si="37"/>
        <v>1473465.6099999999</v>
      </c>
      <c r="T185" s="113">
        <v>0.91666666666666674</v>
      </c>
      <c r="U185" s="87">
        <f t="shared" si="38"/>
        <v>339817.82043125579</v>
      </c>
      <c r="V185" s="87">
        <f t="shared" si="39"/>
        <v>219996.25875111771</v>
      </c>
      <c r="W185" s="87">
        <f t="shared" si="40"/>
        <v>93449.900618595348</v>
      </c>
      <c r="X185" s="87">
        <f t="shared" si="41"/>
        <v>17840.097509999941</v>
      </c>
      <c r="Y185" s="87">
        <f t="shared" si="42"/>
        <v>671104.07731096877</v>
      </c>
      <c r="Z185" s="91">
        <f t="shared" si="43"/>
        <v>0.45545961355078307</v>
      </c>
      <c r="AA185" s="131">
        <f t="shared" si="44"/>
        <v>671125.11624676257</v>
      </c>
      <c r="AC185" s="131">
        <v>672751.09718612011</v>
      </c>
      <c r="AD185" s="151">
        <f t="shared" si="49"/>
        <v>-1625.9809393575415</v>
      </c>
    </row>
    <row r="186" spans="2:30" x14ac:dyDescent="0.3">
      <c r="B186">
        <v>854</v>
      </c>
      <c r="C186" s="25">
        <v>7</v>
      </c>
      <c r="D186" s="32" t="s">
        <v>195</v>
      </c>
      <c r="E186" s="153">
        <v>929.24</v>
      </c>
      <c r="F186" s="153">
        <f>INDEX('Revised 2019 Lockdown'!H$5:H$257,MATCH(B186,'Revised 2019 Lockdown'!B$5:B$257,0))</f>
        <v>929.24</v>
      </c>
      <c r="G186" s="153">
        <f t="shared" si="45"/>
        <v>0</v>
      </c>
      <c r="H186" s="151">
        <v>538668.79</v>
      </c>
      <c r="I186" s="151">
        <f>INDEX('Revised 2019 Lockdown'!E$5:E$257,MATCH(B186,'Revised 2019 Lockdown'!B$5:B$257,0))</f>
        <v>538668.79</v>
      </c>
      <c r="J186" s="151">
        <f t="shared" si="46"/>
        <v>0</v>
      </c>
      <c r="K186" s="151">
        <v>37955.19</v>
      </c>
      <c r="L186" s="151">
        <f>INDEX('Revised 2019 Lockdown'!F$5:F$257,MATCH(B186,'Revised 2019 Lockdown'!B$5:B$257,0))</f>
        <v>37955.19</v>
      </c>
      <c r="M186" s="151">
        <f t="shared" si="47"/>
        <v>0</v>
      </c>
      <c r="N186" s="151">
        <v>500713.60000000003</v>
      </c>
      <c r="O186" s="156">
        <f t="shared" si="34"/>
        <v>500713.60000000003</v>
      </c>
      <c r="P186" s="156">
        <f t="shared" si="48"/>
        <v>0</v>
      </c>
      <c r="Q186" s="85">
        <f t="shared" si="35"/>
        <v>538.84206448280315</v>
      </c>
      <c r="R186" s="6">
        <f t="shared" si="36"/>
        <v>538.84206448280315</v>
      </c>
      <c r="S186" s="5">
        <f t="shared" si="37"/>
        <v>500713.60000000003</v>
      </c>
      <c r="T186" s="113">
        <v>0.87962962962962954</v>
      </c>
      <c r="U186" s="87">
        <f t="shared" si="38"/>
        <v>115477.01083589434</v>
      </c>
      <c r="V186" s="87">
        <f t="shared" si="39"/>
        <v>66423.621674222813</v>
      </c>
      <c r="W186" s="87">
        <f t="shared" si="40"/>
        <v>30473.100081694334</v>
      </c>
      <c r="X186" s="87">
        <f t="shared" si="41"/>
        <v>6062.4281883193107</v>
      </c>
      <c r="Y186" s="87">
        <f t="shared" si="42"/>
        <v>218436.1607801308</v>
      </c>
      <c r="Z186" s="91">
        <f t="shared" si="43"/>
        <v>0.43624970597988705</v>
      </c>
      <c r="AA186" s="131">
        <f t="shared" si="44"/>
        <v>218443.00869615018</v>
      </c>
      <c r="AC186" s="131">
        <v>218981.01132104639</v>
      </c>
      <c r="AD186" s="151">
        <f t="shared" si="49"/>
        <v>-538.00262489620945</v>
      </c>
    </row>
    <row r="187" spans="2:30" x14ac:dyDescent="0.3">
      <c r="B187">
        <v>855</v>
      </c>
      <c r="C187" s="25">
        <v>7</v>
      </c>
      <c r="D187" s="32" t="s">
        <v>196</v>
      </c>
      <c r="E187" s="153">
        <v>155.11361225224698</v>
      </c>
      <c r="F187" s="153">
        <f>INDEX('Revised 2019 Lockdown'!H$5:H$257,MATCH(B187,'Revised 2019 Lockdown'!B$5:B$257,0))</f>
        <v>155.11361225224698</v>
      </c>
      <c r="G187" s="153">
        <f t="shared" si="45"/>
        <v>0</v>
      </c>
      <c r="H187" s="151">
        <v>140023.82</v>
      </c>
      <c r="I187" s="151">
        <f>INDEX('Revised 2019 Lockdown'!E$5:E$257,MATCH(B187,'Revised 2019 Lockdown'!B$5:B$257,0))</f>
        <v>140023.82</v>
      </c>
      <c r="J187" s="151">
        <f t="shared" si="46"/>
        <v>0</v>
      </c>
      <c r="K187" s="151">
        <v>7037</v>
      </c>
      <c r="L187" s="151">
        <f>INDEX('Revised 2019 Lockdown'!F$5:F$257,MATCH(B187,'Revised 2019 Lockdown'!B$5:B$257,0))</f>
        <v>7037</v>
      </c>
      <c r="M187" s="151">
        <f t="shared" si="47"/>
        <v>0</v>
      </c>
      <c r="N187" s="151">
        <v>132986.82</v>
      </c>
      <c r="O187" s="156">
        <f t="shared" si="34"/>
        <v>132986.82</v>
      </c>
      <c r="P187" s="156">
        <f t="shared" si="48"/>
        <v>0</v>
      </c>
      <c r="Q187" s="85">
        <f t="shared" si="35"/>
        <v>857.35106074208238</v>
      </c>
      <c r="R187" s="6">
        <f t="shared" si="36"/>
        <v>782.54308711894498</v>
      </c>
      <c r="S187" s="5">
        <f t="shared" si="37"/>
        <v>121383.08498604436</v>
      </c>
      <c r="T187" s="113">
        <v>0.38425925925925924</v>
      </c>
      <c r="U187" s="87">
        <f t="shared" si="38"/>
        <v>27993.958662652112</v>
      </c>
      <c r="V187" s="87">
        <f t="shared" si="39"/>
        <v>11087.77914937513</v>
      </c>
      <c r="W187" s="87">
        <f t="shared" si="40"/>
        <v>3227.0813458335069</v>
      </c>
      <c r="X187" s="87">
        <f t="shared" si="41"/>
        <v>1469.6549804210504</v>
      </c>
      <c r="Y187" s="87">
        <f t="shared" si="42"/>
        <v>43778.474138281803</v>
      </c>
      <c r="Z187" s="91">
        <f t="shared" si="43"/>
        <v>0.36066371309738171</v>
      </c>
      <c r="AA187" s="131">
        <f t="shared" si="44"/>
        <v>43779.846581897757</v>
      </c>
      <c r="AC187" s="131">
        <v>44254.102480702713</v>
      </c>
      <c r="AD187" s="151">
        <f t="shared" si="49"/>
        <v>-474.25589880495681</v>
      </c>
    </row>
    <row r="188" spans="2:30" x14ac:dyDescent="0.3">
      <c r="B188">
        <v>862</v>
      </c>
      <c r="C188" s="25">
        <v>7</v>
      </c>
      <c r="D188" s="32" t="s">
        <v>197</v>
      </c>
      <c r="E188" s="153">
        <v>12.345441747052517</v>
      </c>
      <c r="F188" s="153">
        <f>INDEX('Revised 2019 Lockdown'!H$5:H$257,MATCH(B188,'Revised 2019 Lockdown'!B$5:B$257,0))</f>
        <v>12.345441747052517</v>
      </c>
      <c r="G188" s="153">
        <f t="shared" si="45"/>
        <v>0</v>
      </c>
      <c r="H188" s="151">
        <v>11467.29</v>
      </c>
      <c r="I188" s="151">
        <f>INDEX('Revised 2019 Lockdown'!E$5:E$257,MATCH(B188,'Revised 2019 Lockdown'!B$5:B$257,0))</f>
        <v>11467.29</v>
      </c>
      <c r="J188" s="151">
        <f t="shared" si="46"/>
        <v>0</v>
      </c>
      <c r="K188" s="151">
        <v>8232.5</v>
      </c>
      <c r="L188" s="151">
        <f>INDEX('Revised 2019 Lockdown'!F$5:F$257,MATCH(B188,'Revised 2019 Lockdown'!B$5:B$257,0))</f>
        <v>8232.5</v>
      </c>
      <c r="M188" s="151">
        <f t="shared" si="47"/>
        <v>0</v>
      </c>
      <c r="N188" s="151">
        <v>3234.7900000000009</v>
      </c>
      <c r="O188" s="156">
        <f t="shared" si="34"/>
        <v>3234.7900000000009</v>
      </c>
      <c r="P188" s="156">
        <f t="shared" si="48"/>
        <v>0</v>
      </c>
      <c r="Q188" s="85">
        <f t="shared" si="35"/>
        <v>262.02302568657046</v>
      </c>
      <c r="R188" s="6">
        <f t="shared" si="36"/>
        <v>262.02302568657046</v>
      </c>
      <c r="S188" s="5">
        <f t="shared" si="37"/>
        <v>3234.7900000000009</v>
      </c>
      <c r="T188" s="113">
        <v>0.33333333333333337</v>
      </c>
      <c r="U188" s="87">
        <f t="shared" si="38"/>
        <v>746.02303568715274</v>
      </c>
      <c r="V188" s="87">
        <f t="shared" si="39"/>
        <v>882.47272180208847</v>
      </c>
      <c r="W188" s="87">
        <f t="shared" si="40"/>
        <v>74.602303568715286</v>
      </c>
      <c r="X188" s="87">
        <f t="shared" si="41"/>
        <v>39.165467203793597</v>
      </c>
      <c r="Y188" s="87">
        <f t="shared" si="42"/>
        <v>1742.2635282617503</v>
      </c>
      <c r="Z188" s="91">
        <f t="shared" si="43"/>
        <v>0.53860174177048581</v>
      </c>
      <c r="AA188" s="131">
        <f t="shared" si="44"/>
        <v>1742.3181477637711</v>
      </c>
      <c r="AC188" s="131">
        <v>1746.0185777813183</v>
      </c>
      <c r="AD188" s="151">
        <f t="shared" si="49"/>
        <v>-3.7004300175472054</v>
      </c>
    </row>
    <row r="189" spans="2:30" x14ac:dyDescent="0.3">
      <c r="B189">
        <v>958</v>
      </c>
      <c r="C189" s="25">
        <v>7</v>
      </c>
      <c r="D189" s="32" t="s">
        <v>198</v>
      </c>
      <c r="E189" s="153">
        <v>508.60074662379418</v>
      </c>
      <c r="F189" s="153">
        <f>INDEX('Revised 2019 Lockdown'!H$5:H$257,MATCH(B189,'Revised 2019 Lockdown'!B$5:B$257,0))</f>
        <v>508.60074662379418</v>
      </c>
      <c r="G189" s="153">
        <f t="shared" si="45"/>
        <v>0</v>
      </c>
      <c r="H189" s="151">
        <v>99405.3</v>
      </c>
      <c r="I189" s="151">
        <f>INDEX('Revised 2019 Lockdown'!E$5:E$257,MATCH(B189,'Revised 2019 Lockdown'!B$5:B$257,0))</f>
        <v>99405.3</v>
      </c>
      <c r="J189" s="151">
        <f t="shared" si="46"/>
        <v>0</v>
      </c>
      <c r="K189" s="151">
        <v>311.52</v>
      </c>
      <c r="L189" s="151">
        <f>INDEX('Revised 2019 Lockdown'!F$5:F$257,MATCH(B189,'Revised 2019 Lockdown'!B$5:B$257,0))</f>
        <v>311.52</v>
      </c>
      <c r="M189" s="151">
        <f t="shared" si="47"/>
        <v>0</v>
      </c>
      <c r="N189" s="151">
        <v>99093.78</v>
      </c>
      <c r="O189" s="156">
        <f t="shared" si="34"/>
        <v>99093.78</v>
      </c>
      <c r="P189" s="156">
        <f t="shared" si="48"/>
        <v>0</v>
      </c>
      <c r="Q189" s="85">
        <f t="shared" si="35"/>
        <v>194.83608834199859</v>
      </c>
      <c r="R189" s="6">
        <f t="shared" si="36"/>
        <v>194.83608834199859</v>
      </c>
      <c r="S189" s="5">
        <f t="shared" si="37"/>
        <v>99093.78</v>
      </c>
      <c r="T189" s="113">
        <v>0.85185185185185164</v>
      </c>
      <c r="U189" s="87">
        <f t="shared" si="38"/>
        <v>22853.490512000728</v>
      </c>
      <c r="V189" s="87">
        <f t="shared" si="39"/>
        <v>36355.627800101334</v>
      </c>
      <c r="W189" s="87">
        <f t="shared" si="40"/>
        <v>5840.3364641779626</v>
      </c>
      <c r="X189" s="87">
        <f t="shared" si="41"/>
        <v>1199.7855164291768</v>
      </c>
      <c r="Y189" s="87">
        <f t="shared" si="42"/>
        <v>66249.240292709204</v>
      </c>
      <c r="Z189" s="91">
        <f t="shared" si="43"/>
        <v>0.66855094530362258</v>
      </c>
      <c r="AA189" s="131">
        <f t="shared" si="44"/>
        <v>66251.317188916553</v>
      </c>
      <c r="AC189" s="131">
        <v>66387.182883506292</v>
      </c>
      <c r="AD189" s="151">
        <f t="shared" si="49"/>
        <v>-135.86569458973827</v>
      </c>
    </row>
    <row r="190" spans="2:30" x14ac:dyDescent="0.3">
      <c r="B190">
        <v>967</v>
      </c>
      <c r="C190" s="25">
        <v>7</v>
      </c>
      <c r="D190" s="32" t="s">
        <v>199</v>
      </c>
      <c r="E190" s="153">
        <v>155.99990261402883</v>
      </c>
      <c r="F190" s="153">
        <f>INDEX('Revised 2019 Lockdown'!H$5:H$257,MATCH(B190,'Revised 2019 Lockdown'!B$5:B$257,0))</f>
        <v>155.99990261402883</v>
      </c>
      <c r="G190" s="153">
        <f t="shared" si="45"/>
        <v>0</v>
      </c>
      <c r="H190" s="151">
        <v>91606.77</v>
      </c>
      <c r="I190" s="151">
        <f>INDEX('Revised 2019 Lockdown'!E$5:E$257,MATCH(B190,'Revised 2019 Lockdown'!B$5:B$257,0))</f>
        <v>91606.77</v>
      </c>
      <c r="J190" s="151">
        <f t="shared" si="46"/>
        <v>0</v>
      </c>
      <c r="K190" s="151">
        <v>0</v>
      </c>
      <c r="L190" s="151">
        <f>INDEX('Revised 2019 Lockdown'!F$5:F$257,MATCH(B190,'Revised 2019 Lockdown'!B$5:B$257,0))</f>
        <v>0</v>
      </c>
      <c r="M190" s="151">
        <f t="shared" si="47"/>
        <v>0</v>
      </c>
      <c r="N190" s="151">
        <v>91606.77</v>
      </c>
      <c r="O190" s="156">
        <f t="shared" si="34"/>
        <v>91606.77</v>
      </c>
      <c r="P190" s="156">
        <f t="shared" si="48"/>
        <v>0</v>
      </c>
      <c r="Q190" s="85">
        <f t="shared" si="35"/>
        <v>587.22325120068342</v>
      </c>
      <c r="R190" s="6">
        <f t="shared" si="36"/>
        <v>587.22325120068342</v>
      </c>
      <c r="S190" s="5">
        <f t="shared" si="37"/>
        <v>91606.77</v>
      </c>
      <c r="T190" s="113">
        <v>0.34722222222222221</v>
      </c>
      <c r="U190" s="87">
        <f t="shared" si="38"/>
        <v>21126.79977522336</v>
      </c>
      <c r="V190" s="87">
        <f t="shared" si="39"/>
        <v>11151.132659431205</v>
      </c>
      <c r="W190" s="87">
        <f t="shared" si="40"/>
        <v>2200.7083099191</v>
      </c>
      <c r="X190" s="87">
        <f t="shared" si="41"/>
        <v>1109.1359705206403</v>
      </c>
      <c r="Y190" s="87">
        <f t="shared" si="42"/>
        <v>35587.776715094304</v>
      </c>
      <c r="Z190" s="91">
        <f t="shared" si="43"/>
        <v>0.38848413403391802</v>
      </c>
      <c r="AA190" s="131">
        <f t="shared" si="44"/>
        <v>35588.892382506652</v>
      </c>
      <c r="AC190" s="131">
        <v>33349.027818350347</v>
      </c>
      <c r="AD190" s="151">
        <f t="shared" si="49"/>
        <v>2239.8645641563053</v>
      </c>
    </row>
    <row r="191" spans="2:30" x14ac:dyDescent="0.3">
      <c r="B191">
        <v>971</v>
      </c>
      <c r="C191" s="25">
        <v>7</v>
      </c>
      <c r="D191" s="32" t="s">
        <v>200</v>
      </c>
      <c r="E191" s="153">
        <v>888.33999999999992</v>
      </c>
      <c r="F191" s="153">
        <f>INDEX('Revised 2019 Lockdown'!H$5:H$257,MATCH(B191,'Revised 2019 Lockdown'!B$5:B$257,0))</f>
        <v>888.33999999999992</v>
      </c>
      <c r="G191" s="153">
        <f t="shared" si="45"/>
        <v>0</v>
      </c>
      <c r="H191" s="151">
        <v>579439.27</v>
      </c>
      <c r="I191" s="151">
        <f>INDEX('Revised 2019 Lockdown'!E$5:E$257,MATCH(B191,'Revised 2019 Lockdown'!B$5:B$257,0))</f>
        <v>579439.27</v>
      </c>
      <c r="J191" s="151">
        <f t="shared" si="46"/>
        <v>0</v>
      </c>
      <c r="K191" s="151">
        <v>96935.22</v>
      </c>
      <c r="L191" s="151">
        <f>INDEX('Revised 2019 Lockdown'!F$5:F$257,MATCH(B191,'Revised 2019 Lockdown'!B$5:B$257,0))</f>
        <v>96935.22</v>
      </c>
      <c r="M191" s="151">
        <f t="shared" si="47"/>
        <v>0</v>
      </c>
      <c r="N191" s="151">
        <v>482504.05000000005</v>
      </c>
      <c r="O191" s="156">
        <f t="shared" si="34"/>
        <v>482504.05000000005</v>
      </c>
      <c r="P191" s="156">
        <f t="shared" si="48"/>
        <v>0</v>
      </c>
      <c r="Q191" s="85">
        <f t="shared" si="35"/>
        <v>543.15245288965946</v>
      </c>
      <c r="R191" s="6">
        <f t="shared" si="36"/>
        <v>543.15245288965946</v>
      </c>
      <c r="S191" s="5">
        <f t="shared" si="37"/>
        <v>482504.05000000005</v>
      </c>
      <c r="T191" s="113">
        <v>0.5625</v>
      </c>
      <c r="U191" s="87">
        <f t="shared" si="38"/>
        <v>111277.4356642458</v>
      </c>
      <c r="V191" s="87">
        <f t="shared" si="39"/>
        <v>63500.021606989685</v>
      </c>
      <c r="W191" s="87">
        <f t="shared" si="40"/>
        <v>18778.067268341478</v>
      </c>
      <c r="X191" s="87">
        <f t="shared" si="41"/>
        <v>5841.954669691876</v>
      </c>
      <c r="Y191" s="87">
        <f t="shared" si="42"/>
        <v>199397.47920926884</v>
      </c>
      <c r="Z191" s="91">
        <f t="shared" si="43"/>
        <v>0.41325555549071313</v>
      </c>
      <c r="AA191" s="131">
        <f t="shared" si="44"/>
        <v>199403.73026764317</v>
      </c>
      <c r="AC191" s="131">
        <v>199890.31108239078</v>
      </c>
      <c r="AD191" s="151">
        <f t="shared" si="49"/>
        <v>-486.58081474760547</v>
      </c>
    </row>
    <row r="192" spans="2:30" x14ac:dyDescent="0.3">
      <c r="B192" s="31">
        <v>975</v>
      </c>
      <c r="C192" s="25">
        <v>7</v>
      </c>
      <c r="D192" s="32" t="s">
        <v>201</v>
      </c>
      <c r="E192" s="153">
        <v>30.317539180659761</v>
      </c>
      <c r="F192" s="153">
        <f>INDEX('Revised 2019 Lockdown'!H$5:H$257,MATCH(B192,'Revised 2019 Lockdown'!B$5:B$257,0))</f>
        <v>30.317539180659761</v>
      </c>
      <c r="G192" s="153">
        <f t="shared" si="45"/>
        <v>0</v>
      </c>
      <c r="H192" s="151">
        <v>76785.06</v>
      </c>
      <c r="I192" s="151">
        <f>INDEX('Revised 2019 Lockdown'!E$5:E$257,MATCH(B192,'Revised 2019 Lockdown'!B$5:B$257,0))</f>
        <v>76785.06</v>
      </c>
      <c r="J192" s="151">
        <f t="shared" si="46"/>
        <v>0</v>
      </c>
      <c r="K192" s="151">
        <v>0</v>
      </c>
      <c r="L192" s="151">
        <f>INDEX('Revised 2019 Lockdown'!F$5:F$257,MATCH(B192,'Revised 2019 Lockdown'!B$5:B$257,0))</f>
        <v>0</v>
      </c>
      <c r="M192" s="151">
        <f t="shared" si="47"/>
        <v>0</v>
      </c>
      <c r="N192" s="151">
        <v>76785.06</v>
      </c>
      <c r="O192" s="156">
        <f t="shared" si="34"/>
        <v>76785.06</v>
      </c>
      <c r="P192" s="156">
        <f t="shared" si="48"/>
        <v>0</v>
      </c>
      <c r="Q192" s="85">
        <f t="shared" si="35"/>
        <v>2532.694343773881</v>
      </c>
      <c r="R192" s="6">
        <f t="shared" si="36"/>
        <v>782.54308711894498</v>
      </c>
      <c r="S192" s="5">
        <f t="shared" si="37"/>
        <v>23724.780704283061</v>
      </c>
      <c r="T192" s="113">
        <v>0.2361111111111111</v>
      </c>
      <c r="U192" s="87">
        <f t="shared" si="38"/>
        <v>5471.5245570875477</v>
      </c>
      <c r="V192" s="87">
        <f t="shared" si="39"/>
        <v>2167.148156159411</v>
      </c>
      <c r="W192" s="87">
        <f t="shared" si="40"/>
        <v>387.56632279370126</v>
      </c>
      <c r="X192" s="87">
        <f t="shared" si="41"/>
        <v>287.24959598329201</v>
      </c>
      <c r="Y192" s="87">
        <f t="shared" si="42"/>
        <v>8313.4886320239511</v>
      </c>
      <c r="Z192" s="91">
        <f t="shared" si="43"/>
        <v>0.35041371870396709</v>
      </c>
      <c r="AA192" s="131">
        <f t="shared" si="44"/>
        <v>8313.7492576995573</v>
      </c>
      <c r="AC192" s="131">
        <v>8403.034726887101</v>
      </c>
      <c r="AD192" s="151">
        <f t="shared" si="49"/>
        <v>-89.28546918754364</v>
      </c>
    </row>
    <row r="193" spans="2:30" x14ac:dyDescent="0.3">
      <c r="B193" s="24">
        <v>976</v>
      </c>
      <c r="C193" s="25">
        <v>7</v>
      </c>
      <c r="D193" s="32" t="s">
        <v>202</v>
      </c>
      <c r="E193" s="153">
        <v>31.32229912468739</v>
      </c>
      <c r="F193" s="153">
        <f>INDEX('Revised 2019 Lockdown'!H$5:H$257,MATCH(B193,'Revised 2019 Lockdown'!B$5:B$257,0))</f>
        <v>31.32229912468739</v>
      </c>
      <c r="G193" s="153">
        <f t="shared" si="45"/>
        <v>0</v>
      </c>
      <c r="H193" s="151">
        <v>39297.230000000003</v>
      </c>
      <c r="I193" s="151">
        <f>INDEX('Revised 2019 Lockdown'!E$5:E$257,MATCH(B193,'Revised 2019 Lockdown'!B$5:B$257,0))</f>
        <v>39297.230000000003</v>
      </c>
      <c r="J193" s="151">
        <f t="shared" si="46"/>
        <v>0</v>
      </c>
      <c r="K193" s="151">
        <v>0</v>
      </c>
      <c r="L193" s="151">
        <f>INDEX('Revised 2019 Lockdown'!F$5:F$257,MATCH(B193,'Revised 2019 Lockdown'!B$5:B$257,0))</f>
        <v>0</v>
      </c>
      <c r="M193" s="151">
        <f t="shared" si="47"/>
        <v>0</v>
      </c>
      <c r="N193" s="151">
        <v>39297.230000000003</v>
      </c>
      <c r="O193" s="156">
        <f t="shared" si="34"/>
        <v>39297.230000000003</v>
      </c>
      <c r="P193" s="156">
        <f t="shared" si="48"/>
        <v>0</v>
      </c>
      <c r="Q193" s="85">
        <f t="shared" si="35"/>
        <v>1254.6087323783645</v>
      </c>
      <c r="R193" s="6">
        <f t="shared" si="36"/>
        <v>782.54308711894498</v>
      </c>
      <c r="S193" s="5">
        <f t="shared" si="37"/>
        <v>24511.048652695899</v>
      </c>
      <c r="T193" s="113">
        <v>0.28675925925925927</v>
      </c>
      <c r="U193" s="87">
        <f t="shared" si="38"/>
        <v>5652.8575035039939</v>
      </c>
      <c r="V193" s="87">
        <f t="shared" si="39"/>
        <v>2238.9700691157027</v>
      </c>
      <c r="W193" s="87">
        <f t="shared" si="40"/>
        <v>486.30276912088522</v>
      </c>
      <c r="X193" s="87">
        <f t="shared" si="41"/>
        <v>296.76939527380455</v>
      </c>
      <c r="Y193" s="87">
        <f t="shared" si="42"/>
        <v>8674.8997370143861</v>
      </c>
      <c r="Z193" s="91">
        <f t="shared" si="43"/>
        <v>0.35391793553721573</v>
      </c>
      <c r="AA193" s="131">
        <f t="shared" si="44"/>
        <v>8675.1716928327969</v>
      </c>
      <c r="AC193" s="131">
        <v>8768.6219606240047</v>
      </c>
      <c r="AD193" s="151">
        <f t="shared" si="49"/>
        <v>-93.450267791207807</v>
      </c>
    </row>
    <row r="194" spans="2:30" x14ac:dyDescent="0.3">
      <c r="B194" s="24">
        <v>977</v>
      </c>
      <c r="C194" s="25">
        <v>7</v>
      </c>
      <c r="D194" s="32" t="s">
        <v>203</v>
      </c>
      <c r="E194" s="153">
        <v>47.09266172442539</v>
      </c>
      <c r="F194" s="153">
        <f>INDEX('Revised 2019 Lockdown'!H$5:H$257,MATCH(B194,'Revised 2019 Lockdown'!B$5:B$257,0))</f>
        <v>47.09266172442539</v>
      </c>
      <c r="G194" s="153">
        <f t="shared" si="45"/>
        <v>0</v>
      </c>
      <c r="H194" s="151">
        <v>60860.35</v>
      </c>
      <c r="I194" s="151">
        <f>INDEX('Revised 2019 Lockdown'!E$5:E$257,MATCH(B194,'Revised 2019 Lockdown'!B$5:B$257,0))</f>
        <v>60860.35</v>
      </c>
      <c r="J194" s="151">
        <f t="shared" si="46"/>
        <v>0</v>
      </c>
      <c r="K194" s="151">
        <v>0</v>
      </c>
      <c r="L194" s="151">
        <f>INDEX('Revised 2019 Lockdown'!F$5:F$257,MATCH(B194,'Revised 2019 Lockdown'!B$5:B$257,0))</f>
        <v>0</v>
      </c>
      <c r="M194" s="151">
        <f t="shared" si="47"/>
        <v>0</v>
      </c>
      <c r="N194" s="151">
        <v>60860.35</v>
      </c>
      <c r="O194" s="156">
        <f t="shared" si="34"/>
        <v>60860.35</v>
      </c>
      <c r="P194" s="156">
        <f t="shared" si="48"/>
        <v>0</v>
      </c>
      <c r="Q194" s="85">
        <f t="shared" si="35"/>
        <v>1292.3531559150281</v>
      </c>
      <c r="R194" s="6">
        <f t="shared" si="36"/>
        <v>782.54308711894498</v>
      </c>
      <c r="S194" s="5">
        <f t="shared" si="37"/>
        <v>36852.036886480026</v>
      </c>
      <c r="T194" s="113">
        <v>0.27777777777777779</v>
      </c>
      <c r="U194" s="87">
        <f t="shared" si="38"/>
        <v>8498.9963581273441</v>
      </c>
      <c r="V194" s="87">
        <f t="shared" si="39"/>
        <v>3366.2618333427158</v>
      </c>
      <c r="W194" s="87">
        <f t="shared" si="40"/>
        <v>708.2496965106119</v>
      </c>
      <c r="X194" s="87">
        <f t="shared" si="41"/>
        <v>446.18885370315382</v>
      </c>
      <c r="Y194" s="87">
        <f t="shared" si="42"/>
        <v>13019.696741683825</v>
      </c>
      <c r="Z194" s="91">
        <f t="shared" si="43"/>
        <v>0.353296529627115</v>
      </c>
      <c r="AA194" s="131">
        <f t="shared" si="44"/>
        <v>13020.104905742222</v>
      </c>
      <c r="AC194" s="131">
        <v>13160.28466921068</v>
      </c>
      <c r="AD194" s="151">
        <f t="shared" si="49"/>
        <v>-140.17976346845717</v>
      </c>
    </row>
    <row r="195" spans="2:30" x14ac:dyDescent="0.3">
      <c r="B195" s="24">
        <v>979</v>
      </c>
      <c r="C195" s="25">
        <v>7</v>
      </c>
      <c r="D195" s="32" t="s">
        <v>287</v>
      </c>
      <c r="E195" s="153">
        <v>251.06766740502562</v>
      </c>
      <c r="F195" s="153">
        <f>INDEX('Revised 2019 Lockdown'!H$5:H$257,MATCH(B195,'Revised 2019 Lockdown'!B$5:B$257,0))</f>
        <v>251.06766740502562</v>
      </c>
      <c r="G195" s="153">
        <f t="shared" si="45"/>
        <v>0</v>
      </c>
      <c r="H195" s="151">
        <v>106200.78</v>
      </c>
      <c r="I195" s="151">
        <f>INDEX('Revised 2019 Lockdown'!E$5:E$257,MATCH(B195,'Revised 2019 Lockdown'!B$5:B$257,0))</f>
        <v>106200.78</v>
      </c>
      <c r="J195" s="151">
        <f t="shared" si="46"/>
        <v>0</v>
      </c>
      <c r="K195" s="151">
        <v>0</v>
      </c>
      <c r="L195" s="151">
        <f>INDEX('Revised 2019 Lockdown'!F$5:F$257,MATCH(B195,'Revised 2019 Lockdown'!B$5:B$257,0))</f>
        <v>0</v>
      </c>
      <c r="M195" s="151">
        <f t="shared" si="47"/>
        <v>0</v>
      </c>
      <c r="N195" s="151">
        <v>106200.78</v>
      </c>
      <c r="O195" s="156">
        <f t="shared" si="34"/>
        <v>106200.78</v>
      </c>
      <c r="P195" s="156">
        <f t="shared" si="48"/>
        <v>0</v>
      </c>
      <c r="Q195" s="85">
        <f t="shared" si="35"/>
        <v>422.99664109546819</v>
      </c>
      <c r="R195" s="6">
        <f t="shared" si="36"/>
        <v>422.99664109546819</v>
      </c>
      <c r="S195" s="5">
        <f t="shared" si="37"/>
        <v>106200.78</v>
      </c>
      <c r="T195" s="113">
        <v>0.94444444444444442</v>
      </c>
      <c r="U195" s="87">
        <f t="shared" si="38"/>
        <v>24492.541490465668</v>
      </c>
      <c r="V195" s="87">
        <f t="shared" si="39"/>
        <v>17946.734701843467</v>
      </c>
      <c r="W195" s="87">
        <f t="shared" si="40"/>
        <v>6939.5534222986043</v>
      </c>
      <c r="X195" s="87">
        <f t="shared" si="41"/>
        <v>1285.8340622134042</v>
      </c>
      <c r="Y195" s="87">
        <f t="shared" si="42"/>
        <v>50664.663676821139</v>
      </c>
      <c r="Z195" s="91">
        <f t="shared" si="43"/>
        <v>0.47706489233714799</v>
      </c>
      <c r="AA195" s="131">
        <f t="shared" si="44"/>
        <v>50666.252000662622</v>
      </c>
      <c r="AC195" s="131">
        <v>50786.744655912393</v>
      </c>
      <c r="AD195" s="151">
        <f t="shared" si="49"/>
        <v>-120.49265524977091</v>
      </c>
    </row>
    <row r="196" spans="2:30" x14ac:dyDescent="0.3">
      <c r="B196" s="24">
        <v>981</v>
      </c>
      <c r="C196" s="25">
        <v>7</v>
      </c>
      <c r="D196" s="32" t="s">
        <v>204</v>
      </c>
      <c r="E196" s="153">
        <v>202.51591950101229</v>
      </c>
      <c r="F196" s="153">
        <f>INDEX('Revised 2019 Lockdown'!H$5:H$257,MATCH(B196,'Revised 2019 Lockdown'!B$5:B$257,0))</f>
        <v>202.51591950101229</v>
      </c>
      <c r="G196" s="153">
        <f t="shared" si="45"/>
        <v>0</v>
      </c>
      <c r="H196" s="151">
        <v>116776.12</v>
      </c>
      <c r="I196" s="151">
        <f>INDEX('Revised 2019 Lockdown'!E$5:E$257,MATCH(B196,'Revised 2019 Lockdown'!B$5:B$257,0))</f>
        <v>116776.12</v>
      </c>
      <c r="J196" s="151">
        <f t="shared" si="46"/>
        <v>0</v>
      </c>
      <c r="K196" s="151">
        <v>26983</v>
      </c>
      <c r="L196" s="151">
        <f>INDEX('Revised 2019 Lockdown'!F$5:F$257,MATCH(B196,'Revised 2019 Lockdown'!B$5:B$257,0))</f>
        <v>26983</v>
      </c>
      <c r="M196" s="151">
        <f t="shared" si="47"/>
        <v>0</v>
      </c>
      <c r="N196" s="151">
        <v>89793.12</v>
      </c>
      <c r="O196" s="156">
        <f t="shared" si="34"/>
        <v>89793.12</v>
      </c>
      <c r="P196" s="156">
        <f t="shared" si="48"/>
        <v>0</v>
      </c>
      <c r="Q196" s="85">
        <f t="shared" si="35"/>
        <v>443.38795795039294</v>
      </c>
      <c r="R196" s="6">
        <f t="shared" si="36"/>
        <v>443.38795795039294</v>
      </c>
      <c r="S196" s="5">
        <f t="shared" si="37"/>
        <v>89793.12</v>
      </c>
      <c r="T196" s="113">
        <v>0.48958333333333331</v>
      </c>
      <c r="U196" s="87">
        <f t="shared" si="38"/>
        <v>20708.526972761993</v>
      </c>
      <c r="V196" s="87">
        <f t="shared" si="39"/>
        <v>14476.174960120747</v>
      </c>
      <c r="W196" s="87">
        <f t="shared" si="40"/>
        <v>3041.5648991244175</v>
      </c>
      <c r="X196" s="87">
        <f t="shared" si="41"/>
        <v>1087.1770645038171</v>
      </c>
      <c r="Y196" s="87">
        <f t="shared" si="42"/>
        <v>39313.443896510973</v>
      </c>
      <c r="Z196" s="91">
        <f t="shared" si="43"/>
        <v>0.43782245116898683</v>
      </c>
      <c r="AA196" s="131">
        <f t="shared" si="44"/>
        <v>39314.676362606675</v>
      </c>
      <c r="AC196" s="131">
        <v>39407.324581565095</v>
      </c>
      <c r="AD196" s="151">
        <f t="shared" si="49"/>
        <v>-92.64821895842033</v>
      </c>
    </row>
    <row r="197" spans="2:30" x14ac:dyDescent="0.3">
      <c r="B197" s="24">
        <v>983</v>
      </c>
      <c r="C197" s="25">
        <v>7</v>
      </c>
      <c r="D197" s="32" t="s">
        <v>205</v>
      </c>
      <c r="E197" s="153">
        <v>75.897818175471599</v>
      </c>
      <c r="F197" s="153">
        <f>INDEX('Revised 2019 Lockdown'!H$5:H$257,MATCH(B197,'Revised 2019 Lockdown'!B$5:B$257,0))</f>
        <v>75.897818175471599</v>
      </c>
      <c r="G197" s="153">
        <f t="shared" si="45"/>
        <v>0</v>
      </c>
      <c r="H197" s="151">
        <v>32152.06</v>
      </c>
      <c r="I197" s="151">
        <f>INDEX('Revised 2019 Lockdown'!E$5:E$257,MATCH(B197,'Revised 2019 Lockdown'!B$5:B$257,0))</f>
        <v>32152.06</v>
      </c>
      <c r="J197" s="151">
        <f t="shared" si="46"/>
        <v>0</v>
      </c>
      <c r="K197" s="151">
        <v>0</v>
      </c>
      <c r="L197" s="151">
        <f>INDEX('Revised 2019 Lockdown'!F$5:F$257,MATCH(B197,'Revised 2019 Lockdown'!B$5:B$257,0))</f>
        <v>0</v>
      </c>
      <c r="M197" s="151">
        <f t="shared" si="47"/>
        <v>0</v>
      </c>
      <c r="N197" s="151">
        <v>32152.06</v>
      </c>
      <c r="O197" s="156">
        <f t="shared" si="34"/>
        <v>32152.06</v>
      </c>
      <c r="P197" s="156">
        <f t="shared" si="48"/>
        <v>0</v>
      </c>
      <c r="Q197" s="85">
        <f t="shared" si="35"/>
        <v>423.62298117274202</v>
      </c>
      <c r="R197" s="6">
        <f t="shared" si="36"/>
        <v>423.62298117274202</v>
      </c>
      <c r="S197" s="5">
        <f t="shared" si="37"/>
        <v>32152.06</v>
      </c>
      <c r="T197" s="113">
        <v>0.51736111111111116</v>
      </c>
      <c r="U197" s="87">
        <f t="shared" si="38"/>
        <v>7415.0647815763832</v>
      </c>
      <c r="V197" s="87">
        <f t="shared" si="39"/>
        <v>5425.3023550282778</v>
      </c>
      <c r="W197" s="87">
        <f t="shared" si="40"/>
        <v>1150.8798463071678</v>
      </c>
      <c r="X197" s="87">
        <f t="shared" si="41"/>
        <v>389.2835242672333</v>
      </c>
      <c r="Y197" s="87">
        <f t="shared" si="42"/>
        <v>14380.530507179063</v>
      </c>
      <c r="Z197" s="91">
        <f t="shared" si="43"/>
        <v>0.44726622515568404</v>
      </c>
      <c r="AA197" s="131">
        <f t="shared" si="44"/>
        <v>14380.981333017036</v>
      </c>
      <c r="AC197" s="131">
        <v>14414.647316723869</v>
      </c>
      <c r="AD197" s="151">
        <f t="shared" si="49"/>
        <v>-33.665983706832776</v>
      </c>
    </row>
    <row r="198" spans="2:30" x14ac:dyDescent="0.3">
      <c r="B198" s="24">
        <v>984</v>
      </c>
      <c r="C198" s="25">
        <v>7</v>
      </c>
      <c r="D198" s="32" t="s">
        <v>312</v>
      </c>
      <c r="E198" s="153">
        <v>22.261985542455641</v>
      </c>
      <c r="F198" s="153">
        <f>INDEX('Revised 2019 Lockdown'!H$5:H$257,MATCH(B198,'Revised 2019 Lockdown'!B$5:B$257,0))</f>
        <v>22.261985542455641</v>
      </c>
      <c r="G198" s="153">
        <f t="shared" si="45"/>
        <v>0</v>
      </c>
      <c r="H198" s="151">
        <v>9622.4</v>
      </c>
      <c r="I198" s="151">
        <f>INDEX('Revised 2019 Lockdown'!E$5:E$257,MATCH(B198,'Revised 2019 Lockdown'!B$5:B$257,0))</f>
        <v>9622.4</v>
      </c>
      <c r="J198" s="151">
        <f t="shared" si="46"/>
        <v>0</v>
      </c>
      <c r="K198" s="151">
        <v>2612</v>
      </c>
      <c r="L198" s="151">
        <f>INDEX('Revised 2019 Lockdown'!F$5:F$257,MATCH(B198,'Revised 2019 Lockdown'!B$5:B$257,0))</f>
        <v>2612</v>
      </c>
      <c r="M198" s="151">
        <f t="shared" si="47"/>
        <v>0</v>
      </c>
      <c r="N198" s="151">
        <v>7010.4</v>
      </c>
      <c r="O198" s="156">
        <f t="shared" si="34"/>
        <v>7010.4</v>
      </c>
      <c r="P198" s="156">
        <f t="shared" si="48"/>
        <v>0</v>
      </c>
      <c r="Q198" s="85">
        <f t="shared" si="35"/>
        <v>314.90452577244406</v>
      </c>
      <c r="R198" s="6">
        <f t="shared" si="36"/>
        <v>314.90452577244406</v>
      </c>
      <c r="S198" s="5">
        <f t="shared" si="37"/>
        <v>7010.4</v>
      </c>
      <c r="T198" s="113">
        <v>0.7685185185185186</v>
      </c>
      <c r="U198" s="87">
        <f t="shared" si="38"/>
        <v>1616.7726156508502</v>
      </c>
      <c r="V198" s="87">
        <f t="shared" si="39"/>
        <v>1591.3237757620113</v>
      </c>
      <c r="W198" s="87">
        <f t="shared" si="40"/>
        <v>372.75590860839048</v>
      </c>
      <c r="X198" s="87">
        <f t="shared" si="41"/>
        <v>84.878953899781607</v>
      </c>
      <c r="Y198" s="87">
        <f t="shared" si="42"/>
        <v>3665.7312539210338</v>
      </c>
      <c r="Z198" s="91">
        <f t="shared" si="43"/>
        <v>0.52289901488089607</v>
      </c>
      <c r="AA198" s="131">
        <f t="shared" si="44"/>
        <v>3665.8461736288646</v>
      </c>
      <c r="AC198" s="131">
        <v>3674.0733067746673</v>
      </c>
      <c r="AD198" s="151">
        <f t="shared" si="49"/>
        <v>-8.2271331458027817</v>
      </c>
    </row>
    <row r="199" spans="2:30" x14ac:dyDescent="0.3">
      <c r="B199">
        <v>188</v>
      </c>
      <c r="C199" s="25">
        <v>8</v>
      </c>
      <c r="D199" s="32" t="s">
        <v>206</v>
      </c>
      <c r="E199" s="153">
        <v>151.82</v>
      </c>
      <c r="F199" s="153">
        <f>INDEX('Revised 2019 Lockdown'!H$5:H$257,MATCH(B199,'Revised 2019 Lockdown'!B$5:B$257,0))</f>
        <v>151.82</v>
      </c>
      <c r="G199" s="153">
        <f t="shared" si="45"/>
        <v>0</v>
      </c>
      <c r="H199" s="151">
        <v>136694.57999999999</v>
      </c>
      <c r="I199" s="151">
        <f>INDEX('Revised 2019 Lockdown'!E$5:E$257,MATCH(B199,'Revised 2019 Lockdown'!B$5:B$257,0))</f>
        <v>136694.57999999999</v>
      </c>
      <c r="J199" s="151">
        <f t="shared" si="46"/>
        <v>0</v>
      </c>
      <c r="K199" s="151">
        <v>8053</v>
      </c>
      <c r="L199" s="151">
        <f>INDEX('Revised 2019 Lockdown'!F$5:F$257,MATCH(B199,'Revised 2019 Lockdown'!B$5:B$257,0))</f>
        <v>8053</v>
      </c>
      <c r="M199" s="151">
        <f t="shared" si="47"/>
        <v>0</v>
      </c>
      <c r="N199" s="151">
        <v>128641.57999999999</v>
      </c>
      <c r="O199" s="156">
        <f t="shared" si="34"/>
        <v>128641.57999999999</v>
      </c>
      <c r="P199" s="156">
        <f t="shared" si="48"/>
        <v>0</v>
      </c>
      <c r="Q199" s="85">
        <f t="shared" si="35"/>
        <v>847.32960084310366</v>
      </c>
      <c r="R199" s="6">
        <f t="shared" si="36"/>
        <v>847.32960084310366</v>
      </c>
      <c r="S199" s="5">
        <f t="shared" si="37"/>
        <v>128641.57999999999</v>
      </c>
      <c r="T199" s="113">
        <v>0.7152777777777779</v>
      </c>
      <c r="U199" s="87">
        <f t="shared" si="38"/>
        <v>29667.948159599749</v>
      </c>
      <c r="V199" s="87">
        <f t="shared" si="39"/>
        <v>10852.346264237985</v>
      </c>
      <c r="W199" s="87">
        <f t="shared" si="40"/>
        <v>6366.2472092474472</v>
      </c>
      <c r="X199" s="87">
        <f t="shared" si="41"/>
        <v>1557.5377636675605</v>
      </c>
      <c r="Y199" s="87">
        <f t="shared" si="42"/>
        <v>48444.07939675275</v>
      </c>
      <c r="Z199" s="91">
        <f t="shared" si="43"/>
        <v>0.37658181279142217</v>
      </c>
      <c r="AA199" s="131">
        <f t="shared" si="44"/>
        <v>48445.598105862817</v>
      </c>
      <c r="AC199" s="131">
        <v>48571.490724193471</v>
      </c>
      <c r="AD199" s="151">
        <f t="shared" si="49"/>
        <v>-125.89261833065393</v>
      </c>
    </row>
    <row r="200" spans="2:30" x14ac:dyDescent="0.3">
      <c r="B200">
        <v>232</v>
      </c>
      <c r="C200" s="25">
        <v>8</v>
      </c>
      <c r="D200" s="32" t="s">
        <v>207</v>
      </c>
      <c r="E200" s="153">
        <v>99.943034780278666</v>
      </c>
      <c r="F200" s="153">
        <f>INDEX('Revised 2019 Lockdown'!H$5:H$257,MATCH(B200,'Revised 2019 Lockdown'!B$5:B$257,0))</f>
        <v>99.943034780278666</v>
      </c>
      <c r="G200" s="153">
        <f t="shared" si="45"/>
        <v>0</v>
      </c>
      <c r="H200" s="151">
        <v>120790.9</v>
      </c>
      <c r="I200" s="151">
        <f>INDEX('Revised 2019 Lockdown'!E$5:E$257,MATCH(B200,'Revised 2019 Lockdown'!B$5:B$257,0))</f>
        <v>120790.9</v>
      </c>
      <c r="J200" s="151">
        <f t="shared" si="46"/>
        <v>0</v>
      </c>
      <c r="K200" s="151">
        <v>0</v>
      </c>
      <c r="L200" s="151">
        <f>INDEX('Revised 2019 Lockdown'!F$5:F$257,MATCH(B200,'Revised 2019 Lockdown'!B$5:B$257,0))</f>
        <v>0</v>
      </c>
      <c r="M200" s="151">
        <f t="shared" si="47"/>
        <v>0</v>
      </c>
      <c r="N200" s="151">
        <v>120790.9</v>
      </c>
      <c r="O200" s="156">
        <f t="shared" si="34"/>
        <v>120790.9</v>
      </c>
      <c r="P200" s="156">
        <f t="shared" si="48"/>
        <v>0</v>
      </c>
      <c r="Q200" s="85">
        <f t="shared" si="35"/>
        <v>1208.5974802101482</v>
      </c>
      <c r="R200" s="6">
        <f t="shared" si="36"/>
        <v>1208.5974802101482</v>
      </c>
      <c r="S200" s="5">
        <f t="shared" si="37"/>
        <v>120790.9</v>
      </c>
      <c r="T200" s="113">
        <v>0.27777777777777779</v>
      </c>
      <c r="U200" s="87">
        <f t="shared" si="38"/>
        <v>27857.386074948688</v>
      </c>
      <c r="V200" s="87">
        <f t="shared" si="39"/>
        <v>7144.0944548436592</v>
      </c>
      <c r="W200" s="87">
        <f t="shared" si="40"/>
        <v>2321.4488395790572</v>
      </c>
      <c r="X200" s="87">
        <f t="shared" si="41"/>
        <v>1462.4850554338027</v>
      </c>
      <c r="Y200" s="87">
        <f t="shared" si="42"/>
        <v>38785.414424805203</v>
      </c>
      <c r="Z200" s="91">
        <f t="shared" si="43"/>
        <v>0.32109549994912867</v>
      </c>
      <c r="AA200" s="131">
        <f t="shared" si="44"/>
        <v>38786.630337316252</v>
      </c>
      <c r="AC200" s="131">
        <v>38890.133598883505</v>
      </c>
      <c r="AD200" s="151">
        <f t="shared" si="49"/>
        <v>-103.5032615672535</v>
      </c>
    </row>
    <row r="201" spans="2:30" x14ac:dyDescent="0.3">
      <c r="B201">
        <v>245</v>
      </c>
      <c r="C201" s="25">
        <v>8</v>
      </c>
      <c r="D201" s="32" t="s">
        <v>208</v>
      </c>
      <c r="E201" s="153">
        <v>237.74999999999997</v>
      </c>
      <c r="F201" s="153">
        <f>INDEX('Revised 2019 Lockdown'!H$5:H$257,MATCH(B201,'Revised 2019 Lockdown'!B$5:B$257,0))</f>
        <v>237.74999999999997</v>
      </c>
      <c r="G201" s="153">
        <f t="shared" si="45"/>
        <v>0</v>
      </c>
      <c r="H201" s="151">
        <v>631790.16</v>
      </c>
      <c r="I201" s="151">
        <f>INDEX('Revised 2019 Lockdown'!E$5:E$257,MATCH(B201,'Revised 2019 Lockdown'!B$5:B$257,0))</f>
        <v>631790.16</v>
      </c>
      <c r="J201" s="151">
        <f t="shared" si="46"/>
        <v>0</v>
      </c>
      <c r="K201" s="151">
        <v>0</v>
      </c>
      <c r="L201" s="151">
        <f>INDEX('Revised 2019 Lockdown'!F$5:F$257,MATCH(B201,'Revised 2019 Lockdown'!B$5:B$257,0))</f>
        <v>0</v>
      </c>
      <c r="M201" s="151">
        <f t="shared" si="47"/>
        <v>0</v>
      </c>
      <c r="N201" s="151">
        <v>631790.16</v>
      </c>
      <c r="O201" s="156">
        <f t="shared" si="34"/>
        <v>631790.16</v>
      </c>
      <c r="P201" s="156">
        <f t="shared" si="48"/>
        <v>0</v>
      </c>
      <c r="Q201" s="85">
        <f t="shared" si="35"/>
        <v>2657.3718611987388</v>
      </c>
      <c r="R201" s="6">
        <f t="shared" si="36"/>
        <v>1830.1016167772441</v>
      </c>
      <c r="S201" s="5">
        <f t="shared" si="37"/>
        <v>435106.65938878973</v>
      </c>
      <c r="T201" s="113">
        <v>0.6435185185185186</v>
      </c>
      <c r="U201" s="87">
        <f t="shared" si="38"/>
        <v>100346.41843362963</v>
      </c>
      <c r="V201" s="87">
        <f t="shared" si="39"/>
        <v>16994.765671996978</v>
      </c>
      <c r="W201" s="87">
        <f t="shared" si="40"/>
        <v>19372.433558714609</v>
      </c>
      <c r="X201" s="87">
        <f t="shared" si="41"/>
        <v>5268.0871396423972</v>
      </c>
      <c r="Y201" s="87">
        <f t="shared" si="42"/>
        <v>141981.70480398362</v>
      </c>
      <c r="Z201" s="91">
        <f t="shared" si="43"/>
        <v>0.32631471327841899</v>
      </c>
      <c r="AA201" s="131">
        <f t="shared" si="44"/>
        <v>141986.15589297601</v>
      </c>
      <c r="AC201" s="131">
        <v>142423.29429809953</v>
      </c>
      <c r="AD201" s="151">
        <f t="shared" si="49"/>
        <v>-437.13840512352181</v>
      </c>
    </row>
    <row r="202" spans="2:30" x14ac:dyDescent="0.3">
      <c r="B202">
        <v>372</v>
      </c>
      <c r="C202" s="25">
        <v>8</v>
      </c>
      <c r="D202" s="32" t="s">
        <v>209</v>
      </c>
      <c r="E202" s="153">
        <v>124.59</v>
      </c>
      <c r="F202" s="153">
        <f>INDEX('Revised 2019 Lockdown'!H$5:H$257,MATCH(B202,'Revised 2019 Lockdown'!B$5:B$257,0))</f>
        <v>124.59</v>
      </c>
      <c r="G202" s="153">
        <f t="shared" si="45"/>
        <v>0</v>
      </c>
      <c r="H202" s="151">
        <v>86253.52</v>
      </c>
      <c r="I202" s="151">
        <f>INDEX('Revised 2019 Lockdown'!E$5:E$257,MATCH(B202,'Revised 2019 Lockdown'!B$5:B$257,0))</f>
        <v>86253.52</v>
      </c>
      <c r="J202" s="151">
        <f t="shared" si="46"/>
        <v>0</v>
      </c>
      <c r="K202" s="151">
        <v>0</v>
      </c>
      <c r="L202" s="151">
        <f>INDEX('Revised 2019 Lockdown'!F$5:F$257,MATCH(B202,'Revised 2019 Lockdown'!B$5:B$257,0))</f>
        <v>0</v>
      </c>
      <c r="M202" s="151">
        <f t="shared" si="47"/>
        <v>0</v>
      </c>
      <c r="N202" s="151">
        <v>86253.52</v>
      </c>
      <c r="O202" s="156">
        <f t="shared" si="34"/>
        <v>86253.52</v>
      </c>
      <c r="P202" s="156">
        <f t="shared" si="48"/>
        <v>0</v>
      </c>
      <c r="Q202" s="85">
        <f t="shared" si="35"/>
        <v>692.29890039328995</v>
      </c>
      <c r="R202" s="6">
        <f t="shared" si="36"/>
        <v>692.29890039328995</v>
      </c>
      <c r="S202" s="5">
        <f t="shared" si="37"/>
        <v>86253.52</v>
      </c>
      <c r="T202" s="113">
        <v>0.47222222222222221</v>
      </c>
      <c r="U202" s="87">
        <f t="shared" si="38"/>
        <v>19892.207169276066</v>
      </c>
      <c r="V202" s="87">
        <f t="shared" si="39"/>
        <v>8905.9005471045366</v>
      </c>
      <c r="W202" s="87">
        <f t="shared" si="40"/>
        <v>2818.0626823141088</v>
      </c>
      <c r="X202" s="87">
        <f t="shared" si="41"/>
        <v>1044.3210869242685</v>
      </c>
      <c r="Y202" s="87">
        <f t="shared" si="42"/>
        <v>32660.491485618983</v>
      </c>
      <c r="Z202" s="91">
        <f t="shared" si="43"/>
        <v>0.37865691145844227</v>
      </c>
      <c r="AA202" s="131">
        <f t="shared" si="44"/>
        <v>32661.515383411577</v>
      </c>
      <c r="AC202" s="131">
        <v>32743.753897093575</v>
      </c>
      <c r="AD202" s="151">
        <f t="shared" si="49"/>
        <v>-82.238513681997574</v>
      </c>
    </row>
    <row r="203" spans="2:30" x14ac:dyDescent="0.3">
      <c r="B203">
        <v>375</v>
      </c>
      <c r="C203" s="25">
        <v>8</v>
      </c>
      <c r="D203" s="32" t="s">
        <v>210</v>
      </c>
      <c r="E203" s="153">
        <v>162.62</v>
      </c>
      <c r="F203" s="153">
        <f>INDEX('Revised 2019 Lockdown'!H$5:H$257,MATCH(B203,'Revised 2019 Lockdown'!B$5:B$257,0))</f>
        <v>162.62</v>
      </c>
      <c r="G203" s="153">
        <f t="shared" si="45"/>
        <v>0</v>
      </c>
      <c r="H203" s="151">
        <v>231561.51</v>
      </c>
      <c r="I203" s="151">
        <f>INDEX('Revised 2019 Lockdown'!E$5:E$257,MATCH(B203,'Revised 2019 Lockdown'!B$5:B$257,0))</f>
        <v>231561.51</v>
      </c>
      <c r="J203" s="151">
        <f t="shared" si="46"/>
        <v>0</v>
      </c>
      <c r="K203" s="151">
        <v>0</v>
      </c>
      <c r="L203" s="151">
        <f>INDEX('Revised 2019 Lockdown'!F$5:F$257,MATCH(B203,'Revised 2019 Lockdown'!B$5:B$257,0))</f>
        <v>0</v>
      </c>
      <c r="M203" s="151">
        <f t="shared" si="47"/>
        <v>0</v>
      </c>
      <c r="N203" s="151">
        <v>231561.51</v>
      </c>
      <c r="O203" s="156">
        <f t="shared" si="34"/>
        <v>231561.51</v>
      </c>
      <c r="P203" s="156">
        <f t="shared" si="48"/>
        <v>0</v>
      </c>
      <c r="Q203" s="85">
        <f t="shared" si="35"/>
        <v>1423.9423810109458</v>
      </c>
      <c r="R203" s="6">
        <f t="shared" si="36"/>
        <v>1423.9423810109458</v>
      </c>
      <c r="S203" s="5">
        <f t="shared" si="37"/>
        <v>231561.51</v>
      </c>
      <c r="T203" s="113">
        <v>0.36111111111111116</v>
      </c>
      <c r="U203" s="87">
        <f t="shared" si="38"/>
        <v>53403.844032688656</v>
      </c>
      <c r="V203" s="87">
        <f t="shared" si="39"/>
        <v>11624.3482379817</v>
      </c>
      <c r="W203" s="87">
        <f t="shared" si="40"/>
        <v>5785.4164368746051</v>
      </c>
      <c r="X203" s="87">
        <f t="shared" si="41"/>
        <v>2803.6486837061825</v>
      </c>
      <c r="Y203" s="87">
        <f t="shared" si="42"/>
        <v>73617.257391251143</v>
      </c>
      <c r="Z203" s="91">
        <f t="shared" si="43"/>
        <v>0.31791664077182402</v>
      </c>
      <c r="AA203" s="131">
        <f t="shared" si="44"/>
        <v>73619.56527285093</v>
      </c>
      <c r="AC203" s="131">
        <v>73819.247341823619</v>
      </c>
      <c r="AD203" s="151">
        <f t="shared" si="49"/>
        <v>-199.68206897268828</v>
      </c>
    </row>
    <row r="204" spans="2:30" x14ac:dyDescent="0.3">
      <c r="B204">
        <v>404</v>
      </c>
      <c r="C204" s="25">
        <v>8</v>
      </c>
      <c r="D204" s="32" t="s">
        <v>211</v>
      </c>
      <c r="E204" s="153">
        <v>459.07044990472792</v>
      </c>
      <c r="F204" s="153">
        <f>INDEX('Revised 2019 Lockdown'!H$5:H$257,MATCH(B204,'Revised 2019 Lockdown'!B$5:B$257,0))</f>
        <v>459.07044990472792</v>
      </c>
      <c r="G204" s="153">
        <f t="shared" si="45"/>
        <v>0</v>
      </c>
      <c r="H204" s="151">
        <v>301241.45</v>
      </c>
      <c r="I204" s="151">
        <f>INDEX('Revised 2019 Lockdown'!E$5:E$257,MATCH(B204,'Revised 2019 Lockdown'!B$5:B$257,0))</f>
        <v>301241.45</v>
      </c>
      <c r="J204" s="151">
        <f t="shared" si="46"/>
        <v>0</v>
      </c>
      <c r="K204" s="151">
        <v>16226.76</v>
      </c>
      <c r="L204" s="151">
        <f>INDEX('Revised 2019 Lockdown'!F$5:F$257,MATCH(B204,'Revised 2019 Lockdown'!B$5:B$257,0))</f>
        <v>16226.76</v>
      </c>
      <c r="M204" s="151">
        <f t="shared" si="47"/>
        <v>0</v>
      </c>
      <c r="N204" s="151">
        <v>285014.69</v>
      </c>
      <c r="O204" s="156">
        <f t="shared" si="34"/>
        <v>285014.69</v>
      </c>
      <c r="P204" s="156">
        <f t="shared" si="48"/>
        <v>0</v>
      </c>
      <c r="Q204" s="85">
        <f t="shared" si="35"/>
        <v>620.85174521503143</v>
      </c>
      <c r="R204" s="6">
        <f t="shared" si="36"/>
        <v>620.85174521503143</v>
      </c>
      <c r="S204" s="5">
        <f t="shared" si="37"/>
        <v>285014.69</v>
      </c>
      <c r="T204" s="113">
        <v>0.35416666666666663</v>
      </c>
      <c r="U204" s="87">
        <f t="shared" si="38"/>
        <v>65731.476927167663</v>
      </c>
      <c r="V204" s="87">
        <f t="shared" si="39"/>
        <v>32815.119760542926</v>
      </c>
      <c r="W204" s="87">
        <f t="shared" si="40"/>
        <v>6983.969423511563</v>
      </c>
      <c r="X204" s="87">
        <f t="shared" si="41"/>
        <v>3450.8371467063998</v>
      </c>
      <c r="Y204" s="87">
        <f t="shared" si="42"/>
        <v>108981.40325792854</v>
      </c>
      <c r="Z204" s="91">
        <f t="shared" si="43"/>
        <v>0.38237117973788837</v>
      </c>
      <c r="AA204" s="131">
        <f t="shared" si="44"/>
        <v>108984.81979617257</v>
      </c>
      <c r="AC204" s="131">
        <v>109254.07705257759</v>
      </c>
      <c r="AD204" s="151">
        <f t="shared" si="49"/>
        <v>-269.2572564050206</v>
      </c>
    </row>
    <row r="205" spans="2:30" x14ac:dyDescent="0.3">
      <c r="B205">
        <v>413</v>
      </c>
      <c r="C205" s="25">
        <v>8</v>
      </c>
      <c r="D205" s="32" t="s">
        <v>212</v>
      </c>
      <c r="E205" s="153">
        <v>76.8</v>
      </c>
      <c r="F205" s="153">
        <f>INDEX('Revised 2019 Lockdown'!H$5:H$257,MATCH(B205,'Revised 2019 Lockdown'!B$5:B$257,0))</f>
        <v>76.8</v>
      </c>
      <c r="G205" s="153">
        <f t="shared" si="45"/>
        <v>0</v>
      </c>
      <c r="H205" s="151">
        <v>92788.2</v>
      </c>
      <c r="I205" s="151">
        <f>INDEX('Revised 2019 Lockdown'!E$5:E$257,MATCH(B205,'Revised 2019 Lockdown'!B$5:B$257,0))</f>
        <v>92788.2</v>
      </c>
      <c r="J205" s="151">
        <f t="shared" si="46"/>
        <v>0</v>
      </c>
      <c r="K205" s="151">
        <v>110</v>
      </c>
      <c r="L205" s="151">
        <f>INDEX('Revised 2019 Lockdown'!F$5:F$257,MATCH(B205,'Revised 2019 Lockdown'!B$5:B$257,0))</f>
        <v>110</v>
      </c>
      <c r="M205" s="151">
        <f t="shared" si="47"/>
        <v>0</v>
      </c>
      <c r="N205" s="151">
        <v>92678.2</v>
      </c>
      <c r="O205" s="156">
        <f t="shared" si="34"/>
        <v>92678.2</v>
      </c>
      <c r="P205" s="156">
        <f t="shared" si="48"/>
        <v>0</v>
      </c>
      <c r="Q205" s="85">
        <f t="shared" si="35"/>
        <v>1206.7473958333333</v>
      </c>
      <c r="R205" s="6">
        <f t="shared" si="36"/>
        <v>1206.7473958333333</v>
      </c>
      <c r="S205" s="5">
        <f t="shared" si="37"/>
        <v>92678.2</v>
      </c>
      <c r="T205" s="113">
        <v>0.38425925925925924</v>
      </c>
      <c r="U205" s="87">
        <f t="shared" si="38"/>
        <v>21373.898183814425</v>
      </c>
      <c r="V205" s="87">
        <f t="shared" si="39"/>
        <v>5489.7918132886143</v>
      </c>
      <c r="W205" s="87">
        <f t="shared" si="40"/>
        <v>2463.9354850786067</v>
      </c>
      <c r="X205" s="87">
        <f t="shared" si="41"/>
        <v>1122.1083911495407</v>
      </c>
      <c r="Y205" s="87">
        <f t="shared" si="42"/>
        <v>30449.733873331188</v>
      </c>
      <c r="Z205" s="91">
        <f t="shared" si="43"/>
        <v>0.32855335853880618</v>
      </c>
      <c r="AA205" s="131">
        <f t="shared" si="44"/>
        <v>30450.688464455809</v>
      </c>
      <c r="AC205" s="131">
        <v>30532.125599027448</v>
      </c>
      <c r="AD205" s="151">
        <f t="shared" si="49"/>
        <v>-81.437134571639035</v>
      </c>
    </row>
    <row r="206" spans="2:30" x14ac:dyDescent="0.3">
      <c r="B206">
        <v>537</v>
      </c>
      <c r="C206" s="25">
        <v>8</v>
      </c>
      <c r="D206" s="32" t="s">
        <v>213</v>
      </c>
      <c r="E206" s="153">
        <v>9.7919034029984697</v>
      </c>
      <c r="F206" s="153">
        <f>INDEX('Revised 2019 Lockdown'!H$5:H$257,MATCH(B206,'Revised 2019 Lockdown'!B$5:B$257,0))</f>
        <v>9.7919034029984697</v>
      </c>
      <c r="G206" s="153">
        <f t="shared" si="45"/>
        <v>0</v>
      </c>
      <c r="H206" s="151">
        <v>8112.34</v>
      </c>
      <c r="I206" s="151">
        <f>INDEX('Revised 2019 Lockdown'!E$5:E$257,MATCH(B206,'Revised 2019 Lockdown'!B$5:B$257,0))</f>
        <v>8112.34</v>
      </c>
      <c r="J206" s="151">
        <f t="shared" si="46"/>
        <v>0</v>
      </c>
      <c r="K206" s="151">
        <v>0</v>
      </c>
      <c r="L206" s="151">
        <f>INDEX('Revised 2019 Lockdown'!F$5:F$257,MATCH(B206,'Revised 2019 Lockdown'!B$5:B$257,0))</f>
        <v>0</v>
      </c>
      <c r="M206" s="151">
        <f t="shared" si="47"/>
        <v>0</v>
      </c>
      <c r="N206" s="151">
        <v>8112.34</v>
      </c>
      <c r="O206" s="156">
        <f t="shared" si="34"/>
        <v>8112.34</v>
      </c>
      <c r="P206" s="156">
        <f t="shared" si="48"/>
        <v>0</v>
      </c>
      <c r="Q206" s="85">
        <f t="shared" si="35"/>
        <v>828.47426757864514</v>
      </c>
      <c r="R206" s="6">
        <f t="shared" si="36"/>
        <v>828.47426757864514</v>
      </c>
      <c r="S206" s="5">
        <f t="shared" si="37"/>
        <v>8112.34</v>
      </c>
      <c r="T206" s="113">
        <v>0.22222222222222221</v>
      </c>
      <c r="U206" s="87">
        <f t="shared" si="38"/>
        <v>1870.9073891431328</v>
      </c>
      <c r="V206" s="87">
        <f t="shared" si="39"/>
        <v>699.9415512798688</v>
      </c>
      <c r="W206" s="87">
        <f t="shared" si="40"/>
        <v>124.72715927620885</v>
      </c>
      <c r="X206" s="87">
        <f t="shared" si="41"/>
        <v>98.220776685974315</v>
      </c>
      <c r="Y206" s="87">
        <f t="shared" si="42"/>
        <v>2793.796876385185</v>
      </c>
      <c r="Z206" s="91">
        <f t="shared" si="43"/>
        <v>0.34438853356555382</v>
      </c>
      <c r="AA206" s="131">
        <f t="shared" si="44"/>
        <v>2793.8844611802865</v>
      </c>
      <c r="AC206" s="131">
        <v>2801.0276290902202</v>
      </c>
      <c r="AD206" s="151">
        <f t="shared" si="49"/>
        <v>-7.1431679099337089</v>
      </c>
    </row>
    <row r="207" spans="2:30" x14ac:dyDescent="0.3">
      <c r="B207">
        <v>545</v>
      </c>
      <c r="C207" s="25">
        <v>8</v>
      </c>
      <c r="D207" s="32" t="s">
        <v>214</v>
      </c>
      <c r="E207" s="153">
        <v>14.800550827676549</v>
      </c>
      <c r="F207" s="153">
        <f>INDEX('Revised 2019 Lockdown'!H$5:H$257,MATCH(B207,'Revised 2019 Lockdown'!B$5:B$257,0))</f>
        <v>14.800550827676549</v>
      </c>
      <c r="G207" s="153">
        <f t="shared" si="45"/>
        <v>0</v>
      </c>
      <c r="H207" s="151">
        <v>8088.84</v>
      </c>
      <c r="I207" s="151">
        <f>INDEX('Revised 2019 Lockdown'!E$5:E$257,MATCH(B207,'Revised 2019 Lockdown'!B$5:B$257,0))</f>
        <v>8088.84</v>
      </c>
      <c r="J207" s="151">
        <f t="shared" si="46"/>
        <v>0</v>
      </c>
      <c r="K207" s="151">
        <v>0</v>
      </c>
      <c r="L207" s="151">
        <f>INDEX('Revised 2019 Lockdown'!F$5:F$257,MATCH(B207,'Revised 2019 Lockdown'!B$5:B$257,0))</f>
        <v>0</v>
      </c>
      <c r="M207" s="151">
        <f t="shared" si="47"/>
        <v>0</v>
      </c>
      <c r="N207" s="151">
        <v>8088.84</v>
      </c>
      <c r="O207" s="156">
        <f t="shared" si="34"/>
        <v>8088.84</v>
      </c>
      <c r="P207" s="156">
        <f t="shared" si="48"/>
        <v>0</v>
      </c>
      <c r="Q207" s="85">
        <f t="shared" si="35"/>
        <v>546.52290270671085</v>
      </c>
      <c r="R207" s="6">
        <f t="shared" si="36"/>
        <v>546.52290270671085</v>
      </c>
      <c r="S207" s="5">
        <f t="shared" si="37"/>
        <v>8088.8399999999992</v>
      </c>
      <c r="T207" s="113">
        <v>0.56712962962962965</v>
      </c>
      <c r="U207" s="87">
        <f t="shared" si="38"/>
        <v>1865.4877046076147</v>
      </c>
      <c r="V207" s="87">
        <f t="shared" si="39"/>
        <v>1057.9680047648535</v>
      </c>
      <c r="W207" s="87">
        <f t="shared" si="40"/>
        <v>317.39200529782335</v>
      </c>
      <c r="X207" s="87">
        <f t="shared" si="41"/>
        <v>97.936248639551152</v>
      </c>
      <c r="Y207" s="87">
        <f t="shared" si="42"/>
        <v>3338.7839633098424</v>
      </c>
      <c r="Z207" s="91">
        <f t="shared" si="43"/>
        <v>0.4127642484348612</v>
      </c>
      <c r="AA207" s="131">
        <f t="shared" si="44"/>
        <v>3338.8886333063574</v>
      </c>
      <c r="AC207" s="131">
        <v>3347.0449807823593</v>
      </c>
      <c r="AD207" s="151">
        <f t="shared" si="49"/>
        <v>-8.1563474760018835</v>
      </c>
    </row>
    <row r="208" spans="2:30" x14ac:dyDescent="0.3">
      <c r="B208">
        <v>602</v>
      </c>
      <c r="C208" s="25">
        <v>8</v>
      </c>
      <c r="D208" s="32" t="s">
        <v>215</v>
      </c>
      <c r="E208" s="153">
        <v>15.286640564393293</v>
      </c>
      <c r="F208" s="153">
        <f>INDEX('Revised 2019 Lockdown'!H$5:H$257,MATCH(B208,'Revised 2019 Lockdown'!B$5:B$257,0))</f>
        <v>15.286640564393293</v>
      </c>
      <c r="G208" s="153">
        <f t="shared" si="45"/>
        <v>0</v>
      </c>
      <c r="H208" s="151">
        <v>26328.83</v>
      </c>
      <c r="I208" s="151">
        <f>INDEX('Revised 2019 Lockdown'!E$5:E$257,MATCH(B208,'Revised 2019 Lockdown'!B$5:B$257,0))</f>
        <v>26328.83</v>
      </c>
      <c r="J208" s="151">
        <f t="shared" si="46"/>
        <v>0</v>
      </c>
      <c r="K208" s="151">
        <v>0</v>
      </c>
      <c r="L208" s="151">
        <f>INDEX('Revised 2019 Lockdown'!F$5:F$257,MATCH(B208,'Revised 2019 Lockdown'!B$5:B$257,0))</f>
        <v>0</v>
      </c>
      <c r="M208" s="151">
        <f t="shared" si="47"/>
        <v>0</v>
      </c>
      <c r="N208" s="151">
        <v>26328.83</v>
      </c>
      <c r="O208" s="156">
        <f t="shared" si="34"/>
        <v>26328.83</v>
      </c>
      <c r="P208" s="156">
        <f t="shared" si="48"/>
        <v>0</v>
      </c>
      <c r="Q208" s="85">
        <f t="shared" si="35"/>
        <v>1722.3424524893287</v>
      </c>
      <c r="R208" s="6">
        <f t="shared" si="36"/>
        <v>1722.3424524893287</v>
      </c>
      <c r="S208" s="5">
        <f t="shared" si="37"/>
        <v>26328.83</v>
      </c>
      <c r="T208" s="113">
        <v>0.38194444444444448</v>
      </c>
      <c r="U208" s="87">
        <f t="shared" si="38"/>
        <v>6072.0830974162072</v>
      </c>
      <c r="V208" s="87">
        <f t="shared" si="39"/>
        <v>1092.7145081131762</v>
      </c>
      <c r="W208" s="87">
        <f t="shared" si="40"/>
        <v>695.75952157894039</v>
      </c>
      <c r="X208" s="87">
        <f t="shared" si="41"/>
        <v>318.77832189392723</v>
      </c>
      <c r="Y208" s="87">
        <f t="shared" si="42"/>
        <v>8179.3354490022521</v>
      </c>
      <c r="Z208" s="91">
        <f t="shared" si="43"/>
        <v>0.31066080220815934</v>
      </c>
      <c r="AA208" s="131">
        <f t="shared" si="44"/>
        <v>8179.5918690109593</v>
      </c>
      <c r="AC208" s="131">
        <v>8202.1117667315084</v>
      </c>
      <c r="AD208" s="151">
        <f t="shared" si="49"/>
        <v>-22.519897720549125</v>
      </c>
    </row>
    <row r="209" spans="2:30" x14ac:dyDescent="0.3">
      <c r="B209">
        <v>605</v>
      </c>
      <c r="C209" s="25">
        <v>8</v>
      </c>
      <c r="D209" s="32" t="s">
        <v>216</v>
      </c>
      <c r="E209" s="153">
        <v>11.743239548775863</v>
      </c>
      <c r="F209" s="153">
        <f>INDEX('Revised 2019 Lockdown'!H$5:H$257,MATCH(B209,'Revised 2019 Lockdown'!B$5:B$257,0))</f>
        <v>11.743239548775863</v>
      </c>
      <c r="G209" s="153">
        <f t="shared" si="45"/>
        <v>0</v>
      </c>
      <c r="H209" s="151">
        <v>8356.2900000000009</v>
      </c>
      <c r="I209" s="151">
        <f>INDEX('Revised 2019 Lockdown'!E$5:E$257,MATCH(B209,'Revised 2019 Lockdown'!B$5:B$257,0))</f>
        <v>8356.2900000000009</v>
      </c>
      <c r="J209" s="151">
        <f t="shared" si="46"/>
        <v>0</v>
      </c>
      <c r="K209" s="151">
        <v>0</v>
      </c>
      <c r="L209" s="151">
        <f>INDEX('Revised 2019 Lockdown'!F$5:F$257,MATCH(B209,'Revised 2019 Lockdown'!B$5:B$257,0))</f>
        <v>0</v>
      </c>
      <c r="M209" s="151">
        <f t="shared" si="47"/>
        <v>0</v>
      </c>
      <c r="N209" s="151">
        <v>8356.2900000000009</v>
      </c>
      <c r="O209" s="156">
        <f t="shared" si="34"/>
        <v>8356.2900000000009</v>
      </c>
      <c r="P209" s="156">
        <f t="shared" si="48"/>
        <v>0</v>
      </c>
      <c r="Q209" s="85">
        <f t="shared" si="35"/>
        <v>711.58303169171711</v>
      </c>
      <c r="R209" s="6">
        <f t="shared" si="36"/>
        <v>711.58303169171711</v>
      </c>
      <c r="S209" s="5">
        <f t="shared" si="37"/>
        <v>8356.2900000000009</v>
      </c>
      <c r="T209" s="113">
        <v>0.30555555555555558</v>
      </c>
      <c r="U209" s="87">
        <f t="shared" si="38"/>
        <v>1927.1683271192862</v>
      </c>
      <c r="V209" s="87">
        <f t="shared" si="39"/>
        <v>839.42630646297926</v>
      </c>
      <c r="W209" s="87">
        <f t="shared" si="40"/>
        <v>176.65709665260124</v>
      </c>
      <c r="X209" s="87">
        <f t="shared" si="41"/>
        <v>101.17441995937551</v>
      </c>
      <c r="Y209" s="87">
        <f t="shared" si="42"/>
        <v>3044.4261501942424</v>
      </c>
      <c r="Z209" s="91">
        <f t="shared" si="43"/>
        <v>0.36432748865755521</v>
      </c>
      <c r="AA209" s="131">
        <f t="shared" si="44"/>
        <v>3044.5215921509648</v>
      </c>
      <c r="AC209" s="131">
        <v>3052.1743454865505</v>
      </c>
      <c r="AD209" s="151">
        <f t="shared" si="49"/>
        <v>-7.6527533355856576</v>
      </c>
    </row>
    <row r="210" spans="2:30" x14ac:dyDescent="0.3">
      <c r="B210">
        <v>607</v>
      </c>
      <c r="C210" s="25">
        <v>8</v>
      </c>
      <c r="D210" s="32" t="s">
        <v>217</v>
      </c>
      <c r="E210" s="153">
        <v>17.618381590574945</v>
      </c>
      <c r="F210" s="153">
        <f>INDEX('Revised 2019 Lockdown'!H$5:H$257,MATCH(B210,'Revised 2019 Lockdown'!B$5:B$257,0))</f>
        <v>17.618381590574945</v>
      </c>
      <c r="G210" s="153">
        <f t="shared" si="45"/>
        <v>0</v>
      </c>
      <c r="H210" s="151">
        <v>12544.93</v>
      </c>
      <c r="I210" s="151">
        <f>INDEX('Revised 2019 Lockdown'!E$5:E$257,MATCH(B210,'Revised 2019 Lockdown'!B$5:B$257,0))</f>
        <v>12544.93</v>
      </c>
      <c r="J210" s="151">
        <f t="shared" si="46"/>
        <v>0</v>
      </c>
      <c r="K210" s="151">
        <v>0</v>
      </c>
      <c r="L210" s="151">
        <f>INDEX('Revised 2019 Lockdown'!F$5:F$257,MATCH(B210,'Revised 2019 Lockdown'!B$5:B$257,0))</f>
        <v>0</v>
      </c>
      <c r="M210" s="151">
        <f t="shared" si="47"/>
        <v>0</v>
      </c>
      <c r="N210" s="151">
        <v>12544.93</v>
      </c>
      <c r="O210" s="156">
        <f t="shared" si="34"/>
        <v>12544.93</v>
      </c>
      <c r="P210" s="156">
        <f t="shared" si="48"/>
        <v>0</v>
      </c>
      <c r="Q210" s="85">
        <f t="shared" si="35"/>
        <v>712.03645666926548</v>
      </c>
      <c r="R210" s="6">
        <f t="shared" si="36"/>
        <v>712.03645666926548</v>
      </c>
      <c r="S210" s="5">
        <f t="shared" si="37"/>
        <v>12544.930000000002</v>
      </c>
      <c r="T210" s="113">
        <v>0.33333333333333337</v>
      </c>
      <c r="U210" s="87">
        <f t="shared" si="38"/>
        <v>2893.1728987300048</v>
      </c>
      <c r="V210" s="87">
        <f t="shared" si="39"/>
        <v>1259.3912372309005</v>
      </c>
      <c r="W210" s="87">
        <f t="shared" si="40"/>
        <v>289.3172898730005</v>
      </c>
      <c r="X210" s="87">
        <f t="shared" si="41"/>
        <v>151.88869895383823</v>
      </c>
      <c r="Y210" s="87">
        <f t="shared" si="42"/>
        <v>4593.7701247877449</v>
      </c>
      <c r="Z210" s="91">
        <f t="shared" si="43"/>
        <v>0.36618539320568105</v>
      </c>
      <c r="AA210" s="131">
        <f t="shared" si="44"/>
        <v>4593.9141382693706</v>
      </c>
      <c r="AC210" s="131">
        <v>4605.4728988494508</v>
      </c>
      <c r="AD210" s="151">
        <f t="shared" si="49"/>
        <v>-11.558760580080161</v>
      </c>
    </row>
    <row r="211" spans="2:30" x14ac:dyDescent="0.3">
      <c r="B211">
        <v>610</v>
      </c>
      <c r="C211" s="25">
        <v>8</v>
      </c>
      <c r="D211" s="32" t="s">
        <v>218</v>
      </c>
      <c r="E211" s="153">
        <v>75.671529349767766</v>
      </c>
      <c r="F211" s="153">
        <f>INDEX('Revised 2019 Lockdown'!H$5:H$257,MATCH(B211,'Revised 2019 Lockdown'!B$5:B$257,0))</f>
        <v>75.671529349767766</v>
      </c>
      <c r="G211" s="153">
        <f t="shared" si="45"/>
        <v>0</v>
      </c>
      <c r="H211" s="151">
        <v>39395.15</v>
      </c>
      <c r="I211" s="151">
        <f>INDEX('Revised 2019 Lockdown'!E$5:E$257,MATCH(B211,'Revised 2019 Lockdown'!B$5:B$257,0))</f>
        <v>39395.15</v>
      </c>
      <c r="J211" s="151">
        <f t="shared" si="46"/>
        <v>0</v>
      </c>
      <c r="K211" s="151">
        <v>0</v>
      </c>
      <c r="L211" s="151">
        <f>INDEX('Revised 2019 Lockdown'!F$5:F$257,MATCH(B211,'Revised 2019 Lockdown'!B$5:B$257,0))</f>
        <v>0</v>
      </c>
      <c r="M211" s="151">
        <f t="shared" si="47"/>
        <v>0</v>
      </c>
      <c r="N211" s="151">
        <v>39395.15</v>
      </c>
      <c r="O211" s="156">
        <f t="shared" si="34"/>
        <v>39395.15</v>
      </c>
      <c r="P211" s="156">
        <f t="shared" si="48"/>
        <v>0</v>
      </c>
      <c r="Q211" s="85">
        <f t="shared" si="35"/>
        <v>520.60729231344533</v>
      </c>
      <c r="R211" s="6">
        <f t="shared" si="36"/>
        <v>520.60729231344533</v>
      </c>
      <c r="S211" s="5">
        <f t="shared" si="37"/>
        <v>39395.15</v>
      </c>
      <c r="T211" s="113">
        <v>0.33333333333333337</v>
      </c>
      <c r="U211" s="87">
        <f t="shared" si="38"/>
        <v>9085.5014991238168</v>
      </c>
      <c r="V211" s="87">
        <f t="shared" si="39"/>
        <v>5409.1268531690648</v>
      </c>
      <c r="W211" s="87">
        <f t="shared" si="40"/>
        <v>908.5501499123817</v>
      </c>
      <c r="X211" s="87">
        <f t="shared" si="41"/>
        <v>476.97979012966192</v>
      </c>
      <c r="Y211" s="87">
        <f t="shared" si="42"/>
        <v>15880.158292334927</v>
      </c>
      <c r="Z211" s="91">
        <f t="shared" si="43"/>
        <v>0.40309932294546225</v>
      </c>
      <c r="AA211" s="131">
        <f t="shared" si="44"/>
        <v>15880.656131108379</v>
      </c>
      <c r="AC211" s="131">
        <v>15918.833036982476</v>
      </c>
      <c r="AD211" s="151">
        <f t="shared" si="49"/>
        <v>-38.176905874097429</v>
      </c>
    </row>
    <row r="212" spans="2:30" x14ac:dyDescent="0.3">
      <c r="B212">
        <v>611</v>
      </c>
      <c r="C212" s="25">
        <v>8</v>
      </c>
      <c r="D212" s="32" t="s">
        <v>219</v>
      </c>
      <c r="E212" s="153">
        <v>19.780665332856973</v>
      </c>
      <c r="F212" s="153">
        <f>INDEX('Revised 2019 Lockdown'!H$5:H$257,MATCH(B212,'Revised 2019 Lockdown'!B$5:B$257,0))</f>
        <v>19.780665332856973</v>
      </c>
      <c r="G212" s="153">
        <f t="shared" si="45"/>
        <v>0</v>
      </c>
      <c r="H212" s="151">
        <v>37334.879999999997</v>
      </c>
      <c r="I212" s="151">
        <f>INDEX('Revised 2019 Lockdown'!E$5:E$257,MATCH(B212,'Revised 2019 Lockdown'!B$5:B$257,0))</f>
        <v>37334.879999999997</v>
      </c>
      <c r="J212" s="151">
        <f t="shared" si="46"/>
        <v>0</v>
      </c>
      <c r="K212" s="151">
        <v>0</v>
      </c>
      <c r="L212" s="151">
        <f>INDEX('Revised 2019 Lockdown'!F$5:F$257,MATCH(B212,'Revised 2019 Lockdown'!B$5:B$257,0))</f>
        <v>0</v>
      </c>
      <c r="M212" s="151">
        <f t="shared" si="47"/>
        <v>0</v>
      </c>
      <c r="N212" s="151">
        <v>37334.879999999997</v>
      </c>
      <c r="O212" s="156">
        <f t="shared" si="34"/>
        <v>37334.879999999997</v>
      </c>
      <c r="P212" s="156">
        <f t="shared" si="48"/>
        <v>0</v>
      </c>
      <c r="Q212" s="85">
        <f t="shared" si="35"/>
        <v>1887.4430850404374</v>
      </c>
      <c r="R212" s="6">
        <f t="shared" si="36"/>
        <v>1830.1016167772441</v>
      </c>
      <c r="S212" s="5">
        <f t="shared" si="37"/>
        <v>36200.62760659113</v>
      </c>
      <c r="T212" s="113">
        <v>0.44212962962962959</v>
      </c>
      <c r="U212" s="87">
        <f t="shared" si="38"/>
        <v>8348.7651751270569</v>
      </c>
      <c r="V212" s="87">
        <f t="shared" si="39"/>
        <v>1413.9548776786473</v>
      </c>
      <c r="W212" s="87">
        <f t="shared" si="40"/>
        <v>1107.3709364231024</v>
      </c>
      <c r="X212" s="87">
        <f t="shared" si="41"/>
        <v>438.30186605086874</v>
      </c>
      <c r="Y212" s="87">
        <f t="shared" si="42"/>
        <v>11308.392855279675</v>
      </c>
      <c r="Z212" s="91">
        <f t="shared" si="43"/>
        <v>0.31238112714987104</v>
      </c>
      <c r="AA212" s="131">
        <f t="shared" si="44"/>
        <v>11308.747370412657</v>
      </c>
      <c r="AC212" s="131">
        <v>11343.456426331548</v>
      </c>
      <c r="AD212" s="151">
        <f t="shared" si="49"/>
        <v>-34.709055918890954</v>
      </c>
    </row>
    <row r="213" spans="2:30" x14ac:dyDescent="0.3">
      <c r="B213">
        <v>616</v>
      </c>
      <c r="C213" s="25">
        <v>8</v>
      </c>
      <c r="D213" s="32" t="s">
        <v>220</v>
      </c>
      <c r="E213" s="153">
        <v>164.92000000000002</v>
      </c>
      <c r="F213" s="153">
        <f>INDEX('Revised 2019 Lockdown'!H$5:H$257,MATCH(B213,'Revised 2019 Lockdown'!B$5:B$257,0))</f>
        <v>164.92000000000002</v>
      </c>
      <c r="G213" s="153">
        <f t="shared" si="45"/>
        <v>0</v>
      </c>
      <c r="H213" s="151">
        <v>264029.39</v>
      </c>
      <c r="I213" s="151">
        <f>INDEX('Revised 2019 Lockdown'!E$5:E$257,MATCH(B213,'Revised 2019 Lockdown'!B$5:B$257,0))</f>
        <v>264029.39</v>
      </c>
      <c r="J213" s="151">
        <f t="shared" si="46"/>
        <v>0</v>
      </c>
      <c r="K213" s="151">
        <v>0</v>
      </c>
      <c r="L213" s="151">
        <f>INDEX('Revised 2019 Lockdown'!F$5:F$257,MATCH(B213,'Revised 2019 Lockdown'!B$5:B$257,0))</f>
        <v>0</v>
      </c>
      <c r="M213" s="151">
        <f t="shared" si="47"/>
        <v>0</v>
      </c>
      <c r="N213" s="151">
        <v>264029.39</v>
      </c>
      <c r="O213" s="156">
        <f t="shared" si="34"/>
        <v>264029.39</v>
      </c>
      <c r="P213" s="156">
        <f t="shared" si="48"/>
        <v>0</v>
      </c>
      <c r="Q213" s="85">
        <f t="shared" si="35"/>
        <v>1600.9543414989084</v>
      </c>
      <c r="R213" s="6">
        <f t="shared" si="36"/>
        <v>1600.9543414989084</v>
      </c>
      <c r="S213" s="5">
        <f t="shared" si="37"/>
        <v>264029.39</v>
      </c>
      <c r="T213" s="113">
        <v>0.49305555555555558</v>
      </c>
      <c r="U213" s="87">
        <f t="shared" si="38"/>
        <v>60891.744761924921</v>
      </c>
      <c r="V213" s="87">
        <f t="shared" si="39"/>
        <v>11788.756065723415</v>
      </c>
      <c r="W213" s="87">
        <f t="shared" si="40"/>
        <v>9006.9039127013948</v>
      </c>
      <c r="X213" s="87">
        <f t="shared" si="41"/>
        <v>3196.7560227658141</v>
      </c>
      <c r="Y213" s="87">
        <f t="shared" si="42"/>
        <v>84884.160763115549</v>
      </c>
      <c r="Z213" s="91">
        <f t="shared" si="43"/>
        <v>0.32149512129356334</v>
      </c>
      <c r="AA213" s="131">
        <f t="shared" si="44"/>
        <v>84886.82185916396</v>
      </c>
      <c r="AC213" s="131">
        <v>85119.714093108312</v>
      </c>
      <c r="AD213" s="151">
        <f t="shared" si="49"/>
        <v>-232.89223394435248</v>
      </c>
    </row>
    <row r="214" spans="2:30" x14ac:dyDescent="0.3">
      <c r="B214">
        <v>637</v>
      </c>
      <c r="C214" s="25">
        <v>8</v>
      </c>
      <c r="D214" s="32" t="s">
        <v>295</v>
      </c>
      <c r="E214" s="153">
        <v>11.1622</v>
      </c>
      <c r="F214" s="153">
        <f>INDEX('Revised 2019 Lockdown'!H$5:H$257,MATCH(B214,'Revised 2019 Lockdown'!B$5:B$257,0))</f>
        <v>11.1622</v>
      </c>
      <c r="G214" s="153">
        <f t="shared" si="45"/>
        <v>0</v>
      </c>
      <c r="H214" s="151">
        <v>24131.66</v>
      </c>
      <c r="I214" s="151">
        <f>INDEX('Revised 2019 Lockdown'!E$5:E$257,MATCH(B214,'Revised 2019 Lockdown'!B$5:B$257,0))</f>
        <v>24131.66</v>
      </c>
      <c r="J214" s="151">
        <f t="shared" si="46"/>
        <v>0</v>
      </c>
      <c r="K214" s="151">
        <v>0</v>
      </c>
      <c r="L214" s="151">
        <f>INDEX('Revised 2019 Lockdown'!F$5:F$257,MATCH(B214,'Revised 2019 Lockdown'!B$5:B$257,0))</f>
        <v>0</v>
      </c>
      <c r="M214" s="151">
        <f t="shared" si="47"/>
        <v>0</v>
      </c>
      <c r="N214" s="151">
        <v>24131.66</v>
      </c>
      <c r="O214" s="156">
        <f t="shared" si="34"/>
        <v>24131.66</v>
      </c>
      <c r="P214" s="156">
        <f t="shared" si="48"/>
        <v>0</v>
      </c>
      <c r="Q214" s="85">
        <f t="shared" si="35"/>
        <v>2161.9089426815503</v>
      </c>
      <c r="R214" s="6">
        <f t="shared" si="36"/>
        <v>1830.1016167772441</v>
      </c>
      <c r="S214" s="5">
        <f t="shared" si="37"/>
        <v>20427.960266790953</v>
      </c>
      <c r="T214" s="113">
        <v>0.3611111111111111</v>
      </c>
      <c r="U214" s="87">
        <f t="shared" si="38"/>
        <v>4711.1957595788044</v>
      </c>
      <c r="V214" s="87">
        <f t="shared" si="39"/>
        <v>797.89263252982005</v>
      </c>
      <c r="W214" s="87">
        <f t="shared" si="40"/>
        <v>510.37954062103711</v>
      </c>
      <c r="X214" s="87">
        <f t="shared" si="41"/>
        <v>247.33309051573661</v>
      </c>
      <c r="Y214" s="87">
        <f t="shared" si="42"/>
        <v>6266.801023245398</v>
      </c>
      <c r="Z214" s="91">
        <f t="shared" si="43"/>
        <v>0.30677566146597246</v>
      </c>
      <c r="AA214" s="131">
        <f t="shared" si="44"/>
        <v>6266.9974858043634</v>
      </c>
      <c r="AC214" s="131">
        <v>6286.2067678770627</v>
      </c>
      <c r="AD214" s="151">
        <f t="shared" si="49"/>
        <v>-19.209282072699352</v>
      </c>
    </row>
    <row r="215" spans="2:30" x14ac:dyDescent="0.3">
      <c r="B215">
        <v>638</v>
      </c>
      <c r="C215" s="25">
        <v>8</v>
      </c>
      <c r="D215" s="32" t="s">
        <v>296</v>
      </c>
      <c r="E215" s="153">
        <v>11.482591760350724</v>
      </c>
      <c r="F215" s="153">
        <f>INDEX('Revised 2019 Lockdown'!H$5:H$257,MATCH(B215,'Revised 2019 Lockdown'!B$5:B$257,0))</f>
        <v>11.482591760350724</v>
      </c>
      <c r="G215" s="153">
        <f t="shared" si="45"/>
        <v>0</v>
      </c>
      <c r="H215" s="151">
        <v>19979.61</v>
      </c>
      <c r="I215" s="151">
        <f>INDEX('Revised 2019 Lockdown'!E$5:E$257,MATCH(B215,'Revised 2019 Lockdown'!B$5:B$257,0))</f>
        <v>19979.61</v>
      </c>
      <c r="J215" s="151">
        <f t="shared" si="46"/>
        <v>0</v>
      </c>
      <c r="K215" s="151">
        <v>0</v>
      </c>
      <c r="L215" s="151">
        <f>INDEX('Revised 2019 Lockdown'!F$5:F$257,MATCH(B215,'Revised 2019 Lockdown'!B$5:B$257,0))</f>
        <v>0</v>
      </c>
      <c r="M215" s="151">
        <f t="shared" si="47"/>
        <v>0</v>
      </c>
      <c r="N215" s="151">
        <v>19979.61</v>
      </c>
      <c r="O215" s="156">
        <f t="shared" si="34"/>
        <v>19979.61</v>
      </c>
      <c r="P215" s="156">
        <f t="shared" si="48"/>
        <v>0</v>
      </c>
      <c r="Q215" s="85">
        <f t="shared" si="35"/>
        <v>1739.9913205126213</v>
      </c>
      <c r="R215" s="6">
        <f t="shared" si="36"/>
        <v>1739.9913205126213</v>
      </c>
      <c r="S215" s="5">
        <f t="shared" si="37"/>
        <v>19979.61</v>
      </c>
      <c r="T215" s="113">
        <v>0.53240740740740744</v>
      </c>
      <c r="U215" s="87">
        <f t="shared" si="38"/>
        <v>4607.7950358587077</v>
      </c>
      <c r="V215" s="87">
        <f t="shared" si="39"/>
        <v>820.79476876704041</v>
      </c>
      <c r="W215" s="87">
        <f t="shared" si="40"/>
        <v>735.96726267187694</v>
      </c>
      <c r="X215" s="87">
        <f t="shared" si="41"/>
        <v>241.90465538708429</v>
      </c>
      <c r="Y215" s="87">
        <f t="shared" si="42"/>
        <v>6406.4617226847085</v>
      </c>
      <c r="Z215" s="91">
        <f t="shared" si="43"/>
        <v>0.32064998879781481</v>
      </c>
      <c r="AA215" s="131">
        <f t="shared" si="44"/>
        <v>6406.6625635697601</v>
      </c>
      <c r="AC215" s="131">
        <v>6424.3538923379256</v>
      </c>
      <c r="AD215" s="151">
        <f t="shared" si="49"/>
        <v>-17.691328768165477</v>
      </c>
    </row>
    <row r="216" spans="2:30" x14ac:dyDescent="0.3">
      <c r="B216">
        <v>639</v>
      </c>
      <c r="C216" s="25">
        <v>8</v>
      </c>
      <c r="D216" s="32" t="s">
        <v>297</v>
      </c>
      <c r="E216" s="153">
        <v>26.744088597118019</v>
      </c>
      <c r="F216" s="153">
        <f>INDEX('Revised 2019 Lockdown'!H$5:H$257,MATCH(B216,'Revised 2019 Lockdown'!B$5:B$257,0))</f>
        <v>26.744088597118019</v>
      </c>
      <c r="G216" s="153">
        <f t="shared" si="45"/>
        <v>0</v>
      </c>
      <c r="H216" s="151">
        <v>19587.5</v>
      </c>
      <c r="I216" s="151">
        <f>INDEX('Revised 2019 Lockdown'!E$5:E$257,MATCH(B216,'Revised 2019 Lockdown'!B$5:B$257,0))</f>
        <v>19587.5</v>
      </c>
      <c r="J216" s="151">
        <f t="shared" si="46"/>
        <v>0</v>
      </c>
      <c r="K216" s="151">
        <v>0</v>
      </c>
      <c r="L216" s="151">
        <f>INDEX('Revised 2019 Lockdown'!F$5:F$257,MATCH(B216,'Revised 2019 Lockdown'!B$5:B$257,0))</f>
        <v>0</v>
      </c>
      <c r="M216" s="151">
        <f t="shared" si="47"/>
        <v>0</v>
      </c>
      <c r="N216" s="151">
        <v>19587.5</v>
      </c>
      <c r="O216" s="156">
        <f t="shared" si="34"/>
        <v>19587.5</v>
      </c>
      <c r="P216" s="156">
        <f t="shared" si="48"/>
        <v>0</v>
      </c>
      <c r="Q216" s="85">
        <f t="shared" si="35"/>
        <v>732.40484262046516</v>
      </c>
      <c r="R216" s="6">
        <f t="shared" si="36"/>
        <v>732.40484262046516</v>
      </c>
      <c r="S216" s="5">
        <f t="shared" si="37"/>
        <v>19587.5</v>
      </c>
      <c r="T216" s="113">
        <v>0.72685185185185175</v>
      </c>
      <c r="U216" s="87">
        <f t="shared" si="38"/>
        <v>4517.3647165726679</v>
      </c>
      <c r="V216" s="87">
        <f t="shared" si="39"/>
        <v>1911.7119613844254</v>
      </c>
      <c r="W216" s="87">
        <f t="shared" si="40"/>
        <v>985.0364729193177</v>
      </c>
      <c r="X216" s="87">
        <f t="shared" si="41"/>
        <v>237.15715358780847</v>
      </c>
      <c r="Y216" s="87">
        <f t="shared" si="42"/>
        <v>7651.2703044642194</v>
      </c>
      <c r="Z216" s="91">
        <f t="shared" si="43"/>
        <v>0.39062005383352749</v>
      </c>
      <c r="AA216" s="131">
        <f t="shared" si="44"/>
        <v>7651.5101697699429</v>
      </c>
      <c r="AC216" s="131">
        <v>7671.0599503421226</v>
      </c>
      <c r="AD216" s="151">
        <f t="shared" si="49"/>
        <v>-19.54978057217977</v>
      </c>
    </row>
    <row r="217" spans="2:30" x14ac:dyDescent="0.3">
      <c r="B217">
        <v>645</v>
      </c>
      <c r="C217" s="25">
        <v>8</v>
      </c>
      <c r="D217" s="32" t="s">
        <v>313</v>
      </c>
      <c r="E217" s="153">
        <v>4.4384178397046563</v>
      </c>
      <c r="F217" s="153">
        <f>INDEX('Revised 2019 Lockdown'!H$5:H$257,MATCH(B217,'Revised 2019 Lockdown'!B$5:B$257,0))</f>
        <v>4.4384178397046563</v>
      </c>
      <c r="G217" s="153">
        <f t="shared" si="45"/>
        <v>0</v>
      </c>
      <c r="H217" s="151">
        <v>14942.85</v>
      </c>
      <c r="I217" s="151">
        <f>INDEX('Revised 2019 Lockdown'!E$5:E$257,MATCH(B217,'Revised 2019 Lockdown'!B$5:B$257,0))</f>
        <v>14942.85</v>
      </c>
      <c r="J217" s="151">
        <f t="shared" si="46"/>
        <v>0</v>
      </c>
      <c r="K217" s="151">
        <v>0</v>
      </c>
      <c r="L217" s="151">
        <f>INDEX('Revised 2019 Lockdown'!F$5:F$257,MATCH(B217,'Revised 2019 Lockdown'!B$5:B$257,0))</f>
        <v>0</v>
      </c>
      <c r="M217" s="151">
        <f t="shared" si="47"/>
        <v>0</v>
      </c>
      <c r="N217" s="151">
        <v>14942.85</v>
      </c>
      <c r="O217" s="156">
        <f t="shared" si="34"/>
        <v>14942.85</v>
      </c>
      <c r="P217" s="156">
        <f t="shared" si="48"/>
        <v>0</v>
      </c>
      <c r="Q217" s="85">
        <f t="shared" si="35"/>
        <v>3366.7064570455891</v>
      </c>
      <c r="R217" s="6">
        <f t="shared" si="36"/>
        <v>1830.1016167772441</v>
      </c>
      <c r="S217" s="5">
        <f t="shared" si="37"/>
        <v>8122.7556643764547</v>
      </c>
      <c r="T217" s="113">
        <v>0.26851851851851849</v>
      </c>
      <c r="U217" s="87">
        <f t="shared" si="38"/>
        <v>1873.3095004260358</v>
      </c>
      <c r="V217" s="87">
        <f t="shared" si="39"/>
        <v>317.26549375474946</v>
      </c>
      <c r="W217" s="87">
        <f t="shared" si="40"/>
        <v>150.90548753431952</v>
      </c>
      <c r="X217" s="87">
        <f t="shared" si="41"/>
        <v>98.346885138622483</v>
      </c>
      <c r="Y217" s="87">
        <f t="shared" si="42"/>
        <v>2439.8273668537272</v>
      </c>
      <c r="Z217" s="91">
        <f t="shared" si="43"/>
        <v>0.3003694149700884</v>
      </c>
      <c r="AA217" s="131">
        <f t="shared" si="44"/>
        <v>2439.9038547980781</v>
      </c>
      <c r="AC217" s="131">
        <v>2447.3707130009184</v>
      </c>
      <c r="AD217" s="151">
        <f t="shared" si="49"/>
        <v>-7.4668582028402852</v>
      </c>
    </row>
    <row r="218" spans="2:30" x14ac:dyDescent="0.3">
      <c r="B218">
        <v>709</v>
      </c>
      <c r="C218" s="25">
        <v>8</v>
      </c>
      <c r="D218" s="32" t="s">
        <v>222</v>
      </c>
      <c r="E218" s="153">
        <v>69.808973502441347</v>
      </c>
      <c r="F218" s="153">
        <f>INDEX('Revised 2019 Lockdown'!H$5:H$257,MATCH(B218,'Revised 2019 Lockdown'!B$5:B$257,0))</f>
        <v>69.808973502441347</v>
      </c>
      <c r="G218" s="153">
        <f t="shared" si="45"/>
        <v>0</v>
      </c>
      <c r="H218" s="151">
        <v>43632.11</v>
      </c>
      <c r="I218" s="151">
        <f>INDEX('Revised 2019 Lockdown'!E$5:E$257,MATCH(B218,'Revised 2019 Lockdown'!B$5:B$257,0))</f>
        <v>43632.11</v>
      </c>
      <c r="J218" s="151">
        <f t="shared" si="46"/>
        <v>0</v>
      </c>
      <c r="K218" s="151">
        <v>0</v>
      </c>
      <c r="L218" s="151">
        <f>INDEX('Revised 2019 Lockdown'!F$5:F$257,MATCH(B218,'Revised 2019 Lockdown'!B$5:B$257,0))</f>
        <v>0</v>
      </c>
      <c r="M218" s="151">
        <f t="shared" si="47"/>
        <v>0</v>
      </c>
      <c r="N218" s="151">
        <v>43632.11</v>
      </c>
      <c r="O218" s="156">
        <f t="shared" ref="O218:O278" si="50">I218-L218</f>
        <v>43632.11</v>
      </c>
      <c r="P218" s="156">
        <f t="shared" si="48"/>
        <v>0</v>
      </c>
      <c r="Q218" s="85">
        <f t="shared" ref="Q218:Q278" si="51">IFERROR(O218/F218,"n.a.")</f>
        <v>625.02150956959861</v>
      </c>
      <c r="R218" s="6">
        <f t="shared" ref="R218:R278" si="52">MIN(Q218,INDEX($T$3:$T$11,MATCH(C218,$Q$3:$Q$11,0)))</f>
        <v>625.02150956959861</v>
      </c>
      <c r="S218" s="5">
        <f t="shared" ref="S218:S278" si="53">F218*R218</f>
        <v>43632.11</v>
      </c>
      <c r="T218" s="113">
        <v>0.47222222222222221</v>
      </c>
      <c r="U218" s="87">
        <f t="shared" ref="U218:U278" si="54">$E$14*(S218/$S$24)</f>
        <v>10062.649864639054</v>
      </c>
      <c r="V218" s="87">
        <f t="shared" ref="V218:V278" si="55">$E$15*(F218/$F$24)</f>
        <v>4990.0616045284414</v>
      </c>
      <c r="W218" s="87">
        <f t="shared" ref="W218:W278" si="56">IFERROR(T218*$E$16*(S218/$S$24),0)</f>
        <v>1425.5420641571991</v>
      </c>
      <c r="X218" s="87">
        <f t="shared" ref="X218:X278" si="57">($W$23+$E$9)*(S218/$S$24)</f>
        <v>528.27910721787634</v>
      </c>
      <c r="Y218" s="87">
        <f t="shared" ref="Y218:Y278" si="58">U218+V218+W218+X218</f>
        <v>17006.532640542569</v>
      </c>
      <c r="Z218" s="91">
        <f t="shared" ref="Z218:Z278" si="59">IFERROR((Y218/S218),0)</f>
        <v>0.38977103423470855</v>
      </c>
      <c r="AA218" s="131">
        <f t="shared" ref="AA218:AA278" si="60">IF(Z218&gt;$Z$19,$Z$19*S218,Y218+($Z$23*Y218/$Z$22))</f>
        <v>17007.065790854715</v>
      </c>
      <c r="AC218" s="131">
        <v>17049.292698957943</v>
      </c>
      <c r="AD218" s="151">
        <f t="shared" si="49"/>
        <v>-42.226908103228197</v>
      </c>
    </row>
    <row r="219" spans="2:30" x14ac:dyDescent="0.3">
      <c r="B219">
        <v>714</v>
      </c>
      <c r="C219" s="25">
        <v>8</v>
      </c>
      <c r="D219" s="32" t="s">
        <v>223</v>
      </c>
      <c r="E219" s="153">
        <v>55.79475654400381</v>
      </c>
      <c r="F219" s="153">
        <f>INDEX('Revised 2019 Lockdown'!H$5:H$257,MATCH(B219,'Revised 2019 Lockdown'!B$5:B$257,0))</f>
        <v>55.79475654400381</v>
      </c>
      <c r="G219" s="153">
        <f t="shared" ref="G219:G278" si="61">E219-F219</f>
        <v>0</v>
      </c>
      <c r="H219" s="151">
        <v>63101.23</v>
      </c>
      <c r="I219" s="151">
        <f>INDEX('Revised 2019 Lockdown'!E$5:E$257,MATCH(B219,'Revised 2019 Lockdown'!B$5:B$257,0))</f>
        <v>63101.23</v>
      </c>
      <c r="J219" s="151">
        <f t="shared" ref="J219:J278" si="62">H219-I219</f>
        <v>0</v>
      </c>
      <c r="K219" s="151">
        <v>0</v>
      </c>
      <c r="L219" s="151">
        <f>INDEX('Revised 2019 Lockdown'!F$5:F$257,MATCH(B219,'Revised 2019 Lockdown'!B$5:B$257,0))</f>
        <v>0</v>
      </c>
      <c r="M219" s="151">
        <f t="shared" ref="M219:M278" si="63">K219-L219</f>
        <v>0</v>
      </c>
      <c r="N219" s="151">
        <v>63101.23</v>
      </c>
      <c r="O219" s="156">
        <f t="shared" si="50"/>
        <v>63101.23</v>
      </c>
      <c r="P219" s="156">
        <f t="shared" ref="P219:P278" si="64">N219-O219</f>
        <v>0</v>
      </c>
      <c r="Q219" s="85">
        <f t="shared" si="51"/>
        <v>1130.9526899760513</v>
      </c>
      <c r="R219" s="6">
        <f t="shared" si="52"/>
        <v>1130.9526899760513</v>
      </c>
      <c r="S219" s="5">
        <f t="shared" si="53"/>
        <v>63101.229999999996</v>
      </c>
      <c r="T219" s="113">
        <v>0.34722222222222221</v>
      </c>
      <c r="U219" s="87">
        <f t="shared" si="54"/>
        <v>14552.713208645142</v>
      </c>
      <c r="V219" s="87">
        <f t="shared" si="55"/>
        <v>3988.3020533815557</v>
      </c>
      <c r="W219" s="87">
        <f t="shared" si="56"/>
        <v>1515.9076259005355</v>
      </c>
      <c r="X219" s="87">
        <f t="shared" si="57"/>
        <v>764.00296590629875</v>
      </c>
      <c r="Y219" s="87">
        <f t="shared" si="58"/>
        <v>20820.925853833531</v>
      </c>
      <c r="Z219" s="91">
        <f t="shared" si="59"/>
        <v>0.32996069734034555</v>
      </c>
      <c r="AA219" s="131">
        <f t="shared" si="60"/>
        <v>20821.578584366714</v>
      </c>
      <c r="AC219" s="131">
        <v>20876.872922097878</v>
      </c>
      <c r="AD219" s="151">
        <f t="shared" ref="AD219:AD278" si="65">AA219-AC219</f>
        <v>-55.294337731163978</v>
      </c>
    </row>
    <row r="220" spans="2:30" x14ac:dyDescent="0.3">
      <c r="B220">
        <v>749</v>
      </c>
      <c r="C220" s="25">
        <v>8</v>
      </c>
      <c r="D220" s="32" t="s">
        <v>224</v>
      </c>
      <c r="E220" s="153">
        <v>25.180157901631535</v>
      </c>
      <c r="F220" s="153">
        <f>INDEX('Revised 2019 Lockdown'!H$5:H$257,MATCH(B220,'Revised 2019 Lockdown'!B$5:B$257,0))</f>
        <v>25.180157901631535</v>
      </c>
      <c r="G220" s="153">
        <f t="shared" si="61"/>
        <v>0</v>
      </c>
      <c r="H220" s="151">
        <v>4690.4399999999996</v>
      </c>
      <c r="I220" s="151">
        <f>INDEX('Revised 2019 Lockdown'!E$5:E$257,MATCH(B220,'Revised 2019 Lockdown'!B$5:B$257,0))</f>
        <v>4690.4399999999996</v>
      </c>
      <c r="J220" s="151">
        <f t="shared" si="62"/>
        <v>0</v>
      </c>
      <c r="K220" s="151">
        <v>0</v>
      </c>
      <c r="L220" s="151">
        <f>INDEX('Revised 2019 Lockdown'!F$5:F$257,MATCH(B220,'Revised 2019 Lockdown'!B$5:B$257,0))</f>
        <v>0</v>
      </c>
      <c r="M220" s="151">
        <f t="shared" si="63"/>
        <v>0</v>
      </c>
      <c r="N220" s="151">
        <v>4690.4399999999996</v>
      </c>
      <c r="O220" s="156">
        <f t="shared" si="50"/>
        <v>4690.4399999999996</v>
      </c>
      <c r="P220" s="156">
        <f t="shared" si="64"/>
        <v>0</v>
      </c>
      <c r="Q220" s="85">
        <f t="shared" si="51"/>
        <v>186.27524173293946</v>
      </c>
      <c r="R220" s="6">
        <f t="shared" si="52"/>
        <v>186.27524173293946</v>
      </c>
      <c r="S220" s="5">
        <f t="shared" si="53"/>
        <v>4690.4399999999996</v>
      </c>
      <c r="T220" s="113">
        <v>0.33333333333333331</v>
      </c>
      <c r="U220" s="87">
        <f t="shared" si="54"/>
        <v>1081.7321333095649</v>
      </c>
      <c r="V220" s="87">
        <f t="shared" si="55"/>
        <v>1799.9195925220235</v>
      </c>
      <c r="W220" s="87">
        <f t="shared" si="56"/>
        <v>108.17321333095647</v>
      </c>
      <c r="X220" s="87">
        <f t="shared" si="57"/>
        <v>56.789860853830262</v>
      </c>
      <c r="Y220" s="87">
        <f t="shared" si="58"/>
        <v>3046.6148000163753</v>
      </c>
      <c r="Z220" s="91">
        <f t="shared" si="59"/>
        <v>0.64953710100041262</v>
      </c>
      <c r="AA220" s="131">
        <f t="shared" si="60"/>
        <v>3046.7103105866922</v>
      </c>
      <c r="AC220" s="131">
        <v>3052.7474415652537</v>
      </c>
      <c r="AD220" s="151">
        <f t="shared" si="65"/>
        <v>-6.0371309785614358</v>
      </c>
    </row>
    <row r="221" spans="2:30" x14ac:dyDescent="0.3">
      <c r="B221">
        <v>764</v>
      </c>
      <c r="C221" s="25">
        <v>8</v>
      </c>
      <c r="D221" s="32" t="s">
        <v>225</v>
      </c>
      <c r="E221" s="153">
        <v>15.2</v>
      </c>
      <c r="F221" s="153">
        <f>INDEX('Revised 2019 Lockdown'!H$5:H$257,MATCH(B221,'Revised 2019 Lockdown'!B$5:B$257,0))</f>
        <v>15.2</v>
      </c>
      <c r="G221" s="153">
        <f t="shared" si="61"/>
        <v>0</v>
      </c>
      <c r="H221" s="151">
        <v>11682.68</v>
      </c>
      <c r="I221" s="151">
        <f>INDEX('Revised 2019 Lockdown'!E$5:E$257,MATCH(B221,'Revised 2019 Lockdown'!B$5:B$257,0))</f>
        <v>11682.68</v>
      </c>
      <c r="J221" s="151">
        <f t="shared" si="62"/>
        <v>0</v>
      </c>
      <c r="K221" s="151">
        <v>0</v>
      </c>
      <c r="L221" s="151">
        <f>INDEX('Revised 2019 Lockdown'!F$5:F$257,MATCH(B221,'Revised 2019 Lockdown'!B$5:B$257,0))</f>
        <v>0</v>
      </c>
      <c r="M221" s="151">
        <f t="shared" si="63"/>
        <v>0</v>
      </c>
      <c r="N221" s="151">
        <v>11682.68</v>
      </c>
      <c r="O221" s="156">
        <f t="shared" si="50"/>
        <v>11682.68</v>
      </c>
      <c r="P221" s="156">
        <f t="shared" si="64"/>
        <v>0</v>
      </c>
      <c r="Q221" s="85">
        <f t="shared" si="51"/>
        <v>768.59736842105269</v>
      </c>
      <c r="R221" s="6">
        <f t="shared" si="52"/>
        <v>768.59736842105269</v>
      </c>
      <c r="S221" s="5">
        <f t="shared" si="53"/>
        <v>11682.68</v>
      </c>
      <c r="T221" s="113">
        <v>0.1388888888888889</v>
      </c>
      <c r="U221" s="87">
        <f t="shared" si="54"/>
        <v>2694.3166012512661</v>
      </c>
      <c r="V221" s="87">
        <f t="shared" si="55"/>
        <v>1086.5212963800382</v>
      </c>
      <c r="W221" s="87">
        <f t="shared" si="56"/>
        <v>112.26319171880276</v>
      </c>
      <c r="X221" s="87">
        <f t="shared" si="57"/>
        <v>141.44894116539723</v>
      </c>
      <c r="Y221" s="87">
        <f t="shared" si="58"/>
        <v>4034.5500305155042</v>
      </c>
      <c r="Z221" s="91">
        <f t="shared" si="59"/>
        <v>0.34534456396267843</v>
      </c>
      <c r="AA221" s="131">
        <f t="shared" si="60"/>
        <v>4034.6765125946908</v>
      </c>
      <c r="AC221" s="131">
        <v>4044.8667920987746</v>
      </c>
      <c r="AD221" s="151">
        <f t="shared" si="65"/>
        <v>-10.190279504083719</v>
      </c>
    </row>
    <row r="222" spans="2:30" x14ac:dyDescent="0.3">
      <c r="B222">
        <v>775</v>
      </c>
      <c r="C222" s="25">
        <v>8</v>
      </c>
      <c r="D222" s="32" t="s">
        <v>226</v>
      </c>
      <c r="E222" s="153">
        <v>170.5270544434417</v>
      </c>
      <c r="F222" s="153">
        <f>INDEX('Revised 2019 Lockdown'!H$5:H$257,MATCH(B222,'Revised 2019 Lockdown'!B$5:B$257,0))</f>
        <v>170.5270544434417</v>
      </c>
      <c r="G222" s="153">
        <f t="shared" si="61"/>
        <v>0</v>
      </c>
      <c r="H222" s="151">
        <v>118004.07</v>
      </c>
      <c r="I222" s="151">
        <f>INDEX('Revised 2019 Lockdown'!E$5:E$257,MATCH(B222,'Revised 2019 Lockdown'!B$5:B$257,0))</f>
        <v>118004.07</v>
      </c>
      <c r="J222" s="151">
        <f t="shared" si="62"/>
        <v>0</v>
      </c>
      <c r="K222" s="151">
        <v>0</v>
      </c>
      <c r="L222" s="151">
        <f>INDEX('Revised 2019 Lockdown'!F$5:F$257,MATCH(B222,'Revised 2019 Lockdown'!B$5:B$257,0))</f>
        <v>0</v>
      </c>
      <c r="M222" s="151">
        <f t="shared" si="63"/>
        <v>0</v>
      </c>
      <c r="N222" s="151">
        <v>118004.07</v>
      </c>
      <c r="O222" s="156">
        <f t="shared" si="50"/>
        <v>118004.07</v>
      </c>
      <c r="P222" s="156">
        <f t="shared" si="64"/>
        <v>0</v>
      </c>
      <c r="Q222" s="85">
        <f t="shared" si="51"/>
        <v>691.99617846643878</v>
      </c>
      <c r="R222" s="6">
        <f t="shared" si="52"/>
        <v>691.99617846643878</v>
      </c>
      <c r="S222" s="5">
        <f t="shared" si="53"/>
        <v>118004.07</v>
      </c>
      <c r="T222" s="113">
        <v>0.7592592592592593</v>
      </c>
      <c r="U222" s="87">
        <f t="shared" si="54"/>
        <v>27214.673757752204</v>
      </c>
      <c r="V222" s="87">
        <f t="shared" si="55"/>
        <v>12189.557648799844</v>
      </c>
      <c r="W222" s="87">
        <f t="shared" si="56"/>
        <v>6198.8979114880021</v>
      </c>
      <c r="X222" s="87">
        <f t="shared" si="57"/>
        <v>1428.7432981736567</v>
      </c>
      <c r="Y222" s="87">
        <f t="shared" si="58"/>
        <v>47031.87261621371</v>
      </c>
      <c r="Z222" s="91">
        <f t="shared" si="59"/>
        <v>0.39856144467062626</v>
      </c>
      <c r="AA222" s="131">
        <f t="shared" si="60"/>
        <v>47033.347053013735</v>
      </c>
      <c r="AC222" s="131">
        <v>40397.741716526005</v>
      </c>
      <c r="AD222" s="151">
        <f t="shared" si="65"/>
        <v>6635.6053364877298</v>
      </c>
    </row>
    <row r="223" spans="2:30" x14ac:dyDescent="0.3">
      <c r="B223">
        <v>790</v>
      </c>
      <c r="C223" s="25">
        <v>8</v>
      </c>
      <c r="D223" s="32" t="s">
        <v>227</v>
      </c>
      <c r="E223" s="153">
        <v>9.7919034029984697</v>
      </c>
      <c r="F223" s="153">
        <f>INDEX('Revised 2019 Lockdown'!H$5:H$257,MATCH(B223,'Revised 2019 Lockdown'!B$5:B$257,0))</f>
        <v>9.7919034029984697</v>
      </c>
      <c r="G223" s="153">
        <f t="shared" si="61"/>
        <v>0</v>
      </c>
      <c r="H223" s="151">
        <v>8112.34</v>
      </c>
      <c r="I223" s="151">
        <f>INDEX('Revised 2019 Lockdown'!E$5:E$257,MATCH(B223,'Revised 2019 Lockdown'!B$5:B$257,0))</f>
        <v>8112.34</v>
      </c>
      <c r="J223" s="151">
        <f t="shared" si="62"/>
        <v>0</v>
      </c>
      <c r="K223" s="151">
        <v>0</v>
      </c>
      <c r="L223" s="151">
        <f>INDEX('Revised 2019 Lockdown'!F$5:F$257,MATCH(B223,'Revised 2019 Lockdown'!B$5:B$257,0))</f>
        <v>0</v>
      </c>
      <c r="M223" s="151">
        <f t="shared" si="63"/>
        <v>0</v>
      </c>
      <c r="N223" s="151">
        <v>8112.34</v>
      </c>
      <c r="O223" s="156">
        <f t="shared" si="50"/>
        <v>8112.34</v>
      </c>
      <c r="P223" s="156">
        <f t="shared" si="64"/>
        <v>0</v>
      </c>
      <c r="Q223" s="85">
        <f t="shared" si="51"/>
        <v>828.47426757864514</v>
      </c>
      <c r="R223" s="6">
        <f t="shared" si="52"/>
        <v>828.47426757864514</v>
      </c>
      <c r="S223" s="5">
        <f t="shared" si="53"/>
        <v>8112.34</v>
      </c>
      <c r="T223" s="113">
        <v>0.24999999999999997</v>
      </c>
      <c r="U223" s="87">
        <f t="shared" si="54"/>
        <v>1870.9073891431328</v>
      </c>
      <c r="V223" s="87">
        <f t="shared" si="55"/>
        <v>699.9415512798688</v>
      </c>
      <c r="W223" s="87">
        <f t="shared" si="56"/>
        <v>140.31805418573492</v>
      </c>
      <c r="X223" s="87">
        <f t="shared" si="57"/>
        <v>98.220776685974315</v>
      </c>
      <c r="Y223" s="87">
        <f t="shared" si="58"/>
        <v>2809.387771294711</v>
      </c>
      <c r="Z223" s="91">
        <f t="shared" si="59"/>
        <v>0.34631040751431902</v>
      </c>
      <c r="AA223" s="131">
        <f t="shared" si="60"/>
        <v>2809.4758448602552</v>
      </c>
      <c r="AC223" s="131">
        <v>2816.6649610338604</v>
      </c>
      <c r="AD223" s="151">
        <f t="shared" si="65"/>
        <v>-7.1891161736052709</v>
      </c>
    </row>
    <row r="224" spans="2:30" x14ac:dyDescent="0.3">
      <c r="B224">
        <v>795</v>
      </c>
      <c r="C224" s="25">
        <v>8</v>
      </c>
      <c r="D224" s="32" t="s">
        <v>298</v>
      </c>
      <c r="E224" s="153">
        <v>254.70924556993933</v>
      </c>
      <c r="F224" s="153">
        <f>INDEX('Revised 2019 Lockdown'!H$5:H$257,MATCH(B224,'Revised 2019 Lockdown'!B$5:B$257,0))</f>
        <v>254.70924556993933</v>
      </c>
      <c r="G224" s="153">
        <f t="shared" si="61"/>
        <v>0</v>
      </c>
      <c r="H224" s="151">
        <v>292287.77</v>
      </c>
      <c r="I224" s="151">
        <f>INDEX('Revised 2019 Lockdown'!E$5:E$257,MATCH(B224,'Revised 2019 Lockdown'!B$5:B$257,0))</f>
        <v>292287.77</v>
      </c>
      <c r="J224" s="151">
        <f t="shared" si="62"/>
        <v>0</v>
      </c>
      <c r="K224" s="151">
        <v>18326.8</v>
      </c>
      <c r="L224" s="151">
        <f>INDEX('Revised 2019 Lockdown'!F$5:F$257,MATCH(B224,'Revised 2019 Lockdown'!B$5:B$257,0))</f>
        <v>18326.8</v>
      </c>
      <c r="M224" s="151">
        <f t="shared" si="63"/>
        <v>0</v>
      </c>
      <c r="N224" s="151">
        <v>273960.97000000003</v>
      </c>
      <c r="O224" s="156">
        <f t="shared" si="50"/>
        <v>273960.97000000003</v>
      </c>
      <c r="P224" s="156">
        <f t="shared" si="64"/>
        <v>0</v>
      </c>
      <c r="Q224" s="85">
        <f t="shared" si="51"/>
        <v>1075.583139461557</v>
      </c>
      <c r="R224" s="6">
        <f t="shared" si="52"/>
        <v>1075.583139461557</v>
      </c>
      <c r="S224" s="5">
        <f t="shared" si="53"/>
        <v>273960.97000000003</v>
      </c>
      <c r="T224" s="113">
        <v>0.6064814814814814</v>
      </c>
      <c r="U224" s="87">
        <f t="shared" si="54"/>
        <v>63182.214146574253</v>
      </c>
      <c r="V224" s="87">
        <f t="shared" si="55"/>
        <v>18207.040769515261</v>
      </c>
      <c r="W224" s="87">
        <f t="shared" si="56"/>
        <v>11495.652851668368</v>
      </c>
      <c r="X224" s="87">
        <f t="shared" si="57"/>
        <v>3317.0033868209312</v>
      </c>
      <c r="Y224" s="87">
        <f t="shared" si="58"/>
        <v>96201.911154578818</v>
      </c>
      <c r="Z224" s="91">
        <f t="shared" si="59"/>
        <v>0.35115188544769282</v>
      </c>
      <c r="AA224" s="131">
        <f t="shared" si="60"/>
        <v>96204.927059116497</v>
      </c>
      <c r="AC224" s="131">
        <v>90822.980949145072</v>
      </c>
      <c r="AD224" s="151">
        <f t="shared" si="65"/>
        <v>5381.9461099714244</v>
      </c>
    </row>
    <row r="225" spans="2:30" x14ac:dyDescent="0.3">
      <c r="B225">
        <v>796</v>
      </c>
      <c r="C225" s="25">
        <v>8</v>
      </c>
      <c r="D225" s="32" t="s">
        <v>228</v>
      </c>
      <c r="E225" s="153">
        <v>32</v>
      </c>
      <c r="F225" s="153">
        <f>INDEX('Revised 2019 Lockdown'!H$5:H$257,MATCH(B225,'Revised 2019 Lockdown'!B$5:B$257,0))</f>
        <v>32</v>
      </c>
      <c r="G225" s="153">
        <f t="shared" si="61"/>
        <v>0</v>
      </c>
      <c r="H225" s="151">
        <v>22596.76</v>
      </c>
      <c r="I225" s="151">
        <f>INDEX('Revised 2019 Lockdown'!E$5:E$257,MATCH(B225,'Revised 2019 Lockdown'!B$5:B$257,0))</f>
        <v>22596.76</v>
      </c>
      <c r="J225" s="151">
        <f t="shared" si="62"/>
        <v>0</v>
      </c>
      <c r="K225" s="151">
        <v>0</v>
      </c>
      <c r="L225" s="151">
        <f>INDEX('Revised 2019 Lockdown'!F$5:F$257,MATCH(B225,'Revised 2019 Lockdown'!B$5:B$257,0))</f>
        <v>0</v>
      </c>
      <c r="M225" s="151">
        <f t="shared" si="63"/>
        <v>0</v>
      </c>
      <c r="N225" s="151">
        <v>22596.76</v>
      </c>
      <c r="O225" s="156">
        <f t="shared" si="50"/>
        <v>22596.76</v>
      </c>
      <c r="P225" s="156">
        <f t="shared" si="64"/>
        <v>0</v>
      </c>
      <c r="Q225" s="85">
        <f t="shared" si="51"/>
        <v>706.14874999999995</v>
      </c>
      <c r="R225" s="6">
        <f t="shared" si="52"/>
        <v>706.14874999999995</v>
      </c>
      <c r="S225" s="5">
        <f t="shared" si="53"/>
        <v>22596.76</v>
      </c>
      <c r="T225" s="113">
        <v>0.45833333333333337</v>
      </c>
      <c r="U225" s="87">
        <f t="shared" si="54"/>
        <v>5211.3749244600176</v>
      </c>
      <c r="V225" s="87">
        <f t="shared" si="55"/>
        <v>2287.4132555369229</v>
      </c>
      <c r="W225" s="87">
        <f t="shared" si="56"/>
        <v>716.56405211325239</v>
      </c>
      <c r="X225" s="87">
        <f t="shared" si="57"/>
        <v>273.59199907629079</v>
      </c>
      <c r="Y225" s="87">
        <f t="shared" si="58"/>
        <v>8488.9442311864823</v>
      </c>
      <c r="Z225" s="91">
        <f t="shared" si="59"/>
        <v>0.37567085861807104</v>
      </c>
      <c r="AA225" s="131">
        <f t="shared" si="60"/>
        <v>8489.2103573488384</v>
      </c>
      <c r="AC225" s="131">
        <v>8510.6322126311625</v>
      </c>
      <c r="AD225" s="151">
        <f t="shared" si="65"/>
        <v>-21.421855282324032</v>
      </c>
    </row>
    <row r="226" spans="2:30" x14ac:dyDescent="0.3">
      <c r="B226">
        <v>797</v>
      </c>
      <c r="C226" s="25">
        <v>8</v>
      </c>
      <c r="D226" s="32" t="s">
        <v>229</v>
      </c>
      <c r="E226" s="153">
        <v>24.367612903417886</v>
      </c>
      <c r="F226" s="153">
        <f>INDEX('Revised 2019 Lockdown'!H$5:H$257,MATCH(B226,'Revised 2019 Lockdown'!B$5:B$257,0))</f>
        <v>24.367612903417886</v>
      </c>
      <c r="G226" s="153">
        <f t="shared" si="61"/>
        <v>0</v>
      </c>
      <c r="H226" s="151">
        <v>39985.18</v>
      </c>
      <c r="I226" s="151">
        <f>INDEX('Revised 2019 Lockdown'!E$5:E$257,MATCH(B226,'Revised 2019 Lockdown'!B$5:B$257,0))</f>
        <v>39985.18</v>
      </c>
      <c r="J226" s="151">
        <f t="shared" si="62"/>
        <v>0</v>
      </c>
      <c r="K226" s="151">
        <v>1159</v>
      </c>
      <c r="L226" s="151">
        <f>INDEX('Revised 2019 Lockdown'!F$5:F$257,MATCH(B226,'Revised 2019 Lockdown'!B$5:B$257,0))</f>
        <v>1159</v>
      </c>
      <c r="M226" s="151">
        <f t="shared" si="63"/>
        <v>0</v>
      </c>
      <c r="N226" s="151">
        <v>38826.18</v>
      </c>
      <c r="O226" s="156">
        <f t="shared" si="50"/>
        <v>38826.18</v>
      </c>
      <c r="P226" s="156">
        <f t="shared" si="64"/>
        <v>0</v>
      </c>
      <c r="Q226" s="85">
        <f t="shared" si="51"/>
        <v>1593.3518048685887</v>
      </c>
      <c r="R226" s="6">
        <f t="shared" si="52"/>
        <v>1593.3518048685887</v>
      </c>
      <c r="S226" s="5">
        <f t="shared" si="53"/>
        <v>38826.18</v>
      </c>
      <c r="T226" s="113">
        <v>0.1388888888888889</v>
      </c>
      <c r="U226" s="87">
        <f t="shared" si="54"/>
        <v>8954.2828646483413</v>
      </c>
      <c r="V226" s="87">
        <f t="shared" si="55"/>
        <v>1741.8375237834571</v>
      </c>
      <c r="W226" s="87">
        <f t="shared" si="56"/>
        <v>373.0951193603475</v>
      </c>
      <c r="X226" s="87">
        <f t="shared" si="57"/>
        <v>470.09094236058183</v>
      </c>
      <c r="Y226" s="87">
        <f t="shared" si="58"/>
        <v>11539.306450152728</v>
      </c>
      <c r="Z226" s="91">
        <f t="shared" si="59"/>
        <v>0.29720426913368064</v>
      </c>
      <c r="AA226" s="131">
        <f t="shared" si="60"/>
        <v>11539.668204365997</v>
      </c>
      <c r="AC226" s="131">
        <v>11571.122393137659</v>
      </c>
      <c r="AD226" s="151">
        <f t="shared" si="65"/>
        <v>-31.454188771662302</v>
      </c>
    </row>
    <row r="227" spans="2:30" x14ac:dyDescent="0.3">
      <c r="B227">
        <v>801</v>
      </c>
      <c r="C227" s="25">
        <v>8</v>
      </c>
      <c r="D227" s="32" t="s">
        <v>230</v>
      </c>
      <c r="E227" s="153">
        <v>135.0746846492795</v>
      </c>
      <c r="F227" s="153">
        <f>INDEX('Revised 2019 Lockdown'!H$5:H$257,MATCH(B227,'Revised 2019 Lockdown'!B$5:B$257,0))</f>
        <v>135.0746846492795</v>
      </c>
      <c r="G227" s="153">
        <f t="shared" si="61"/>
        <v>0</v>
      </c>
      <c r="H227" s="151">
        <v>96738.85</v>
      </c>
      <c r="I227" s="151">
        <f>INDEX('Revised 2019 Lockdown'!E$5:E$257,MATCH(B227,'Revised 2019 Lockdown'!B$5:B$257,0))</f>
        <v>96738.85</v>
      </c>
      <c r="J227" s="151">
        <f t="shared" si="62"/>
        <v>0</v>
      </c>
      <c r="K227" s="151">
        <v>0</v>
      </c>
      <c r="L227" s="151">
        <f>INDEX('Revised 2019 Lockdown'!F$5:F$257,MATCH(B227,'Revised 2019 Lockdown'!B$5:B$257,0))</f>
        <v>0</v>
      </c>
      <c r="M227" s="151">
        <f t="shared" si="63"/>
        <v>0</v>
      </c>
      <c r="N227" s="151">
        <v>96738.85</v>
      </c>
      <c r="O227" s="156">
        <f t="shared" si="50"/>
        <v>96738.85</v>
      </c>
      <c r="P227" s="156">
        <f t="shared" si="64"/>
        <v>0</v>
      </c>
      <c r="Q227" s="85">
        <f t="shared" si="51"/>
        <v>716.18786489253534</v>
      </c>
      <c r="R227" s="6">
        <f t="shared" si="52"/>
        <v>716.18786489253534</v>
      </c>
      <c r="S227" s="5">
        <f t="shared" si="53"/>
        <v>96738.85</v>
      </c>
      <c r="T227" s="113">
        <v>0.61342592592592593</v>
      </c>
      <c r="U227" s="87">
        <f t="shared" si="54"/>
        <v>22310.385077820847</v>
      </c>
      <c r="V227" s="87">
        <f t="shared" si="55"/>
        <v>9655.3632548197384</v>
      </c>
      <c r="W227" s="87">
        <f t="shared" si="56"/>
        <v>4105.7305872378638</v>
      </c>
      <c r="X227" s="87">
        <f t="shared" si="57"/>
        <v>1171.2730214349949</v>
      </c>
      <c r="Y227" s="87">
        <f t="shared" si="58"/>
        <v>37242.751941313443</v>
      </c>
      <c r="Z227" s="91">
        <f t="shared" si="59"/>
        <v>0.38498237203888036</v>
      </c>
      <c r="AA227" s="131">
        <f t="shared" si="60"/>
        <v>37243.919491762572</v>
      </c>
      <c r="AC227" s="131">
        <v>37338.510582612682</v>
      </c>
      <c r="AD227" s="151">
        <f t="shared" si="65"/>
        <v>-94.591090850110049</v>
      </c>
    </row>
    <row r="228" spans="2:30" x14ac:dyDescent="0.3">
      <c r="B228">
        <v>810</v>
      </c>
      <c r="C228" s="25">
        <v>8</v>
      </c>
      <c r="D228" s="32" t="s">
        <v>231</v>
      </c>
      <c r="E228" s="153">
        <v>124.98999999999998</v>
      </c>
      <c r="F228" s="153">
        <f>INDEX('Revised 2019 Lockdown'!H$5:H$257,MATCH(B228,'Revised 2019 Lockdown'!B$5:B$257,0))</f>
        <v>124.98999999999998</v>
      </c>
      <c r="G228" s="153">
        <f t="shared" si="61"/>
        <v>0</v>
      </c>
      <c r="H228" s="151">
        <v>140596.89000000001</v>
      </c>
      <c r="I228" s="151">
        <f>INDEX('Revised 2019 Lockdown'!E$5:E$257,MATCH(B228,'Revised 2019 Lockdown'!B$5:B$257,0))</f>
        <v>140596.89000000001</v>
      </c>
      <c r="J228" s="151">
        <f t="shared" si="62"/>
        <v>0</v>
      </c>
      <c r="K228" s="151">
        <v>0</v>
      </c>
      <c r="L228" s="151">
        <f>INDEX('Revised 2019 Lockdown'!F$5:F$257,MATCH(B228,'Revised 2019 Lockdown'!B$5:B$257,0))</f>
        <v>0</v>
      </c>
      <c r="M228" s="151">
        <f t="shared" si="63"/>
        <v>0</v>
      </c>
      <c r="N228" s="151">
        <v>140596.89000000001</v>
      </c>
      <c r="O228" s="156">
        <f t="shared" si="50"/>
        <v>140596.89000000001</v>
      </c>
      <c r="P228" s="156">
        <f t="shared" si="64"/>
        <v>0</v>
      </c>
      <c r="Q228" s="85">
        <f t="shared" si="51"/>
        <v>1124.8651092087371</v>
      </c>
      <c r="R228" s="6">
        <f t="shared" si="52"/>
        <v>1124.8651092087371</v>
      </c>
      <c r="S228" s="5">
        <f t="shared" si="53"/>
        <v>140596.89000000001</v>
      </c>
      <c r="T228" s="113">
        <v>0.6689814814814814</v>
      </c>
      <c r="U228" s="87">
        <f t="shared" si="54"/>
        <v>32425.140020209245</v>
      </c>
      <c r="V228" s="87">
        <f t="shared" si="55"/>
        <v>8934.4932127987486</v>
      </c>
      <c r="W228" s="87">
        <f t="shared" si="56"/>
        <v>6507.5454623892156</v>
      </c>
      <c r="X228" s="87">
        <f t="shared" si="57"/>
        <v>1702.28759339876</v>
      </c>
      <c r="Y228" s="87">
        <f t="shared" si="58"/>
        <v>49569.466288795964</v>
      </c>
      <c r="Z228" s="91">
        <f t="shared" si="59"/>
        <v>0.35256445778278567</v>
      </c>
      <c r="AA228" s="131">
        <f t="shared" si="60"/>
        <v>49571.020278488235</v>
      </c>
      <c r="AC228" s="131">
        <v>49703.50884219884</v>
      </c>
      <c r="AD228" s="151">
        <f t="shared" si="65"/>
        <v>-132.48856371060538</v>
      </c>
    </row>
    <row r="229" spans="2:30" x14ac:dyDescent="0.3">
      <c r="B229">
        <v>812</v>
      </c>
      <c r="C229" s="25">
        <v>8</v>
      </c>
      <c r="D229" s="32" t="s">
        <v>232</v>
      </c>
      <c r="E229" s="153">
        <v>42.133362772182622</v>
      </c>
      <c r="F229" s="153">
        <f>INDEX('Revised 2019 Lockdown'!H$5:H$257,MATCH(B229,'Revised 2019 Lockdown'!B$5:B$257,0))</f>
        <v>42.133362772182622</v>
      </c>
      <c r="G229" s="153">
        <f t="shared" si="61"/>
        <v>0</v>
      </c>
      <c r="H229" s="151">
        <v>81577.919999999998</v>
      </c>
      <c r="I229" s="151">
        <f>INDEX('Revised 2019 Lockdown'!E$5:E$257,MATCH(B229,'Revised 2019 Lockdown'!B$5:B$257,0))</f>
        <v>81577.919999999998</v>
      </c>
      <c r="J229" s="151">
        <f t="shared" si="62"/>
        <v>0</v>
      </c>
      <c r="K229" s="151">
        <v>273</v>
      </c>
      <c r="L229" s="151">
        <f>INDEX('Revised 2019 Lockdown'!F$5:F$257,MATCH(B229,'Revised 2019 Lockdown'!B$5:B$257,0))</f>
        <v>273</v>
      </c>
      <c r="M229" s="151">
        <f t="shared" si="63"/>
        <v>0</v>
      </c>
      <c r="N229" s="151">
        <v>81304.92</v>
      </c>
      <c r="O229" s="156">
        <f t="shared" si="50"/>
        <v>81304.92</v>
      </c>
      <c r="P229" s="156">
        <f t="shared" si="64"/>
        <v>0</v>
      </c>
      <c r="Q229" s="85">
        <f t="shared" si="51"/>
        <v>1929.7040314493793</v>
      </c>
      <c r="R229" s="6">
        <f t="shared" si="52"/>
        <v>1830.1016167772441</v>
      </c>
      <c r="S229" s="5">
        <f t="shared" si="53"/>
        <v>77108.33532963357</v>
      </c>
      <c r="T229" s="113">
        <v>0.52314814814814814</v>
      </c>
      <c r="U229" s="87">
        <f t="shared" si="54"/>
        <v>17783.100108321141</v>
      </c>
      <c r="V229" s="87">
        <f t="shared" si="55"/>
        <v>3011.7628907948883</v>
      </c>
      <c r="W229" s="87">
        <f t="shared" si="56"/>
        <v>2790.9587670004016</v>
      </c>
      <c r="X229" s="87">
        <f t="shared" si="57"/>
        <v>933.59506443753128</v>
      </c>
      <c r="Y229" s="87">
        <f t="shared" si="58"/>
        <v>24519.416830553961</v>
      </c>
      <c r="Z229" s="91">
        <f t="shared" si="59"/>
        <v>0.31798659283376957</v>
      </c>
      <c r="AA229" s="131">
        <f t="shared" si="60"/>
        <v>24520.185507803642</v>
      </c>
      <c r="AC229" s="131">
        <v>24595.527903264196</v>
      </c>
      <c r="AD229" s="151">
        <f t="shared" si="65"/>
        <v>-75.342395460553234</v>
      </c>
    </row>
    <row r="230" spans="2:30" x14ac:dyDescent="0.3">
      <c r="B230">
        <v>818</v>
      </c>
      <c r="C230" s="25">
        <v>8</v>
      </c>
      <c r="D230" s="32" t="s">
        <v>233</v>
      </c>
      <c r="E230" s="153">
        <v>39.648701095629384</v>
      </c>
      <c r="F230" s="153">
        <f>INDEX('Revised 2019 Lockdown'!H$5:H$257,MATCH(B230,'Revised 2019 Lockdown'!B$5:B$257,0))</f>
        <v>39.648701095629384</v>
      </c>
      <c r="G230" s="153">
        <f t="shared" si="61"/>
        <v>0</v>
      </c>
      <c r="H230" s="151">
        <v>15868.89</v>
      </c>
      <c r="I230" s="151">
        <f>INDEX('Revised 2019 Lockdown'!E$5:E$257,MATCH(B230,'Revised 2019 Lockdown'!B$5:B$257,0))</f>
        <v>15868.89</v>
      </c>
      <c r="J230" s="151">
        <f t="shared" si="62"/>
        <v>0</v>
      </c>
      <c r="K230" s="151">
        <v>0</v>
      </c>
      <c r="L230" s="151">
        <f>INDEX('Revised 2019 Lockdown'!F$5:F$257,MATCH(B230,'Revised 2019 Lockdown'!B$5:B$257,0))</f>
        <v>0</v>
      </c>
      <c r="M230" s="151">
        <f t="shared" si="63"/>
        <v>0</v>
      </c>
      <c r="N230" s="151">
        <v>15868.89</v>
      </c>
      <c r="O230" s="156">
        <f t="shared" si="50"/>
        <v>15868.89</v>
      </c>
      <c r="P230" s="156">
        <f t="shared" si="64"/>
        <v>0</v>
      </c>
      <c r="Q230" s="85">
        <f t="shared" si="51"/>
        <v>400.23732332934566</v>
      </c>
      <c r="R230" s="6">
        <f t="shared" si="52"/>
        <v>400.23732332934566</v>
      </c>
      <c r="S230" s="5">
        <f t="shared" si="53"/>
        <v>15868.89</v>
      </c>
      <c r="T230" s="113">
        <v>0.29166666666666663</v>
      </c>
      <c r="U230" s="87">
        <f t="shared" si="54"/>
        <v>3659.7607544185239</v>
      </c>
      <c r="V230" s="87">
        <f t="shared" si="55"/>
        <v>2834.1551390926238</v>
      </c>
      <c r="W230" s="87">
        <f t="shared" si="56"/>
        <v>320.22906601162077</v>
      </c>
      <c r="X230" s="87">
        <f t="shared" si="57"/>
        <v>192.13379874910208</v>
      </c>
      <c r="Y230" s="87">
        <f t="shared" si="58"/>
        <v>7006.2787582718711</v>
      </c>
      <c r="Z230" s="91">
        <f t="shared" si="59"/>
        <v>0.44151032354952813</v>
      </c>
      <c r="AA230" s="131">
        <f t="shared" si="60"/>
        <v>7006.4984032627635</v>
      </c>
      <c r="AC230" s="131">
        <v>7022.5874200834187</v>
      </c>
      <c r="AD230" s="151">
        <f t="shared" si="65"/>
        <v>-16.089016820655161</v>
      </c>
    </row>
    <row r="231" spans="2:30" x14ac:dyDescent="0.3">
      <c r="B231">
        <v>833</v>
      </c>
      <c r="C231" s="25">
        <v>8</v>
      </c>
      <c r="D231" s="32" t="s">
        <v>234</v>
      </c>
      <c r="E231" s="153">
        <v>61.805842122186505</v>
      </c>
      <c r="F231" s="153">
        <f>INDEX('Revised 2019 Lockdown'!H$5:H$257,MATCH(B231,'Revised 2019 Lockdown'!B$5:B$257,0))</f>
        <v>61.805842122186505</v>
      </c>
      <c r="G231" s="153">
        <f t="shared" si="61"/>
        <v>0</v>
      </c>
      <c r="H231" s="151">
        <v>37349.99</v>
      </c>
      <c r="I231" s="151">
        <f>INDEX('Revised 2019 Lockdown'!E$5:E$257,MATCH(B231,'Revised 2019 Lockdown'!B$5:B$257,0))</f>
        <v>37349.99</v>
      </c>
      <c r="J231" s="151">
        <f t="shared" si="62"/>
        <v>0</v>
      </c>
      <c r="K231" s="151">
        <v>0</v>
      </c>
      <c r="L231" s="151">
        <f>INDEX('Revised 2019 Lockdown'!F$5:F$257,MATCH(B231,'Revised 2019 Lockdown'!B$5:B$257,0))</f>
        <v>0</v>
      </c>
      <c r="M231" s="151">
        <f t="shared" si="63"/>
        <v>0</v>
      </c>
      <c r="N231" s="151">
        <v>37349.99</v>
      </c>
      <c r="O231" s="156">
        <f t="shared" si="50"/>
        <v>37349.99</v>
      </c>
      <c r="P231" s="156">
        <f t="shared" si="64"/>
        <v>0</v>
      </c>
      <c r="Q231" s="85">
        <f t="shared" si="51"/>
        <v>604.31164300231148</v>
      </c>
      <c r="R231" s="6">
        <f t="shared" si="52"/>
        <v>604.31164300231148</v>
      </c>
      <c r="S231" s="5">
        <f t="shared" si="53"/>
        <v>37349.99</v>
      </c>
      <c r="T231" s="113">
        <v>0.31944444444444442</v>
      </c>
      <c r="U231" s="87">
        <f t="shared" si="54"/>
        <v>8613.8367321170117</v>
      </c>
      <c r="V231" s="87">
        <f t="shared" si="55"/>
        <v>4417.9844543722411</v>
      </c>
      <c r="W231" s="87">
        <f t="shared" si="56"/>
        <v>825.49268682788022</v>
      </c>
      <c r="X231" s="87">
        <f t="shared" si="57"/>
        <v>452.21785909039482</v>
      </c>
      <c r="Y231" s="87">
        <f t="shared" si="58"/>
        <v>14309.531732407528</v>
      </c>
      <c r="Z231" s="91">
        <f t="shared" si="59"/>
        <v>0.38312009541120434</v>
      </c>
      <c r="AA231" s="131">
        <f t="shared" si="60"/>
        <v>14309.98033245264</v>
      </c>
      <c r="AC231" s="131">
        <v>14345.152834355073</v>
      </c>
      <c r="AD231" s="151">
        <f t="shared" si="65"/>
        <v>-35.172501902432487</v>
      </c>
    </row>
    <row r="232" spans="2:30" x14ac:dyDescent="0.3">
      <c r="B232">
        <v>834</v>
      </c>
      <c r="C232" s="25">
        <v>8</v>
      </c>
      <c r="D232" s="32" t="s">
        <v>235</v>
      </c>
      <c r="E232" s="153">
        <v>74.23</v>
      </c>
      <c r="F232" s="153">
        <f>INDEX('Revised 2019 Lockdown'!H$5:H$257,MATCH(B232,'Revised 2019 Lockdown'!B$5:B$257,0))</f>
        <v>74.23</v>
      </c>
      <c r="G232" s="153">
        <f t="shared" si="61"/>
        <v>0</v>
      </c>
      <c r="H232" s="151">
        <v>55123.19</v>
      </c>
      <c r="I232" s="151">
        <f>INDEX('Revised 2019 Lockdown'!E$5:E$257,MATCH(B232,'Revised 2019 Lockdown'!B$5:B$257,0))</f>
        <v>55123.19</v>
      </c>
      <c r="J232" s="151">
        <f t="shared" si="62"/>
        <v>0</v>
      </c>
      <c r="K232" s="151">
        <v>3760.4799999999996</v>
      </c>
      <c r="L232" s="151">
        <f>INDEX('Revised 2019 Lockdown'!F$5:F$257,MATCH(B232,'Revised 2019 Lockdown'!B$5:B$257,0))</f>
        <v>3760.4799999999996</v>
      </c>
      <c r="M232" s="151">
        <f t="shared" si="63"/>
        <v>0</v>
      </c>
      <c r="N232" s="151">
        <v>51362.710000000006</v>
      </c>
      <c r="O232" s="156">
        <f t="shared" si="50"/>
        <v>51362.710000000006</v>
      </c>
      <c r="P232" s="156">
        <f t="shared" si="64"/>
        <v>0</v>
      </c>
      <c r="Q232" s="85">
        <f t="shared" si="51"/>
        <v>691.94005119224039</v>
      </c>
      <c r="R232" s="6">
        <f t="shared" si="52"/>
        <v>691.94005119224039</v>
      </c>
      <c r="S232" s="5">
        <f t="shared" si="53"/>
        <v>51362.710000000006</v>
      </c>
      <c r="T232" s="113">
        <v>0.71064814814814814</v>
      </c>
      <c r="U232" s="87">
        <f t="shared" si="54"/>
        <v>11845.518514437992</v>
      </c>
      <c r="V232" s="87">
        <f t="shared" si="55"/>
        <v>5306.0839362033057</v>
      </c>
      <c r="W232" s="87">
        <f t="shared" si="56"/>
        <v>2525.3987388419882</v>
      </c>
      <c r="X232" s="87">
        <f t="shared" si="57"/>
        <v>621.87793767229437</v>
      </c>
      <c r="Y232" s="87">
        <f t="shared" si="58"/>
        <v>20298.879127155582</v>
      </c>
      <c r="Z232" s="91">
        <f t="shared" si="59"/>
        <v>0.39520654434229774</v>
      </c>
      <c r="AA232" s="131">
        <f t="shared" si="60"/>
        <v>20299.515491661597</v>
      </c>
      <c r="AC232" s="131">
        <v>20350.987921451284</v>
      </c>
      <c r="AD232" s="151">
        <f t="shared" si="65"/>
        <v>-51.47242978968643</v>
      </c>
    </row>
    <row r="233" spans="2:30" x14ac:dyDescent="0.3">
      <c r="B233">
        <v>837</v>
      </c>
      <c r="C233" s="25">
        <v>8</v>
      </c>
      <c r="D233" s="32" t="s">
        <v>236</v>
      </c>
      <c r="E233" s="153">
        <v>176.99</v>
      </c>
      <c r="F233" s="153">
        <f>INDEX('Revised 2019 Lockdown'!H$5:H$257,MATCH(B233,'Revised 2019 Lockdown'!B$5:B$257,0))</f>
        <v>176.99</v>
      </c>
      <c r="G233" s="153">
        <f t="shared" si="61"/>
        <v>0</v>
      </c>
      <c r="H233" s="151">
        <v>142476.71</v>
      </c>
      <c r="I233" s="151">
        <f>INDEX('Revised 2019 Lockdown'!E$5:E$257,MATCH(B233,'Revised 2019 Lockdown'!B$5:B$257,0))</f>
        <v>142476.71</v>
      </c>
      <c r="J233" s="151">
        <f t="shared" si="62"/>
        <v>0</v>
      </c>
      <c r="K233" s="151">
        <v>0</v>
      </c>
      <c r="L233" s="151">
        <f>INDEX('Revised 2019 Lockdown'!F$5:F$257,MATCH(B233,'Revised 2019 Lockdown'!B$5:B$257,0))</f>
        <v>0</v>
      </c>
      <c r="M233" s="151">
        <f t="shared" si="63"/>
        <v>0</v>
      </c>
      <c r="N233" s="151">
        <v>142476.71</v>
      </c>
      <c r="O233" s="156">
        <f t="shared" si="50"/>
        <v>142476.71</v>
      </c>
      <c r="P233" s="156">
        <f t="shared" si="64"/>
        <v>0</v>
      </c>
      <c r="Q233" s="85">
        <f t="shared" si="51"/>
        <v>804.99864399118587</v>
      </c>
      <c r="R233" s="6">
        <f t="shared" si="52"/>
        <v>804.99864399118587</v>
      </c>
      <c r="S233" s="5">
        <f t="shared" si="53"/>
        <v>142476.71</v>
      </c>
      <c r="T233" s="113">
        <v>0.56712962962962954</v>
      </c>
      <c r="U233" s="87">
        <f t="shared" si="54"/>
        <v>32858.673270573381</v>
      </c>
      <c r="V233" s="87">
        <f t="shared" si="55"/>
        <v>12651.539753046249</v>
      </c>
      <c r="W233" s="87">
        <f t="shared" si="56"/>
        <v>5590.5381606183873</v>
      </c>
      <c r="X233" s="87">
        <f t="shared" si="57"/>
        <v>1725.0476577488521</v>
      </c>
      <c r="Y233" s="87">
        <f t="shared" si="58"/>
        <v>52825.798841986871</v>
      </c>
      <c r="Z233" s="91">
        <f t="shared" si="59"/>
        <v>0.37076795808933877</v>
      </c>
      <c r="AA233" s="131">
        <f t="shared" si="60"/>
        <v>52827.454916845702</v>
      </c>
      <c r="AC233" s="131">
        <v>52963.398767659019</v>
      </c>
      <c r="AD233" s="151">
        <f t="shared" si="65"/>
        <v>-135.94385081331711</v>
      </c>
    </row>
    <row r="234" spans="2:30" x14ac:dyDescent="0.3">
      <c r="B234">
        <v>845</v>
      </c>
      <c r="C234" s="25">
        <v>8</v>
      </c>
      <c r="D234" s="32" t="s">
        <v>300</v>
      </c>
      <c r="E234" s="153">
        <v>4.1985427540914291</v>
      </c>
      <c r="F234" s="153">
        <f>INDEX('Revised 2019 Lockdown'!H$5:H$257,MATCH(B234,'Revised 2019 Lockdown'!B$5:B$257,0))</f>
        <v>4.1985427540914291</v>
      </c>
      <c r="G234" s="153">
        <f t="shared" si="61"/>
        <v>0</v>
      </c>
      <c r="H234" s="151">
        <v>8943.76</v>
      </c>
      <c r="I234" s="151">
        <f>INDEX('Revised 2019 Lockdown'!E$5:E$257,MATCH(B234,'Revised 2019 Lockdown'!B$5:B$257,0))</f>
        <v>8943.76</v>
      </c>
      <c r="J234" s="151">
        <f t="shared" si="62"/>
        <v>0</v>
      </c>
      <c r="K234" s="151">
        <v>0</v>
      </c>
      <c r="L234" s="151">
        <f>INDEX('Revised 2019 Lockdown'!F$5:F$257,MATCH(B234,'Revised 2019 Lockdown'!B$5:B$257,0))</f>
        <v>0</v>
      </c>
      <c r="M234" s="151">
        <f t="shared" si="63"/>
        <v>0</v>
      </c>
      <c r="N234" s="151">
        <v>8943.76</v>
      </c>
      <c r="O234" s="156">
        <f t="shared" si="50"/>
        <v>8943.76</v>
      </c>
      <c r="P234" s="156">
        <f t="shared" si="64"/>
        <v>0</v>
      </c>
      <c r="Q234" s="85">
        <f t="shared" si="51"/>
        <v>2130.2057699149104</v>
      </c>
      <c r="R234" s="6">
        <f t="shared" si="52"/>
        <v>1830.1016167772441</v>
      </c>
      <c r="S234" s="5">
        <f t="shared" si="53"/>
        <v>7683.7598823711078</v>
      </c>
      <c r="T234" s="113">
        <v>0.30555555555555552</v>
      </c>
      <c r="U234" s="87">
        <f t="shared" si="54"/>
        <v>1772.0661535795684</v>
      </c>
      <c r="V234" s="87">
        <f t="shared" si="55"/>
        <v>300.11882342647601</v>
      </c>
      <c r="W234" s="87">
        <f t="shared" si="56"/>
        <v>162.43939741146042</v>
      </c>
      <c r="X234" s="87">
        <f t="shared" si="57"/>
        <v>93.031710149601835</v>
      </c>
      <c r="Y234" s="87">
        <f t="shared" si="58"/>
        <v>2327.6560845671065</v>
      </c>
      <c r="Z234" s="91">
        <f t="shared" si="59"/>
        <v>0.30293191356844201</v>
      </c>
      <c r="AA234" s="131">
        <f t="shared" si="60"/>
        <v>2327.7290559713474</v>
      </c>
      <c r="AC234" s="131">
        <v>2334.856064940815</v>
      </c>
      <c r="AD234" s="151">
        <f t="shared" si="65"/>
        <v>-7.1270089694676244</v>
      </c>
    </row>
    <row r="235" spans="2:30" x14ac:dyDescent="0.3">
      <c r="B235">
        <v>847</v>
      </c>
      <c r="C235" s="25">
        <v>8</v>
      </c>
      <c r="D235" s="32" t="s">
        <v>237</v>
      </c>
      <c r="E235" s="153">
        <v>66.183100660950345</v>
      </c>
      <c r="F235" s="153">
        <f>INDEX('Revised 2019 Lockdown'!H$5:H$257,MATCH(B235,'Revised 2019 Lockdown'!B$5:B$257,0))</f>
        <v>66.183100660950345</v>
      </c>
      <c r="G235" s="153">
        <f t="shared" si="61"/>
        <v>0</v>
      </c>
      <c r="H235" s="151">
        <v>131761.98000000001</v>
      </c>
      <c r="I235" s="151">
        <f>INDEX('Revised 2019 Lockdown'!E$5:E$257,MATCH(B235,'Revised 2019 Lockdown'!B$5:B$257,0))</f>
        <v>131761.98000000001</v>
      </c>
      <c r="J235" s="151">
        <f t="shared" si="62"/>
        <v>0</v>
      </c>
      <c r="K235" s="151">
        <v>0</v>
      </c>
      <c r="L235" s="151">
        <f>INDEX('Revised 2019 Lockdown'!F$5:F$257,MATCH(B235,'Revised 2019 Lockdown'!B$5:B$257,0))</f>
        <v>0</v>
      </c>
      <c r="M235" s="151">
        <f t="shared" si="63"/>
        <v>0</v>
      </c>
      <c r="N235" s="151">
        <v>131761.98000000001</v>
      </c>
      <c r="O235" s="156">
        <f t="shared" si="50"/>
        <v>131761.98000000001</v>
      </c>
      <c r="P235" s="156">
        <f t="shared" si="64"/>
        <v>0</v>
      </c>
      <c r="Q235" s="85">
        <f t="shared" si="51"/>
        <v>1990.8704591373553</v>
      </c>
      <c r="R235" s="6">
        <f t="shared" si="52"/>
        <v>1830.1016167772441</v>
      </c>
      <c r="S235" s="5">
        <f t="shared" si="53"/>
        <v>121121.79952293632</v>
      </c>
      <c r="T235" s="113">
        <v>0.24305555555555555</v>
      </c>
      <c r="U235" s="87">
        <f t="shared" si="54"/>
        <v>27933.699735683505</v>
      </c>
      <c r="V235" s="87">
        <f t="shared" si="55"/>
        <v>4730.8781795122586</v>
      </c>
      <c r="W235" s="87">
        <f t="shared" si="56"/>
        <v>2036.8322723935889</v>
      </c>
      <c r="X235" s="87">
        <f t="shared" si="57"/>
        <v>1466.4914467028846</v>
      </c>
      <c r="Y235" s="87">
        <f t="shared" si="58"/>
        <v>36167.90163429224</v>
      </c>
      <c r="Z235" s="91">
        <f t="shared" si="59"/>
        <v>0.29860769718372027</v>
      </c>
      <c r="AA235" s="131">
        <f t="shared" si="60"/>
        <v>36169.03548846778</v>
      </c>
      <c r="AC235" s="131">
        <v>36279.674424901918</v>
      </c>
      <c r="AD235" s="151">
        <f t="shared" si="65"/>
        <v>-110.63893643413758</v>
      </c>
    </row>
    <row r="236" spans="2:30" x14ac:dyDescent="0.3">
      <c r="B236">
        <v>866</v>
      </c>
      <c r="C236" s="25">
        <v>8</v>
      </c>
      <c r="D236" s="32" t="s">
        <v>238</v>
      </c>
      <c r="E236" s="153">
        <v>147.75213403001072</v>
      </c>
      <c r="F236" s="153">
        <f>INDEX('Revised 2019 Lockdown'!H$5:H$257,MATCH(B236,'Revised 2019 Lockdown'!B$5:B$257,0))</f>
        <v>147.75213403001072</v>
      </c>
      <c r="G236" s="153">
        <f t="shared" si="61"/>
        <v>0</v>
      </c>
      <c r="H236" s="151">
        <v>54975.040000000001</v>
      </c>
      <c r="I236" s="151">
        <f>INDEX('Revised 2019 Lockdown'!E$5:E$257,MATCH(B236,'Revised 2019 Lockdown'!B$5:B$257,0))</f>
        <v>54975.040000000001</v>
      </c>
      <c r="J236" s="151">
        <f t="shared" si="62"/>
        <v>0</v>
      </c>
      <c r="K236" s="151">
        <v>0</v>
      </c>
      <c r="L236" s="151">
        <f>INDEX('Revised 2019 Lockdown'!F$5:F$257,MATCH(B236,'Revised 2019 Lockdown'!B$5:B$257,0))</f>
        <v>0</v>
      </c>
      <c r="M236" s="151">
        <f t="shared" si="63"/>
        <v>0</v>
      </c>
      <c r="N236" s="151">
        <v>54975.040000000001</v>
      </c>
      <c r="O236" s="156">
        <f t="shared" si="50"/>
        <v>54975.040000000001</v>
      </c>
      <c r="P236" s="156">
        <f t="shared" si="64"/>
        <v>0</v>
      </c>
      <c r="Q236" s="85">
        <f t="shared" si="51"/>
        <v>372.07611491305926</v>
      </c>
      <c r="R236" s="6">
        <f t="shared" si="52"/>
        <v>372.07611491305926</v>
      </c>
      <c r="S236" s="5">
        <f t="shared" si="53"/>
        <v>54975.040000000001</v>
      </c>
      <c r="T236" s="113">
        <v>0.8125</v>
      </c>
      <c r="U236" s="87">
        <f t="shared" si="54"/>
        <v>12678.611664999162</v>
      </c>
      <c r="V236" s="87">
        <f t="shared" si="55"/>
        <v>10561.568434816079</v>
      </c>
      <c r="W236" s="87">
        <f t="shared" si="56"/>
        <v>3090.4115933435455</v>
      </c>
      <c r="X236" s="87">
        <f t="shared" si="57"/>
        <v>665.61449928658146</v>
      </c>
      <c r="Y236" s="87">
        <f t="shared" si="58"/>
        <v>26996.206192445366</v>
      </c>
      <c r="Z236" s="91">
        <f t="shared" si="59"/>
        <v>0.49106296589225523</v>
      </c>
      <c r="AA236" s="131">
        <f t="shared" si="60"/>
        <v>26997.052516388194</v>
      </c>
      <c r="AC236" s="131">
        <v>27059.587526089919</v>
      </c>
      <c r="AD236" s="151">
        <f t="shared" si="65"/>
        <v>-62.535009701725357</v>
      </c>
    </row>
    <row r="237" spans="2:30" x14ac:dyDescent="0.3">
      <c r="B237">
        <v>871</v>
      </c>
      <c r="C237" s="25">
        <v>8</v>
      </c>
      <c r="D237" s="32" t="s">
        <v>239</v>
      </c>
      <c r="E237" s="153">
        <v>12.214386102179351</v>
      </c>
      <c r="F237" s="153">
        <f>INDEX('Revised 2019 Lockdown'!H$5:H$257,MATCH(B237,'Revised 2019 Lockdown'!B$5:B$257,0))</f>
        <v>12.214386102179351</v>
      </c>
      <c r="G237" s="153">
        <f t="shared" si="61"/>
        <v>0</v>
      </c>
      <c r="H237" s="151">
        <v>12724.9</v>
      </c>
      <c r="I237" s="151">
        <f>INDEX('Revised 2019 Lockdown'!E$5:E$257,MATCH(B237,'Revised 2019 Lockdown'!B$5:B$257,0))</f>
        <v>12724.9</v>
      </c>
      <c r="J237" s="151">
        <f t="shared" si="62"/>
        <v>0</v>
      </c>
      <c r="K237" s="151">
        <v>0</v>
      </c>
      <c r="L237" s="151">
        <f>INDEX('Revised 2019 Lockdown'!F$5:F$257,MATCH(B237,'Revised 2019 Lockdown'!B$5:B$257,0))</f>
        <v>0</v>
      </c>
      <c r="M237" s="151">
        <f t="shared" si="63"/>
        <v>0</v>
      </c>
      <c r="N237" s="151">
        <v>12724.9</v>
      </c>
      <c r="O237" s="156">
        <f t="shared" si="50"/>
        <v>12724.9</v>
      </c>
      <c r="P237" s="156">
        <f t="shared" si="64"/>
        <v>0</v>
      </c>
      <c r="Q237" s="85">
        <f t="shared" si="51"/>
        <v>1041.7961159529386</v>
      </c>
      <c r="R237" s="6">
        <f t="shared" si="52"/>
        <v>1041.7961159529386</v>
      </c>
      <c r="S237" s="5">
        <f t="shared" si="53"/>
        <v>12724.900000000001</v>
      </c>
      <c r="T237" s="113">
        <v>0.125</v>
      </c>
      <c r="U237" s="87">
        <f t="shared" si="54"/>
        <v>2934.678457277118</v>
      </c>
      <c r="V237" s="87">
        <f t="shared" si="55"/>
        <v>873.10464619909408</v>
      </c>
      <c r="W237" s="87">
        <f t="shared" si="56"/>
        <v>110.05044214789191</v>
      </c>
      <c r="X237" s="87">
        <f t="shared" si="57"/>
        <v>154.06769948638183</v>
      </c>
      <c r="Y237" s="87">
        <f t="shared" si="58"/>
        <v>4071.9012451104859</v>
      </c>
      <c r="Z237" s="91">
        <f t="shared" si="59"/>
        <v>0.31999475399496147</v>
      </c>
      <c r="AA237" s="131">
        <f t="shared" si="60"/>
        <v>4072.0288981403969</v>
      </c>
      <c r="AC237" s="131">
        <v>4082.6917089093849</v>
      </c>
      <c r="AD237" s="151">
        <f t="shared" si="65"/>
        <v>-10.662810768988038</v>
      </c>
    </row>
    <row r="238" spans="2:30" x14ac:dyDescent="0.3">
      <c r="B238">
        <v>873</v>
      </c>
      <c r="C238" s="25">
        <v>8</v>
      </c>
      <c r="D238" s="32" t="s">
        <v>240</v>
      </c>
      <c r="E238" s="153">
        <v>185.67000000000002</v>
      </c>
      <c r="F238" s="153">
        <f>INDEX('Revised 2019 Lockdown'!H$5:H$257,MATCH(B238,'Revised 2019 Lockdown'!B$5:B$257,0))</f>
        <v>185.67000000000002</v>
      </c>
      <c r="G238" s="153">
        <f t="shared" si="61"/>
        <v>0</v>
      </c>
      <c r="H238" s="151">
        <v>74605.5</v>
      </c>
      <c r="I238" s="151">
        <f>INDEX('Revised 2019 Lockdown'!E$5:E$257,MATCH(B238,'Revised 2019 Lockdown'!B$5:B$257,0))</f>
        <v>74605.5</v>
      </c>
      <c r="J238" s="151">
        <f t="shared" si="62"/>
        <v>0</v>
      </c>
      <c r="K238" s="151">
        <v>0</v>
      </c>
      <c r="L238" s="151">
        <f>INDEX('Revised 2019 Lockdown'!F$5:F$257,MATCH(B238,'Revised 2019 Lockdown'!B$5:B$257,0))</f>
        <v>0</v>
      </c>
      <c r="M238" s="151">
        <f t="shared" si="63"/>
        <v>0</v>
      </c>
      <c r="N238" s="151">
        <v>74605.5</v>
      </c>
      <c r="O238" s="156">
        <f t="shared" si="50"/>
        <v>74605.5</v>
      </c>
      <c r="P238" s="156">
        <f t="shared" si="64"/>
        <v>0</v>
      </c>
      <c r="Q238" s="85">
        <f t="shared" si="51"/>
        <v>401.81774115365971</v>
      </c>
      <c r="R238" s="6">
        <f t="shared" si="52"/>
        <v>401.81774115365971</v>
      </c>
      <c r="S238" s="5">
        <f t="shared" si="53"/>
        <v>74605.5</v>
      </c>
      <c r="T238" s="113">
        <v>0.5368518518518518</v>
      </c>
      <c r="U238" s="87">
        <f t="shared" si="54"/>
        <v>17205.884026152504</v>
      </c>
      <c r="V238" s="87">
        <f t="shared" si="55"/>
        <v>13272.000598610639</v>
      </c>
      <c r="W238" s="87">
        <f t="shared" si="56"/>
        <v>2771.1032106564498</v>
      </c>
      <c r="X238" s="87">
        <f t="shared" si="57"/>
        <v>903.29179435840433</v>
      </c>
      <c r="Y238" s="87">
        <f t="shared" si="58"/>
        <v>34152.279629778001</v>
      </c>
      <c r="Z238" s="91">
        <f t="shared" si="59"/>
        <v>0.45777160705012365</v>
      </c>
      <c r="AA238" s="131">
        <f t="shared" si="60"/>
        <v>34153.350294735399</v>
      </c>
      <c r="AC238" s="131">
        <v>34232.652901342008</v>
      </c>
      <c r="AD238" s="151">
        <f t="shared" si="65"/>
        <v>-79.302606606608606</v>
      </c>
    </row>
    <row r="239" spans="2:30" x14ac:dyDescent="0.3">
      <c r="B239">
        <v>905</v>
      </c>
      <c r="C239" s="25">
        <v>8</v>
      </c>
      <c r="D239" s="32" t="s">
        <v>243</v>
      </c>
      <c r="E239" s="153">
        <v>93.093193074907703</v>
      </c>
      <c r="F239" s="153">
        <f>INDEX('Revised 2019 Lockdown'!H$5:H$257,MATCH(B239,'Revised 2019 Lockdown'!B$5:B$257,0))</f>
        <v>93.093193074907703</v>
      </c>
      <c r="G239" s="153">
        <f t="shared" si="61"/>
        <v>0</v>
      </c>
      <c r="H239" s="151">
        <v>62186.54</v>
      </c>
      <c r="I239" s="151">
        <f>INDEX('Revised 2019 Lockdown'!E$5:E$257,MATCH(B239,'Revised 2019 Lockdown'!B$5:B$257,0))</f>
        <v>62186.54</v>
      </c>
      <c r="J239" s="151">
        <f t="shared" si="62"/>
        <v>0</v>
      </c>
      <c r="K239" s="151">
        <v>0</v>
      </c>
      <c r="L239" s="151">
        <f>INDEX('Revised 2019 Lockdown'!F$5:F$257,MATCH(B239,'Revised 2019 Lockdown'!B$5:B$257,0))</f>
        <v>0</v>
      </c>
      <c r="M239" s="151">
        <f t="shared" si="63"/>
        <v>0</v>
      </c>
      <c r="N239" s="151">
        <v>62186.54</v>
      </c>
      <c r="O239" s="156">
        <f t="shared" si="50"/>
        <v>62186.54</v>
      </c>
      <c r="P239" s="156">
        <f t="shared" si="64"/>
        <v>0</v>
      </c>
      <c r="Q239" s="85">
        <f t="shared" si="51"/>
        <v>668.00308321105092</v>
      </c>
      <c r="R239" s="6">
        <f t="shared" si="52"/>
        <v>668.00308321105092</v>
      </c>
      <c r="S239" s="5">
        <f t="shared" si="53"/>
        <v>62186.54</v>
      </c>
      <c r="T239" s="113">
        <v>0.27777777777777779</v>
      </c>
      <c r="U239" s="87">
        <f t="shared" si="54"/>
        <v>14341.762942781614</v>
      </c>
      <c r="V239" s="87">
        <f t="shared" si="55"/>
        <v>6654.4563699938108</v>
      </c>
      <c r="W239" s="87">
        <f t="shared" si="56"/>
        <v>1195.1469118984678</v>
      </c>
      <c r="X239" s="87">
        <f t="shared" si="57"/>
        <v>752.92828680915852</v>
      </c>
      <c r="Y239" s="87">
        <f t="shared" si="58"/>
        <v>22944.294511483051</v>
      </c>
      <c r="Z239" s="91">
        <f t="shared" si="59"/>
        <v>0.36895917527302613</v>
      </c>
      <c r="AA239" s="131">
        <f t="shared" si="60"/>
        <v>22945.01380906353</v>
      </c>
      <c r="AC239" s="131">
        <v>23002.14144892378</v>
      </c>
      <c r="AD239" s="151">
        <f t="shared" si="65"/>
        <v>-57.127639860249474</v>
      </c>
    </row>
    <row r="240" spans="2:30" x14ac:dyDescent="0.3">
      <c r="B240">
        <v>907</v>
      </c>
      <c r="C240" s="25">
        <v>8</v>
      </c>
      <c r="D240" s="32" t="s">
        <v>244</v>
      </c>
      <c r="E240" s="153">
        <v>19.623398559009171</v>
      </c>
      <c r="F240" s="153">
        <f>INDEX('Revised 2019 Lockdown'!H$5:H$257,MATCH(B240,'Revised 2019 Lockdown'!B$5:B$257,0))</f>
        <v>19.623398559009171</v>
      </c>
      <c r="G240" s="153">
        <f t="shared" si="61"/>
        <v>0</v>
      </c>
      <c r="H240" s="151">
        <v>20189.84</v>
      </c>
      <c r="I240" s="151">
        <f>INDEX('Revised 2019 Lockdown'!E$5:E$257,MATCH(B240,'Revised 2019 Lockdown'!B$5:B$257,0))</f>
        <v>20189.84</v>
      </c>
      <c r="J240" s="151">
        <f t="shared" si="62"/>
        <v>0</v>
      </c>
      <c r="K240" s="151">
        <v>0</v>
      </c>
      <c r="L240" s="151">
        <f>INDEX('Revised 2019 Lockdown'!F$5:F$257,MATCH(B240,'Revised 2019 Lockdown'!B$5:B$257,0))</f>
        <v>0</v>
      </c>
      <c r="M240" s="151">
        <f t="shared" si="63"/>
        <v>0</v>
      </c>
      <c r="N240" s="151">
        <v>20189.84</v>
      </c>
      <c r="O240" s="156">
        <f t="shared" si="50"/>
        <v>20189.84</v>
      </c>
      <c r="P240" s="156">
        <f t="shared" si="64"/>
        <v>0</v>
      </c>
      <c r="Q240" s="85">
        <f t="shared" si="51"/>
        <v>1028.8656136340244</v>
      </c>
      <c r="R240" s="6">
        <f t="shared" si="52"/>
        <v>1028.8656136340244</v>
      </c>
      <c r="S240" s="5">
        <f t="shared" si="53"/>
        <v>20189.84</v>
      </c>
      <c r="T240" s="113">
        <v>0.24999999999999997</v>
      </c>
      <c r="U240" s="87">
        <f t="shared" si="54"/>
        <v>4656.2793030885778</v>
      </c>
      <c r="V240" s="87">
        <f t="shared" si="55"/>
        <v>1402.713186955054</v>
      </c>
      <c r="W240" s="87">
        <f t="shared" si="56"/>
        <v>349.22094773164326</v>
      </c>
      <c r="X240" s="87">
        <f t="shared" si="57"/>
        <v>244.4500311828094</v>
      </c>
      <c r="Y240" s="87">
        <f t="shared" si="58"/>
        <v>6652.6634689580851</v>
      </c>
      <c r="Z240" s="91">
        <f t="shared" si="59"/>
        <v>0.32950550717381044</v>
      </c>
      <c r="AA240" s="131">
        <f t="shared" si="60"/>
        <v>6652.8720282029371</v>
      </c>
      <c r="AC240" s="131">
        <v>6670.3271409319823</v>
      </c>
      <c r="AD240" s="151">
        <f t="shared" si="65"/>
        <v>-17.45511272904514</v>
      </c>
    </row>
    <row r="241" spans="2:30" x14ac:dyDescent="0.3">
      <c r="B241">
        <v>918</v>
      </c>
      <c r="C241" s="25">
        <v>8</v>
      </c>
      <c r="D241" s="32" t="s">
        <v>245</v>
      </c>
      <c r="E241" s="153">
        <v>61.65731239133023</v>
      </c>
      <c r="F241" s="153">
        <f>INDEX('Revised 2019 Lockdown'!H$5:H$257,MATCH(B241,'Revised 2019 Lockdown'!B$5:B$257,0))</f>
        <v>61.65731239133023</v>
      </c>
      <c r="G241" s="153">
        <f t="shared" si="61"/>
        <v>0</v>
      </c>
      <c r="H241" s="151">
        <v>92014.79</v>
      </c>
      <c r="I241" s="151">
        <f>INDEX('Revised 2019 Lockdown'!E$5:E$257,MATCH(B241,'Revised 2019 Lockdown'!B$5:B$257,0))</f>
        <v>92014.79</v>
      </c>
      <c r="J241" s="151">
        <f t="shared" si="62"/>
        <v>0</v>
      </c>
      <c r="K241" s="151">
        <v>0</v>
      </c>
      <c r="L241" s="151">
        <f>INDEX('Revised 2019 Lockdown'!F$5:F$257,MATCH(B241,'Revised 2019 Lockdown'!B$5:B$257,0))</f>
        <v>0</v>
      </c>
      <c r="M241" s="151">
        <f t="shared" si="63"/>
        <v>0</v>
      </c>
      <c r="N241" s="151">
        <v>92014.79</v>
      </c>
      <c r="O241" s="156">
        <f t="shared" si="50"/>
        <v>92014.79</v>
      </c>
      <c r="P241" s="156">
        <f t="shared" si="64"/>
        <v>0</v>
      </c>
      <c r="Q241" s="85">
        <f t="shared" si="51"/>
        <v>1492.358106950805</v>
      </c>
      <c r="R241" s="6">
        <f t="shared" si="52"/>
        <v>1492.358106950805</v>
      </c>
      <c r="S241" s="5">
        <f t="shared" si="53"/>
        <v>92014.79</v>
      </c>
      <c r="T241" s="113">
        <v>0.37962962962962965</v>
      </c>
      <c r="U241" s="87">
        <f t="shared" si="54"/>
        <v>21220.899336252383</v>
      </c>
      <c r="V241" s="87">
        <f t="shared" si="55"/>
        <v>4407.3673020221786</v>
      </c>
      <c r="W241" s="87">
        <f t="shared" si="56"/>
        <v>2416.8246466287437</v>
      </c>
      <c r="X241" s="87">
        <f t="shared" si="57"/>
        <v>1114.0761038611329</v>
      </c>
      <c r="Y241" s="87">
        <f t="shared" si="58"/>
        <v>29159.167388764439</v>
      </c>
      <c r="Z241" s="91">
        <f t="shared" si="59"/>
        <v>0.31689652705575311</v>
      </c>
      <c r="AA241" s="131">
        <f t="shared" si="60"/>
        <v>29160.081520970209</v>
      </c>
      <c r="AC241" s="131">
        <v>29239.502652310093</v>
      </c>
      <c r="AD241" s="151">
        <f t="shared" si="65"/>
        <v>-79.421131339884596</v>
      </c>
    </row>
    <row r="242" spans="2:30" x14ac:dyDescent="0.3">
      <c r="B242">
        <v>922</v>
      </c>
      <c r="C242" s="25">
        <v>8</v>
      </c>
      <c r="D242" s="32" t="s">
        <v>246</v>
      </c>
      <c r="E242" s="153">
        <v>48.13</v>
      </c>
      <c r="F242" s="153">
        <f>INDEX('Revised 2019 Lockdown'!H$5:H$257,MATCH(B242,'Revised 2019 Lockdown'!B$5:B$257,0))</f>
        <v>48.13</v>
      </c>
      <c r="G242" s="153">
        <f t="shared" si="61"/>
        <v>0</v>
      </c>
      <c r="H242" s="151">
        <v>133724.62</v>
      </c>
      <c r="I242" s="151">
        <f>INDEX('Revised 2019 Lockdown'!E$5:E$257,MATCH(B242,'Revised 2019 Lockdown'!B$5:B$257,0))</f>
        <v>133724.62</v>
      </c>
      <c r="J242" s="151">
        <f t="shared" si="62"/>
        <v>0</v>
      </c>
      <c r="K242" s="151">
        <v>5755.5599999999995</v>
      </c>
      <c r="L242" s="151">
        <f>INDEX('Revised 2019 Lockdown'!F$5:F$257,MATCH(B242,'Revised 2019 Lockdown'!B$5:B$257,0))</f>
        <v>5755.5599999999995</v>
      </c>
      <c r="M242" s="151">
        <f t="shared" si="63"/>
        <v>0</v>
      </c>
      <c r="N242" s="151">
        <v>127969.06</v>
      </c>
      <c r="O242" s="156">
        <f t="shared" si="50"/>
        <v>127969.06</v>
      </c>
      <c r="P242" s="156">
        <f t="shared" si="64"/>
        <v>0</v>
      </c>
      <c r="Q242" s="85">
        <f t="shared" si="51"/>
        <v>2658.8211094951171</v>
      </c>
      <c r="R242" s="6">
        <f t="shared" si="52"/>
        <v>1830.1016167772441</v>
      </c>
      <c r="S242" s="5">
        <f t="shared" si="53"/>
        <v>88082.790815488755</v>
      </c>
      <c r="T242" s="113">
        <v>0.19907407407407407</v>
      </c>
      <c r="U242" s="87">
        <f t="shared" si="54"/>
        <v>20314.082520338987</v>
      </c>
      <c r="V242" s="87">
        <f t="shared" si="55"/>
        <v>3440.4124996560031</v>
      </c>
      <c r="W242" s="87">
        <f t="shared" si="56"/>
        <v>1213.2021505202451</v>
      </c>
      <c r="X242" s="87">
        <f t="shared" si="57"/>
        <v>1066.4691231587324</v>
      </c>
      <c r="Y242" s="87">
        <f t="shared" si="58"/>
        <v>26034.166293673967</v>
      </c>
      <c r="Z242" s="91">
        <f t="shared" si="59"/>
        <v>0.2955647300981753</v>
      </c>
      <c r="AA242" s="131">
        <f t="shared" si="60"/>
        <v>26034.982457919745</v>
      </c>
      <c r="AC242" s="131">
        <v>26114.559425237097</v>
      </c>
      <c r="AD242" s="151">
        <f t="shared" si="65"/>
        <v>-79.576967317352683</v>
      </c>
    </row>
    <row r="243" spans="2:30" x14ac:dyDescent="0.3">
      <c r="B243">
        <v>924</v>
      </c>
      <c r="C243" s="25">
        <v>8</v>
      </c>
      <c r="D243" s="32" t="s">
        <v>247</v>
      </c>
      <c r="E243" s="153">
        <v>94.709546028343453</v>
      </c>
      <c r="F243" s="153">
        <f>INDEX('Revised 2019 Lockdown'!H$5:H$257,MATCH(B243,'Revised 2019 Lockdown'!B$5:B$257,0))</f>
        <v>94.709546028343453</v>
      </c>
      <c r="G243" s="153">
        <f t="shared" si="61"/>
        <v>0</v>
      </c>
      <c r="H243" s="151">
        <v>60061.57</v>
      </c>
      <c r="I243" s="151">
        <f>INDEX('Revised 2019 Lockdown'!E$5:E$257,MATCH(B243,'Revised 2019 Lockdown'!B$5:B$257,0))</f>
        <v>60061.57</v>
      </c>
      <c r="J243" s="151">
        <f t="shared" si="62"/>
        <v>0</v>
      </c>
      <c r="K243" s="151">
        <v>0</v>
      </c>
      <c r="L243" s="151">
        <f>INDEX('Revised 2019 Lockdown'!F$5:F$257,MATCH(B243,'Revised 2019 Lockdown'!B$5:B$257,0))</f>
        <v>0</v>
      </c>
      <c r="M243" s="151">
        <f t="shared" si="63"/>
        <v>0</v>
      </c>
      <c r="N243" s="151">
        <v>60061.57</v>
      </c>
      <c r="O243" s="156">
        <f t="shared" si="50"/>
        <v>60061.57</v>
      </c>
      <c r="P243" s="156">
        <f t="shared" si="64"/>
        <v>0</v>
      </c>
      <c r="Q243" s="85">
        <f t="shared" si="51"/>
        <v>634.1659581181558</v>
      </c>
      <c r="R243" s="6">
        <f t="shared" si="52"/>
        <v>634.1659581181558</v>
      </c>
      <c r="S243" s="5">
        <f t="shared" si="53"/>
        <v>60061.570000000007</v>
      </c>
      <c r="T243" s="113">
        <v>0.38425925925925919</v>
      </c>
      <c r="U243" s="87">
        <f t="shared" si="54"/>
        <v>13851.692004592698</v>
      </c>
      <c r="V243" s="87">
        <f t="shared" si="55"/>
        <v>6769.9959690974101</v>
      </c>
      <c r="W243" s="87">
        <f t="shared" si="56"/>
        <v>1596.7922727516579</v>
      </c>
      <c r="X243" s="87">
        <f t="shared" si="57"/>
        <v>727.20005009393287</v>
      </c>
      <c r="Y243" s="87">
        <f t="shared" si="58"/>
        <v>22945.680296535698</v>
      </c>
      <c r="Z243" s="91">
        <f t="shared" si="59"/>
        <v>0.38203597236195619</v>
      </c>
      <c r="AA243" s="131">
        <f t="shared" si="60"/>
        <v>22946.399637560175</v>
      </c>
      <c r="AC243" s="131">
        <v>23003.321793159921</v>
      </c>
      <c r="AD243" s="151">
        <f t="shared" si="65"/>
        <v>-56.922155599746475</v>
      </c>
    </row>
    <row r="244" spans="2:30" x14ac:dyDescent="0.3">
      <c r="B244">
        <v>929</v>
      </c>
      <c r="C244" s="25">
        <v>8</v>
      </c>
      <c r="D244" s="32" t="s">
        <v>248</v>
      </c>
      <c r="E244" s="153">
        <v>53.697866226033099</v>
      </c>
      <c r="F244" s="153">
        <f>INDEX('Revised 2019 Lockdown'!H$5:H$257,MATCH(B244,'Revised 2019 Lockdown'!B$5:B$257,0))</f>
        <v>53.697866226033099</v>
      </c>
      <c r="G244" s="153">
        <f t="shared" si="61"/>
        <v>0</v>
      </c>
      <c r="H244" s="151">
        <v>45278.1</v>
      </c>
      <c r="I244" s="151">
        <f>INDEX('Revised 2019 Lockdown'!E$5:E$257,MATCH(B244,'Revised 2019 Lockdown'!B$5:B$257,0))</f>
        <v>45278.1</v>
      </c>
      <c r="J244" s="151">
        <f t="shared" si="62"/>
        <v>0</v>
      </c>
      <c r="K244" s="151">
        <v>0</v>
      </c>
      <c r="L244" s="151">
        <f>INDEX('Revised 2019 Lockdown'!F$5:F$257,MATCH(B244,'Revised 2019 Lockdown'!B$5:B$257,0))</f>
        <v>0</v>
      </c>
      <c r="M244" s="151">
        <f t="shared" si="63"/>
        <v>0</v>
      </c>
      <c r="N244" s="151">
        <v>45278.1</v>
      </c>
      <c r="O244" s="156">
        <f t="shared" si="50"/>
        <v>45278.1</v>
      </c>
      <c r="P244" s="156">
        <f t="shared" si="64"/>
        <v>0</v>
      </c>
      <c r="Q244" s="85">
        <f t="shared" si="51"/>
        <v>843.20110243130785</v>
      </c>
      <c r="R244" s="6">
        <f t="shared" si="52"/>
        <v>843.20110243130785</v>
      </c>
      <c r="S244" s="5">
        <f t="shared" si="53"/>
        <v>45278.1</v>
      </c>
      <c r="T244" s="113">
        <v>0.39814814814814814</v>
      </c>
      <c r="U244" s="87">
        <f t="shared" si="54"/>
        <v>10442.256100750423</v>
      </c>
      <c r="V244" s="87">
        <f t="shared" si="55"/>
        <v>3838.4128437336417</v>
      </c>
      <c r="W244" s="87">
        <f t="shared" si="56"/>
        <v>1247.2694787007449</v>
      </c>
      <c r="X244" s="87">
        <f t="shared" si="57"/>
        <v>548.20805696817604</v>
      </c>
      <c r="Y244" s="87">
        <f t="shared" si="58"/>
        <v>16076.146480152986</v>
      </c>
      <c r="Z244" s="91">
        <f t="shared" si="59"/>
        <v>0.35505346911979491</v>
      </c>
      <c r="AA244" s="131">
        <f t="shared" si="60"/>
        <v>16076.650463104426</v>
      </c>
      <c r="AC244" s="131">
        <v>16118.057283152975</v>
      </c>
      <c r="AD244" s="151">
        <f t="shared" si="65"/>
        <v>-41.40682004854898</v>
      </c>
    </row>
    <row r="245" spans="2:30" x14ac:dyDescent="0.3">
      <c r="B245">
        <v>955</v>
      </c>
      <c r="C245" s="25">
        <v>8</v>
      </c>
      <c r="D245" s="32" t="s">
        <v>249</v>
      </c>
      <c r="E245" s="153">
        <v>50.276845026762651</v>
      </c>
      <c r="F245" s="153">
        <f>INDEX('Revised 2019 Lockdown'!H$5:H$257,MATCH(B245,'Revised 2019 Lockdown'!B$5:B$257,0))</f>
        <v>50.276845026762651</v>
      </c>
      <c r="G245" s="153">
        <f t="shared" si="61"/>
        <v>0</v>
      </c>
      <c r="H245" s="151">
        <v>25073.62</v>
      </c>
      <c r="I245" s="151">
        <f>INDEX('Revised 2019 Lockdown'!E$5:E$257,MATCH(B245,'Revised 2019 Lockdown'!B$5:B$257,0))</f>
        <v>25073.62</v>
      </c>
      <c r="J245" s="151">
        <f t="shared" si="62"/>
        <v>0</v>
      </c>
      <c r="K245" s="151">
        <v>0</v>
      </c>
      <c r="L245" s="151">
        <f>INDEX('Revised 2019 Lockdown'!F$5:F$257,MATCH(B245,'Revised 2019 Lockdown'!B$5:B$257,0))</f>
        <v>0</v>
      </c>
      <c r="M245" s="151">
        <f t="shared" si="63"/>
        <v>0</v>
      </c>
      <c r="N245" s="151">
        <v>25073.62</v>
      </c>
      <c r="O245" s="156">
        <f t="shared" si="50"/>
        <v>25073.62</v>
      </c>
      <c r="P245" s="156">
        <f t="shared" si="64"/>
        <v>0</v>
      </c>
      <c r="Q245" s="85">
        <f t="shared" si="51"/>
        <v>498.71108631922249</v>
      </c>
      <c r="R245" s="6">
        <f t="shared" si="52"/>
        <v>498.71108631922249</v>
      </c>
      <c r="S245" s="5">
        <f t="shared" si="53"/>
        <v>25073.62</v>
      </c>
      <c r="T245" s="113">
        <v>0.16666666666666666</v>
      </c>
      <c r="U245" s="87">
        <f t="shared" si="54"/>
        <v>5782.6004495086545</v>
      </c>
      <c r="V245" s="87">
        <f t="shared" si="55"/>
        <v>3593.872555024765</v>
      </c>
      <c r="W245" s="87">
        <f t="shared" si="56"/>
        <v>289.13002247543272</v>
      </c>
      <c r="X245" s="87">
        <f t="shared" si="57"/>
        <v>303.58077086623337</v>
      </c>
      <c r="Y245" s="87">
        <f t="shared" si="58"/>
        <v>9969.1837978750864</v>
      </c>
      <c r="Z245" s="91">
        <f t="shared" si="59"/>
        <v>0.39759650971320004</v>
      </c>
      <c r="AA245" s="131">
        <f t="shared" si="60"/>
        <v>9969.4963291573877</v>
      </c>
      <c r="AC245" s="131">
        <v>9993.1358168413135</v>
      </c>
      <c r="AD245" s="151">
        <f t="shared" si="65"/>
        <v>-23.639487683925836</v>
      </c>
    </row>
    <row r="246" spans="2:30" x14ac:dyDescent="0.3">
      <c r="B246">
        <v>973</v>
      </c>
      <c r="C246" s="25">
        <v>8</v>
      </c>
      <c r="D246" s="32" t="s">
        <v>250</v>
      </c>
      <c r="E246" s="153">
        <v>8.1012150456462155</v>
      </c>
      <c r="F246" s="153">
        <f>INDEX('Revised 2019 Lockdown'!H$5:H$257,MATCH(B246,'Revised 2019 Lockdown'!B$5:B$257,0))</f>
        <v>8.1012150456462155</v>
      </c>
      <c r="G246" s="153">
        <f t="shared" si="61"/>
        <v>0</v>
      </c>
      <c r="H246" s="151">
        <v>8741.84</v>
      </c>
      <c r="I246" s="151">
        <f>INDEX('Revised 2019 Lockdown'!E$5:E$257,MATCH(B246,'Revised 2019 Lockdown'!B$5:B$257,0))</f>
        <v>8741.84</v>
      </c>
      <c r="J246" s="151">
        <f t="shared" si="62"/>
        <v>0</v>
      </c>
      <c r="K246" s="151">
        <v>0</v>
      </c>
      <c r="L246" s="151">
        <f>INDEX('Revised 2019 Lockdown'!F$5:F$257,MATCH(B246,'Revised 2019 Lockdown'!B$5:B$257,0))</f>
        <v>0</v>
      </c>
      <c r="M246" s="151">
        <f t="shared" si="63"/>
        <v>0</v>
      </c>
      <c r="N246" s="151">
        <v>8741.84</v>
      </c>
      <c r="O246" s="156">
        <f t="shared" si="50"/>
        <v>8741.84</v>
      </c>
      <c r="P246" s="156">
        <f t="shared" si="64"/>
        <v>0</v>
      </c>
      <c r="Q246" s="85">
        <f t="shared" si="51"/>
        <v>1079.0776384461083</v>
      </c>
      <c r="R246" s="6">
        <f t="shared" si="52"/>
        <v>1079.0776384461083</v>
      </c>
      <c r="S246" s="5">
        <f t="shared" si="53"/>
        <v>8741.84</v>
      </c>
      <c r="T246" s="113">
        <v>0.1875</v>
      </c>
      <c r="U246" s="87">
        <f t="shared" si="54"/>
        <v>2016.0857472328582</v>
      </c>
      <c r="V246" s="87">
        <f t="shared" si="55"/>
        <v>579.08833379269709</v>
      </c>
      <c r="W246" s="87">
        <f t="shared" si="56"/>
        <v>113.40482328184827</v>
      </c>
      <c r="X246" s="87">
        <f t="shared" si="57"/>
        <v>105.84249605718175</v>
      </c>
      <c r="Y246" s="87">
        <f t="shared" si="58"/>
        <v>2814.4214003645852</v>
      </c>
      <c r="Z246" s="91">
        <f t="shared" si="59"/>
        <v>0.3219483999209074</v>
      </c>
      <c r="AA246" s="131">
        <f t="shared" si="60"/>
        <v>2814.5096317330731</v>
      </c>
      <c r="AC246" s="131">
        <v>2821.9192260931823</v>
      </c>
      <c r="AD246" s="151">
        <f t="shared" si="65"/>
        <v>-7.4095943601091676</v>
      </c>
    </row>
    <row r="247" spans="2:30" x14ac:dyDescent="0.3">
      <c r="B247">
        <v>974</v>
      </c>
      <c r="C247" s="25">
        <v>8</v>
      </c>
      <c r="D247" s="32" t="s">
        <v>251</v>
      </c>
      <c r="E247" s="153">
        <v>17.47</v>
      </c>
      <c r="F247" s="153">
        <f>INDEX('Revised 2019 Lockdown'!H$5:H$257,MATCH(B247,'Revised 2019 Lockdown'!B$5:B$257,0))</f>
        <v>17.47</v>
      </c>
      <c r="G247" s="153">
        <f t="shared" si="61"/>
        <v>0</v>
      </c>
      <c r="H247" s="151">
        <v>15310.94</v>
      </c>
      <c r="I247" s="151">
        <f>INDEX('Revised 2019 Lockdown'!E$5:E$257,MATCH(B247,'Revised 2019 Lockdown'!B$5:B$257,0))</f>
        <v>15310.94</v>
      </c>
      <c r="J247" s="151">
        <f t="shared" si="62"/>
        <v>0</v>
      </c>
      <c r="K247" s="151">
        <v>0</v>
      </c>
      <c r="L247" s="151">
        <f>INDEX('Revised 2019 Lockdown'!F$5:F$257,MATCH(B247,'Revised 2019 Lockdown'!B$5:B$257,0))</f>
        <v>0</v>
      </c>
      <c r="M247" s="151">
        <f t="shared" si="63"/>
        <v>0</v>
      </c>
      <c r="N247" s="151">
        <v>15310.94</v>
      </c>
      <c r="O247" s="156">
        <f t="shared" si="50"/>
        <v>15310.94</v>
      </c>
      <c r="P247" s="156">
        <f t="shared" si="64"/>
        <v>0</v>
      </c>
      <c r="Q247" s="85">
        <f t="shared" si="51"/>
        <v>876.41327990841455</v>
      </c>
      <c r="R247" s="6">
        <f t="shared" si="52"/>
        <v>876.41327990841455</v>
      </c>
      <c r="S247" s="5">
        <f t="shared" si="53"/>
        <v>15310.94</v>
      </c>
      <c r="T247" s="113">
        <v>0.33564814814814814</v>
      </c>
      <c r="U247" s="87">
        <f t="shared" si="54"/>
        <v>3531.0836060528973</v>
      </c>
      <c r="V247" s="87">
        <f t="shared" si="55"/>
        <v>1248.7846741946887</v>
      </c>
      <c r="W247" s="87">
        <f t="shared" si="56"/>
        <v>355.56050199838199</v>
      </c>
      <c r="X247" s="87">
        <f t="shared" si="57"/>
        <v>185.37837647242986</v>
      </c>
      <c r="Y247" s="87">
        <f t="shared" si="58"/>
        <v>5320.8071587183986</v>
      </c>
      <c r="Z247" s="91">
        <f t="shared" si="59"/>
        <v>0.34751668798378144</v>
      </c>
      <c r="AA247" s="131">
        <f t="shared" si="60"/>
        <v>5320.9739646192538</v>
      </c>
      <c r="AC247" s="131">
        <v>5334.7172176770973</v>
      </c>
      <c r="AD247" s="151">
        <f t="shared" si="65"/>
        <v>-13.743253057843503</v>
      </c>
    </row>
    <row r="248" spans="2:30" x14ac:dyDescent="0.3">
      <c r="B248" s="24">
        <v>985</v>
      </c>
      <c r="C248" s="25">
        <v>8</v>
      </c>
      <c r="D248" s="32" t="s">
        <v>253</v>
      </c>
      <c r="E248" s="153">
        <v>65.667615124449199</v>
      </c>
      <c r="F248" s="153">
        <f>INDEX('Revised 2019 Lockdown'!H$5:H$257,MATCH(B248,'Revised 2019 Lockdown'!B$5:B$257,0))</f>
        <v>65.667615124449199</v>
      </c>
      <c r="G248" s="153">
        <f t="shared" si="61"/>
        <v>0</v>
      </c>
      <c r="H248" s="151">
        <v>119730.94</v>
      </c>
      <c r="I248" s="151">
        <f>INDEX('Revised 2019 Lockdown'!E$5:E$257,MATCH(B248,'Revised 2019 Lockdown'!B$5:B$257,0))</f>
        <v>119730.94</v>
      </c>
      <c r="J248" s="151">
        <f t="shared" si="62"/>
        <v>0</v>
      </c>
      <c r="K248" s="151">
        <v>0</v>
      </c>
      <c r="L248" s="151">
        <f>INDEX('Revised 2019 Lockdown'!F$5:F$257,MATCH(B248,'Revised 2019 Lockdown'!B$5:B$257,0))</f>
        <v>0</v>
      </c>
      <c r="M248" s="151">
        <f t="shared" si="63"/>
        <v>0</v>
      </c>
      <c r="N248" s="151">
        <v>119730.94</v>
      </c>
      <c r="O248" s="156">
        <f t="shared" si="50"/>
        <v>119730.94</v>
      </c>
      <c r="P248" s="156">
        <f t="shared" si="64"/>
        <v>0</v>
      </c>
      <c r="Q248" s="85">
        <f t="shared" si="51"/>
        <v>1823.2874724183805</v>
      </c>
      <c r="R248" s="6">
        <f t="shared" si="52"/>
        <v>1823.2874724183805</v>
      </c>
      <c r="S248" s="5">
        <f t="shared" si="53"/>
        <v>119730.94</v>
      </c>
      <c r="T248" s="113">
        <v>0.35185185185185186</v>
      </c>
      <c r="U248" s="87">
        <f t="shared" si="54"/>
        <v>27612.932933660708</v>
      </c>
      <c r="V248" s="87">
        <f t="shared" si="55"/>
        <v>4694.0304154738124</v>
      </c>
      <c r="W248" s="87">
        <f t="shared" si="56"/>
        <v>2914.6984763308524</v>
      </c>
      <c r="X248" s="87">
        <f t="shared" si="57"/>
        <v>1449.6515087067098</v>
      </c>
      <c r="Y248" s="87">
        <f t="shared" si="58"/>
        <v>36671.313334172082</v>
      </c>
      <c r="Z248" s="91">
        <f t="shared" si="59"/>
        <v>0.30628101085794601</v>
      </c>
      <c r="AA248" s="131">
        <f t="shared" si="60"/>
        <v>36672.462970171619</v>
      </c>
      <c r="AC248" s="131">
        <v>36773.785388636716</v>
      </c>
      <c r="AD248" s="151">
        <f t="shared" si="65"/>
        <v>-101.32241846509714</v>
      </c>
    </row>
    <row r="249" spans="2:30" x14ac:dyDescent="0.3">
      <c r="B249">
        <v>159</v>
      </c>
      <c r="C249" s="25">
        <v>9</v>
      </c>
      <c r="D249" s="32" t="s">
        <v>255</v>
      </c>
      <c r="E249" s="153">
        <v>721.93312534833865</v>
      </c>
      <c r="F249" s="153">
        <f>INDEX('Revised 2019 Lockdown'!H$5:H$257,MATCH(B249,'Revised 2019 Lockdown'!B$5:B$257,0))</f>
        <v>721.93312534833865</v>
      </c>
      <c r="G249" s="153">
        <f t="shared" si="61"/>
        <v>0</v>
      </c>
      <c r="H249" s="151">
        <v>166217.32</v>
      </c>
      <c r="I249" s="151">
        <f>INDEX('Revised 2019 Lockdown'!E$5:E$257,MATCH(B249,'Revised 2019 Lockdown'!B$5:B$257,0))</f>
        <v>166217.32</v>
      </c>
      <c r="J249" s="151">
        <f t="shared" si="62"/>
        <v>0</v>
      </c>
      <c r="K249" s="151">
        <v>0</v>
      </c>
      <c r="L249" s="151">
        <f>INDEX('Revised 2019 Lockdown'!F$5:F$257,MATCH(B249,'Revised 2019 Lockdown'!B$5:B$257,0))</f>
        <v>0</v>
      </c>
      <c r="M249" s="151">
        <f t="shared" si="63"/>
        <v>0</v>
      </c>
      <c r="N249" s="151">
        <v>166217.32</v>
      </c>
      <c r="O249" s="156">
        <f t="shared" si="50"/>
        <v>166217.32</v>
      </c>
      <c r="P249" s="156">
        <f t="shared" si="64"/>
        <v>0</v>
      </c>
      <c r="Q249" s="85">
        <f t="shared" si="51"/>
        <v>230.2392204538319</v>
      </c>
      <c r="R249" s="6">
        <f t="shared" si="52"/>
        <v>230.2392204538319</v>
      </c>
      <c r="S249" s="5">
        <f t="shared" si="53"/>
        <v>166217.32</v>
      </c>
      <c r="T249" s="113">
        <v>0.91666666666666674</v>
      </c>
      <c r="U249" s="87">
        <f t="shared" si="54"/>
        <v>38333.848456988817</v>
      </c>
      <c r="V249" s="87">
        <f t="shared" si="55"/>
        <v>51604.981266655894</v>
      </c>
      <c r="W249" s="87">
        <f t="shared" si="56"/>
        <v>10541.808325671926</v>
      </c>
      <c r="X249" s="87">
        <f t="shared" si="57"/>
        <v>2012.4889081400845</v>
      </c>
      <c r="Y249" s="87">
        <f t="shared" si="58"/>
        <v>102493.12695745673</v>
      </c>
      <c r="Z249" s="91">
        <f t="shared" si="59"/>
        <v>0.61662122188864987</v>
      </c>
      <c r="AA249" s="131">
        <f t="shared" si="60"/>
        <v>102496.34008995027</v>
      </c>
      <c r="AC249" s="131">
        <v>102714.33299690904</v>
      </c>
      <c r="AD249" s="151">
        <f t="shared" si="65"/>
        <v>-217.99290695876698</v>
      </c>
    </row>
    <row r="250" spans="2:30" x14ac:dyDescent="0.3">
      <c r="B250">
        <v>173</v>
      </c>
      <c r="C250" s="25">
        <v>9</v>
      </c>
      <c r="D250" s="32" t="s">
        <v>256</v>
      </c>
      <c r="E250" s="153">
        <v>317.52000000000004</v>
      </c>
      <c r="F250" s="153">
        <f>INDEX('Revised 2019 Lockdown'!H$5:H$257,MATCH(B250,'Revised 2019 Lockdown'!B$5:B$257,0))</f>
        <v>317.52000000000004</v>
      </c>
      <c r="G250" s="153">
        <f t="shared" si="61"/>
        <v>0</v>
      </c>
      <c r="H250" s="151">
        <v>188734.3</v>
      </c>
      <c r="I250" s="151">
        <f>INDEX('Revised 2019 Lockdown'!E$5:E$257,MATCH(B250,'Revised 2019 Lockdown'!B$5:B$257,0))</f>
        <v>188734.3</v>
      </c>
      <c r="J250" s="151">
        <f t="shared" si="62"/>
        <v>0</v>
      </c>
      <c r="K250" s="151">
        <v>0</v>
      </c>
      <c r="L250" s="151">
        <f>INDEX('Revised 2019 Lockdown'!F$5:F$257,MATCH(B250,'Revised 2019 Lockdown'!B$5:B$257,0))</f>
        <v>0</v>
      </c>
      <c r="M250" s="151">
        <f t="shared" si="63"/>
        <v>0</v>
      </c>
      <c r="N250" s="151">
        <v>188734.3</v>
      </c>
      <c r="O250" s="156">
        <f t="shared" si="50"/>
        <v>188734.3</v>
      </c>
      <c r="P250" s="156">
        <f t="shared" si="64"/>
        <v>0</v>
      </c>
      <c r="Q250" s="85">
        <f t="shared" si="51"/>
        <v>594.40129755605938</v>
      </c>
      <c r="R250" s="6">
        <f t="shared" si="52"/>
        <v>594.40129755605938</v>
      </c>
      <c r="S250" s="5">
        <f t="shared" si="53"/>
        <v>188734.3</v>
      </c>
      <c r="T250" s="113">
        <v>0.86574074074074081</v>
      </c>
      <c r="U250" s="87">
        <f t="shared" si="54"/>
        <v>43526.82412901293</v>
      </c>
      <c r="V250" s="87">
        <f t="shared" si="55"/>
        <v>22696.858028065119</v>
      </c>
      <c r="W250" s="87">
        <f t="shared" si="56"/>
        <v>11304.883489063082</v>
      </c>
      <c r="X250" s="87">
        <f t="shared" si="57"/>
        <v>2285.1149647677098</v>
      </c>
      <c r="Y250" s="87">
        <f t="shared" si="58"/>
        <v>79813.680610908836</v>
      </c>
      <c r="Z250" s="91">
        <f t="shared" si="59"/>
        <v>0.42288911242370275</v>
      </c>
      <c r="AA250" s="131">
        <f t="shared" si="60"/>
        <v>79816.182748742009</v>
      </c>
      <c r="AC250" s="131">
        <v>80015.417756753304</v>
      </c>
      <c r="AD250" s="151">
        <f t="shared" si="65"/>
        <v>-199.23500801129558</v>
      </c>
    </row>
    <row r="251" spans="2:30" x14ac:dyDescent="0.3">
      <c r="B251">
        <v>204</v>
      </c>
      <c r="C251" s="25">
        <v>9</v>
      </c>
      <c r="D251" s="32" t="s">
        <v>257</v>
      </c>
      <c r="E251" s="153">
        <v>445.31322425693912</v>
      </c>
      <c r="F251" s="153">
        <f>INDEX('Revised 2019 Lockdown'!H$5:H$257,MATCH(B251,'Revised 2019 Lockdown'!B$5:B$257,0))</f>
        <v>445.31322425693912</v>
      </c>
      <c r="G251" s="153">
        <f t="shared" si="61"/>
        <v>0</v>
      </c>
      <c r="H251" s="151">
        <v>526325.63</v>
      </c>
      <c r="I251" s="151">
        <f>INDEX('Revised 2019 Lockdown'!E$5:E$257,MATCH(B251,'Revised 2019 Lockdown'!B$5:B$257,0))</f>
        <v>526325.63</v>
      </c>
      <c r="J251" s="151">
        <f t="shared" si="62"/>
        <v>0</v>
      </c>
      <c r="K251" s="151">
        <v>0</v>
      </c>
      <c r="L251" s="151">
        <f>INDEX('Revised 2019 Lockdown'!F$5:F$257,MATCH(B251,'Revised 2019 Lockdown'!B$5:B$257,0))</f>
        <v>0</v>
      </c>
      <c r="M251" s="151">
        <f t="shared" si="63"/>
        <v>0</v>
      </c>
      <c r="N251" s="151">
        <v>526325.63</v>
      </c>
      <c r="O251" s="156">
        <f t="shared" si="50"/>
        <v>526325.63</v>
      </c>
      <c r="P251" s="156">
        <f t="shared" si="64"/>
        <v>0</v>
      </c>
      <c r="Q251" s="85">
        <f t="shared" si="51"/>
        <v>1181.922299474129</v>
      </c>
      <c r="R251" s="6">
        <f t="shared" si="52"/>
        <v>1181.922299474129</v>
      </c>
      <c r="S251" s="5">
        <f t="shared" si="53"/>
        <v>526325.63</v>
      </c>
      <c r="T251" s="113">
        <v>0.2361111111111111</v>
      </c>
      <c r="U251" s="87">
        <f t="shared" si="54"/>
        <v>121383.78202373354</v>
      </c>
      <c r="V251" s="87">
        <f t="shared" si="55"/>
        <v>31831.730375975276</v>
      </c>
      <c r="W251" s="87">
        <f t="shared" si="56"/>
        <v>8598.017893347791</v>
      </c>
      <c r="X251" s="87">
        <f t="shared" si="57"/>
        <v>6372.5277994185089</v>
      </c>
      <c r="Y251" s="87">
        <f t="shared" si="58"/>
        <v>168186.05809247514</v>
      </c>
      <c r="Z251" s="91">
        <f t="shared" si="59"/>
        <v>0.319547535795426</v>
      </c>
      <c r="AA251" s="131">
        <f t="shared" si="60"/>
        <v>168191.3306810307</v>
      </c>
      <c r="AC251" s="131">
        <v>167519.41923500609</v>
      </c>
      <c r="AD251" s="151">
        <f t="shared" si="65"/>
        <v>671.91144602460554</v>
      </c>
    </row>
    <row r="252" spans="2:30" x14ac:dyDescent="0.3">
      <c r="B252">
        <v>230</v>
      </c>
      <c r="C252" s="25">
        <v>9</v>
      </c>
      <c r="D252" s="32" t="s">
        <v>259</v>
      </c>
      <c r="E252" s="153">
        <v>137.3463158270811</v>
      </c>
      <c r="F252" s="153">
        <f>INDEX('Revised 2019 Lockdown'!H$5:H$257,MATCH(B252,'Revised 2019 Lockdown'!B$5:B$257,0))</f>
        <v>137.3463158270811</v>
      </c>
      <c r="G252" s="153">
        <f t="shared" si="61"/>
        <v>0</v>
      </c>
      <c r="H252" s="151">
        <v>102952.81</v>
      </c>
      <c r="I252" s="151">
        <f>INDEX('Revised 2019 Lockdown'!E$5:E$257,MATCH(B252,'Revised 2019 Lockdown'!B$5:B$257,0))</f>
        <v>102952.81</v>
      </c>
      <c r="J252" s="151">
        <f t="shared" si="62"/>
        <v>0</v>
      </c>
      <c r="K252" s="151">
        <v>1799.3000000000002</v>
      </c>
      <c r="L252" s="151">
        <f>INDEX('Revised 2019 Lockdown'!F$5:F$257,MATCH(B252,'Revised 2019 Lockdown'!B$5:B$257,0))</f>
        <v>1799.3000000000002</v>
      </c>
      <c r="M252" s="151">
        <f t="shared" si="63"/>
        <v>0</v>
      </c>
      <c r="N252" s="151">
        <v>101153.51</v>
      </c>
      <c r="O252" s="156">
        <f t="shared" si="50"/>
        <v>101153.51</v>
      </c>
      <c r="P252" s="156">
        <f t="shared" si="64"/>
        <v>0</v>
      </c>
      <c r="Q252" s="85">
        <f t="shared" si="51"/>
        <v>736.48506252874074</v>
      </c>
      <c r="R252" s="6">
        <f t="shared" si="52"/>
        <v>736.48506252874074</v>
      </c>
      <c r="S252" s="5">
        <f t="shared" si="53"/>
        <v>101153.51</v>
      </c>
      <c r="T252" s="113">
        <v>0.27777777777777779</v>
      </c>
      <c r="U252" s="87">
        <f t="shared" si="54"/>
        <v>23328.515483419556</v>
      </c>
      <c r="V252" s="87">
        <f t="shared" si="55"/>
        <v>9817.7432319383115</v>
      </c>
      <c r="W252" s="87">
        <f t="shared" si="56"/>
        <v>1944.0429569516295</v>
      </c>
      <c r="X252" s="87">
        <f t="shared" si="57"/>
        <v>1224.7238548572261</v>
      </c>
      <c r="Y252" s="87">
        <f t="shared" si="58"/>
        <v>36315.025527166719</v>
      </c>
      <c r="Z252" s="91">
        <f t="shared" si="59"/>
        <v>0.35900904997925154</v>
      </c>
      <c r="AA252" s="131">
        <f t="shared" si="60"/>
        <v>36316.163993637492</v>
      </c>
      <c r="AC252" s="131">
        <v>34462.313332407488</v>
      </c>
      <c r="AD252" s="151">
        <f t="shared" si="65"/>
        <v>1853.8506612300043</v>
      </c>
    </row>
    <row r="253" spans="2:30" x14ac:dyDescent="0.3">
      <c r="B253">
        <v>277</v>
      </c>
      <c r="C253" s="25">
        <v>9</v>
      </c>
      <c r="D253" s="32" t="s">
        <v>260</v>
      </c>
      <c r="E253" s="153">
        <v>77.20924891627962</v>
      </c>
      <c r="F253" s="153">
        <f>INDEX('Revised 2019 Lockdown'!H$5:H$257,MATCH(B253,'Revised 2019 Lockdown'!B$5:B$257,0))</f>
        <v>77.20924891627962</v>
      </c>
      <c r="G253" s="153">
        <f t="shared" si="61"/>
        <v>0</v>
      </c>
      <c r="H253" s="151">
        <v>193093.73</v>
      </c>
      <c r="I253" s="151">
        <f>INDEX('Revised 2019 Lockdown'!E$5:E$257,MATCH(B253,'Revised 2019 Lockdown'!B$5:B$257,0))</f>
        <v>193093.73</v>
      </c>
      <c r="J253" s="151">
        <f t="shared" si="62"/>
        <v>0</v>
      </c>
      <c r="K253" s="151">
        <v>5454.62</v>
      </c>
      <c r="L253" s="151">
        <f>INDEX('Revised 2019 Lockdown'!F$5:F$257,MATCH(B253,'Revised 2019 Lockdown'!B$5:B$257,0))</f>
        <v>5454.62</v>
      </c>
      <c r="M253" s="151">
        <f t="shared" si="63"/>
        <v>0</v>
      </c>
      <c r="N253" s="151">
        <v>187639.11000000002</v>
      </c>
      <c r="O253" s="156">
        <f t="shared" si="50"/>
        <v>187639.11000000002</v>
      </c>
      <c r="P253" s="156">
        <f t="shared" si="64"/>
        <v>0</v>
      </c>
      <c r="Q253" s="85">
        <f t="shared" si="51"/>
        <v>2430.2672624553429</v>
      </c>
      <c r="R253" s="6">
        <f t="shared" si="52"/>
        <v>1695.4343094973879</v>
      </c>
      <c r="S253" s="5">
        <f t="shared" si="53"/>
        <v>130903.20962318448</v>
      </c>
      <c r="T253" s="113">
        <v>0.25694444444444442</v>
      </c>
      <c r="U253" s="87">
        <f t="shared" si="54"/>
        <v>30189.536206146229</v>
      </c>
      <c r="V253" s="87">
        <f t="shared" si="55"/>
        <v>5519.0456069108686</v>
      </c>
      <c r="W253" s="87">
        <f t="shared" si="56"/>
        <v>2327.1100825571048</v>
      </c>
      <c r="X253" s="87">
        <f t="shared" si="57"/>
        <v>1584.9206172172378</v>
      </c>
      <c r="Y253" s="87">
        <f t="shared" si="58"/>
        <v>39620.612512831438</v>
      </c>
      <c r="Z253" s="91">
        <f t="shared" si="59"/>
        <v>0.30267105464321759</v>
      </c>
      <c r="AA253" s="131">
        <f t="shared" si="60"/>
        <v>39621.854608582231</v>
      </c>
      <c r="AC253" s="131">
        <v>39689.267918881844</v>
      </c>
      <c r="AD253" s="151">
        <f t="shared" si="65"/>
        <v>-67.413310299612931</v>
      </c>
    </row>
    <row r="254" spans="2:30" x14ac:dyDescent="0.3">
      <c r="B254">
        <v>279</v>
      </c>
      <c r="C254" s="25">
        <v>9</v>
      </c>
      <c r="D254" s="32" t="s">
        <v>261</v>
      </c>
      <c r="E254" s="153">
        <v>281.14056938192209</v>
      </c>
      <c r="F254" s="153">
        <f>INDEX('Revised 2019 Lockdown'!H$5:H$257,MATCH(B254,'Revised 2019 Lockdown'!B$5:B$257,0))</f>
        <v>281.14056938192209</v>
      </c>
      <c r="G254" s="153">
        <f t="shared" si="61"/>
        <v>0</v>
      </c>
      <c r="H254" s="151">
        <v>185521.99</v>
      </c>
      <c r="I254" s="151">
        <f>INDEX('Revised 2019 Lockdown'!E$5:E$257,MATCH(B254,'Revised 2019 Lockdown'!B$5:B$257,0))</f>
        <v>185521.99</v>
      </c>
      <c r="J254" s="151">
        <f t="shared" si="62"/>
        <v>0</v>
      </c>
      <c r="K254" s="151">
        <v>796</v>
      </c>
      <c r="L254" s="151">
        <f>INDEX('Revised 2019 Lockdown'!F$5:F$257,MATCH(B254,'Revised 2019 Lockdown'!B$5:B$257,0))</f>
        <v>796</v>
      </c>
      <c r="M254" s="151">
        <f t="shared" si="63"/>
        <v>0</v>
      </c>
      <c r="N254" s="151">
        <v>184725.99</v>
      </c>
      <c r="O254" s="156">
        <f t="shared" si="50"/>
        <v>184725.99</v>
      </c>
      <c r="P254" s="156">
        <f t="shared" si="64"/>
        <v>0</v>
      </c>
      <c r="Q254" s="85">
        <f t="shared" si="51"/>
        <v>657.05917294723326</v>
      </c>
      <c r="R254" s="6">
        <f t="shared" si="52"/>
        <v>657.05917294723326</v>
      </c>
      <c r="S254" s="5">
        <f t="shared" si="53"/>
        <v>184725.99</v>
      </c>
      <c r="T254" s="113">
        <v>0.24305555555555555</v>
      </c>
      <c r="U254" s="87">
        <f t="shared" si="54"/>
        <v>42602.408140903914</v>
      </c>
      <c r="V254" s="87">
        <f t="shared" si="55"/>
        <v>20096.395783543954</v>
      </c>
      <c r="W254" s="87">
        <f t="shared" si="56"/>
        <v>3106.4255936075765</v>
      </c>
      <c r="X254" s="87">
        <f t="shared" si="57"/>
        <v>2236.5840450333103</v>
      </c>
      <c r="Y254" s="87">
        <f t="shared" si="58"/>
        <v>68041.813563088755</v>
      </c>
      <c r="Z254" s="91">
        <f t="shared" si="59"/>
        <v>0.3683391468795959</v>
      </c>
      <c r="AA254" s="131">
        <f t="shared" si="60"/>
        <v>68043.946655995271</v>
      </c>
      <c r="AC254" s="131">
        <v>68212.762149860835</v>
      </c>
      <c r="AD254" s="151">
        <f t="shared" si="65"/>
        <v>-168.81549386556435</v>
      </c>
    </row>
    <row r="255" spans="2:30" x14ac:dyDescent="0.3">
      <c r="B255">
        <v>331</v>
      </c>
      <c r="C255" s="25">
        <v>9</v>
      </c>
      <c r="D255" s="32" t="s">
        <v>262</v>
      </c>
      <c r="E255" s="153">
        <v>442.75839063951412</v>
      </c>
      <c r="F255" s="153">
        <f>INDEX('Revised 2019 Lockdown'!H$5:H$257,MATCH(B255,'Revised 2019 Lockdown'!B$5:B$257,0))</f>
        <v>442.75839063951412</v>
      </c>
      <c r="G255" s="153">
        <f t="shared" si="61"/>
        <v>0</v>
      </c>
      <c r="H255" s="151">
        <v>160212.76999999999</v>
      </c>
      <c r="I255" s="151">
        <f>INDEX('Revised 2019 Lockdown'!E$5:E$257,MATCH(B255,'Revised 2019 Lockdown'!B$5:B$257,0))</f>
        <v>160212.76999999999</v>
      </c>
      <c r="J255" s="151">
        <f t="shared" si="62"/>
        <v>0</v>
      </c>
      <c r="K255" s="151">
        <v>0</v>
      </c>
      <c r="L255" s="151">
        <f>INDEX('Revised 2019 Lockdown'!F$5:F$257,MATCH(B255,'Revised 2019 Lockdown'!B$5:B$257,0))</f>
        <v>0</v>
      </c>
      <c r="M255" s="151">
        <f t="shared" si="63"/>
        <v>0</v>
      </c>
      <c r="N255" s="151">
        <v>160212.76999999999</v>
      </c>
      <c r="O255" s="156">
        <f t="shared" si="50"/>
        <v>160212.76999999999</v>
      </c>
      <c r="P255" s="156">
        <f t="shared" si="64"/>
        <v>0</v>
      </c>
      <c r="Q255" s="85">
        <f t="shared" si="51"/>
        <v>361.85145981895653</v>
      </c>
      <c r="R255" s="6">
        <f t="shared" si="52"/>
        <v>361.85145981895653</v>
      </c>
      <c r="S255" s="5">
        <f t="shared" si="53"/>
        <v>160212.76999999999</v>
      </c>
      <c r="T255" s="113">
        <v>0.55092592592592593</v>
      </c>
      <c r="U255" s="87">
        <f t="shared" si="54"/>
        <v>36949.049870701827</v>
      </c>
      <c r="V255" s="87">
        <f t="shared" si="55"/>
        <v>31649.106617156856</v>
      </c>
      <c r="W255" s="87">
        <f t="shared" si="56"/>
        <v>6106.8568536298844</v>
      </c>
      <c r="X255" s="87">
        <f t="shared" si="57"/>
        <v>1939.7883600060359</v>
      </c>
      <c r="Y255" s="87">
        <f t="shared" si="58"/>
        <v>76644.801701494594</v>
      </c>
      <c r="Z255" s="91">
        <f t="shared" si="59"/>
        <v>0.47839383653059991</v>
      </c>
      <c r="AA255" s="131">
        <f t="shared" si="60"/>
        <v>76647.20449580987</v>
      </c>
      <c r="AC255" s="131">
        <v>76822.026451961996</v>
      </c>
      <c r="AD255" s="151">
        <f t="shared" si="65"/>
        <v>-174.82195615212549</v>
      </c>
    </row>
    <row r="256" spans="2:30" x14ac:dyDescent="0.3">
      <c r="B256">
        <v>369</v>
      </c>
      <c r="C256" s="25">
        <v>9</v>
      </c>
      <c r="D256" s="32" t="s">
        <v>263</v>
      </c>
      <c r="E256" s="153">
        <v>372.33</v>
      </c>
      <c r="F256" s="153">
        <f>INDEX('Revised 2019 Lockdown'!H$5:H$257,MATCH(B256,'Revised 2019 Lockdown'!B$5:B$257,0))</f>
        <v>372.33</v>
      </c>
      <c r="G256" s="153">
        <f t="shared" si="61"/>
        <v>0</v>
      </c>
      <c r="H256" s="151">
        <v>439717.41</v>
      </c>
      <c r="I256" s="151">
        <f>INDEX('Revised 2019 Lockdown'!E$5:E$257,MATCH(B256,'Revised 2019 Lockdown'!B$5:B$257,0))</f>
        <v>439717.41</v>
      </c>
      <c r="J256" s="151">
        <f t="shared" si="62"/>
        <v>0</v>
      </c>
      <c r="K256" s="151">
        <v>0</v>
      </c>
      <c r="L256" s="151">
        <f>INDEX('Revised 2019 Lockdown'!F$5:F$257,MATCH(B256,'Revised 2019 Lockdown'!B$5:B$257,0))</f>
        <v>0</v>
      </c>
      <c r="M256" s="151">
        <f t="shared" si="63"/>
        <v>0</v>
      </c>
      <c r="N256" s="151">
        <v>439717.41</v>
      </c>
      <c r="O256" s="156">
        <f t="shared" si="50"/>
        <v>439717.41</v>
      </c>
      <c r="P256" s="156">
        <f t="shared" si="64"/>
        <v>0</v>
      </c>
      <c r="Q256" s="85">
        <f t="shared" si="51"/>
        <v>1180.9883973894125</v>
      </c>
      <c r="R256" s="6">
        <f t="shared" si="52"/>
        <v>1180.9883973894125</v>
      </c>
      <c r="S256" s="5">
        <f t="shared" si="53"/>
        <v>439717.40999999992</v>
      </c>
      <c r="T256" s="113">
        <v>0.65953703703703703</v>
      </c>
      <c r="U256" s="87">
        <f t="shared" si="54"/>
        <v>101409.77221170222</v>
      </c>
      <c r="V256" s="87">
        <f t="shared" si="55"/>
        <v>26614.768044814449</v>
      </c>
      <c r="W256" s="87">
        <f t="shared" si="56"/>
        <v>20065.050207332079</v>
      </c>
      <c r="X256" s="87">
        <f t="shared" si="57"/>
        <v>5323.9121551297158</v>
      </c>
      <c r="Y256" s="87">
        <f t="shared" si="58"/>
        <v>153413.50261897847</v>
      </c>
      <c r="Z256" s="91">
        <f t="shared" si="59"/>
        <v>0.3488911267329135</v>
      </c>
      <c r="AA256" s="131">
        <f t="shared" si="60"/>
        <v>153418.31209181677</v>
      </c>
      <c r="AC256" s="131">
        <v>153830.11017758254</v>
      </c>
      <c r="AD256" s="151">
        <f t="shared" si="65"/>
        <v>-411.79808576576761</v>
      </c>
    </row>
    <row r="257" spans="2:30" x14ac:dyDescent="0.3">
      <c r="B257">
        <v>416</v>
      </c>
      <c r="C257" s="25">
        <v>9</v>
      </c>
      <c r="D257" s="32" t="s">
        <v>264</v>
      </c>
      <c r="E257" s="153">
        <v>63.282402387757521</v>
      </c>
      <c r="F257" s="153">
        <f>INDEX('Revised 2019 Lockdown'!H$5:H$257,MATCH(B257,'Revised 2019 Lockdown'!B$5:B$257,0))</f>
        <v>63.282402387757521</v>
      </c>
      <c r="G257" s="153">
        <f t="shared" si="61"/>
        <v>0</v>
      </c>
      <c r="H257" s="151">
        <v>63073.1</v>
      </c>
      <c r="I257" s="151">
        <f>INDEX('Revised 2019 Lockdown'!E$5:E$257,MATCH(B257,'Revised 2019 Lockdown'!B$5:B$257,0))</f>
        <v>63073.1</v>
      </c>
      <c r="J257" s="151">
        <f t="shared" si="62"/>
        <v>0</v>
      </c>
      <c r="K257" s="151">
        <v>67.5</v>
      </c>
      <c r="L257" s="151">
        <f>INDEX('Revised 2019 Lockdown'!F$5:F$257,MATCH(B257,'Revised 2019 Lockdown'!B$5:B$257,0))</f>
        <v>67.5</v>
      </c>
      <c r="M257" s="151">
        <f t="shared" si="63"/>
        <v>0</v>
      </c>
      <c r="N257" s="151">
        <v>63005.599999999999</v>
      </c>
      <c r="O257" s="156">
        <f t="shared" si="50"/>
        <v>63005.599999999999</v>
      </c>
      <c r="P257" s="156">
        <f t="shared" si="64"/>
        <v>0</v>
      </c>
      <c r="Q257" s="85">
        <f t="shared" si="51"/>
        <v>995.62591846527187</v>
      </c>
      <c r="R257" s="6">
        <f t="shared" si="52"/>
        <v>995.62591846527187</v>
      </c>
      <c r="S257" s="5">
        <f t="shared" si="53"/>
        <v>63005.599999999999</v>
      </c>
      <c r="T257" s="113">
        <v>0.63425925925925919</v>
      </c>
      <c r="U257" s="87">
        <f t="shared" si="54"/>
        <v>14530.658551958692</v>
      </c>
      <c r="V257" s="87">
        <f t="shared" si="55"/>
        <v>4523.531439499312</v>
      </c>
      <c r="W257" s="87">
        <f t="shared" si="56"/>
        <v>2764.8614189143618</v>
      </c>
      <c r="X257" s="87">
        <f t="shared" si="57"/>
        <v>762.84511837100308</v>
      </c>
      <c r="Y257" s="87">
        <f t="shared" si="58"/>
        <v>22581.896528743368</v>
      </c>
      <c r="Z257" s="91">
        <f t="shared" si="59"/>
        <v>0.35841094329303058</v>
      </c>
      <c r="AA257" s="131">
        <f t="shared" si="60"/>
        <v>22582.604465242686</v>
      </c>
      <c r="AC257" s="131">
        <v>22642.201128756122</v>
      </c>
      <c r="AD257" s="151">
        <f t="shared" si="65"/>
        <v>-59.596663513435487</v>
      </c>
    </row>
    <row r="258" spans="2:30" x14ac:dyDescent="0.3">
      <c r="B258">
        <v>508</v>
      </c>
      <c r="C258" s="25">
        <v>9</v>
      </c>
      <c r="D258" s="32" t="s">
        <v>266</v>
      </c>
      <c r="E258" s="153">
        <v>83.552342128140978</v>
      </c>
      <c r="F258" s="153">
        <f>INDEX('Revised 2019 Lockdown'!H$5:H$257,MATCH(B258,'Revised 2019 Lockdown'!B$5:B$257,0))</f>
        <v>83.552342128140978</v>
      </c>
      <c r="G258" s="153">
        <f t="shared" si="61"/>
        <v>0</v>
      </c>
      <c r="H258" s="151">
        <v>78621.899999999994</v>
      </c>
      <c r="I258" s="151">
        <f>INDEX('Revised 2019 Lockdown'!E$5:E$257,MATCH(B258,'Revised 2019 Lockdown'!B$5:B$257,0))</f>
        <v>78621.899999999994</v>
      </c>
      <c r="J258" s="151">
        <f t="shared" si="62"/>
        <v>0</v>
      </c>
      <c r="K258" s="151">
        <v>0</v>
      </c>
      <c r="L258" s="151">
        <f>INDEX('Revised 2019 Lockdown'!F$5:F$257,MATCH(B258,'Revised 2019 Lockdown'!B$5:B$257,0))</f>
        <v>0</v>
      </c>
      <c r="M258" s="151">
        <f t="shared" si="63"/>
        <v>0</v>
      </c>
      <c r="N258" s="151">
        <v>78621.899999999994</v>
      </c>
      <c r="O258" s="156">
        <f t="shared" si="50"/>
        <v>78621.899999999994</v>
      </c>
      <c r="P258" s="156">
        <f t="shared" si="64"/>
        <v>0</v>
      </c>
      <c r="Q258" s="85">
        <f t="shared" si="51"/>
        <v>940.98977954945462</v>
      </c>
      <c r="R258" s="6">
        <f t="shared" si="52"/>
        <v>940.98977954945462</v>
      </c>
      <c r="S258" s="5">
        <f t="shared" si="53"/>
        <v>78621.899999999994</v>
      </c>
      <c r="T258" s="113">
        <v>0.53587962962962965</v>
      </c>
      <c r="U258" s="87">
        <f t="shared" si="54"/>
        <v>18132.165769490981</v>
      </c>
      <c r="V258" s="87">
        <f t="shared" si="55"/>
        <v>5972.4604660958039</v>
      </c>
      <c r="W258" s="87">
        <f t="shared" si="56"/>
        <v>2914.9974830813626</v>
      </c>
      <c r="X258" s="87">
        <f t="shared" si="57"/>
        <v>951.92066438623181</v>
      </c>
      <c r="Y258" s="87">
        <f t="shared" si="58"/>
        <v>27971.544383054377</v>
      </c>
      <c r="Z258" s="91">
        <f t="shared" si="59"/>
        <v>0.35577293836773699</v>
      </c>
      <c r="AA258" s="131">
        <f t="shared" si="60"/>
        <v>27972.421283592197</v>
      </c>
      <c r="AC258" s="131">
        <v>28045.635137210607</v>
      </c>
      <c r="AD258" s="151">
        <f t="shared" si="65"/>
        <v>-73.213853618410212</v>
      </c>
    </row>
    <row r="259" spans="2:30" x14ac:dyDescent="0.3">
      <c r="B259">
        <v>512</v>
      </c>
      <c r="C259" s="25">
        <v>9</v>
      </c>
      <c r="D259" s="32" t="s">
        <v>267</v>
      </c>
      <c r="E259" s="153">
        <v>208.64932368107657</v>
      </c>
      <c r="F259" s="153">
        <f>INDEX('Revised 2019 Lockdown'!H$5:H$257,MATCH(B259,'Revised 2019 Lockdown'!B$5:B$257,0))</f>
        <v>208.64932368107657</v>
      </c>
      <c r="G259" s="153">
        <f t="shared" si="61"/>
        <v>0</v>
      </c>
      <c r="H259" s="151">
        <v>275963.07</v>
      </c>
      <c r="I259" s="151">
        <f>INDEX('Revised 2019 Lockdown'!E$5:E$257,MATCH(B259,'Revised 2019 Lockdown'!B$5:B$257,0))</f>
        <v>275963.07</v>
      </c>
      <c r="J259" s="151">
        <f t="shared" si="62"/>
        <v>0</v>
      </c>
      <c r="K259" s="151">
        <v>3670.08</v>
      </c>
      <c r="L259" s="151">
        <f>INDEX('Revised 2019 Lockdown'!F$5:F$257,MATCH(B259,'Revised 2019 Lockdown'!B$5:B$257,0))</f>
        <v>3670.08</v>
      </c>
      <c r="M259" s="151">
        <f t="shared" si="63"/>
        <v>0</v>
      </c>
      <c r="N259" s="151">
        <v>272292.99</v>
      </c>
      <c r="O259" s="156">
        <f t="shared" si="50"/>
        <v>272292.99</v>
      </c>
      <c r="P259" s="156">
        <f t="shared" si="64"/>
        <v>0</v>
      </c>
      <c r="Q259" s="85">
        <f t="shared" si="51"/>
        <v>1305.026947588882</v>
      </c>
      <c r="R259" s="6">
        <f t="shared" si="52"/>
        <v>1305.026947588882</v>
      </c>
      <c r="S259" s="5">
        <f t="shared" si="53"/>
        <v>272292.99</v>
      </c>
      <c r="T259" s="113">
        <v>0.61805555555555558</v>
      </c>
      <c r="U259" s="87">
        <f t="shared" si="54"/>
        <v>62797.536469486884</v>
      </c>
      <c r="V259" s="87">
        <f t="shared" si="55"/>
        <v>14914.60089834089</v>
      </c>
      <c r="W259" s="87">
        <f t="shared" si="56"/>
        <v>11643.709887050692</v>
      </c>
      <c r="X259" s="87">
        <f t="shared" si="57"/>
        <v>3296.8081914646377</v>
      </c>
      <c r="Y259" s="87">
        <f t="shared" si="58"/>
        <v>92652.655446343095</v>
      </c>
      <c r="Z259" s="91">
        <f t="shared" si="59"/>
        <v>0.3402682362345909</v>
      </c>
      <c r="AA259" s="131">
        <f t="shared" si="60"/>
        <v>92655.560082650583</v>
      </c>
      <c r="AC259" s="131">
        <v>92906.239446832144</v>
      </c>
      <c r="AD259" s="151">
        <f t="shared" si="65"/>
        <v>-250.67936418156023</v>
      </c>
    </row>
    <row r="260" spans="2:30" x14ac:dyDescent="0.3">
      <c r="B260">
        <v>516</v>
      </c>
      <c r="C260" s="25">
        <v>9</v>
      </c>
      <c r="D260" s="32" t="s">
        <v>268</v>
      </c>
      <c r="E260" s="153">
        <v>310.85525259616531</v>
      </c>
      <c r="F260" s="153">
        <f>INDEX('Revised 2019 Lockdown'!H$5:H$257,MATCH(B260,'Revised 2019 Lockdown'!B$5:B$257,0))</f>
        <v>310.85525259616531</v>
      </c>
      <c r="G260" s="153">
        <f t="shared" si="61"/>
        <v>0</v>
      </c>
      <c r="H260" s="151">
        <v>161888.84</v>
      </c>
      <c r="I260" s="151">
        <f>INDEX('Revised 2019 Lockdown'!E$5:E$257,MATCH(B260,'Revised 2019 Lockdown'!B$5:B$257,0))</f>
        <v>161888.84</v>
      </c>
      <c r="J260" s="151">
        <f t="shared" si="62"/>
        <v>0</v>
      </c>
      <c r="K260" s="151">
        <v>144.16</v>
      </c>
      <c r="L260" s="151">
        <f>INDEX('Revised 2019 Lockdown'!F$5:F$257,MATCH(B260,'Revised 2019 Lockdown'!B$5:B$257,0))</f>
        <v>144.16</v>
      </c>
      <c r="M260" s="151">
        <f t="shared" si="63"/>
        <v>0</v>
      </c>
      <c r="N260" s="151">
        <v>161744.68</v>
      </c>
      <c r="O260" s="156">
        <f t="shared" si="50"/>
        <v>161744.68</v>
      </c>
      <c r="P260" s="156">
        <f t="shared" si="64"/>
        <v>0</v>
      </c>
      <c r="Q260" s="85">
        <f t="shared" si="51"/>
        <v>520.32152794318029</v>
      </c>
      <c r="R260" s="6">
        <f t="shared" si="52"/>
        <v>520.32152794318029</v>
      </c>
      <c r="S260" s="5">
        <f t="shared" si="53"/>
        <v>161744.68</v>
      </c>
      <c r="T260" s="113">
        <v>0.53009259259259256</v>
      </c>
      <c r="U260" s="87">
        <f t="shared" si="54"/>
        <v>37302.346421204173</v>
      </c>
      <c r="V260" s="87">
        <f t="shared" si="55"/>
        <v>22220.45079192959</v>
      </c>
      <c r="W260" s="87">
        <f t="shared" si="56"/>
        <v>5932.1092572609405</v>
      </c>
      <c r="X260" s="87">
        <f t="shared" si="57"/>
        <v>1958.3360774356568</v>
      </c>
      <c r="Y260" s="87">
        <f t="shared" si="58"/>
        <v>67413.242547830363</v>
      </c>
      <c r="Z260" s="91">
        <f t="shared" si="59"/>
        <v>0.41678800531696231</v>
      </c>
      <c r="AA260" s="131">
        <f t="shared" si="60"/>
        <v>67415.355935201354</v>
      </c>
      <c r="AC260" s="131">
        <v>67578.603802841768</v>
      </c>
      <c r="AD260" s="151">
        <f t="shared" si="65"/>
        <v>-163.24786764041346</v>
      </c>
    </row>
    <row r="261" spans="2:30" x14ac:dyDescent="0.3">
      <c r="B261">
        <v>521</v>
      </c>
      <c r="C261" s="25">
        <v>9</v>
      </c>
      <c r="D261" s="32" t="s">
        <v>269</v>
      </c>
      <c r="E261" s="153">
        <v>125.15814085387638</v>
      </c>
      <c r="F261" s="153">
        <f>INDEX('Revised 2019 Lockdown'!H$5:H$257,MATCH(B261,'Revised 2019 Lockdown'!B$5:B$257,0))</f>
        <v>125.15814085387638</v>
      </c>
      <c r="G261" s="153">
        <f t="shared" si="61"/>
        <v>0</v>
      </c>
      <c r="H261" s="151">
        <v>379162.42</v>
      </c>
      <c r="I261" s="151">
        <f>INDEX('Revised 2019 Lockdown'!E$5:E$257,MATCH(B261,'Revised 2019 Lockdown'!B$5:B$257,0))</f>
        <v>379162.42</v>
      </c>
      <c r="J261" s="151">
        <f t="shared" si="62"/>
        <v>0</v>
      </c>
      <c r="K261" s="151">
        <v>79.650000000000006</v>
      </c>
      <c r="L261" s="151">
        <f>INDEX('Revised 2019 Lockdown'!F$5:F$257,MATCH(B261,'Revised 2019 Lockdown'!B$5:B$257,0))</f>
        <v>79.650000000000006</v>
      </c>
      <c r="M261" s="151">
        <f t="shared" si="63"/>
        <v>0</v>
      </c>
      <c r="N261" s="151">
        <v>379082.76999999996</v>
      </c>
      <c r="O261" s="156">
        <f t="shared" si="50"/>
        <v>379082.76999999996</v>
      </c>
      <c r="P261" s="156">
        <f t="shared" si="64"/>
        <v>0</v>
      </c>
      <c r="Q261" s="85">
        <f t="shared" si="51"/>
        <v>3028.8303055139149</v>
      </c>
      <c r="R261" s="6">
        <f t="shared" si="52"/>
        <v>1695.4343094973879</v>
      </c>
      <c r="S261" s="5">
        <f t="shared" si="53"/>
        <v>212197.40611656872</v>
      </c>
      <c r="T261" s="113">
        <v>0.5092592592592593</v>
      </c>
      <c r="U261" s="87">
        <f t="shared" si="54"/>
        <v>48938.000017318627</v>
      </c>
      <c r="V261" s="87">
        <f t="shared" si="55"/>
        <v>8946.5122008598155</v>
      </c>
      <c r="W261" s="87">
        <f t="shared" si="56"/>
        <v>7476.6388915347907</v>
      </c>
      <c r="X261" s="87">
        <f t="shared" si="57"/>
        <v>2569.1963156769189</v>
      </c>
      <c r="Y261" s="87">
        <f t="shared" si="58"/>
        <v>67930.347425390151</v>
      </c>
      <c r="Z261" s="91">
        <f t="shared" si="59"/>
        <v>0.32012807634450174</v>
      </c>
      <c r="AA261" s="131">
        <f t="shared" si="60"/>
        <v>67932.477023862652</v>
      </c>
      <c r="AC261" s="131">
        <v>68048.183453401653</v>
      </c>
      <c r="AD261" s="151">
        <f t="shared" si="65"/>
        <v>-115.70642953900096</v>
      </c>
    </row>
    <row r="262" spans="2:30" x14ac:dyDescent="0.3">
      <c r="B262">
        <v>522</v>
      </c>
      <c r="C262" s="25">
        <v>9</v>
      </c>
      <c r="D262" s="32" t="s">
        <v>270</v>
      </c>
      <c r="E262" s="153">
        <v>76.169540800285816</v>
      </c>
      <c r="F262" s="153">
        <f>INDEX('Revised 2019 Lockdown'!H$5:H$257,MATCH(B262,'Revised 2019 Lockdown'!B$5:B$257,0))</f>
        <v>76.169540800285816</v>
      </c>
      <c r="G262" s="153">
        <f t="shared" si="61"/>
        <v>0</v>
      </c>
      <c r="H262" s="151">
        <v>123348.86</v>
      </c>
      <c r="I262" s="151">
        <f>INDEX('Revised 2019 Lockdown'!E$5:E$257,MATCH(B262,'Revised 2019 Lockdown'!B$5:B$257,0))</f>
        <v>123348.86</v>
      </c>
      <c r="J262" s="151">
        <f t="shared" si="62"/>
        <v>0</v>
      </c>
      <c r="K262" s="151">
        <v>84</v>
      </c>
      <c r="L262" s="151">
        <f>INDEX('Revised 2019 Lockdown'!F$5:F$257,MATCH(B262,'Revised 2019 Lockdown'!B$5:B$257,0))</f>
        <v>84</v>
      </c>
      <c r="M262" s="151">
        <f t="shared" si="63"/>
        <v>0</v>
      </c>
      <c r="N262" s="151">
        <v>123264.86</v>
      </c>
      <c r="O262" s="156">
        <f t="shared" si="50"/>
        <v>123264.86</v>
      </c>
      <c r="P262" s="156">
        <f t="shared" si="64"/>
        <v>0</v>
      </c>
      <c r="Q262" s="85">
        <f t="shared" si="51"/>
        <v>1618.2959580023812</v>
      </c>
      <c r="R262" s="6">
        <f t="shared" si="52"/>
        <v>1618.2959580023812</v>
      </c>
      <c r="S262" s="5">
        <f t="shared" si="53"/>
        <v>123264.86</v>
      </c>
      <c r="T262" s="113">
        <v>0.53009259259259256</v>
      </c>
      <c r="U262" s="87">
        <f t="shared" si="54"/>
        <v>28427.942787863158</v>
      </c>
      <c r="V262" s="87">
        <f t="shared" si="55"/>
        <v>5444.7255404604448</v>
      </c>
      <c r="W262" s="87">
        <f t="shared" si="56"/>
        <v>4520.8325683476824</v>
      </c>
      <c r="X262" s="87">
        <f t="shared" si="57"/>
        <v>1492.4387152520592</v>
      </c>
      <c r="Y262" s="87">
        <f t="shared" si="58"/>
        <v>39885.939611923342</v>
      </c>
      <c r="Z262" s="91">
        <f t="shared" si="59"/>
        <v>0.32357915801732418</v>
      </c>
      <c r="AA262" s="131">
        <f t="shared" si="60"/>
        <v>39887.190025608703</v>
      </c>
      <c r="AC262" s="131">
        <v>39996.772964028045</v>
      </c>
      <c r="AD262" s="151">
        <f t="shared" si="65"/>
        <v>-109.5829384193421</v>
      </c>
    </row>
    <row r="263" spans="2:30" x14ac:dyDescent="0.3">
      <c r="B263">
        <v>523</v>
      </c>
      <c r="C263" s="25">
        <v>9</v>
      </c>
      <c r="D263" s="32" t="s">
        <v>271</v>
      </c>
      <c r="E263" s="153">
        <v>698.36058335715143</v>
      </c>
      <c r="F263" s="153">
        <f>INDEX('Revised 2019 Lockdown'!H$5:H$257,MATCH(B263,'Revised 2019 Lockdown'!B$5:B$257,0))</f>
        <v>698.36058335715143</v>
      </c>
      <c r="G263" s="153">
        <f t="shared" si="61"/>
        <v>0</v>
      </c>
      <c r="H263" s="151">
        <v>315458.90999999997</v>
      </c>
      <c r="I263" s="151">
        <f>INDEX('Revised 2019 Lockdown'!E$5:E$257,MATCH(B263,'Revised 2019 Lockdown'!B$5:B$257,0))</f>
        <v>315458.90999999997</v>
      </c>
      <c r="J263" s="151">
        <f t="shared" si="62"/>
        <v>0</v>
      </c>
      <c r="K263" s="151">
        <v>856.49</v>
      </c>
      <c r="L263" s="151">
        <f>INDEX('Revised 2019 Lockdown'!F$5:F$257,MATCH(B263,'Revised 2019 Lockdown'!B$5:B$257,0))</f>
        <v>856.49</v>
      </c>
      <c r="M263" s="151">
        <f t="shared" si="63"/>
        <v>0</v>
      </c>
      <c r="N263" s="151">
        <v>314602.42</v>
      </c>
      <c r="O263" s="156">
        <f t="shared" si="50"/>
        <v>314602.42</v>
      </c>
      <c r="P263" s="156">
        <f t="shared" si="64"/>
        <v>0</v>
      </c>
      <c r="Q263" s="85">
        <f t="shared" si="51"/>
        <v>450.48708002339799</v>
      </c>
      <c r="R263" s="6">
        <f t="shared" si="52"/>
        <v>450.48708002339799</v>
      </c>
      <c r="S263" s="5">
        <f t="shared" si="53"/>
        <v>314602.42</v>
      </c>
      <c r="T263" s="113">
        <v>0.67361111111111116</v>
      </c>
      <c r="U263" s="87">
        <f t="shared" si="54"/>
        <v>72555.143425979593</v>
      </c>
      <c r="V263" s="87">
        <f t="shared" si="55"/>
        <v>49919.976734863943</v>
      </c>
      <c r="W263" s="87">
        <f t="shared" si="56"/>
        <v>14662.185234000042</v>
      </c>
      <c r="X263" s="87">
        <f t="shared" si="57"/>
        <v>3809.0728494721743</v>
      </c>
      <c r="Y263" s="87">
        <f t="shared" si="58"/>
        <v>140946.37824431574</v>
      </c>
      <c r="Z263" s="91">
        <f t="shared" si="59"/>
        <v>0.44801428496422802</v>
      </c>
      <c r="AA263" s="131">
        <f t="shared" si="60"/>
        <v>140950.79687609358</v>
      </c>
      <c r="AC263" s="131">
        <v>141286.17616405725</v>
      </c>
      <c r="AD263" s="151">
        <f t="shared" si="65"/>
        <v>-335.37928796367487</v>
      </c>
    </row>
    <row r="264" spans="2:30" x14ac:dyDescent="0.3">
      <c r="B264" s="17">
        <v>527</v>
      </c>
      <c r="C264" s="25">
        <v>9</v>
      </c>
      <c r="D264" s="32" t="s">
        <v>272</v>
      </c>
      <c r="E264" s="153">
        <v>153.26520815767537</v>
      </c>
      <c r="F264" s="153">
        <f>INDEX('Revised 2019 Lockdown'!H$5:H$257,MATCH(B264,'Revised 2019 Lockdown'!B$5:B$257,0))</f>
        <v>153.26520815767537</v>
      </c>
      <c r="G264" s="153">
        <f t="shared" si="61"/>
        <v>0</v>
      </c>
      <c r="H264" s="151">
        <v>133668.4</v>
      </c>
      <c r="I264" s="151">
        <f>INDEX('Revised 2019 Lockdown'!E$5:E$257,MATCH(B264,'Revised 2019 Lockdown'!B$5:B$257,0))</f>
        <v>133668.4</v>
      </c>
      <c r="J264" s="151">
        <f t="shared" si="62"/>
        <v>0</v>
      </c>
      <c r="K264" s="151">
        <v>150</v>
      </c>
      <c r="L264" s="151">
        <f>INDEX('Revised 2019 Lockdown'!F$5:F$257,MATCH(B264,'Revised 2019 Lockdown'!B$5:B$257,0))</f>
        <v>150</v>
      </c>
      <c r="M264" s="151">
        <f t="shared" si="63"/>
        <v>0</v>
      </c>
      <c r="N264" s="151">
        <v>133518.39999999999</v>
      </c>
      <c r="O264" s="156">
        <f t="shared" si="50"/>
        <v>133518.39999999999</v>
      </c>
      <c r="P264" s="156">
        <f t="shared" si="64"/>
        <v>0</v>
      </c>
      <c r="Q264" s="85">
        <f t="shared" si="51"/>
        <v>871.15922527335522</v>
      </c>
      <c r="R264" s="6">
        <f t="shared" si="52"/>
        <v>871.15922527335522</v>
      </c>
      <c r="S264" s="5">
        <f t="shared" si="53"/>
        <v>133518.39999999999</v>
      </c>
      <c r="T264" s="113">
        <v>0.64583333333333326</v>
      </c>
      <c r="U264" s="87">
        <f t="shared" si="54"/>
        <v>30792.664156897823</v>
      </c>
      <c r="V264" s="87">
        <f t="shared" si="55"/>
        <v>10955.652148515386</v>
      </c>
      <c r="W264" s="87">
        <f t="shared" si="56"/>
        <v>5966.0786803989513</v>
      </c>
      <c r="X264" s="87">
        <f t="shared" si="57"/>
        <v>1616.5842346189377</v>
      </c>
      <c r="Y264" s="87">
        <f t="shared" si="58"/>
        <v>49330.979220431102</v>
      </c>
      <c r="Z264" s="91">
        <f t="shared" si="59"/>
        <v>0.36946952045883641</v>
      </c>
      <c r="AA264" s="131">
        <f t="shared" si="60"/>
        <v>49332.525733616691</v>
      </c>
      <c r="AC264" s="131">
        <v>49460.902713486052</v>
      </c>
      <c r="AD264" s="151">
        <f t="shared" si="65"/>
        <v>-128.37697986936109</v>
      </c>
    </row>
    <row r="265" spans="2:30" x14ac:dyDescent="0.3">
      <c r="B265" s="17">
        <v>543</v>
      </c>
      <c r="C265" s="25">
        <v>9</v>
      </c>
      <c r="D265" s="32" t="s">
        <v>273</v>
      </c>
      <c r="E265" s="153">
        <v>79.576987566988208</v>
      </c>
      <c r="F265" s="153">
        <f>INDEX('Revised 2019 Lockdown'!H$5:H$257,MATCH(B265,'Revised 2019 Lockdown'!B$5:B$257,0))</f>
        <v>79.576987566988208</v>
      </c>
      <c r="G265" s="153">
        <f t="shared" si="61"/>
        <v>0</v>
      </c>
      <c r="H265" s="151">
        <v>46654.18</v>
      </c>
      <c r="I265" s="151">
        <f>INDEX('Revised 2019 Lockdown'!E$5:E$257,MATCH(B265,'Revised 2019 Lockdown'!B$5:B$257,0))</f>
        <v>46654.18</v>
      </c>
      <c r="J265" s="151">
        <f t="shared" si="62"/>
        <v>0</v>
      </c>
      <c r="K265" s="151">
        <v>0</v>
      </c>
      <c r="L265" s="151">
        <f>INDEX('Revised 2019 Lockdown'!F$5:F$257,MATCH(B265,'Revised 2019 Lockdown'!B$5:B$257,0))</f>
        <v>0</v>
      </c>
      <c r="M265" s="151">
        <f t="shared" si="63"/>
        <v>0</v>
      </c>
      <c r="N265" s="151">
        <v>46654.18</v>
      </c>
      <c r="O265" s="156">
        <f t="shared" si="50"/>
        <v>46654.18</v>
      </c>
      <c r="P265" s="156">
        <f t="shared" si="64"/>
        <v>0</v>
      </c>
      <c r="Q265" s="85">
        <f t="shared" si="51"/>
        <v>586.2772822447738</v>
      </c>
      <c r="R265" s="6">
        <f t="shared" si="52"/>
        <v>586.2772822447738</v>
      </c>
      <c r="S265" s="5">
        <f t="shared" si="53"/>
        <v>46654.18</v>
      </c>
      <c r="T265" s="113">
        <v>0.20833333333333334</v>
      </c>
      <c r="U265" s="87">
        <f t="shared" si="54"/>
        <v>10759.614377160446</v>
      </c>
      <c r="V265" s="87">
        <f t="shared" si="55"/>
        <v>5688.2955061383036</v>
      </c>
      <c r="W265" s="87">
        <f t="shared" si="56"/>
        <v>672.47589857252785</v>
      </c>
      <c r="X265" s="87">
        <f t="shared" si="57"/>
        <v>564.86905076060043</v>
      </c>
      <c r="Y265" s="87">
        <f t="shared" si="58"/>
        <v>17685.254832631879</v>
      </c>
      <c r="Z265" s="91">
        <f t="shared" si="59"/>
        <v>0.37907117502937315</v>
      </c>
      <c r="AA265" s="131">
        <f t="shared" si="60"/>
        <v>17685.809260705704</v>
      </c>
      <c r="AC265" s="131">
        <v>17728.905601212682</v>
      </c>
      <c r="AD265" s="151">
        <f t="shared" si="65"/>
        <v>-43.096340506977867</v>
      </c>
    </row>
    <row r="266" spans="2:30" x14ac:dyDescent="0.3">
      <c r="B266" s="17">
        <v>547</v>
      </c>
      <c r="C266" s="25">
        <v>9</v>
      </c>
      <c r="D266" s="32" t="s">
        <v>274</v>
      </c>
      <c r="E266" s="153">
        <v>219.72789419435514</v>
      </c>
      <c r="F266" s="153">
        <f>INDEX('Revised 2019 Lockdown'!H$5:H$257,MATCH(B266,'Revised 2019 Lockdown'!B$5:B$257,0))</f>
        <v>219.72789419435514</v>
      </c>
      <c r="G266" s="153">
        <f t="shared" si="61"/>
        <v>0</v>
      </c>
      <c r="H266" s="151">
        <v>122138.68</v>
      </c>
      <c r="I266" s="151">
        <f>INDEX('Revised 2019 Lockdown'!E$5:E$257,MATCH(B266,'Revised 2019 Lockdown'!B$5:B$257,0))</f>
        <v>122138.68</v>
      </c>
      <c r="J266" s="151">
        <f t="shared" si="62"/>
        <v>0</v>
      </c>
      <c r="K266" s="151">
        <v>0</v>
      </c>
      <c r="L266" s="151">
        <f>INDEX('Revised 2019 Lockdown'!F$5:F$257,MATCH(B266,'Revised 2019 Lockdown'!B$5:B$257,0))</f>
        <v>0</v>
      </c>
      <c r="M266" s="151">
        <f t="shared" si="63"/>
        <v>0</v>
      </c>
      <c r="N266" s="151">
        <v>122138.68</v>
      </c>
      <c r="O266" s="156">
        <f t="shared" si="50"/>
        <v>122138.68</v>
      </c>
      <c r="P266" s="156">
        <f t="shared" si="64"/>
        <v>0</v>
      </c>
      <c r="Q266" s="85">
        <f t="shared" si="51"/>
        <v>555.8633347296593</v>
      </c>
      <c r="R266" s="6">
        <f t="shared" si="52"/>
        <v>555.8633347296593</v>
      </c>
      <c r="S266" s="5">
        <f t="shared" si="53"/>
        <v>122138.68</v>
      </c>
      <c r="T266" s="113">
        <v>0.83333333333333348</v>
      </c>
      <c r="U266" s="87">
        <f t="shared" si="54"/>
        <v>28168.217667428704</v>
      </c>
      <c r="V266" s="87">
        <f t="shared" si="55"/>
        <v>15706.515555980699</v>
      </c>
      <c r="W266" s="87">
        <f t="shared" si="56"/>
        <v>7042.0544168571769</v>
      </c>
      <c r="X266" s="87">
        <f t="shared" si="57"/>
        <v>1478.8034048128748</v>
      </c>
      <c r="Y266" s="87">
        <f t="shared" si="58"/>
        <v>52395.591045079462</v>
      </c>
      <c r="Z266" s="91">
        <f t="shared" si="59"/>
        <v>0.42898442201176124</v>
      </c>
      <c r="AA266" s="131">
        <f t="shared" si="60"/>
        <v>52397.233633037344</v>
      </c>
      <c r="AC266" s="131">
        <v>52526.674910294983</v>
      </c>
      <c r="AD266" s="151">
        <f t="shared" si="65"/>
        <v>-129.44127725763974</v>
      </c>
    </row>
    <row r="267" spans="2:30" x14ac:dyDescent="0.3">
      <c r="B267" s="17">
        <v>550</v>
      </c>
      <c r="C267" s="25">
        <v>9</v>
      </c>
      <c r="D267" s="32" t="s">
        <v>181</v>
      </c>
      <c r="E267" s="153">
        <v>242.01</v>
      </c>
      <c r="F267" s="153">
        <f>INDEX('Revised 2019 Lockdown'!H$5:H$257,MATCH(B267,'Revised 2019 Lockdown'!B$5:B$257,0))</f>
        <v>242.01</v>
      </c>
      <c r="G267" s="153">
        <f t="shared" si="61"/>
        <v>0</v>
      </c>
      <c r="H267" s="151">
        <v>463950.3</v>
      </c>
      <c r="I267" s="151">
        <f>INDEX('Revised 2019 Lockdown'!E$5:E$257,MATCH(B267,'Revised 2019 Lockdown'!B$5:B$257,0))</f>
        <v>463950.3</v>
      </c>
      <c r="J267" s="151">
        <f t="shared" si="62"/>
        <v>0</v>
      </c>
      <c r="K267" s="151">
        <v>1281.74</v>
      </c>
      <c r="L267" s="151">
        <f>INDEX('Revised 2019 Lockdown'!F$5:F$257,MATCH(B267,'Revised 2019 Lockdown'!B$5:B$257,0))</f>
        <v>1281.74</v>
      </c>
      <c r="M267" s="151">
        <f t="shared" si="63"/>
        <v>0</v>
      </c>
      <c r="N267" s="151">
        <v>462668.56</v>
      </c>
      <c r="O267" s="156">
        <f t="shared" si="50"/>
        <v>462668.56</v>
      </c>
      <c r="P267" s="156">
        <f t="shared" si="64"/>
        <v>0</v>
      </c>
      <c r="Q267" s="85">
        <f t="shared" si="51"/>
        <v>1911.7745547704642</v>
      </c>
      <c r="R267" s="6">
        <f t="shared" si="52"/>
        <v>1695.4343094973879</v>
      </c>
      <c r="S267" s="5">
        <f t="shared" si="53"/>
        <v>410312.05724146281</v>
      </c>
      <c r="T267" s="113">
        <v>0.69907407407407396</v>
      </c>
      <c r="U267" s="87">
        <f t="shared" si="54"/>
        <v>94628.16644119611</v>
      </c>
      <c r="V267" s="87">
        <f t="shared" si="55"/>
        <v>17299.277561640334</v>
      </c>
      <c r="W267" s="87">
        <f t="shared" si="56"/>
        <v>19845.629350861956</v>
      </c>
      <c r="X267" s="87">
        <f t="shared" si="57"/>
        <v>4967.8845987565155</v>
      </c>
      <c r="Y267" s="87">
        <f t="shared" si="58"/>
        <v>136740.95795245495</v>
      </c>
      <c r="Z267" s="91">
        <f t="shared" si="59"/>
        <v>0.33326088166106421</v>
      </c>
      <c r="AA267" s="131">
        <f t="shared" si="60"/>
        <v>136745.24474541598</v>
      </c>
      <c r="AC267" s="131">
        <v>136978.32879351635</v>
      </c>
      <c r="AD267" s="151">
        <f t="shared" si="65"/>
        <v>-233.08404810036882</v>
      </c>
    </row>
    <row r="268" spans="2:30" x14ac:dyDescent="0.3">
      <c r="B268" s="17">
        <v>552</v>
      </c>
      <c r="C268" s="25">
        <v>9</v>
      </c>
      <c r="D268" s="32" t="s">
        <v>275</v>
      </c>
      <c r="E268" s="153">
        <v>122.80000000000001</v>
      </c>
      <c r="F268" s="153">
        <f>INDEX('Revised 2019 Lockdown'!H$5:H$257,MATCH(B268,'Revised 2019 Lockdown'!B$5:B$257,0))</f>
        <v>122.80000000000001</v>
      </c>
      <c r="G268" s="153">
        <f t="shared" si="61"/>
        <v>0</v>
      </c>
      <c r="H268" s="151">
        <v>142363.06</v>
      </c>
      <c r="I268" s="151">
        <f>INDEX('Revised 2019 Lockdown'!E$5:E$257,MATCH(B268,'Revised 2019 Lockdown'!B$5:B$257,0))</f>
        <v>142363.06</v>
      </c>
      <c r="J268" s="151">
        <f t="shared" si="62"/>
        <v>0</v>
      </c>
      <c r="K268" s="151">
        <v>0</v>
      </c>
      <c r="L268" s="151">
        <f>INDEX('Revised 2019 Lockdown'!F$5:F$257,MATCH(B268,'Revised 2019 Lockdown'!B$5:B$257,0))</f>
        <v>0</v>
      </c>
      <c r="M268" s="151">
        <f t="shared" si="63"/>
        <v>0</v>
      </c>
      <c r="N268" s="151">
        <v>142363.06</v>
      </c>
      <c r="O268" s="156">
        <f t="shared" si="50"/>
        <v>142363.06</v>
      </c>
      <c r="P268" s="156">
        <f t="shared" si="64"/>
        <v>0</v>
      </c>
      <c r="Q268" s="85">
        <f t="shared" si="51"/>
        <v>1159.3083061889249</v>
      </c>
      <c r="R268" s="6">
        <f t="shared" si="52"/>
        <v>1159.3083061889249</v>
      </c>
      <c r="S268" s="5">
        <f t="shared" si="53"/>
        <v>142363.06</v>
      </c>
      <c r="T268" s="113">
        <v>0.55208333333333326</v>
      </c>
      <c r="U268" s="87">
        <f t="shared" si="54"/>
        <v>32832.462753660126</v>
      </c>
      <c r="V268" s="87">
        <f t="shared" si="55"/>
        <v>8777.9483681229412</v>
      </c>
      <c r="W268" s="87">
        <f t="shared" si="56"/>
        <v>5437.8766435749567</v>
      </c>
      <c r="X268" s="87">
        <f t="shared" si="57"/>
        <v>1723.6716316860443</v>
      </c>
      <c r="Y268" s="87">
        <f t="shared" si="58"/>
        <v>48771.959397044069</v>
      </c>
      <c r="Z268" s="91">
        <f t="shared" si="59"/>
        <v>0.34258858581042068</v>
      </c>
      <c r="AA268" s="131">
        <f t="shared" si="60"/>
        <v>48773.488385105658</v>
      </c>
      <c r="AC268" s="131">
        <v>48742.283349819372</v>
      </c>
      <c r="AD268" s="151">
        <f t="shared" si="65"/>
        <v>31.205035286286147</v>
      </c>
    </row>
    <row r="269" spans="2:30" x14ac:dyDescent="0.3">
      <c r="B269" s="17">
        <v>567</v>
      </c>
      <c r="C269" s="25">
        <v>9</v>
      </c>
      <c r="D269" s="32" t="s">
        <v>276</v>
      </c>
      <c r="E269" s="153">
        <v>359.29341894128856</v>
      </c>
      <c r="F269" s="153">
        <f>INDEX('Revised 2019 Lockdown'!H$5:H$257,MATCH(B269,'Revised 2019 Lockdown'!B$5:B$257,0))</f>
        <v>359.29341894128856</v>
      </c>
      <c r="G269" s="153">
        <f t="shared" si="61"/>
        <v>0</v>
      </c>
      <c r="H269" s="151">
        <v>233157.95</v>
      </c>
      <c r="I269" s="151">
        <f>INDEX('Revised 2019 Lockdown'!E$5:E$257,MATCH(B269,'Revised 2019 Lockdown'!B$5:B$257,0))</f>
        <v>233157.95</v>
      </c>
      <c r="J269" s="151">
        <f t="shared" si="62"/>
        <v>0</v>
      </c>
      <c r="K269" s="151">
        <v>0</v>
      </c>
      <c r="L269" s="151">
        <f>INDEX('Revised 2019 Lockdown'!F$5:F$257,MATCH(B269,'Revised 2019 Lockdown'!B$5:B$257,0))</f>
        <v>0</v>
      </c>
      <c r="M269" s="151">
        <f t="shared" si="63"/>
        <v>0</v>
      </c>
      <c r="N269" s="151">
        <v>233157.95</v>
      </c>
      <c r="O269" s="156">
        <f t="shared" si="50"/>
        <v>233157.95</v>
      </c>
      <c r="P269" s="156">
        <f t="shared" si="64"/>
        <v>0</v>
      </c>
      <c r="Q269" s="85">
        <f t="shared" si="51"/>
        <v>648.93465259406798</v>
      </c>
      <c r="R269" s="6">
        <f t="shared" si="52"/>
        <v>648.93465259406798</v>
      </c>
      <c r="S269" s="5">
        <f t="shared" si="53"/>
        <v>233157.95</v>
      </c>
      <c r="T269" s="113">
        <v>0.68287037037037046</v>
      </c>
      <c r="U269" s="87">
        <f t="shared" si="54"/>
        <v>53772.022806300673</v>
      </c>
      <c r="V269" s="87">
        <f t="shared" si="55"/>
        <v>25682.891534796385</v>
      </c>
      <c r="W269" s="87">
        <f t="shared" si="56"/>
        <v>11015.796338790762</v>
      </c>
      <c r="X269" s="87">
        <f t="shared" si="57"/>
        <v>2822.9777030437049</v>
      </c>
      <c r="Y269" s="87">
        <f t="shared" si="58"/>
        <v>93293.688382931534</v>
      </c>
      <c r="Z269" s="91">
        <f t="shared" si="59"/>
        <v>0.40013084856395215</v>
      </c>
      <c r="AA269" s="131">
        <f t="shared" si="60"/>
        <v>93296.613115452477</v>
      </c>
      <c r="AC269" s="131">
        <v>93531.008538124981</v>
      </c>
      <c r="AD269" s="151">
        <f t="shared" si="65"/>
        <v>-234.39542267250363</v>
      </c>
    </row>
    <row r="270" spans="2:30" x14ac:dyDescent="0.3">
      <c r="B270" s="17">
        <v>629</v>
      </c>
      <c r="C270" s="25">
        <v>9</v>
      </c>
      <c r="D270" s="32" t="s">
        <v>277</v>
      </c>
      <c r="E270" s="153">
        <v>239.08999999999997</v>
      </c>
      <c r="F270" s="153">
        <f>INDEX('Revised 2019 Lockdown'!H$5:H$257,MATCH(B270,'Revised 2019 Lockdown'!B$5:B$257,0))</f>
        <v>239.08999999999997</v>
      </c>
      <c r="G270" s="153">
        <f t="shared" si="61"/>
        <v>0</v>
      </c>
      <c r="H270" s="151">
        <v>172741.52</v>
      </c>
      <c r="I270" s="151">
        <f>INDEX('Revised 2019 Lockdown'!E$5:E$257,MATCH(B270,'Revised 2019 Lockdown'!B$5:B$257,0))</f>
        <v>172741.52</v>
      </c>
      <c r="J270" s="151">
        <f t="shared" si="62"/>
        <v>0</v>
      </c>
      <c r="K270" s="151">
        <v>3864.35</v>
      </c>
      <c r="L270" s="151">
        <f>INDEX('Revised 2019 Lockdown'!F$5:F$257,MATCH(B270,'Revised 2019 Lockdown'!B$5:B$257,0))</f>
        <v>3864.35</v>
      </c>
      <c r="M270" s="151">
        <f t="shared" si="63"/>
        <v>0</v>
      </c>
      <c r="N270" s="151">
        <v>168877.16999999998</v>
      </c>
      <c r="O270" s="156">
        <f t="shared" si="50"/>
        <v>168877.16999999998</v>
      </c>
      <c r="P270" s="156">
        <f t="shared" si="64"/>
        <v>0</v>
      </c>
      <c r="Q270" s="85">
        <f t="shared" si="51"/>
        <v>706.33305449830607</v>
      </c>
      <c r="R270" s="6">
        <f t="shared" si="52"/>
        <v>706.33305449830607</v>
      </c>
      <c r="S270" s="5">
        <f t="shared" si="53"/>
        <v>168877.16999999998</v>
      </c>
      <c r="T270" s="113">
        <v>0.57638888888888884</v>
      </c>
      <c r="U270" s="87">
        <f t="shared" si="54"/>
        <v>38947.2760277036</v>
      </c>
      <c r="V270" s="87">
        <f t="shared" si="55"/>
        <v>17090.551102072586</v>
      </c>
      <c r="W270" s="87">
        <f t="shared" si="56"/>
        <v>6734.6331464570794</v>
      </c>
      <c r="X270" s="87">
        <f t="shared" si="57"/>
        <v>2044.6932453434299</v>
      </c>
      <c r="Y270" s="87">
        <f t="shared" si="58"/>
        <v>64817.153521576693</v>
      </c>
      <c r="Z270" s="91">
        <f t="shared" si="59"/>
        <v>0.38381240946645839</v>
      </c>
      <c r="AA270" s="131">
        <f t="shared" si="60"/>
        <v>64819.18552224154</v>
      </c>
      <c r="AC270" s="131">
        <v>64983.34147902015</v>
      </c>
      <c r="AD270" s="151">
        <f t="shared" si="65"/>
        <v>-164.15595677860983</v>
      </c>
    </row>
    <row r="271" spans="2:30" x14ac:dyDescent="0.3">
      <c r="B271" s="17">
        <v>630</v>
      </c>
      <c r="C271" s="25">
        <v>9</v>
      </c>
      <c r="D271" s="32" t="s">
        <v>278</v>
      </c>
      <c r="E271" s="153">
        <v>168.82</v>
      </c>
      <c r="F271" s="153">
        <f>INDEX('Revised 2019 Lockdown'!H$5:H$257,MATCH(B271,'Revised 2019 Lockdown'!B$5:B$257,0))</f>
        <v>168.82</v>
      </c>
      <c r="G271" s="153">
        <f t="shared" si="61"/>
        <v>0</v>
      </c>
      <c r="H271" s="151">
        <v>241664.73</v>
      </c>
      <c r="I271" s="151">
        <f>INDEX('Revised 2019 Lockdown'!E$5:E$257,MATCH(B271,'Revised 2019 Lockdown'!B$5:B$257,0))</f>
        <v>241664.73</v>
      </c>
      <c r="J271" s="151">
        <f t="shared" si="62"/>
        <v>0</v>
      </c>
      <c r="K271" s="151">
        <v>2804.11</v>
      </c>
      <c r="L271" s="151">
        <f>INDEX('Revised 2019 Lockdown'!F$5:F$257,MATCH(B271,'Revised 2019 Lockdown'!B$5:B$257,0))</f>
        <v>2804.11</v>
      </c>
      <c r="M271" s="151">
        <f t="shared" si="63"/>
        <v>0</v>
      </c>
      <c r="N271" s="151">
        <v>238860.62000000002</v>
      </c>
      <c r="O271" s="156">
        <f t="shared" si="50"/>
        <v>238860.62000000002</v>
      </c>
      <c r="P271" s="156">
        <f t="shared" si="64"/>
        <v>0</v>
      </c>
      <c r="Q271" s="85">
        <f t="shared" si="51"/>
        <v>1414.8834261343445</v>
      </c>
      <c r="R271" s="6">
        <f t="shared" si="52"/>
        <v>1414.8834261343445</v>
      </c>
      <c r="S271" s="5">
        <f t="shared" si="53"/>
        <v>238860.62000000002</v>
      </c>
      <c r="T271" s="113">
        <v>0.69444444444444442</v>
      </c>
      <c r="U271" s="87">
        <f t="shared" si="54"/>
        <v>55087.200355669273</v>
      </c>
      <c r="V271" s="87">
        <f t="shared" si="55"/>
        <v>12067.534556241977</v>
      </c>
      <c r="W271" s="87">
        <f t="shared" si="56"/>
        <v>11476.500074097763</v>
      </c>
      <c r="X271" s="87">
        <f t="shared" si="57"/>
        <v>2892.0232160009782</v>
      </c>
      <c r="Y271" s="87">
        <f t="shared" si="58"/>
        <v>81523.258202009994</v>
      </c>
      <c r="Z271" s="91">
        <f t="shared" si="59"/>
        <v>0.34130053837258728</v>
      </c>
      <c r="AA271" s="131">
        <f t="shared" si="60"/>
        <v>81525.813934649676</v>
      </c>
      <c r="AC271" s="131">
        <v>81748.124179157996</v>
      </c>
      <c r="AD271" s="151">
        <f t="shared" si="65"/>
        <v>-222.31024450832047</v>
      </c>
    </row>
    <row r="272" spans="2:30" x14ac:dyDescent="0.3">
      <c r="B272" s="17">
        <v>771</v>
      </c>
      <c r="C272" s="25">
        <v>9</v>
      </c>
      <c r="D272" s="32" t="s">
        <v>280</v>
      </c>
      <c r="E272" s="153">
        <v>150.2159801536263</v>
      </c>
      <c r="F272" s="153">
        <f>INDEX('Revised 2019 Lockdown'!H$5:H$257,MATCH(B272,'Revised 2019 Lockdown'!B$5:B$257,0))</f>
        <v>150.2159801536263</v>
      </c>
      <c r="G272" s="153">
        <f t="shared" si="61"/>
        <v>0</v>
      </c>
      <c r="H272" s="151">
        <v>70947.31</v>
      </c>
      <c r="I272" s="151">
        <f>INDEX('Revised 2019 Lockdown'!E$5:E$257,MATCH(B272,'Revised 2019 Lockdown'!B$5:B$257,0))</f>
        <v>70947.31</v>
      </c>
      <c r="J272" s="151">
        <f t="shared" si="62"/>
        <v>0</v>
      </c>
      <c r="K272" s="151">
        <v>0</v>
      </c>
      <c r="L272" s="151">
        <f>INDEX('Revised 2019 Lockdown'!F$5:F$257,MATCH(B272,'Revised 2019 Lockdown'!B$5:B$257,0))</f>
        <v>0</v>
      </c>
      <c r="M272" s="151">
        <f t="shared" si="63"/>
        <v>0</v>
      </c>
      <c r="N272" s="151">
        <v>70947.31</v>
      </c>
      <c r="O272" s="156">
        <f t="shared" si="50"/>
        <v>70947.31</v>
      </c>
      <c r="P272" s="156">
        <f t="shared" si="64"/>
        <v>0</v>
      </c>
      <c r="Q272" s="85">
        <f t="shared" si="51"/>
        <v>472.30201425601979</v>
      </c>
      <c r="R272" s="6">
        <f t="shared" si="52"/>
        <v>472.30201425601979</v>
      </c>
      <c r="S272" s="5">
        <f t="shared" si="53"/>
        <v>70947.31</v>
      </c>
      <c r="T272" s="113">
        <v>0.40972222222222221</v>
      </c>
      <c r="U272" s="87">
        <f t="shared" si="54"/>
        <v>16362.214418876489</v>
      </c>
      <c r="V272" s="87">
        <f t="shared" si="55"/>
        <v>10737.688256152378</v>
      </c>
      <c r="W272" s="87">
        <f t="shared" si="56"/>
        <v>2011.188855653568</v>
      </c>
      <c r="X272" s="87">
        <f t="shared" si="57"/>
        <v>858.99997928841651</v>
      </c>
      <c r="Y272" s="87">
        <f t="shared" si="58"/>
        <v>29970.091509970851</v>
      </c>
      <c r="Z272" s="91">
        <f t="shared" si="59"/>
        <v>0.42242745369726986</v>
      </c>
      <c r="AA272" s="131">
        <f t="shared" si="60"/>
        <v>29971.031064433904</v>
      </c>
      <c r="AC272" s="131">
        <v>30042.175274477133</v>
      </c>
      <c r="AD272" s="151">
        <f t="shared" si="65"/>
        <v>-71.144210043228668</v>
      </c>
    </row>
    <row r="273" spans="2:30" x14ac:dyDescent="0.3">
      <c r="B273" s="17">
        <v>830</v>
      </c>
      <c r="C273" s="25">
        <v>9</v>
      </c>
      <c r="D273" s="32" t="s">
        <v>281</v>
      </c>
      <c r="E273" s="153">
        <v>16.12858136239133</v>
      </c>
      <c r="F273" s="153">
        <f>INDEX('Revised 2019 Lockdown'!H$5:H$257,MATCH(B273,'Revised 2019 Lockdown'!B$5:B$257,0))</f>
        <v>16.12858136239133</v>
      </c>
      <c r="G273" s="153">
        <f t="shared" si="61"/>
        <v>0</v>
      </c>
      <c r="H273" s="151">
        <v>29445.96</v>
      </c>
      <c r="I273" s="151">
        <f>INDEX('Revised 2019 Lockdown'!E$5:E$257,MATCH(B273,'Revised 2019 Lockdown'!B$5:B$257,0))</f>
        <v>29445.96</v>
      </c>
      <c r="J273" s="151">
        <f t="shared" si="62"/>
        <v>0</v>
      </c>
      <c r="K273" s="151">
        <v>0</v>
      </c>
      <c r="L273" s="151">
        <f>INDEX('Revised 2019 Lockdown'!F$5:F$257,MATCH(B273,'Revised 2019 Lockdown'!B$5:B$257,0))</f>
        <v>0</v>
      </c>
      <c r="M273" s="151">
        <f t="shared" si="63"/>
        <v>0</v>
      </c>
      <c r="N273" s="151">
        <v>29445.96</v>
      </c>
      <c r="O273" s="156">
        <f t="shared" si="50"/>
        <v>29445.96</v>
      </c>
      <c r="P273" s="156">
        <f t="shared" si="64"/>
        <v>0</v>
      </c>
      <c r="Q273" s="85">
        <f t="shared" si="51"/>
        <v>1825.7005584299043</v>
      </c>
      <c r="R273" s="6">
        <f t="shared" si="52"/>
        <v>1695.4343094973879</v>
      </c>
      <c r="S273" s="5">
        <f t="shared" si="53"/>
        <v>27344.950205318382</v>
      </c>
      <c r="T273" s="113">
        <v>0.3125</v>
      </c>
      <c r="U273" s="87">
        <f t="shared" si="54"/>
        <v>6306.4256915860524</v>
      </c>
      <c r="V273" s="87">
        <f t="shared" si="55"/>
        <v>1152.8978375418653</v>
      </c>
      <c r="W273" s="87">
        <f t="shared" si="56"/>
        <v>591.22740858619238</v>
      </c>
      <c r="X273" s="87">
        <f t="shared" si="57"/>
        <v>331.08107495564343</v>
      </c>
      <c r="Y273" s="87">
        <f t="shared" si="58"/>
        <v>8381.6320126697537</v>
      </c>
      <c r="Z273" s="91">
        <f t="shared" si="59"/>
        <v>0.30651480254074814</v>
      </c>
      <c r="AA273" s="131">
        <f t="shared" si="60"/>
        <v>8381.8947746223675</v>
      </c>
      <c r="AC273" s="131">
        <v>8396.1594206265636</v>
      </c>
      <c r="AD273" s="151">
        <f t="shared" si="65"/>
        <v>-14.264646004196038</v>
      </c>
    </row>
    <row r="274" spans="2:30" x14ac:dyDescent="0.3">
      <c r="B274" s="17">
        <v>936</v>
      </c>
      <c r="C274" s="25">
        <v>9</v>
      </c>
      <c r="D274" s="32" t="s">
        <v>282</v>
      </c>
      <c r="E274" s="153">
        <v>40.443772007859948</v>
      </c>
      <c r="F274" s="153">
        <f>INDEX('Revised 2019 Lockdown'!H$5:H$257,MATCH(B274,'Revised 2019 Lockdown'!B$5:B$257,0))</f>
        <v>40.443772007859948</v>
      </c>
      <c r="G274" s="153">
        <f t="shared" si="61"/>
        <v>0</v>
      </c>
      <c r="H274" s="151">
        <v>72884.08</v>
      </c>
      <c r="I274" s="151">
        <f>INDEX('Revised 2019 Lockdown'!E$5:E$257,MATCH(B274,'Revised 2019 Lockdown'!B$5:B$257,0))</f>
        <v>72884.08</v>
      </c>
      <c r="J274" s="151">
        <f t="shared" si="62"/>
        <v>0</v>
      </c>
      <c r="K274" s="151">
        <v>0</v>
      </c>
      <c r="L274" s="151">
        <f>INDEX('Revised 2019 Lockdown'!F$5:F$257,MATCH(B274,'Revised 2019 Lockdown'!B$5:B$257,0))</f>
        <v>0</v>
      </c>
      <c r="M274" s="151">
        <f t="shared" si="63"/>
        <v>0</v>
      </c>
      <c r="N274" s="151">
        <v>72884.08</v>
      </c>
      <c r="O274" s="156">
        <f t="shared" si="50"/>
        <v>72884.08</v>
      </c>
      <c r="P274" s="156">
        <f t="shared" si="64"/>
        <v>0</v>
      </c>
      <c r="Q274" s="85">
        <f t="shared" si="51"/>
        <v>1802.1088632839567</v>
      </c>
      <c r="R274" s="6">
        <f t="shared" si="52"/>
        <v>1695.4343094973879</v>
      </c>
      <c r="S274" s="5">
        <f t="shared" si="53"/>
        <v>68569.75866761581</v>
      </c>
      <c r="T274" s="113">
        <v>0.40509259259259256</v>
      </c>
      <c r="U274" s="87">
        <f t="shared" si="54"/>
        <v>15813.89194276914</v>
      </c>
      <c r="V274" s="87">
        <f t="shared" si="55"/>
        <v>2890.9881310841242</v>
      </c>
      <c r="W274" s="87">
        <f t="shared" si="56"/>
        <v>1921.8271458226382</v>
      </c>
      <c r="X274" s="87">
        <f t="shared" si="57"/>
        <v>830.21359478313843</v>
      </c>
      <c r="Y274" s="87">
        <f t="shared" si="58"/>
        <v>21456.920814459038</v>
      </c>
      <c r="Z274" s="91">
        <f t="shared" si="59"/>
        <v>0.31292104903663215</v>
      </c>
      <c r="AA274" s="131">
        <f t="shared" si="60"/>
        <v>21457.593483266468</v>
      </c>
      <c r="AC274" s="131">
        <v>21494.125509354712</v>
      </c>
      <c r="AD274" s="151">
        <f t="shared" si="65"/>
        <v>-36.532026088243583</v>
      </c>
    </row>
    <row r="275" spans="2:30" x14ac:dyDescent="0.3">
      <c r="B275" s="17">
        <v>952</v>
      </c>
      <c r="C275" s="25">
        <v>9</v>
      </c>
      <c r="D275" s="32" t="s">
        <v>283</v>
      </c>
      <c r="E275" s="153">
        <v>54.32</v>
      </c>
      <c r="F275" s="153">
        <f>INDEX('Revised 2019 Lockdown'!H$5:H$257,MATCH(B275,'Revised 2019 Lockdown'!B$5:B$257,0))</f>
        <v>54.32</v>
      </c>
      <c r="G275" s="153">
        <f t="shared" si="61"/>
        <v>0</v>
      </c>
      <c r="H275" s="151">
        <v>71284.66</v>
      </c>
      <c r="I275" s="151">
        <f>INDEX('Revised 2019 Lockdown'!E$5:E$257,MATCH(B275,'Revised 2019 Lockdown'!B$5:B$257,0))</f>
        <v>71284.66</v>
      </c>
      <c r="J275" s="151">
        <f t="shared" si="62"/>
        <v>0</v>
      </c>
      <c r="K275" s="151">
        <v>1518.3</v>
      </c>
      <c r="L275" s="151">
        <f>INDEX('Revised 2019 Lockdown'!F$5:F$257,MATCH(B275,'Revised 2019 Lockdown'!B$5:B$257,0))</f>
        <v>1518.3</v>
      </c>
      <c r="M275" s="151">
        <f t="shared" si="63"/>
        <v>0</v>
      </c>
      <c r="N275" s="151">
        <v>69766.36</v>
      </c>
      <c r="O275" s="156">
        <f t="shared" si="50"/>
        <v>69766.36</v>
      </c>
      <c r="P275" s="156">
        <f t="shared" si="64"/>
        <v>0</v>
      </c>
      <c r="Q275" s="85">
        <f t="shared" si="51"/>
        <v>1284.358615611193</v>
      </c>
      <c r="R275" s="6">
        <f t="shared" si="52"/>
        <v>1284.358615611193</v>
      </c>
      <c r="S275" s="5">
        <f t="shared" si="53"/>
        <v>69766.36</v>
      </c>
      <c r="T275" s="113">
        <v>0.51388888888888884</v>
      </c>
      <c r="U275" s="87">
        <f t="shared" si="54"/>
        <v>16089.857974101171</v>
      </c>
      <c r="V275" s="87">
        <f t="shared" si="55"/>
        <v>3882.8840012739265</v>
      </c>
      <c r="W275" s="87">
        <f t="shared" si="56"/>
        <v>2480.5197710072634</v>
      </c>
      <c r="X275" s="87">
        <f t="shared" si="57"/>
        <v>844.70153688741982</v>
      </c>
      <c r="Y275" s="87">
        <f t="shared" si="58"/>
        <v>23297.963283269783</v>
      </c>
      <c r="Z275" s="91">
        <f t="shared" si="59"/>
        <v>0.33394265206425822</v>
      </c>
      <c r="AA275" s="131">
        <f t="shared" si="60"/>
        <v>23298.693668272965</v>
      </c>
      <c r="AC275" s="131">
        <v>23361.519754032168</v>
      </c>
      <c r="AD275" s="151">
        <f t="shared" si="65"/>
        <v>-62.826085759203124</v>
      </c>
    </row>
    <row r="276" spans="2:30" x14ac:dyDescent="0.3">
      <c r="B276" s="24">
        <v>982</v>
      </c>
      <c r="C276" s="25">
        <v>9</v>
      </c>
      <c r="D276" s="32" t="s">
        <v>284</v>
      </c>
      <c r="E276" s="153">
        <v>106.72298014171729</v>
      </c>
      <c r="F276" s="153">
        <f>INDEX('Revised 2019 Lockdown'!H$5:H$257,MATCH(B276,'Revised 2019 Lockdown'!B$5:B$257,0))</f>
        <v>106.72298014171729</v>
      </c>
      <c r="G276" s="153">
        <f t="shared" si="61"/>
        <v>0</v>
      </c>
      <c r="H276" s="151">
        <v>139517.66</v>
      </c>
      <c r="I276" s="151">
        <f>INDEX('Revised 2019 Lockdown'!E$5:E$257,MATCH(B276,'Revised 2019 Lockdown'!B$5:B$257,0))</f>
        <v>139517.66</v>
      </c>
      <c r="J276" s="151">
        <f t="shared" si="62"/>
        <v>0</v>
      </c>
      <c r="K276" s="151">
        <v>0</v>
      </c>
      <c r="L276" s="151">
        <f>INDEX('Revised 2019 Lockdown'!F$5:F$257,MATCH(B276,'Revised 2019 Lockdown'!B$5:B$257,0))</f>
        <v>0</v>
      </c>
      <c r="M276" s="151">
        <f t="shared" si="63"/>
        <v>0</v>
      </c>
      <c r="N276" s="151">
        <v>139517.66</v>
      </c>
      <c r="O276" s="156">
        <f t="shared" si="50"/>
        <v>139517.66</v>
      </c>
      <c r="P276" s="156">
        <f t="shared" si="64"/>
        <v>0</v>
      </c>
      <c r="Q276" s="85">
        <f t="shared" si="51"/>
        <v>1307.2878944603563</v>
      </c>
      <c r="R276" s="6">
        <f t="shared" si="52"/>
        <v>1307.2878944603563</v>
      </c>
      <c r="S276" s="5">
        <f t="shared" si="53"/>
        <v>139517.66</v>
      </c>
      <c r="T276" s="113">
        <v>8.3333333333333329E-2</v>
      </c>
      <c r="U276" s="87">
        <f t="shared" si="54"/>
        <v>32176.242737602137</v>
      </c>
      <c r="V276" s="87">
        <f t="shared" si="55"/>
        <v>7628.736232705246</v>
      </c>
      <c r="W276" s="87">
        <f t="shared" si="56"/>
        <v>804.40606844005333</v>
      </c>
      <c r="X276" s="87">
        <f t="shared" si="57"/>
        <v>1689.2207336736001</v>
      </c>
      <c r="Y276" s="87">
        <f t="shared" si="58"/>
        <v>42298.60577242104</v>
      </c>
      <c r="Z276" s="91">
        <f t="shared" si="59"/>
        <v>0.30317743124720581</v>
      </c>
      <c r="AA276" s="131">
        <f t="shared" si="60"/>
        <v>42299.931822554099</v>
      </c>
      <c r="AC276" s="131">
        <v>42413.146142609716</v>
      </c>
      <c r="AD276" s="151">
        <f t="shared" si="65"/>
        <v>-113.21432005561655</v>
      </c>
    </row>
    <row r="277" spans="2:30" x14ac:dyDescent="0.3">
      <c r="B277" s="24">
        <v>987</v>
      </c>
      <c r="C277" s="25">
        <v>9</v>
      </c>
      <c r="D277" s="32" t="s">
        <v>285</v>
      </c>
      <c r="E277" s="153">
        <v>399.24791654162198</v>
      </c>
      <c r="F277" s="153">
        <f>INDEX('Revised 2019 Lockdown'!H$5:H$257,MATCH(B277,'Revised 2019 Lockdown'!B$5:B$257,0))</f>
        <v>399.24791654162198</v>
      </c>
      <c r="G277" s="153">
        <f t="shared" si="61"/>
        <v>0</v>
      </c>
      <c r="H277" s="151">
        <v>108258.73</v>
      </c>
      <c r="I277" s="151">
        <f>INDEX('Revised 2019 Lockdown'!E$5:E$257,MATCH(B277,'Revised 2019 Lockdown'!B$5:B$257,0))</f>
        <v>108258.73</v>
      </c>
      <c r="J277" s="151">
        <f t="shared" si="62"/>
        <v>0</v>
      </c>
      <c r="K277" s="151">
        <v>0</v>
      </c>
      <c r="L277" s="151">
        <f>INDEX('Revised 2019 Lockdown'!F$5:F$257,MATCH(B277,'Revised 2019 Lockdown'!B$5:B$257,0))</f>
        <v>0</v>
      </c>
      <c r="M277" s="151">
        <f t="shared" si="63"/>
        <v>0</v>
      </c>
      <c r="N277" s="151">
        <v>108258.73</v>
      </c>
      <c r="O277" s="156">
        <f t="shared" si="50"/>
        <v>108258.73</v>
      </c>
      <c r="P277" s="156">
        <f t="shared" si="64"/>
        <v>0</v>
      </c>
      <c r="Q277" s="85">
        <f t="shared" si="51"/>
        <v>271.15665608918442</v>
      </c>
      <c r="R277" s="6">
        <f t="shared" si="52"/>
        <v>271.15665608918442</v>
      </c>
      <c r="S277" s="5">
        <f t="shared" si="53"/>
        <v>108258.73</v>
      </c>
      <c r="T277" s="113">
        <v>0.53703703703703698</v>
      </c>
      <c r="U277" s="87">
        <f t="shared" si="54"/>
        <v>24967.155949609034</v>
      </c>
      <c r="V277" s="87">
        <f t="shared" si="55"/>
        <v>28538.905516962659</v>
      </c>
      <c r="W277" s="87">
        <f t="shared" si="56"/>
        <v>4022.4862363258994</v>
      </c>
      <c r="X277" s="87">
        <f t="shared" si="57"/>
        <v>1310.750849155384</v>
      </c>
      <c r="Y277" s="87">
        <f t="shared" si="58"/>
        <v>58839.298552052976</v>
      </c>
      <c r="Z277" s="91">
        <f t="shared" si="59"/>
        <v>0.54350627013685615</v>
      </c>
      <c r="AA277" s="131">
        <f t="shared" si="60"/>
        <v>58841.143148541421</v>
      </c>
      <c r="AC277" s="131">
        <v>58968.198241485334</v>
      </c>
      <c r="AD277" s="151">
        <f t="shared" si="65"/>
        <v>-127.05509294391231</v>
      </c>
    </row>
    <row r="278" spans="2:30" x14ac:dyDescent="0.3">
      <c r="B278" s="24">
        <v>998</v>
      </c>
      <c r="C278" s="25">
        <v>9</v>
      </c>
      <c r="D278" s="32" t="s">
        <v>286</v>
      </c>
      <c r="E278" s="153">
        <v>43.685214957722998</v>
      </c>
      <c r="F278" s="153">
        <f>INDEX('Revised 2019 Lockdown'!H$5:H$257,MATCH(B278,'Revised 2019 Lockdown'!B$5:B$257,0))</f>
        <v>43.685214957722998</v>
      </c>
      <c r="G278" s="153">
        <f t="shared" si="61"/>
        <v>0</v>
      </c>
      <c r="H278" s="151">
        <v>227035.45</v>
      </c>
      <c r="I278" s="151">
        <f>INDEX('Revised 2019 Lockdown'!E$5:E$257,MATCH(B278,'Revised 2019 Lockdown'!B$5:B$257,0))</f>
        <v>227035.45</v>
      </c>
      <c r="J278" s="151">
        <f t="shared" si="62"/>
        <v>0</v>
      </c>
      <c r="K278" s="151">
        <v>0</v>
      </c>
      <c r="L278" s="151">
        <f>INDEX('Revised 2019 Lockdown'!F$5:F$257,MATCH(B278,'Revised 2019 Lockdown'!B$5:B$257,0))</f>
        <v>0</v>
      </c>
      <c r="M278" s="151">
        <f t="shared" si="63"/>
        <v>0</v>
      </c>
      <c r="N278" s="151">
        <v>227035.45</v>
      </c>
      <c r="O278" s="156">
        <f t="shared" si="50"/>
        <v>227035.45</v>
      </c>
      <c r="P278" s="156">
        <f t="shared" si="64"/>
        <v>0</v>
      </c>
      <c r="Q278" s="85">
        <f t="shared" si="51"/>
        <v>5197.0775517464399</v>
      </c>
      <c r="R278" s="6">
        <f t="shared" si="52"/>
        <v>1695.4343094973879</v>
      </c>
      <c r="S278" s="5">
        <f t="shared" si="53"/>
        <v>74065.412257092044</v>
      </c>
      <c r="T278" s="113">
        <v>0.55902777777777779</v>
      </c>
      <c r="U278" s="87">
        <f t="shared" si="54"/>
        <v>17081.326358575439</v>
      </c>
      <c r="V278" s="87">
        <f t="shared" si="55"/>
        <v>3122.6918676648575</v>
      </c>
      <c r="W278" s="87">
        <f t="shared" si="56"/>
        <v>2864.6807747194225</v>
      </c>
      <c r="X278" s="87">
        <f t="shared" si="57"/>
        <v>896.75264072492803</v>
      </c>
      <c r="Y278" s="87">
        <f t="shared" si="58"/>
        <v>23965.451641684645</v>
      </c>
      <c r="Z278" s="91">
        <f t="shared" si="59"/>
        <v>0.32357143383603948</v>
      </c>
      <c r="AA278" s="131">
        <f t="shared" si="60"/>
        <v>23966.202952271789</v>
      </c>
      <c r="AC278" s="131">
        <v>24007.031674419664</v>
      </c>
      <c r="AD278" s="151">
        <f t="shared" si="65"/>
        <v>-40.828722147874942</v>
      </c>
    </row>
  </sheetData>
  <mergeCells count="3">
    <mergeCell ref="B2:G2"/>
    <mergeCell ref="Z24:AA24"/>
    <mergeCell ref="U18:AA18"/>
  </mergeCells>
  <conditionalFormatting sqref="B171:B183 B185:B190 B234:B256 B103:B169 B192:B202 B204:B232 B71:B100 B27:B69 C27:D274 S26:AA278 B26:D26">
    <cfRule type="expression" dxfId="69" priority="72">
      <formula>$C26&lt;&gt;$C25</formula>
    </cfRule>
  </conditionalFormatting>
  <conditionalFormatting sqref="Z26:Z278">
    <cfRule type="expression" dxfId="68" priority="71">
      <formula>Z26&gt;75%</formula>
    </cfRule>
  </conditionalFormatting>
  <conditionalFormatting sqref="B70 B184 B233 B101 B203">
    <cfRule type="expression" dxfId="67" priority="73">
      <formula>$C70&lt;&gt;$C68</formula>
    </cfRule>
  </conditionalFormatting>
  <conditionalFormatting sqref="B170 B191">
    <cfRule type="expression" dxfId="66" priority="75">
      <formula>$C170&lt;&gt;#REF!</formula>
    </cfRule>
  </conditionalFormatting>
  <conditionalFormatting sqref="B102">
    <cfRule type="expression" dxfId="65" priority="77">
      <formula>$C102&lt;&gt;$C99</formula>
    </cfRule>
  </conditionalFormatting>
  <conditionalFormatting sqref="T3:T11">
    <cfRule type="expression" dxfId="64" priority="69">
      <formula>$C3&lt;&gt;$C2</formula>
    </cfRule>
  </conditionalFormatting>
  <conditionalFormatting sqref="R3:R10">
    <cfRule type="expression" dxfId="63" priority="45">
      <formula>$C3&lt;&gt;$C2</formula>
    </cfRule>
  </conditionalFormatting>
  <conditionalFormatting sqref="R3:R10">
    <cfRule type="expression" dxfId="62" priority="44">
      <formula>R3&lt;=0=TRUE</formula>
    </cfRule>
  </conditionalFormatting>
  <conditionalFormatting sqref="R3:R10">
    <cfRule type="expression" dxfId="61" priority="43">
      <formula>$C3&lt;&gt;$C2</formula>
    </cfRule>
  </conditionalFormatting>
  <conditionalFormatting sqref="R3:R10">
    <cfRule type="expression" dxfId="60" priority="42">
      <formula>R3&lt;=0=TRUE</formula>
    </cfRule>
  </conditionalFormatting>
  <conditionalFormatting sqref="R11">
    <cfRule type="expression" dxfId="59" priority="41">
      <formula>$C11&lt;&gt;$C10</formula>
    </cfRule>
  </conditionalFormatting>
  <conditionalFormatting sqref="R11">
    <cfRule type="expression" dxfId="58" priority="40">
      <formula>R11&lt;=0=TRUE</formula>
    </cfRule>
  </conditionalFormatting>
  <conditionalFormatting sqref="R11">
    <cfRule type="expression" dxfId="57" priority="39">
      <formula>$C11&lt;&gt;$C10</formula>
    </cfRule>
  </conditionalFormatting>
  <conditionalFormatting sqref="R11">
    <cfRule type="expression" dxfId="56" priority="38">
      <formula>R11&lt;=0=TRUE</formula>
    </cfRule>
  </conditionalFormatting>
  <conditionalFormatting sqref="E19">
    <cfRule type="expression" dxfId="55" priority="37">
      <formula>$C19&lt;&gt;$C18</formula>
    </cfRule>
  </conditionalFormatting>
  <conditionalFormatting sqref="E19">
    <cfRule type="expression" dxfId="54" priority="36">
      <formula>E19&lt;=0=TRUE</formula>
    </cfRule>
  </conditionalFormatting>
  <conditionalFormatting sqref="E19">
    <cfRule type="expression" dxfId="53" priority="35">
      <formula>$C19&lt;&gt;$C18</formula>
    </cfRule>
  </conditionalFormatting>
  <conditionalFormatting sqref="E19">
    <cfRule type="expression" dxfId="52" priority="34">
      <formula>E19&lt;=0=TRUE</formula>
    </cfRule>
  </conditionalFormatting>
  <conditionalFormatting sqref="R26:R278">
    <cfRule type="expression" dxfId="51" priority="32">
      <formula>$C26&lt;&gt;$C25</formula>
    </cfRule>
  </conditionalFormatting>
  <conditionalFormatting sqref="R26:R278">
    <cfRule type="expression" dxfId="50" priority="31">
      <formula>R26&lt;Q26=TRUE</formula>
    </cfRule>
  </conditionalFormatting>
  <conditionalFormatting sqref="C275:D278">
    <cfRule type="expression" dxfId="49" priority="28">
      <formula>$C275&lt;&gt;$C274</formula>
    </cfRule>
  </conditionalFormatting>
  <conditionalFormatting sqref="Q26:Q278">
    <cfRule type="expression" dxfId="48" priority="17">
      <formula>$C26&lt;&gt;$C25</formula>
    </cfRule>
  </conditionalFormatting>
  <conditionalFormatting sqref="AC26:AC278">
    <cfRule type="expression" dxfId="47" priority="16">
      <formula>$C26&lt;&gt;$C25</formula>
    </cfRule>
  </conditionalFormatting>
  <conditionalFormatting sqref="AD26:AD278">
    <cfRule type="expression" dxfId="46" priority="15">
      <formula>$C26&lt;&gt;$C25</formula>
    </cfRule>
  </conditionalFormatting>
  <conditionalFormatting sqref="E24:G24">
    <cfRule type="expression" dxfId="45" priority="5">
      <formula>$C24&lt;&gt;$C23</formula>
    </cfRule>
  </conditionalFormatting>
  <conditionalFormatting sqref="F26:P26">
    <cfRule type="expression" dxfId="44" priority="4">
      <formula>$C26&lt;&gt;$C25</formula>
    </cfRule>
  </conditionalFormatting>
  <conditionalFormatting sqref="E26">
    <cfRule type="expression" dxfId="43" priority="3">
      <formula>$C26&lt;&gt;$C25</formula>
    </cfRule>
  </conditionalFormatting>
  <conditionalFormatting sqref="F27:P278">
    <cfRule type="expression" dxfId="42" priority="2">
      <formula>$C27&lt;&gt;$C26</formula>
    </cfRule>
  </conditionalFormatting>
  <conditionalFormatting sqref="E27:E278">
    <cfRule type="expression" dxfId="41" priority="1">
      <formula>$C27&lt;&gt;$C26</formula>
    </cfRule>
  </conditionalFormatting>
  <pageMargins left="0.7" right="0.7" top="0.75" bottom="0.75" header="0.3" footer="0.3"/>
  <pageSetup orientation="portrait" r:id="rId1"/>
  <ignoredErrors>
    <ignoredError sqref="W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59999389629810485"/>
  </sheetPr>
  <dimension ref="B2:Z258"/>
  <sheetViews>
    <sheetView workbookViewId="0"/>
  </sheetViews>
  <sheetFormatPr defaultRowHeight="14.4" x14ac:dyDescent="0.3"/>
  <cols>
    <col min="1" max="1" width="5.6640625" customWidth="1"/>
    <col min="2" max="3" width="6.6640625" style="1" customWidth="1"/>
    <col min="4" max="4" width="50.6640625" customWidth="1"/>
    <col min="5" max="11" width="14.6640625" customWidth="1"/>
    <col min="12" max="12" width="5.6640625" customWidth="1"/>
    <col min="13" max="19" width="12.6640625" customWidth="1"/>
  </cols>
  <sheetData>
    <row r="2" spans="2:19" x14ac:dyDescent="0.3">
      <c r="B2" s="22" t="s">
        <v>308</v>
      </c>
      <c r="E2" s="21"/>
      <c r="F2" s="21"/>
      <c r="G2" s="21"/>
      <c r="I2" t="s">
        <v>12</v>
      </c>
      <c r="J2" s="20">
        <v>0</v>
      </c>
    </row>
    <row r="3" spans="2:19" x14ac:dyDescent="0.3">
      <c r="D3" s="18"/>
      <c r="E3" s="19"/>
      <c r="F3" s="19"/>
      <c r="G3" s="19"/>
      <c r="H3" s="18"/>
      <c r="K3" s="16"/>
    </row>
    <row r="4" spans="2:19" ht="15" thickBot="1" x14ac:dyDescent="0.35">
      <c r="E4" s="125">
        <f>SUM(E6:E300)</f>
        <v>730841.88790520688</v>
      </c>
      <c r="F4" s="7">
        <f>SUM(F6:F300)</f>
        <v>384369297.02999997</v>
      </c>
      <c r="G4" s="7">
        <f>SUM(G6:G300)</f>
        <v>55058911.009999968</v>
      </c>
      <c r="H4" s="7">
        <f>SUM(H6:H300)</f>
        <v>329310386.01999998</v>
      </c>
      <c r="J4" t="s">
        <v>11</v>
      </c>
      <c r="K4" s="7">
        <f>SUM(K6:K300)</f>
        <v>323604014.03601104</v>
      </c>
      <c r="Q4" s="15">
        <f>100%-R4</f>
        <v>9.9999999999999978E-2</v>
      </c>
      <c r="R4" s="14">
        <f>'Revised 2021 MFAM(2019 PYAs)'!Q2</f>
        <v>0.9</v>
      </c>
    </row>
    <row r="5" spans="2:19" ht="43.8" thickBot="1" x14ac:dyDescent="0.35">
      <c r="B5" s="13" t="s">
        <v>10</v>
      </c>
      <c r="C5" s="13" t="s">
        <v>9</v>
      </c>
      <c r="D5" s="13" t="s">
        <v>8</v>
      </c>
      <c r="E5" s="13" t="s">
        <v>314</v>
      </c>
      <c r="F5" s="13" t="s">
        <v>315</v>
      </c>
      <c r="G5" s="13" t="s">
        <v>316</v>
      </c>
      <c r="H5" s="13" t="s">
        <v>317</v>
      </c>
      <c r="I5" s="13" t="s">
        <v>7</v>
      </c>
      <c r="J5" s="13" t="s">
        <v>0</v>
      </c>
      <c r="K5" s="13" t="s">
        <v>288</v>
      </c>
      <c r="M5" s="13" t="s">
        <v>6</v>
      </c>
      <c r="N5" s="13" t="s">
        <v>5</v>
      </c>
      <c r="O5" s="12" t="s">
        <v>4</v>
      </c>
      <c r="P5" s="12" t="s">
        <v>3</v>
      </c>
      <c r="Q5" s="12" t="s">
        <v>2</v>
      </c>
      <c r="R5" s="12" t="s">
        <v>1</v>
      </c>
      <c r="S5" s="12" t="s">
        <v>0</v>
      </c>
    </row>
    <row r="6" spans="2:19" x14ac:dyDescent="0.3">
      <c r="B6">
        <v>1</v>
      </c>
      <c r="C6" s="25">
        <v>1</v>
      </c>
      <c r="D6" s="32" t="s">
        <v>48</v>
      </c>
      <c r="E6" s="125">
        <f>INDEX('Revised 2019 Lockdown'!H$5:H$257,MATCH(B6,'Revised 2019 Lockdown'!B$5:B$257,0))</f>
        <v>28377.279999999999</v>
      </c>
      <c r="F6" s="7">
        <f>INDEX('Revised 2019 Lockdown'!E$5:E$257,MATCH(B6,'Revised 2019 Lockdown'!B$5:B$257,0))</f>
        <v>9839512.9000000004</v>
      </c>
      <c r="G6" s="7">
        <f>INDEX('Revised 2019 Lockdown'!F$5:F$257,MATCH(B6,'Revised 2019 Lockdown'!B$5:B$257,0))</f>
        <v>303786.2</v>
      </c>
      <c r="H6" s="7">
        <f>F6-G6</f>
        <v>9535726.7000000011</v>
      </c>
      <c r="I6" s="6">
        <f>H6/E6</f>
        <v>336.03385172927079</v>
      </c>
      <c r="J6" s="6">
        <f>IF(ISERROR(IF($J$2=1,MAX(MIN(I6,R6),Q6),MIN(I6,R6))),R6,IF($J$2=1,MAX(MIN(I6,R6),Q6),MIN(I6,R6)))</f>
        <v>336.03385172927079</v>
      </c>
      <c r="K6" s="5">
        <f>J6*E6</f>
        <v>9535726.7000000011</v>
      </c>
      <c r="L6" s="4">
        <f t="shared" ref="L6:L69" si="0">IF(ISERROR(I6),1,0)</f>
        <v>0</v>
      </c>
      <c r="M6" s="2" cm="1">
        <f t="array" ref="M6">SUMPRODUCT(--($L$6:$L$300&lt;&gt;1),--($C$6:$C$300=$C6),$H$6:$H$300)/SUMPRODUCT(--($L$6:$L$300&lt;&gt;1),--($C$6:$C$300=$C6),$E$6:$E$300)</f>
        <v>502.79574182487232</v>
      </c>
      <c r="N6" s="1" cm="1">
        <f t="array" ref="N6">SUMPRODUCT(--($L$6:$L$300&lt;&gt;1),--($C$6:$C$300=$C6))</f>
        <v>6</v>
      </c>
      <c r="O6" s="3">
        <f>IF(ISERROR((I6-M6)^2),0,(I6-M6)^2)</f>
        <v>27809.527988257483</v>
      </c>
      <c r="P6" s="2" cm="1">
        <f t="array" ref="P6">SQRT(SUMPRODUCT(--($L$6:$L$300&lt;&gt;1),--($C$6:$C$300=$C6),$E$6:$E$300,$O$6:$O$300)/((N6-1)*SUMPRODUCT(--($L$6:$L$300&lt;&gt;1),--($C$6:$C$300=$C6),$E$6:$E$300)/N6))</f>
        <v>107.20055365634373</v>
      </c>
      <c r="Q6" s="2">
        <f t="shared" ref="Q6:R114" si="1">NORMINV(Q$4,$M6,$P6)</f>
        <v>365.41270445933708</v>
      </c>
      <c r="R6" s="2">
        <f t="shared" si="1"/>
        <v>640.17877919040757</v>
      </c>
      <c r="S6" s="2">
        <f>IF($J$2=1,MAX(MIN(I6,R6),Q6),MIN(R6,I6))</f>
        <v>336.03385172927079</v>
      </c>
    </row>
    <row r="7" spans="2:19" x14ac:dyDescent="0.3">
      <c r="B7">
        <v>20</v>
      </c>
      <c r="C7" s="25">
        <v>1</v>
      </c>
      <c r="D7" s="32" t="s">
        <v>49</v>
      </c>
      <c r="E7" s="125">
        <f>INDEX('Revised 2019 Lockdown'!H$5:H$257,MATCH(B7,'Revised 2019 Lockdown'!B$5:B$257,0))</f>
        <v>99784.55</v>
      </c>
      <c r="F7" s="7">
        <f>INDEX('Revised 2019 Lockdown'!E$5:E$257,MATCH(B7,'Revised 2019 Lockdown'!B$5:B$257,0))</f>
        <v>71195179.849999994</v>
      </c>
      <c r="G7" s="7">
        <f>INDEX('Revised 2019 Lockdown'!F$5:F$257,MATCH(B7,'Revised 2019 Lockdown'!B$5:B$257,0))</f>
        <v>8915663.2400000002</v>
      </c>
      <c r="H7" s="7">
        <f t="shared" ref="H7:H70" si="2">F7-G7</f>
        <v>62279516.609999992</v>
      </c>
      <c r="I7" s="6">
        <f t="shared" ref="I7:I70" si="3">H7/E7</f>
        <v>624.1398754616821</v>
      </c>
      <c r="J7" s="6">
        <f t="shared" ref="J7:J70" si="4">IF(ISERROR(IF($J$2=1,MAX(MIN(I7,R7),Q7),MIN(I7,R7))),R7,IF($J$2=1,MAX(MIN(I7,R7),Q7),MIN(I7,R7)))</f>
        <v>624.1398754616821</v>
      </c>
      <c r="K7" s="5">
        <f t="shared" ref="K7:K70" si="5">J7*E7</f>
        <v>62279516.609999992</v>
      </c>
      <c r="L7" s="4">
        <f t="shared" si="0"/>
        <v>0</v>
      </c>
      <c r="M7" s="2" cm="1">
        <f t="array" ref="M7">SUMPRODUCT(--($L$6:$L$300&lt;&gt;1),--($C$6:$C$300=$C7),$H$6:$H$300)/SUMPRODUCT(--($L$6:$L$300&lt;&gt;1),--($C$6:$C$300=$C7),$E$6:$E$300)</f>
        <v>502.79574182487232</v>
      </c>
      <c r="N7" s="1" cm="1">
        <f t="array" ref="N7">SUMPRODUCT(--($L$6:$L$300&lt;&gt;1),--($C$6:$C$300=$C7))</f>
        <v>6</v>
      </c>
      <c r="O7" s="3">
        <f t="shared" ref="O7:O70" si="6">IF(ISERROR((I7-M7)^2),0,(I7-M7)^2)</f>
        <v>14724.398768067949</v>
      </c>
      <c r="P7" s="2" cm="1">
        <f t="array" ref="P7">SQRT(SUMPRODUCT(--($L$6:$L$300&lt;&gt;1),--($C$6:$C$300=$C7),$E$6:$E$300,$O$6:$O$300)/((N7-1)*SUMPRODUCT(--($L$6:$L$300&lt;&gt;1),--($C$6:$C$300=$C7),$E$6:$E$300)/N7))</f>
        <v>107.20055365634373</v>
      </c>
      <c r="Q7" s="2">
        <f t="shared" si="1"/>
        <v>365.41270445933708</v>
      </c>
      <c r="R7" s="2">
        <f t="shared" si="1"/>
        <v>640.17877919040757</v>
      </c>
      <c r="S7" s="2">
        <f t="shared" ref="S7:S70" si="7">IF($J$2=1,MAX(MIN(I7,R7),Q7),MIN(R7,I7))</f>
        <v>624.1398754616821</v>
      </c>
    </row>
    <row r="8" spans="2:19" x14ac:dyDescent="0.3">
      <c r="B8">
        <v>50</v>
      </c>
      <c r="C8" s="25">
        <v>1</v>
      </c>
      <c r="D8" s="32" t="s">
        <v>50</v>
      </c>
      <c r="E8" s="125">
        <f>INDEX('Revised 2019 Lockdown'!H$5:H$257,MATCH(B8,'Revised 2019 Lockdown'!B$5:B$257,0))</f>
        <v>21706.59</v>
      </c>
      <c r="F8" s="7">
        <f>INDEX('Revised 2019 Lockdown'!E$5:E$257,MATCH(B8,'Revised 2019 Lockdown'!B$5:B$257,0))</f>
        <v>10769002.390000001</v>
      </c>
      <c r="G8" s="7">
        <f>INDEX('Revised 2019 Lockdown'!F$5:F$257,MATCH(B8,'Revised 2019 Lockdown'!B$5:B$257,0))</f>
        <v>1985825.52</v>
      </c>
      <c r="H8" s="7">
        <f t="shared" si="2"/>
        <v>8783176.870000001</v>
      </c>
      <c r="I8" s="6">
        <f t="shared" si="3"/>
        <v>404.63181319590046</v>
      </c>
      <c r="J8" s="6">
        <f t="shared" si="4"/>
        <v>404.63181319590046</v>
      </c>
      <c r="K8" s="5">
        <f t="shared" si="5"/>
        <v>8783176.870000001</v>
      </c>
      <c r="L8" s="4">
        <f t="shared" si="0"/>
        <v>0</v>
      </c>
      <c r="M8" s="2" cm="1">
        <f t="array" ref="M8">SUMPRODUCT(--($L$6:$L$300&lt;&gt;1),--($C$6:$C$300=$C8),$H$6:$H$300)/SUMPRODUCT(--($L$6:$L$300&lt;&gt;1),--($C$6:$C$300=$C8),$E$6:$E$300)</f>
        <v>502.79574182487232</v>
      </c>
      <c r="N8" s="1" cm="1">
        <f t="array" ref="N8">SUMPRODUCT(--($L$6:$L$300&lt;&gt;1),--($C$6:$C$300=$C8))</f>
        <v>6</v>
      </c>
      <c r="O8" s="3">
        <f t="shared" si="6"/>
        <v>9636.1568838738804</v>
      </c>
      <c r="P8" s="2" cm="1">
        <f t="array" ref="P8">SQRT(SUMPRODUCT(--($L$6:$L$300&lt;&gt;1),--($C$6:$C$300=$C8),$E$6:$E$300,$O$6:$O$300)/((N8-1)*SUMPRODUCT(--($L$6:$L$300&lt;&gt;1),--($C$6:$C$300=$C8),$E$6:$E$300)/N8))</f>
        <v>107.20055365634373</v>
      </c>
      <c r="Q8" s="2">
        <f t="shared" si="1"/>
        <v>365.41270445933708</v>
      </c>
      <c r="R8" s="2">
        <f t="shared" si="1"/>
        <v>640.17877919040757</v>
      </c>
      <c r="S8" s="2">
        <f t="shared" si="7"/>
        <v>404.63181319590046</v>
      </c>
    </row>
    <row r="9" spans="2:19" x14ac:dyDescent="0.3">
      <c r="B9">
        <v>97</v>
      </c>
      <c r="C9" s="25">
        <v>1</v>
      </c>
      <c r="D9" s="32" t="s">
        <v>51</v>
      </c>
      <c r="E9" s="125">
        <f>INDEX('Revised 2019 Lockdown'!H$5:H$257,MATCH(B9,'Revised 2019 Lockdown'!B$5:B$257,0))</f>
        <v>53554.62000000001</v>
      </c>
      <c r="F9" s="7">
        <f>INDEX('Revised 2019 Lockdown'!E$5:E$257,MATCH(B9,'Revised 2019 Lockdown'!B$5:B$257,0))</f>
        <v>29964286.199999999</v>
      </c>
      <c r="G9" s="7">
        <f>INDEX('Revised 2019 Lockdown'!F$5:F$257,MATCH(B9,'Revised 2019 Lockdown'!B$5:B$257,0))</f>
        <v>4815316.72</v>
      </c>
      <c r="H9" s="7">
        <f t="shared" si="2"/>
        <v>25148969.48</v>
      </c>
      <c r="I9" s="6">
        <f t="shared" si="3"/>
        <v>469.59477034847777</v>
      </c>
      <c r="J9" s="6">
        <f>IF(ISERROR(IF($J$2=1,MAX(MIN(I9,R9),Q9),MIN(I9,R9))),R9,IF($J$2=1,MAX(MIN(I9,R9),Q9),MIN(I9,R9)))</f>
        <v>469.59477034847777</v>
      </c>
      <c r="K9" s="5">
        <f t="shared" si="5"/>
        <v>25148969.48</v>
      </c>
      <c r="L9" s="4">
        <f t="shared" si="0"/>
        <v>0</v>
      </c>
      <c r="M9" s="2" cm="1">
        <f t="array" ref="M9">SUMPRODUCT(--($L$6:$L$300&lt;&gt;1),--($C$6:$C$300=$C9),$H$6:$H$300)/SUMPRODUCT(--($L$6:$L$300&lt;&gt;1),--($C$6:$C$300=$C9),$E$6:$E$300)</f>
        <v>502.79574182487232</v>
      </c>
      <c r="N9" s="1" cm="1">
        <f t="array" ref="N9">SUMPRODUCT(--($L$6:$L$300&lt;&gt;1),--($C$6:$C$300=$C9))</f>
        <v>6</v>
      </c>
      <c r="O9" s="3">
        <f t="shared" si="6"/>
        <v>1102.304506976365</v>
      </c>
      <c r="P9" s="2" cm="1">
        <f t="array" ref="P9">SQRT(SUMPRODUCT(--($L$6:$L$300&lt;&gt;1),--($C$6:$C$300=$C9),$E$6:$E$300,$O$6:$O$300)/((N9-1)*SUMPRODUCT(--($L$6:$L$300&lt;&gt;1),--($C$6:$C$300=$C9),$E$6:$E$300)/N9))</f>
        <v>107.20055365634373</v>
      </c>
      <c r="Q9" s="2">
        <f t="shared" si="1"/>
        <v>365.41270445933708</v>
      </c>
      <c r="R9" s="2">
        <f t="shared" si="1"/>
        <v>640.17877919040757</v>
      </c>
      <c r="S9" s="2">
        <f t="shared" si="7"/>
        <v>469.59477034847777</v>
      </c>
    </row>
    <row r="10" spans="2:19" x14ac:dyDescent="0.3">
      <c r="B10">
        <v>172</v>
      </c>
      <c r="C10" s="25">
        <v>1</v>
      </c>
      <c r="D10" s="32" t="s">
        <v>52</v>
      </c>
      <c r="E10" s="125">
        <f>INDEX('Revised 2019 Lockdown'!H$5:H$257,MATCH(B10,'Revised 2019 Lockdown'!B$5:B$257,0))</f>
        <v>33148.810000000005</v>
      </c>
      <c r="F10" s="7">
        <f>INDEX('Revised 2019 Lockdown'!E$5:E$257,MATCH(B10,'Revised 2019 Lockdown'!B$5:B$257,0))</f>
        <v>15527274.060000001</v>
      </c>
      <c r="G10" s="7">
        <f>INDEX('Revised 2019 Lockdown'!F$5:F$257,MATCH(B10,'Revised 2019 Lockdown'!B$5:B$257,0))</f>
        <v>2705559.01</v>
      </c>
      <c r="H10" s="7">
        <f t="shared" si="2"/>
        <v>12821715.050000001</v>
      </c>
      <c r="I10" s="6">
        <f t="shared" si="3"/>
        <v>386.79261940323045</v>
      </c>
      <c r="J10" s="6">
        <f t="shared" si="4"/>
        <v>386.79261940323045</v>
      </c>
      <c r="K10" s="5">
        <f t="shared" si="5"/>
        <v>12821715.050000001</v>
      </c>
      <c r="L10" s="4">
        <f t="shared" si="0"/>
        <v>0</v>
      </c>
      <c r="M10" s="2" cm="1">
        <f t="array" ref="M10">SUMPRODUCT(--($L$6:$L$300&lt;&gt;1),--($C$6:$C$300=$C10),$H$6:$H$300)/SUMPRODUCT(--($L$6:$L$300&lt;&gt;1),--($C$6:$C$300=$C10),$E$6:$E$300)</f>
        <v>502.79574182487232</v>
      </c>
      <c r="N10" s="1" cm="1">
        <f t="array" ref="N10">SUMPRODUCT(--($L$6:$L$300&lt;&gt;1),--($C$6:$C$300=$C10))</f>
        <v>6</v>
      </c>
      <c r="O10" s="3">
        <f t="shared" si="6"/>
        <v>13456.724411570432</v>
      </c>
      <c r="P10" s="2" cm="1">
        <f t="array" ref="P10">SQRT(SUMPRODUCT(--($L$6:$L$300&lt;&gt;1),--($C$6:$C$300=$C10),$E$6:$E$300,$O$6:$O$300)/((N10-1)*SUMPRODUCT(--($L$6:$L$300&lt;&gt;1),--($C$6:$C$300=$C10),$E$6:$E$300)/N10))</f>
        <v>107.20055365634373</v>
      </c>
      <c r="Q10" s="2">
        <f t="shared" si="1"/>
        <v>365.41270445933708</v>
      </c>
      <c r="R10" s="2">
        <f t="shared" si="1"/>
        <v>640.17877919040757</v>
      </c>
      <c r="S10" s="2">
        <f t="shared" si="7"/>
        <v>386.79261940323045</v>
      </c>
    </row>
    <row r="11" spans="2:19" x14ac:dyDescent="0.3">
      <c r="B11">
        <v>270</v>
      </c>
      <c r="C11" s="25">
        <v>1</v>
      </c>
      <c r="D11" s="32" t="s">
        <v>53</v>
      </c>
      <c r="E11" s="125">
        <f>INDEX('Revised 2019 Lockdown'!H$5:H$257,MATCH(B11,'Revised 2019 Lockdown'!B$5:B$257,0))</f>
        <v>74041.960000000006</v>
      </c>
      <c r="F11" s="7">
        <f>INDEX('Revised 2019 Lockdown'!E$5:E$257,MATCH(B11,'Revised 2019 Lockdown'!B$5:B$257,0))</f>
        <v>40203570.229999997</v>
      </c>
      <c r="G11" s="7">
        <f>INDEX('Revised 2019 Lockdown'!F$5:F$257,MATCH(B11,'Revised 2019 Lockdown'!B$5:B$257,0))</f>
        <v>2597373.92</v>
      </c>
      <c r="H11" s="7">
        <f t="shared" si="2"/>
        <v>37606196.309999995</v>
      </c>
      <c r="I11" s="6">
        <f t="shared" si="3"/>
        <v>507.90384681874968</v>
      </c>
      <c r="J11" s="6">
        <f t="shared" si="4"/>
        <v>507.90384681874968</v>
      </c>
      <c r="K11" s="5">
        <f t="shared" si="5"/>
        <v>37606196.309999995</v>
      </c>
      <c r="L11" s="4">
        <f t="shared" si="0"/>
        <v>0</v>
      </c>
      <c r="M11" s="2" cm="1">
        <f t="array" ref="M11">SUMPRODUCT(--($L$6:$L$300&lt;&gt;1),--($C$6:$C$300=$C11),$H$6:$H$300)/SUMPRODUCT(--($L$6:$L$300&lt;&gt;1),--($C$6:$C$300=$C11),$E$6:$E$300)</f>
        <v>502.79574182487232</v>
      </c>
      <c r="N11" s="1" cm="1">
        <f t="array" ref="N11">SUMPRODUCT(--($L$6:$L$300&lt;&gt;1),--($C$6:$C$300=$C11))</f>
        <v>6</v>
      </c>
      <c r="O11" s="3">
        <f t="shared" si="6"/>
        <v>26.092736628474842</v>
      </c>
      <c r="P11" s="2" cm="1">
        <f t="array" ref="P11">SQRT(SUMPRODUCT(--($L$6:$L$300&lt;&gt;1),--($C$6:$C$300=$C11),$E$6:$E$300,$O$6:$O$300)/((N11-1)*SUMPRODUCT(--($L$6:$L$300&lt;&gt;1),--($C$6:$C$300=$C11),$E$6:$E$300)/N11))</f>
        <v>107.20055365634373</v>
      </c>
      <c r="Q11" s="2">
        <f t="shared" si="1"/>
        <v>365.41270445933708</v>
      </c>
      <c r="R11" s="2">
        <f t="shared" si="1"/>
        <v>640.17877919040757</v>
      </c>
      <c r="S11" s="2">
        <f t="shared" si="7"/>
        <v>507.90384681874968</v>
      </c>
    </row>
    <row r="12" spans="2:19" x14ac:dyDescent="0.3">
      <c r="B12">
        <v>6</v>
      </c>
      <c r="C12" s="25">
        <v>2</v>
      </c>
      <c r="D12" s="32" t="s">
        <v>54</v>
      </c>
      <c r="E12" s="125">
        <f>INDEX('Revised 2019 Lockdown'!H$5:H$257,MATCH(B12,'Revised 2019 Lockdown'!B$5:B$257,0))</f>
        <v>41206.969999999987</v>
      </c>
      <c r="F12" s="7">
        <f>INDEX('Revised 2019 Lockdown'!E$5:E$257,MATCH(B12,'Revised 2019 Lockdown'!B$5:B$257,0))</f>
        <v>19734526.949999999</v>
      </c>
      <c r="G12" s="7">
        <f>INDEX('Revised 2019 Lockdown'!F$5:F$257,MATCH(B12,'Revised 2019 Lockdown'!B$5:B$257,0))</f>
        <v>3742083.3</v>
      </c>
      <c r="H12" s="7">
        <f t="shared" si="2"/>
        <v>15992443.649999999</v>
      </c>
      <c r="I12" s="6">
        <f t="shared" si="3"/>
        <v>388.10045121007448</v>
      </c>
      <c r="J12" s="6">
        <f t="shared" si="4"/>
        <v>388.10045121007448</v>
      </c>
      <c r="K12" s="5">
        <f t="shared" si="5"/>
        <v>15992443.649999999</v>
      </c>
      <c r="L12" s="4">
        <f t="shared" si="0"/>
        <v>0</v>
      </c>
      <c r="M12" s="2" cm="1">
        <f t="array" ref="M12">SUMPRODUCT(--($L$6:$L$300&lt;&gt;1),--($C$6:$C$300=$C12),$H$6:$H$300)/SUMPRODUCT(--($L$6:$L$300&lt;&gt;1),--($C$6:$C$300=$C12),$E$6:$E$300)</f>
        <v>315.77459016695877</v>
      </c>
      <c r="N12" s="1" cm="1">
        <f t="array" ref="N12">SUMPRODUCT(--($L$6:$L$300&lt;&gt;1),--($C$6:$C$300=$C12))</f>
        <v>6</v>
      </c>
      <c r="O12" s="3">
        <f t="shared" si="6"/>
        <v>5231.0301756280824</v>
      </c>
      <c r="P12" s="2" cm="1">
        <f t="array" ref="P12">SQRT(SUMPRODUCT(--($L$6:$L$300&lt;&gt;1),--($C$6:$C$300=$C12),$E$6:$E$300,$O$6:$O$300)/((N12-1)*SUMPRODUCT(--($L$6:$L$300&lt;&gt;1),--($C$6:$C$300=$C12),$E$6:$E$300)/N12))</f>
        <v>106.96398308339705</v>
      </c>
      <c r="Q12" s="2">
        <f t="shared" si="1"/>
        <v>178.69473018954511</v>
      </c>
      <c r="R12" s="2">
        <f t="shared" si="1"/>
        <v>452.85445014437244</v>
      </c>
      <c r="S12" s="2">
        <f t="shared" si="7"/>
        <v>388.10045121007448</v>
      </c>
    </row>
    <row r="13" spans="2:19" x14ac:dyDescent="0.3">
      <c r="B13">
        <v>18</v>
      </c>
      <c r="C13" s="25">
        <v>2</v>
      </c>
      <c r="D13" s="32" t="s">
        <v>55</v>
      </c>
      <c r="E13" s="125">
        <f>INDEX('Revised 2019 Lockdown'!H$5:H$257,MATCH(B13,'Revised 2019 Lockdown'!B$5:B$257,0))</f>
        <v>19941.120000000003</v>
      </c>
      <c r="F13" s="7">
        <f>INDEX('Revised 2019 Lockdown'!E$5:E$257,MATCH(B13,'Revised 2019 Lockdown'!B$5:B$257,0))</f>
        <v>8785791</v>
      </c>
      <c r="G13" s="7">
        <f>INDEX('Revised 2019 Lockdown'!F$5:F$257,MATCH(B13,'Revised 2019 Lockdown'!B$5:B$257,0))</f>
        <v>2133782.4900000002</v>
      </c>
      <c r="H13" s="7">
        <f t="shared" si="2"/>
        <v>6652008.5099999998</v>
      </c>
      <c r="I13" s="6">
        <f t="shared" si="3"/>
        <v>333.58249235750043</v>
      </c>
      <c r="J13" s="6">
        <f t="shared" si="4"/>
        <v>333.58249235750043</v>
      </c>
      <c r="K13" s="5">
        <f t="shared" si="5"/>
        <v>6652008.5099999998</v>
      </c>
      <c r="L13" s="4">
        <f t="shared" si="0"/>
        <v>0</v>
      </c>
      <c r="M13" s="2" cm="1">
        <f t="array" ref="M13">SUMPRODUCT(--($L$6:$L$300&lt;&gt;1),--($C$6:$C$300=$C13),$H$6:$H$300)/SUMPRODUCT(--($L$6:$L$300&lt;&gt;1),--($C$6:$C$300=$C13),$E$6:$E$300)</f>
        <v>315.77459016695877</v>
      </c>
      <c r="N13" s="1" cm="1">
        <f t="array" ref="N13">SUMPRODUCT(--($L$6:$L$300&lt;&gt;1),--($C$6:$C$300=$C13))</f>
        <v>6</v>
      </c>
      <c r="O13" s="3">
        <f t="shared" si="6"/>
        <v>317.12138042789826</v>
      </c>
      <c r="P13" s="2" cm="1">
        <f t="array" ref="P13">SQRT(SUMPRODUCT(--($L$6:$L$300&lt;&gt;1),--($C$6:$C$300=$C13),$E$6:$E$300,$O$6:$O$300)/((N13-1)*SUMPRODUCT(--($L$6:$L$300&lt;&gt;1),--($C$6:$C$300=$C13),$E$6:$E$300)/N13))</f>
        <v>106.96398308339705</v>
      </c>
      <c r="Q13" s="2">
        <f t="shared" si="1"/>
        <v>178.69473018954511</v>
      </c>
      <c r="R13" s="2">
        <f t="shared" si="1"/>
        <v>452.85445014437244</v>
      </c>
      <c r="S13" s="2">
        <f t="shared" si="7"/>
        <v>333.58249235750043</v>
      </c>
    </row>
    <row r="14" spans="2:19" x14ac:dyDescent="0.3">
      <c r="B14">
        <v>53</v>
      </c>
      <c r="C14" s="25">
        <v>2</v>
      </c>
      <c r="D14" s="32" t="s">
        <v>56</v>
      </c>
      <c r="E14" s="125">
        <f>INDEX('Revised 2019 Lockdown'!H$5:H$257,MATCH(B14,'Revised 2019 Lockdown'!B$5:B$257,0))</f>
        <v>34960.206400000003</v>
      </c>
      <c r="F14" s="7">
        <f>INDEX('Revised 2019 Lockdown'!E$5:E$257,MATCH(B14,'Revised 2019 Lockdown'!B$5:B$257,0))</f>
        <v>10395927.890000001</v>
      </c>
      <c r="G14" s="7">
        <f>INDEX('Revised 2019 Lockdown'!F$5:F$257,MATCH(B14,'Revised 2019 Lockdown'!B$5:B$257,0))</f>
        <v>2947532.46</v>
      </c>
      <c r="H14" s="7">
        <f t="shared" si="2"/>
        <v>7448395.4300000006</v>
      </c>
      <c r="I14" s="6">
        <f t="shared" si="3"/>
        <v>213.05353134299574</v>
      </c>
      <c r="J14" s="6">
        <f t="shared" si="4"/>
        <v>213.05353134299574</v>
      </c>
      <c r="K14" s="5">
        <f t="shared" si="5"/>
        <v>7448395.4300000006</v>
      </c>
      <c r="L14" s="4">
        <f t="shared" si="0"/>
        <v>0</v>
      </c>
      <c r="M14" s="2" cm="1">
        <f t="array" ref="M14">SUMPRODUCT(--($L$6:$L$300&lt;&gt;1),--($C$6:$C$300=$C14),$H$6:$H$300)/SUMPRODUCT(--($L$6:$L$300&lt;&gt;1),--($C$6:$C$300=$C14),$E$6:$E$300)</f>
        <v>315.77459016695877</v>
      </c>
      <c r="N14" s="1" cm="1">
        <f t="array" ref="N14">SUMPRODUCT(--($L$6:$L$300&lt;&gt;1),--($C$6:$C$300=$C14))</f>
        <v>6</v>
      </c>
      <c r="O14" s="3">
        <f t="shared" si="6"/>
        <v>10551.615925916074</v>
      </c>
      <c r="P14" s="2" cm="1">
        <f t="array" ref="P14">SQRT(SUMPRODUCT(--($L$6:$L$300&lt;&gt;1),--($C$6:$C$300=$C14),$E$6:$E$300,$O$6:$O$300)/((N14-1)*SUMPRODUCT(--($L$6:$L$300&lt;&gt;1),--($C$6:$C$300=$C14),$E$6:$E$300)/N14))</f>
        <v>106.96398308339705</v>
      </c>
      <c r="Q14" s="2">
        <f t="shared" si="1"/>
        <v>178.69473018954511</v>
      </c>
      <c r="R14" s="2">
        <f t="shared" si="1"/>
        <v>452.85445014437244</v>
      </c>
      <c r="S14" s="2">
        <f t="shared" si="7"/>
        <v>213.05353134299574</v>
      </c>
    </row>
    <row r="15" spans="2:19" x14ac:dyDescent="0.3">
      <c r="B15">
        <v>335</v>
      </c>
      <c r="C15" s="25">
        <v>2</v>
      </c>
      <c r="D15" s="32" t="s">
        <v>57</v>
      </c>
      <c r="E15" s="125">
        <f>INDEX('Revised 2019 Lockdown'!H$5:H$257,MATCH(B15,'Revised 2019 Lockdown'!B$5:B$257,0))</f>
        <v>25689.83</v>
      </c>
      <c r="F15" s="7">
        <f>INDEX('Revised 2019 Lockdown'!E$5:E$257,MATCH(B15,'Revised 2019 Lockdown'!B$5:B$257,0))</f>
        <v>15371539.85</v>
      </c>
      <c r="G15" s="7">
        <f>INDEX('Revised 2019 Lockdown'!F$5:F$257,MATCH(B15,'Revised 2019 Lockdown'!B$5:B$257,0))</f>
        <v>1961363.18</v>
      </c>
      <c r="H15" s="7">
        <f t="shared" si="2"/>
        <v>13410176.67</v>
      </c>
      <c r="I15" s="6">
        <f t="shared" si="3"/>
        <v>522.00332466193822</v>
      </c>
      <c r="J15" s="6">
        <f t="shared" si="4"/>
        <v>452.85445014437244</v>
      </c>
      <c r="K15" s="5">
        <f t="shared" si="5"/>
        <v>11633753.838952404</v>
      </c>
      <c r="L15" s="4">
        <f t="shared" si="0"/>
        <v>0</v>
      </c>
      <c r="M15" s="2" cm="1">
        <f t="array" ref="M15">SUMPRODUCT(--($L$6:$L$300&lt;&gt;1),--($C$6:$C$300=$C15),$H$6:$H$300)/SUMPRODUCT(--($L$6:$L$300&lt;&gt;1),--($C$6:$C$300=$C15),$E$6:$E$300)</f>
        <v>315.77459016695877</v>
      </c>
      <c r="N15" s="1" cm="1">
        <f t="array" ref="N15">SUMPRODUCT(--($L$6:$L$300&lt;&gt;1),--($C$6:$C$300=$C15))</f>
        <v>6</v>
      </c>
      <c r="O15" s="3">
        <f t="shared" si="6"/>
        <v>42530.290931400727</v>
      </c>
      <c r="P15" s="2" cm="1">
        <f t="array" ref="P15">SQRT(SUMPRODUCT(--($L$6:$L$300&lt;&gt;1),--($C$6:$C$300=$C15),$E$6:$E$300,$O$6:$O$300)/((N15-1)*SUMPRODUCT(--($L$6:$L$300&lt;&gt;1),--($C$6:$C$300=$C15),$E$6:$E$300)/N15))</f>
        <v>106.96398308339705</v>
      </c>
      <c r="Q15" s="2">
        <f t="shared" si="1"/>
        <v>178.69473018954511</v>
      </c>
      <c r="R15" s="2">
        <f t="shared" si="1"/>
        <v>452.85445014437244</v>
      </c>
      <c r="S15" s="2">
        <f t="shared" si="7"/>
        <v>452.85445014437244</v>
      </c>
    </row>
    <row r="16" spans="2:19" x14ac:dyDescent="0.3">
      <c r="B16">
        <v>357</v>
      </c>
      <c r="C16" s="25">
        <v>2</v>
      </c>
      <c r="D16" s="32" t="s">
        <v>58</v>
      </c>
      <c r="E16" s="125">
        <f>INDEX('Revised 2019 Lockdown'!H$5:H$257,MATCH(B16,'Revised 2019 Lockdown'!B$5:B$257,0))</f>
        <v>34912.030000000006</v>
      </c>
      <c r="F16" s="7">
        <f>INDEX('Revised 2019 Lockdown'!E$5:E$257,MATCH(B16,'Revised 2019 Lockdown'!B$5:B$257,0))</f>
        <v>13658152.119999999</v>
      </c>
      <c r="G16" s="7">
        <f>INDEX('Revised 2019 Lockdown'!F$5:F$257,MATCH(B16,'Revised 2019 Lockdown'!B$5:B$257,0))</f>
        <v>3498711.4300000006</v>
      </c>
      <c r="H16" s="7">
        <f t="shared" si="2"/>
        <v>10159440.689999998</v>
      </c>
      <c r="I16" s="6">
        <f t="shared" si="3"/>
        <v>291.00114459113365</v>
      </c>
      <c r="J16" s="6">
        <f t="shared" si="4"/>
        <v>291.00114459113365</v>
      </c>
      <c r="K16" s="5">
        <f t="shared" si="5"/>
        <v>10159440.689999998</v>
      </c>
      <c r="L16" s="4">
        <f t="shared" si="0"/>
        <v>0</v>
      </c>
      <c r="M16" s="2" cm="1">
        <f t="array" ref="M16">SUMPRODUCT(--($L$6:$L$300&lt;&gt;1),--($C$6:$C$300=$C16),$H$6:$H$300)/SUMPRODUCT(--($L$6:$L$300&lt;&gt;1),--($C$6:$C$300=$C16),$E$6:$E$300)</f>
        <v>315.77459016695877</v>
      </c>
      <c r="N16" s="1" cm="1">
        <f t="array" ref="N16">SUMPRODUCT(--($L$6:$L$300&lt;&gt;1),--($C$6:$C$300=$C16))</f>
        <v>6</v>
      </c>
      <c r="O16" s="3">
        <f t="shared" si="6"/>
        <v>613.72360569836928</v>
      </c>
      <c r="P16" s="2" cm="1">
        <f t="array" ref="P16">SQRT(SUMPRODUCT(--($L$6:$L$300&lt;&gt;1),--($C$6:$C$300=$C16),$E$6:$E$300,$O$6:$O$300)/((N16-1)*SUMPRODUCT(--($L$6:$L$300&lt;&gt;1),--($C$6:$C$300=$C16),$E$6:$E$300)/N16))</f>
        <v>106.96398308339705</v>
      </c>
      <c r="Q16" s="2">
        <f t="shared" si="1"/>
        <v>178.69473018954511</v>
      </c>
      <c r="R16" s="2">
        <f t="shared" si="1"/>
        <v>452.85445014437244</v>
      </c>
      <c r="S16" s="2">
        <f t="shared" si="7"/>
        <v>291.00114459113365</v>
      </c>
    </row>
    <row r="17" spans="2:19" x14ac:dyDescent="0.3">
      <c r="B17">
        <v>441</v>
      </c>
      <c r="C17" s="25">
        <v>2</v>
      </c>
      <c r="D17" s="32" t="s">
        <v>59</v>
      </c>
      <c r="E17" s="125">
        <f>INDEX('Revised 2019 Lockdown'!H$5:H$257,MATCH(B17,'Revised 2019 Lockdown'!B$5:B$257,0))</f>
        <v>55231.539999999986</v>
      </c>
      <c r="F17" s="7">
        <f>INDEX('Revised 2019 Lockdown'!E$5:E$257,MATCH(B17,'Revised 2019 Lockdown'!B$5:B$257,0))</f>
        <v>19919415.420000002</v>
      </c>
      <c r="G17" s="7">
        <f>INDEX('Revised 2019 Lockdown'!F$5:F$257,MATCH(B17,'Revised 2019 Lockdown'!B$5:B$257,0))</f>
        <v>6656078.0499999989</v>
      </c>
      <c r="H17" s="7">
        <f t="shared" si="2"/>
        <v>13263337.370000003</v>
      </c>
      <c r="I17" s="6">
        <f t="shared" si="3"/>
        <v>240.14064011251554</v>
      </c>
      <c r="J17" s="6">
        <f t="shared" si="4"/>
        <v>240.14064011251554</v>
      </c>
      <c r="K17" s="5">
        <f t="shared" si="5"/>
        <v>13263337.370000003</v>
      </c>
      <c r="L17" s="4">
        <f t="shared" si="0"/>
        <v>0</v>
      </c>
      <c r="M17" s="2" cm="1">
        <f t="array" ref="M17">SUMPRODUCT(--($L$6:$L$300&lt;&gt;1),--($C$6:$C$300=$C17),$H$6:$H$300)/SUMPRODUCT(--($L$6:$L$300&lt;&gt;1),--($C$6:$C$300=$C17),$E$6:$E$300)</f>
        <v>315.77459016695877</v>
      </c>
      <c r="N17" s="1" cm="1">
        <f t="array" ref="N17">SUMPRODUCT(--($L$6:$L$300&lt;&gt;1),--($C$6:$C$300=$C17))</f>
        <v>6</v>
      </c>
      <c r="O17" s="3">
        <f t="shared" si="6"/>
        <v>5720.4944008380135</v>
      </c>
      <c r="P17" s="2" cm="1">
        <f t="array" ref="P17">SQRT(SUMPRODUCT(--($L$6:$L$300&lt;&gt;1),--($C$6:$C$300=$C17),$E$6:$E$300,$O$6:$O$300)/((N17-1)*SUMPRODUCT(--($L$6:$L$300&lt;&gt;1),--($C$6:$C$300=$C17),$E$6:$E$300)/N17))</f>
        <v>106.96398308339705</v>
      </c>
      <c r="Q17" s="2">
        <f t="shared" si="1"/>
        <v>178.69473018954511</v>
      </c>
      <c r="R17" s="2">
        <f t="shared" si="1"/>
        <v>452.85445014437244</v>
      </c>
      <c r="S17" s="2">
        <f t="shared" si="7"/>
        <v>240.14064011251554</v>
      </c>
    </row>
    <row r="18" spans="2:19" x14ac:dyDescent="0.3">
      <c r="B18">
        <v>14</v>
      </c>
      <c r="C18" s="25">
        <v>3</v>
      </c>
      <c r="D18" s="32" t="s">
        <v>60</v>
      </c>
      <c r="E18" s="125">
        <f>INDEX('Revised 2019 Lockdown'!H$5:H$257,MATCH(B18,'Revised 2019 Lockdown'!B$5:B$257,0))</f>
        <v>11108.29</v>
      </c>
      <c r="F18" s="7">
        <f>INDEX('Revised 2019 Lockdown'!E$5:E$257,MATCH(B18,'Revised 2019 Lockdown'!B$5:B$257,0))</f>
        <v>2696626.28</v>
      </c>
      <c r="G18" s="7">
        <f>INDEX('Revised 2019 Lockdown'!F$5:F$257,MATCH(B18,'Revised 2019 Lockdown'!B$5:B$257,0))</f>
        <v>129351.95</v>
      </c>
      <c r="H18" s="7">
        <f t="shared" si="2"/>
        <v>2567274.3299999996</v>
      </c>
      <c r="I18" s="6">
        <f t="shared" si="3"/>
        <v>231.11336938448667</v>
      </c>
      <c r="J18" s="6">
        <f t="shared" si="4"/>
        <v>231.11336938448667</v>
      </c>
      <c r="K18" s="5">
        <f t="shared" si="5"/>
        <v>2567274.3299999996</v>
      </c>
      <c r="L18" s="4">
        <f t="shared" si="0"/>
        <v>0</v>
      </c>
      <c r="M18" s="2" cm="1">
        <f t="array" ref="M18">SUMPRODUCT(--($L$6:$L$300&lt;&gt;1),--($C$6:$C$300=$C18),$H$6:$H$300)/SUMPRODUCT(--($L$6:$L$300&lt;&gt;1),--($C$6:$C$300=$C18),$E$6:$E$300)</f>
        <v>423.21962221333717</v>
      </c>
      <c r="N18" s="1" cm="1">
        <f t="array" ref="N18">SUMPRODUCT(--($L$6:$L$300&lt;&gt;1),--($C$6:$C$300=$C18))</f>
        <v>7</v>
      </c>
      <c r="O18" s="3">
        <f t="shared" si="6"/>
        <v>36904.812375942231</v>
      </c>
      <c r="P18" s="2" cm="1">
        <f t="array" ref="P18">SQRT(SUMPRODUCT(--($L$6:$L$300&lt;&gt;1),--($C$6:$C$300=$C18),$E$6:$E$300,$O$6:$O$300)/((N18-1)*SUMPRODUCT(--($L$6:$L$300&lt;&gt;1),--($C$6:$C$300=$C18),$E$6:$E$300)/N18))</f>
        <v>284.7045452913319</v>
      </c>
      <c r="Q18" s="2">
        <f t="shared" si="1"/>
        <v>58.35606647756714</v>
      </c>
      <c r="R18" s="2">
        <f t="shared" si="1"/>
        <v>788.08317794910727</v>
      </c>
      <c r="S18" s="2">
        <f t="shared" si="7"/>
        <v>231.11336938448667</v>
      </c>
    </row>
    <row r="19" spans="2:19" x14ac:dyDescent="0.3">
      <c r="B19">
        <v>36</v>
      </c>
      <c r="C19" s="25">
        <v>3</v>
      </c>
      <c r="D19" s="32" t="s">
        <v>61</v>
      </c>
      <c r="E19" s="125">
        <f>INDEX('Revised 2019 Lockdown'!H$5:H$257,MATCH(B19,'Revised 2019 Lockdown'!B$5:B$257,0))</f>
        <v>5586.73</v>
      </c>
      <c r="F19" s="7">
        <f>INDEX('Revised 2019 Lockdown'!E$5:E$257,MATCH(B19,'Revised 2019 Lockdown'!B$5:B$257,0))</f>
        <v>6566433.6200000001</v>
      </c>
      <c r="G19" s="7">
        <f>INDEX('Revised 2019 Lockdown'!F$5:F$257,MATCH(B19,'Revised 2019 Lockdown'!B$5:B$257,0))</f>
        <v>622957</v>
      </c>
      <c r="H19" s="7">
        <f t="shared" si="2"/>
        <v>5943476.6200000001</v>
      </c>
      <c r="I19" s="6">
        <f t="shared" si="3"/>
        <v>1063.8560696507618</v>
      </c>
      <c r="J19" s="6">
        <f t="shared" si="4"/>
        <v>788.08317794910727</v>
      </c>
      <c r="K19" s="5">
        <f t="shared" si="5"/>
        <v>4402807.9327436155</v>
      </c>
      <c r="L19" s="4">
        <f t="shared" si="0"/>
        <v>0</v>
      </c>
      <c r="M19" s="2" cm="1">
        <f t="array" ref="M19">SUMPRODUCT(--($L$6:$L$300&lt;&gt;1),--($C$6:$C$300=$C19),$H$6:$H$300)/SUMPRODUCT(--($L$6:$L$300&lt;&gt;1),--($C$6:$C$300=$C19),$E$6:$E$300)</f>
        <v>423.21962221333717</v>
      </c>
      <c r="N19" s="1" cm="1">
        <f t="array" ref="N19">SUMPRODUCT(--($L$6:$L$300&lt;&gt;1),--($C$6:$C$300=$C19))</f>
        <v>7</v>
      </c>
      <c r="O19" s="3">
        <f t="shared" si="6"/>
        <v>410415.05778524413</v>
      </c>
      <c r="P19" s="2" cm="1">
        <f t="array" ref="P19">SQRT(SUMPRODUCT(--($L$6:$L$300&lt;&gt;1),--($C$6:$C$300=$C19),$E$6:$E$300,$O$6:$O$300)/((N19-1)*SUMPRODUCT(--($L$6:$L$300&lt;&gt;1),--($C$6:$C$300=$C19),$E$6:$E$300)/N19))</f>
        <v>284.7045452913319</v>
      </c>
      <c r="Q19" s="2">
        <f t="shared" si="1"/>
        <v>58.35606647756714</v>
      </c>
      <c r="R19" s="2">
        <f t="shared" si="1"/>
        <v>788.08317794910727</v>
      </c>
      <c r="S19" s="2">
        <f t="shared" si="7"/>
        <v>788.08317794910727</v>
      </c>
    </row>
    <row r="20" spans="2:19" x14ac:dyDescent="0.3">
      <c r="B20">
        <v>55</v>
      </c>
      <c r="C20" s="25">
        <v>3</v>
      </c>
      <c r="D20" s="32" t="s">
        <v>62</v>
      </c>
      <c r="E20" s="125">
        <f>INDEX('Revised 2019 Lockdown'!H$5:H$257,MATCH(B20,'Revised 2019 Lockdown'!B$5:B$257,0))</f>
        <v>3486.1699999999992</v>
      </c>
      <c r="F20" s="7">
        <f>INDEX('Revised 2019 Lockdown'!E$5:E$257,MATCH(B20,'Revised 2019 Lockdown'!B$5:B$257,0))</f>
        <v>1496659.65</v>
      </c>
      <c r="G20" s="7">
        <f>INDEX('Revised 2019 Lockdown'!F$5:F$257,MATCH(B20,'Revised 2019 Lockdown'!B$5:B$257,0))</f>
        <v>60217.409999999996</v>
      </c>
      <c r="H20" s="7">
        <f t="shared" si="2"/>
        <v>1436442.24</v>
      </c>
      <c r="I20" s="6">
        <f t="shared" si="3"/>
        <v>412.04021605372094</v>
      </c>
      <c r="J20" s="6">
        <f t="shared" si="4"/>
        <v>412.04021605372094</v>
      </c>
      <c r="K20" s="5">
        <f t="shared" si="5"/>
        <v>1436442.24</v>
      </c>
      <c r="L20" s="4">
        <f t="shared" si="0"/>
        <v>0</v>
      </c>
      <c r="M20" s="2" cm="1">
        <f t="array" ref="M20">SUMPRODUCT(--($L$6:$L$300&lt;&gt;1),--($C$6:$C$300=$C20),$H$6:$H$300)/SUMPRODUCT(--($L$6:$L$300&lt;&gt;1),--($C$6:$C$300=$C20),$E$6:$E$300)</f>
        <v>423.21962221333717</v>
      </c>
      <c r="N20" s="1" cm="1">
        <f t="array" ref="N20">SUMPRODUCT(--($L$6:$L$300&lt;&gt;1),--($C$6:$C$300=$C20))</f>
        <v>7</v>
      </c>
      <c r="O20" s="3">
        <f t="shared" si="6"/>
        <v>124.97912208166542</v>
      </c>
      <c r="P20" s="2" cm="1">
        <f t="array" ref="P20">SQRT(SUMPRODUCT(--($L$6:$L$300&lt;&gt;1),--($C$6:$C$300=$C20),$E$6:$E$300,$O$6:$O$300)/((N20-1)*SUMPRODUCT(--($L$6:$L$300&lt;&gt;1),--($C$6:$C$300=$C20),$E$6:$E$300)/N20))</f>
        <v>284.7045452913319</v>
      </c>
      <c r="Q20" s="2">
        <f t="shared" si="1"/>
        <v>58.35606647756714</v>
      </c>
      <c r="R20" s="2">
        <f t="shared" si="1"/>
        <v>788.08317794910727</v>
      </c>
      <c r="S20" s="2">
        <f t="shared" si="7"/>
        <v>412.04021605372094</v>
      </c>
    </row>
    <row r="21" spans="2:19" x14ac:dyDescent="0.3">
      <c r="B21">
        <v>103</v>
      </c>
      <c r="C21" s="25">
        <v>3</v>
      </c>
      <c r="D21" s="32" t="s">
        <v>63</v>
      </c>
      <c r="E21" s="125">
        <f>INDEX('Revised 2019 Lockdown'!H$5:H$257,MATCH(B21,'Revised 2019 Lockdown'!B$5:B$257,0))</f>
        <v>4157.59</v>
      </c>
      <c r="F21" s="7">
        <f>INDEX('Revised 2019 Lockdown'!E$5:E$257,MATCH(B21,'Revised 2019 Lockdown'!B$5:B$257,0))</f>
        <v>1753178.73</v>
      </c>
      <c r="G21" s="7">
        <f>INDEX('Revised 2019 Lockdown'!F$5:F$257,MATCH(B21,'Revised 2019 Lockdown'!B$5:B$257,0))</f>
        <v>368978.78</v>
      </c>
      <c r="H21" s="7">
        <f t="shared" si="2"/>
        <v>1384199.95</v>
      </c>
      <c r="I21" s="6">
        <f t="shared" si="3"/>
        <v>332.93324979134542</v>
      </c>
      <c r="J21" s="6">
        <f t="shared" si="4"/>
        <v>332.93324979134542</v>
      </c>
      <c r="K21" s="5">
        <f t="shared" si="5"/>
        <v>1384199.95</v>
      </c>
      <c r="L21" s="4">
        <f t="shared" si="0"/>
        <v>0</v>
      </c>
      <c r="M21" s="2" cm="1">
        <f t="array" ref="M21">SUMPRODUCT(--($L$6:$L$300&lt;&gt;1),--($C$6:$C$300=$C21),$H$6:$H$300)/SUMPRODUCT(--($L$6:$L$300&lt;&gt;1),--($C$6:$C$300=$C21),$E$6:$E$300)</f>
        <v>423.21962221333717</v>
      </c>
      <c r="N21" s="1" cm="1">
        <f t="array" ref="N21">SUMPRODUCT(--($L$6:$L$300&lt;&gt;1),--($C$6:$C$300=$C21))</f>
        <v>7</v>
      </c>
      <c r="O21" s="3">
        <f t="shared" si="6"/>
        <v>8151.6290451225941</v>
      </c>
      <c r="P21" s="2" cm="1">
        <f t="array" ref="P21">SQRT(SUMPRODUCT(--($L$6:$L$300&lt;&gt;1),--($C$6:$C$300=$C21),$E$6:$E$300,$O$6:$O$300)/((N21-1)*SUMPRODUCT(--($L$6:$L$300&lt;&gt;1),--($C$6:$C$300=$C21),$E$6:$E$300)/N21))</f>
        <v>284.7045452913319</v>
      </c>
      <c r="Q21" s="2">
        <f t="shared" si="1"/>
        <v>58.35606647756714</v>
      </c>
      <c r="R21" s="2">
        <f t="shared" si="1"/>
        <v>788.08317794910727</v>
      </c>
      <c r="S21" s="2">
        <f t="shared" si="7"/>
        <v>332.93324979134542</v>
      </c>
    </row>
    <row r="22" spans="2:19" x14ac:dyDescent="0.3">
      <c r="B22">
        <v>123</v>
      </c>
      <c r="C22" s="25">
        <v>3</v>
      </c>
      <c r="D22" s="32" t="s">
        <v>64</v>
      </c>
      <c r="E22" s="125">
        <f>INDEX('Revised 2019 Lockdown'!H$5:H$257,MATCH(B22,'Revised 2019 Lockdown'!B$5:B$257,0))</f>
        <v>6660.2900000000009</v>
      </c>
      <c r="F22" s="7">
        <f>INDEX('Revised 2019 Lockdown'!E$5:E$257,MATCH(B22,'Revised 2019 Lockdown'!B$5:B$257,0))</f>
        <v>2566779.13</v>
      </c>
      <c r="G22" s="7">
        <f>INDEX('Revised 2019 Lockdown'!F$5:F$257,MATCH(B22,'Revised 2019 Lockdown'!B$5:B$257,0))</f>
        <v>0</v>
      </c>
      <c r="H22" s="7">
        <f t="shared" si="2"/>
        <v>2566779.13</v>
      </c>
      <c r="I22" s="6">
        <f t="shared" si="3"/>
        <v>385.38549072187539</v>
      </c>
      <c r="J22" s="6">
        <f t="shared" si="4"/>
        <v>385.38549072187539</v>
      </c>
      <c r="K22" s="5">
        <f t="shared" si="5"/>
        <v>2566779.13</v>
      </c>
      <c r="L22" s="4">
        <f t="shared" si="0"/>
        <v>0</v>
      </c>
      <c r="M22" s="2" cm="1">
        <f t="array" ref="M22">SUMPRODUCT(--($L$6:$L$300&lt;&gt;1),--($C$6:$C$300=$C22),$H$6:$H$300)/SUMPRODUCT(--($L$6:$L$300&lt;&gt;1),--($C$6:$C$300=$C22),$E$6:$E$300)</f>
        <v>423.21962221333717</v>
      </c>
      <c r="N22" s="1" cm="1">
        <f t="array" ref="N22">SUMPRODUCT(--($L$6:$L$300&lt;&gt;1),--($C$6:$C$300=$C22))</f>
        <v>7</v>
      </c>
      <c r="O22" s="3">
        <f t="shared" si="6"/>
        <v>1431.4215057132208</v>
      </c>
      <c r="P22" s="2" cm="1">
        <f t="array" ref="P22">SQRT(SUMPRODUCT(--($L$6:$L$300&lt;&gt;1),--($C$6:$C$300=$C22),$E$6:$E$300,$O$6:$O$300)/((N22-1)*SUMPRODUCT(--($L$6:$L$300&lt;&gt;1),--($C$6:$C$300=$C22),$E$6:$E$300)/N22))</f>
        <v>284.7045452913319</v>
      </c>
      <c r="Q22" s="2">
        <f t="shared" si="1"/>
        <v>58.35606647756714</v>
      </c>
      <c r="R22" s="2">
        <f t="shared" si="1"/>
        <v>788.08317794910727</v>
      </c>
      <c r="S22" s="2">
        <f t="shared" si="7"/>
        <v>385.38549072187539</v>
      </c>
    </row>
    <row r="23" spans="2:19" x14ac:dyDescent="0.3">
      <c r="B23">
        <v>179</v>
      </c>
      <c r="C23" s="25">
        <v>3</v>
      </c>
      <c r="D23" s="32" t="s">
        <v>65</v>
      </c>
      <c r="E23" s="125">
        <f>INDEX('Revised 2019 Lockdown'!H$5:H$257,MATCH(B23,'Revised 2019 Lockdown'!B$5:B$257,0))</f>
        <v>4763.5400000000009</v>
      </c>
      <c r="F23" s="7">
        <f>INDEX('Revised 2019 Lockdown'!E$5:E$257,MATCH(B23,'Revised 2019 Lockdown'!B$5:B$257,0))</f>
        <v>2969506.46</v>
      </c>
      <c r="G23" s="7">
        <f>INDEX('Revised 2019 Lockdown'!F$5:F$257,MATCH(B23,'Revised 2019 Lockdown'!B$5:B$257,0))</f>
        <v>514954.06</v>
      </c>
      <c r="H23" s="7">
        <f t="shared" si="2"/>
        <v>2454552.4</v>
      </c>
      <c r="I23" s="6">
        <f t="shared" si="3"/>
        <v>515.27905717176714</v>
      </c>
      <c r="J23" s="6">
        <f t="shared" si="4"/>
        <v>515.27905717176714</v>
      </c>
      <c r="K23" s="5">
        <f t="shared" si="5"/>
        <v>2454552.4</v>
      </c>
      <c r="L23" s="4">
        <f t="shared" si="0"/>
        <v>0</v>
      </c>
      <c r="M23" s="2" cm="1">
        <f t="array" ref="M23">SUMPRODUCT(--($L$6:$L$300&lt;&gt;1),--($C$6:$C$300=$C23),$H$6:$H$300)/SUMPRODUCT(--($L$6:$L$300&lt;&gt;1),--($C$6:$C$300=$C23),$E$6:$E$300)</f>
        <v>423.21962221333717</v>
      </c>
      <c r="N23" s="1" cm="1">
        <f t="array" ref="N23">SUMPRODUCT(--($L$6:$L$300&lt;&gt;1),--($C$6:$C$300=$C23))</f>
        <v>7</v>
      </c>
      <c r="O23" s="3">
        <f t="shared" si="6"/>
        <v>8474.9395648653972</v>
      </c>
      <c r="P23" s="2" cm="1">
        <f t="array" ref="P23">SQRT(SUMPRODUCT(--($L$6:$L$300&lt;&gt;1),--($C$6:$C$300=$C23),$E$6:$E$300,$O$6:$O$300)/((N23-1)*SUMPRODUCT(--($L$6:$L$300&lt;&gt;1),--($C$6:$C$300=$C23),$E$6:$E$300)/N23))</f>
        <v>284.7045452913319</v>
      </c>
      <c r="Q23" s="2">
        <f t="shared" si="1"/>
        <v>58.35606647756714</v>
      </c>
      <c r="R23" s="2">
        <f t="shared" si="1"/>
        <v>788.08317794910727</v>
      </c>
      <c r="S23" s="2">
        <f t="shared" si="7"/>
        <v>515.27905717176714</v>
      </c>
    </row>
    <row r="24" spans="2:19" x14ac:dyDescent="0.3">
      <c r="B24">
        <v>293</v>
      </c>
      <c r="C24" s="25">
        <v>3</v>
      </c>
      <c r="D24" s="32" t="s">
        <v>66</v>
      </c>
      <c r="E24" s="125">
        <f>INDEX('Revised 2019 Lockdown'!H$5:H$257,MATCH(B24,'Revised 2019 Lockdown'!B$5:B$257,0))</f>
        <v>7281.260000000002</v>
      </c>
      <c r="F24" s="7">
        <f>INDEX('Revised 2019 Lockdown'!E$5:E$257,MATCH(B24,'Revised 2019 Lockdown'!B$5:B$257,0))</f>
        <v>2668555.6</v>
      </c>
      <c r="G24" s="7">
        <f>INDEX('Revised 2019 Lockdown'!F$5:F$257,MATCH(B24,'Revised 2019 Lockdown'!B$5:B$257,0))</f>
        <v>804269.87</v>
      </c>
      <c r="H24" s="7">
        <f t="shared" si="2"/>
        <v>1864285.73</v>
      </c>
      <c r="I24" s="6">
        <f t="shared" si="3"/>
        <v>256.0388902470176</v>
      </c>
      <c r="J24" s="6">
        <f t="shared" si="4"/>
        <v>256.0388902470176</v>
      </c>
      <c r="K24" s="5">
        <f t="shared" si="5"/>
        <v>1864285.73</v>
      </c>
      <c r="L24" s="4">
        <f t="shared" si="0"/>
        <v>0</v>
      </c>
      <c r="M24" s="2" cm="1">
        <f t="array" ref="M24">SUMPRODUCT(--($L$6:$L$300&lt;&gt;1),--($C$6:$C$300=$C24),$H$6:$H$300)/SUMPRODUCT(--($L$6:$L$300&lt;&gt;1),--($C$6:$C$300=$C24),$E$6:$E$300)</f>
        <v>423.21962221333717</v>
      </c>
      <c r="N24" s="1" cm="1">
        <f t="array" ref="N24">SUMPRODUCT(--($L$6:$L$300&lt;&gt;1),--($C$6:$C$300=$C24))</f>
        <v>7</v>
      </c>
      <c r="O24" s="3">
        <f t="shared" si="6"/>
        <v>27949.397140794386</v>
      </c>
      <c r="P24" s="2" cm="1">
        <f t="array" ref="P24">SQRT(SUMPRODUCT(--($L$6:$L$300&lt;&gt;1),--($C$6:$C$300=$C24),$E$6:$E$300,$O$6:$O$300)/((N24-1)*SUMPRODUCT(--($L$6:$L$300&lt;&gt;1),--($C$6:$C$300=$C24),$E$6:$E$300)/N24))</f>
        <v>284.7045452913319</v>
      </c>
      <c r="Q24" s="2">
        <f t="shared" si="1"/>
        <v>58.35606647756714</v>
      </c>
      <c r="R24" s="2">
        <f t="shared" si="1"/>
        <v>788.08317794910727</v>
      </c>
      <c r="S24" s="2">
        <f t="shared" si="7"/>
        <v>256.0388902470176</v>
      </c>
    </row>
    <row r="25" spans="2:19" x14ac:dyDescent="0.3">
      <c r="B25">
        <v>12</v>
      </c>
      <c r="C25" s="25">
        <v>4</v>
      </c>
      <c r="D25" s="32" t="s">
        <v>67</v>
      </c>
      <c r="E25" s="125">
        <f>INDEX('Revised 2019 Lockdown'!H$5:H$257,MATCH(B25,'Revised 2019 Lockdown'!B$5:B$257,0))</f>
        <v>4825.329999999999</v>
      </c>
      <c r="F25" s="7">
        <f>INDEX('Revised 2019 Lockdown'!E$5:E$257,MATCH(B25,'Revised 2019 Lockdown'!B$5:B$257,0))</f>
        <v>3052966.7</v>
      </c>
      <c r="G25" s="7">
        <f>INDEX('Revised 2019 Lockdown'!F$5:F$257,MATCH(B25,'Revised 2019 Lockdown'!B$5:B$257,0))</f>
        <v>488646.3899999999</v>
      </c>
      <c r="H25" s="7">
        <f t="shared" si="2"/>
        <v>2564320.3100000005</v>
      </c>
      <c r="I25" s="6">
        <f t="shared" si="3"/>
        <v>531.42900278322952</v>
      </c>
      <c r="J25" s="6">
        <f t="shared" si="4"/>
        <v>531.42900278322952</v>
      </c>
      <c r="K25" s="5">
        <f t="shared" si="5"/>
        <v>2564320.3100000005</v>
      </c>
      <c r="L25" s="4">
        <f t="shared" si="0"/>
        <v>0</v>
      </c>
      <c r="M25" s="2" cm="1">
        <f t="array" ref="M25">SUMPRODUCT(--($L$6:$L$300&lt;&gt;1),--($C$6:$C$300=$C25),$H$6:$H$300)/SUMPRODUCT(--($L$6:$L$300&lt;&gt;1),--($C$6:$C$300=$C25),$E$6:$E$300)</f>
        <v>491.3310626649241</v>
      </c>
      <c r="N25" s="1" cm="1">
        <f t="array" ref="N25">SUMPRODUCT(--($L$6:$L$300&lt;&gt;1),--($C$6:$C$300=$C25))</f>
        <v>15</v>
      </c>
      <c r="O25" s="3">
        <f t="shared" si="6"/>
        <v>1607.8448017312071</v>
      </c>
      <c r="P25" s="2" cm="1">
        <f t="array" ref="P25">SQRT(SUMPRODUCT(--($L$6:$L$300&lt;&gt;1),--($C$6:$C$300=$C25),$E$6:$E$300,$O$6:$O$300)/((N25-1)*SUMPRODUCT(--($L$6:$L$300&lt;&gt;1),--($C$6:$C$300=$C25),$E$6:$E$300)/N25))</f>
        <v>160.16252509966108</v>
      </c>
      <c r="Q25" s="2">
        <f t="shared" si="1"/>
        <v>286.07452788187709</v>
      </c>
      <c r="R25" s="2">
        <f t="shared" si="1"/>
        <v>696.58759744797112</v>
      </c>
      <c r="S25" s="2">
        <f t="shared" si="7"/>
        <v>531.42900278322952</v>
      </c>
    </row>
    <row r="26" spans="2:19" x14ac:dyDescent="0.3">
      <c r="B26">
        <v>21</v>
      </c>
      <c r="C26" s="25">
        <v>4</v>
      </c>
      <c r="D26" s="32" t="s">
        <v>68</v>
      </c>
      <c r="E26" s="125">
        <f>INDEX('Revised 2019 Lockdown'!H$5:H$257,MATCH(B26,'Revised 2019 Lockdown'!B$5:B$257,0))</f>
        <v>5084.4800000000014</v>
      </c>
      <c r="F26" s="7">
        <f>INDEX('Revised 2019 Lockdown'!E$5:E$257,MATCH(B26,'Revised 2019 Lockdown'!B$5:B$257,0))</f>
        <v>3295191.2</v>
      </c>
      <c r="G26" s="7">
        <f>INDEX('Revised 2019 Lockdown'!F$5:F$257,MATCH(B26,'Revised 2019 Lockdown'!B$5:B$257,0))</f>
        <v>429434.07</v>
      </c>
      <c r="H26" s="7">
        <f t="shared" si="2"/>
        <v>2865757.1300000004</v>
      </c>
      <c r="I26" s="6">
        <f t="shared" si="3"/>
        <v>563.6283612090125</v>
      </c>
      <c r="J26" s="6">
        <f t="shared" si="4"/>
        <v>563.6283612090125</v>
      </c>
      <c r="K26" s="5">
        <f t="shared" si="5"/>
        <v>2865757.1300000008</v>
      </c>
      <c r="L26" s="4">
        <f t="shared" si="0"/>
        <v>0</v>
      </c>
      <c r="M26" s="2" cm="1">
        <f t="array" ref="M26">SUMPRODUCT(--($L$6:$L$300&lt;&gt;1),--($C$6:$C$300=$C26),$H$6:$H$300)/SUMPRODUCT(--($L$6:$L$300&lt;&gt;1),--($C$6:$C$300=$C26),$E$6:$E$300)</f>
        <v>491.3310626649241</v>
      </c>
      <c r="N26" s="1" cm="1">
        <f t="array" ref="N26">SUMPRODUCT(--($L$6:$L$300&lt;&gt;1),--($C$6:$C$300=$C26))</f>
        <v>15</v>
      </c>
      <c r="O26" s="3">
        <f t="shared" si="6"/>
        <v>5226.8993767730453</v>
      </c>
      <c r="P26" s="2" cm="1">
        <f t="array" ref="P26">SQRT(SUMPRODUCT(--($L$6:$L$300&lt;&gt;1),--($C$6:$C$300=$C26),$E$6:$E$300,$O$6:$O$300)/((N26-1)*SUMPRODUCT(--($L$6:$L$300&lt;&gt;1),--($C$6:$C$300=$C26),$E$6:$E$300)/N26))</f>
        <v>160.16252509966108</v>
      </c>
      <c r="Q26" s="2">
        <f t="shared" si="1"/>
        <v>286.07452788187709</v>
      </c>
      <c r="R26" s="2">
        <f t="shared" si="1"/>
        <v>696.58759744797112</v>
      </c>
      <c r="S26" s="2">
        <f t="shared" si="7"/>
        <v>563.6283612090125</v>
      </c>
    </row>
    <row r="27" spans="2:19" x14ac:dyDescent="0.3">
      <c r="B27">
        <v>34</v>
      </c>
      <c r="C27" s="25">
        <v>4</v>
      </c>
      <c r="D27" s="32" t="s">
        <v>69</v>
      </c>
      <c r="E27" s="125">
        <f>INDEX('Revised 2019 Lockdown'!H$5:H$257,MATCH(B27,'Revised 2019 Lockdown'!B$5:B$257,0))</f>
        <v>4463.82</v>
      </c>
      <c r="F27" s="7">
        <f>INDEX('Revised 2019 Lockdown'!E$5:E$257,MATCH(B27,'Revised 2019 Lockdown'!B$5:B$257,0))</f>
        <v>2138130.23</v>
      </c>
      <c r="G27" s="7">
        <f>INDEX('Revised 2019 Lockdown'!F$5:F$257,MATCH(B27,'Revised 2019 Lockdown'!B$5:B$257,0))</f>
        <v>417619.64</v>
      </c>
      <c r="H27" s="7">
        <f t="shared" si="2"/>
        <v>1720510.5899999999</v>
      </c>
      <c r="I27" s="6">
        <f t="shared" si="3"/>
        <v>385.43458069545812</v>
      </c>
      <c r="J27" s="6">
        <f t="shared" si="4"/>
        <v>385.43458069545812</v>
      </c>
      <c r="K27" s="5">
        <f t="shared" si="5"/>
        <v>1720510.5899999999</v>
      </c>
      <c r="L27" s="4">
        <f t="shared" si="0"/>
        <v>0</v>
      </c>
      <c r="M27" s="2" cm="1">
        <f t="array" ref="M27">SUMPRODUCT(--($L$6:$L$300&lt;&gt;1),--($C$6:$C$300=$C27),$H$6:$H$300)/SUMPRODUCT(--($L$6:$L$300&lt;&gt;1),--($C$6:$C$300=$C27),$E$6:$E$300)</f>
        <v>491.3310626649241</v>
      </c>
      <c r="N27" s="1" cm="1">
        <f t="array" ref="N27">SUMPRODUCT(--($L$6:$L$300&lt;&gt;1),--($C$6:$C$300=$C27))</f>
        <v>15</v>
      </c>
      <c r="O27" s="3">
        <f t="shared" si="6"/>
        <v>11214.064893509434</v>
      </c>
      <c r="P27" s="2" cm="1">
        <f t="array" ref="P27">SQRT(SUMPRODUCT(--($L$6:$L$300&lt;&gt;1),--($C$6:$C$300=$C27),$E$6:$E$300,$O$6:$O$300)/((N27-1)*SUMPRODUCT(--($L$6:$L$300&lt;&gt;1),--($C$6:$C$300=$C27),$E$6:$E$300)/N27))</f>
        <v>160.16252509966108</v>
      </c>
      <c r="Q27" s="2">
        <f t="shared" si="1"/>
        <v>286.07452788187709</v>
      </c>
      <c r="R27" s="2">
        <f t="shared" si="1"/>
        <v>696.58759744797112</v>
      </c>
      <c r="S27" s="2">
        <f t="shared" si="7"/>
        <v>385.43458069545812</v>
      </c>
    </row>
    <row r="28" spans="2:19" x14ac:dyDescent="0.3">
      <c r="B28">
        <v>87</v>
      </c>
      <c r="C28" s="25">
        <v>4</v>
      </c>
      <c r="D28" s="32" t="s">
        <v>70</v>
      </c>
      <c r="E28" s="125">
        <f>INDEX('Revised 2019 Lockdown'!H$5:H$257,MATCH(B28,'Revised 2019 Lockdown'!B$5:B$257,0))</f>
        <v>10236.479999999998</v>
      </c>
      <c r="F28" s="7">
        <f>INDEX('Revised 2019 Lockdown'!E$5:E$257,MATCH(B28,'Revised 2019 Lockdown'!B$5:B$257,0))</f>
        <v>4913017.38</v>
      </c>
      <c r="G28" s="7">
        <f>INDEX('Revised 2019 Lockdown'!F$5:F$257,MATCH(B28,'Revised 2019 Lockdown'!B$5:B$257,0))</f>
        <v>799960.04</v>
      </c>
      <c r="H28" s="7">
        <f t="shared" si="2"/>
        <v>4113057.34</v>
      </c>
      <c r="I28" s="6">
        <f t="shared" si="3"/>
        <v>401.80387594173004</v>
      </c>
      <c r="J28" s="6">
        <f t="shared" si="4"/>
        <v>401.80387594173004</v>
      </c>
      <c r="K28" s="5">
        <f t="shared" si="5"/>
        <v>4113057.34</v>
      </c>
      <c r="L28" s="4">
        <f t="shared" si="0"/>
        <v>0</v>
      </c>
      <c r="M28" s="2" cm="1">
        <f t="array" ref="M28">SUMPRODUCT(--($L$6:$L$300&lt;&gt;1),--($C$6:$C$300=$C28),$H$6:$H$300)/SUMPRODUCT(--($L$6:$L$300&lt;&gt;1),--($C$6:$C$300=$C28),$E$6:$E$300)</f>
        <v>491.3310626649241</v>
      </c>
      <c r="N28" s="1" cm="1">
        <f t="array" ref="N28">SUMPRODUCT(--($L$6:$L$300&lt;&gt;1),--($C$6:$C$300=$C28))</f>
        <v>15</v>
      </c>
      <c r="O28" s="3">
        <f t="shared" si="6"/>
        <v>8015.1171625696552</v>
      </c>
      <c r="P28" s="2" cm="1">
        <f t="array" ref="P28">SQRT(SUMPRODUCT(--($L$6:$L$300&lt;&gt;1),--($C$6:$C$300=$C28),$E$6:$E$300,$O$6:$O$300)/((N28-1)*SUMPRODUCT(--($L$6:$L$300&lt;&gt;1),--($C$6:$C$300=$C28),$E$6:$E$300)/N28))</f>
        <v>160.16252509966108</v>
      </c>
      <c r="Q28" s="2">
        <f t="shared" si="1"/>
        <v>286.07452788187709</v>
      </c>
      <c r="R28" s="2">
        <f t="shared" si="1"/>
        <v>696.58759744797112</v>
      </c>
      <c r="S28" s="2">
        <f t="shared" si="7"/>
        <v>401.80387594173004</v>
      </c>
    </row>
    <row r="29" spans="2:19" x14ac:dyDescent="0.3">
      <c r="B29">
        <v>88</v>
      </c>
      <c r="C29" s="25">
        <v>4</v>
      </c>
      <c r="D29" s="32" t="s">
        <v>71</v>
      </c>
      <c r="E29" s="125">
        <f>INDEX('Revised 2019 Lockdown'!H$5:H$257,MATCH(B29,'Revised 2019 Lockdown'!B$5:B$257,0))</f>
        <v>4907.8008</v>
      </c>
      <c r="F29" s="7">
        <f>INDEX('Revised 2019 Lockdown'!E$5:E$257,MATCH(B29,'Revised 2019 Lockdown'!B$5:B$257,0))</f>
        <v>2453153.67</v>
      </c>
      <c r="G29" s="7">
        <f>INDEX('Revised 2019 Lockdown'!F$5:F$257,MATCH(B29,'Revised 2019 Lockdown'!B$5:B$257,0))</f>
        <v>459020.94</v>
      </c>
      <c r="H29" s="7">
        <f t="shared" si="2"/>
        <v>1994132.73</v>
      </c>
      <c r="I29" s="6">
        <f t="shared" si="3"/>
        <v>406.31900341187441</v>
      </c>
      <c r="J29" s="6">
        <f t="shared" si="4"/>
        <v>406.31900341187441</v>
      </c>
      <c r="K29" s="5">
        <f t="shared" si="5"/>
        <v>1994132.73</v>
      </c>
      <c r="L29" s="4">
        <f t="shared" si="0"/>
        <v>0</v>
      </c>
      <c r="M29" s="2" cm="1">
        <f t="array" ref="M29">SUMPRODUCT(--($L$6:$L$300&lt;&gt;1),--($C$6:$C$300=$C29),$H$6:$H$300)/SUMPRODUCT(--($L$6:$L$300&lt;&gt;1),--($C$6:$C$300=$C29),$E$6:$E$300)</f>
        <v>491.3310626649241</v>
      </c>
      <c r="N29" s="1" cm="1">
        <f t="array" ref="N29">SUMPRODUCT(--($L$6:$L$300&lt;&gt;1),--($C$6:$C$300=$C29))</f>
        <v>15</v>
      </c>
      <c r="O29" s="3">
        <f t="shared" si="6"/>
        <v>7227.0502184440329</v>
      </c>
      <c r="P29" s="2" cm="1">
        <f t="array" ref="P29">SQRT(SUMPRODUCT(--($L$6:$L$300&lt;&gt;1),--($C$6:$C$300=$C29),$E$6:$E$300,$O$6:$O$300)/((N29-1)*SUMPRODUCT(--($L$6:$L$300&lt;&gt;1),--($C$6:$C$300=$C29),$E$6:$E$300)/N29))</f>
        <v>160.16252509966108</v>
      </c>
      <c r="Q29" s="2">
        <f t="shared" si="1"/>
        <v>286.07452788187709</v>
      </c>
      <c r="R29" s="2">
        <f t="shared" si="1"/>
        <v>696.58759744797112</v>
      </c>
      <c r="S29" s="2">
        <f t="shared" si="7"/>
        <v>406.31900341187441</v>
      </c>
    </row>
    <row r="30" spans="2:19" x14ac:dyDescent="0.3">
      <c r="B30">
        <v>89</v>
      </c>
      <c r="C30" s="25">
        <v>4</v>
      </c>
      <c r="D30" s="32" t="s">
        <v>291</v>
      </c>
      <c r="E30" s="125">
        <f>INDEX('Revised 2019 Lockdown'!H$5:H$257,MATCH(B30,'Revised 2019 Lockdown'!B$5:B$257,0))</f>
        <v>5289.19</v>
      </c>
      <c r="F30" s="7">
        <f>INDEX('Revised 2019 Lockdown'!E$5:E$257,MATCH(B30,'Revised 2019 Lockdown'!B$5:B$257,0))</f>
        <v>4597416.66</v>
      </c>
      <c r="G30" s="7">
        <f>INDEX('Revised 2019 Lockdown'!F$5:F$257,MATCH(B30,'Revised 2019 Lockdown'!B$5:B$257,0))</f>
        <v>379921.47</v>
      </c>
      <c r="H30" s="7">
        <f t="shared" si="2"/>
        <v>4217495.1900000004</v>
      </c>
      <c r="I30" s="6">
        <f t="shared" si="3"/>
        <v>797.38016407049111</v>
      </c>
      <c r="J30" s="6">
        <f t="shared" si="4"/>
        <v>696.58759744797112</v>
      </c>
      <c r="K30" s="5">
        <f t="shared" si="5"/>
        <v>3684384.1545458343</v>
      </c>
      <c r="L30" s="4">
        <f t="shared" si="0"/>
        <v>0</v>
      </c>
      <c r="M30" s="2" cm="1">
        <f t="array" ref="M30">SUMPRODUCT(--($L$6:$L$300&lt;&gt;1),--($C$6:$C$300=$C30),$H$6:$H$300)/SUMPRODUCT(--($L$6:$L$300&lt;&gt;1),--($C$6:$C$300=$C30),$E$6:$E$300)</f>
        <v>491.3310626649241</v>
      </c>
      <c r="N30" s="1" cm="1">
        <f t="array" ref="N30">SUMPRODUCT(--($L$6:$L$300&lt;&gt;1),--($C$6:$C$300=$C30))</f>
        <v>15</v>
      </c>
      <c r="O30" s="3">
        <f t="shared" si="6"/>
        <v>93666.052471155039</v>
      </c>
      <c r="P30" s="2" cm="1">
        <f t="array" ref="P30">SQRT(SUMPRODUCT(--($L$6:$L$300&lt;&gt;1),--($C$6:$C$300=$C30),$E$6:$E$300,$O$6:$O$300)/((N30-1)*SUMPRODUCT(--($L$6:$L$300&lt;&gt;1),--($C$6:$C$300=$C30),$E$6:$E$300)/N30))</f>
        <v>160.16252509966108</v>
      </c>
      <c r="Q30" s="2">
        <f t="shared" si="1"/>
        <v>286.07452788187709</v>
      </c>
      <c r="R30" s="2">
        <f t="shared" si="1"/>
        <v>696.58759744797112</v>
      </c>
      <c r="S30" s="2">
        <f t="shared" si="7"/>
        <v>696.58759744797112</v>
      </c>
    </row>
    <row r="31" spans="2:19" x14ac:dyDescent="0.3">
      <c r="B31">
        <v>143</v>
      </c>
      <c r="C31" s="25">
        <v>4</v>
      </c>
      <c r="D31" s="32" t="s">
        <v>72</v>
      </c>
      <c r="E31" s="125">
        <f>INDEX('Revised 2019 Lockdown'!H$5:H$257,MATCH(B31,'Revised 2019 Lockdown'!B$5:B$257,0))</f>
        <v>2868.39</v>
      </c>
      <c r="F31" s="7">
        <f>INDEX('Revised 2019 Lockdown'!E$5:E$257,MATCH(B31,'Revised 2019 Lockdown'!B$5:B$257,0))</f>
        <v>871204.41</v>
      </c>
      <c r="G31" s="7">
        <f>INDEX('Revised 2019 Lockdown'!F$5:F$257,MATCH(B31,'Revised 2019 Lockdown'!B$5:B$257,0))</f>
        <v>280661.95</v>
      </c>
      <c r="H31" s="7">
        <f t="shared" si="2"/>
        <v>590542.46</v>
      </c>
      <c r="I31" s="6">
        <f t="shared" si="3"/>
        <v>205.87941667625392</v>
      </c>
      <c r="J31" s="6">
        <f t="shared" si="4"/>
        <v>205.87941667625392</v>
      </c>
      <c r="K31" s="5">
        <f t="shared" si="5"/>
        <v>590542.46</v>
      </c>
      <c r="L31" s="4">
        <f t="shared" si="0"/>
        <v>0</v>
      </c>
      <c r="M31" s="2" cm="1">
        <f t="array" ref="M31">SUMPRODUCT(--($L$6:$L$300&lt;&gt;1),--($C$6:$C$300=$C31),$H$6:$H$300)/SUMPRODUCT(--($L$6:$L$300&lt;&gt;1),--($C$6:$C$300=$C31),$E$6:$E$300)</f>
        <v>491.3310626649241</v>
      </c>
      <c r="N31" s="1" cm="1">
        <f t="array" ref="N31">SUMPRODUCT(--($L$6:$L$300&lt;&gt;1),--($C$6:$C$300=$C31))</f>
        <v>15</v>
      </c>
      <c r="O31" s="3">
        <f t="shared" si="6"/>
        <v>81482.642197641078</v>
      </c>
      <c r="P31" s="2" cm="1">
        <f t="array" ref="P31">SQRT(SUMPRODUCT(--($L$6:$L$300&lt;&gt;1),--($C$6:$C$300=$C31),$E$6:$E$300,$O$6:$O$300)/((N31-1)*SUMPRODUCT(--($L$6:$L$300&lt;&gt;1),--($C$6:$C$300=$C31),$E$6:$E$300)/N31))</f>
        <v>160.16252509966108</v>
      </c>
      <c r="Q31" s="2">
        <f t="shared" si="1"/>
        <v>286.07452788187709</v>
      </c>
      <c r="R31" s="2">
        <f t="shared" si="1"/>
        <v>696.58759744797112</v>
      </c>
      <c r="S31" s="2">
        <f t="shared" si="7"/>
        <v>205.87941667625392</v>
      </c>
    </row>
    <row r="32" spans="2:19" x14ac:dyDescent="0.3">
      <c r="B32">
        <v>183</v>
      </c>
      <c r="C32" s="25">
        <v>4</v>
      </c>
      <c r="D32" s="32" t="s">
        <v>73</v>
      </c>
      <c r="E32" s="125">
        <f>INDEX('Revised 2019 Lockdown'!H$5:H$257,MATCH(B32,'Revised 2019 Lockdown'!B$5:B$257,0))</f>
        <v>10899.530000000002</v>
      </c>
      <c r="F32" s="7">
        <f>INDEX('Revised 2019 Lockdown'!E$5:E$257,MATCH(B32,'Revised 2019 Lockdown'!B$5:B$257,0))</f>
        <v>6984982.6799999997</v>
      </c>
      <c r="G32" s="7">
        <f>INDEX('Revised 2019 Lockdown'!F$5:F$257,MATCH(B32,'Revised 2019 Lockdown'!B$5:B$257,0))</f>
        <v>345255.24999999994</v>
      </c>
      <c r="H32" s="7">
        <f t="shared" si="2"/>
        <v>6639727.4299999997</v>
      </c>
      <c r="I32" s="6">
        <f t="shared" si="3"/>
        <v>609.17557270818088</v>
      </c>
      <c r="J32" s="6">
        <f t="shared" si="4"/>
        <v>609.17557270818088</v>
      </c>
      <c r="K32" s="5">
        <f t="shared" si="5"/>
        <v>6639727.4300000006</v>
      </c>
      <c r="L32" s="4">
        <f t="shared" si="0"/>
        <v>0</v>
      </c>
      <c r="M32" s="2" cm="1">
        <f t="array" ref="M32">SUMPRODUCT(--($L$6:$L$300&lt;&gt;1),--($C$6:$C$300=$C32),$H$6:$H$300)/SUMPRODUCT(--($L$6:$L$300&lt;&gt;1),--($C$6:$C$300=$C32),$E$6:$E$300)</f>
        <v>491.3310626649241</v>
      </c>
      <c r="N32" s="1" cm="1">
        <f t="array" ref="N32">SUMPRODUCT(--($L$6:$L$300&lt;&gt;1),--($C$6:$C$300=$C32))</f>
        <v>15</v>
      </c>
      <c r="O32" s="3">
        <f t="shared" si="6"/>
        <v>13887.328547335246</v>
      </c>
      <c r="P32" s="2" cm="1">
        <f t="array" ref="P32">SQRT(SUMPRODUCT(--($L$6:$L$300&lt;&gt;1),--($C$6:$C$300=$C32),$E$6:$E$300,$O$6:$O$300)/((N32-1)*SUMPRODUCT(--($L$6:$L$300&lt;&gt;1),--($C$6:$C$300=$C32),$E$6:$E$300)/N32))</f>
        <v>160.16252509966108</v>
      </c>
      <c r="Q32" s="2">
        <f t="shared" si="1"/>
        <v>286.07452788187709</v>
      </c>
      <c r="R32" s="2">
        <f t="shared" si="1"/>
        <v>696.58759744797112</v>
      </c>
      <c r="S32" s="2">
        <f t="shared" si="7"/>
        <v>609.17557270818088</v>
      </c>
    </row>
    <row r="33" spans="2:19" x14ac:dyDescent="0.3">
      <c r="B33">
        <v>186</v>
      </c>
      <c r="C33" s="25">
        <v>4</v>
      </c>
      <c r="D33" s="32" t="s">
        <v>74</v>
      </c>
      <c r="E33" s="125">
        <f>INDEX('Revised 2019 Lockdown'!H$5:H$257,MATCH(B33,'Revised 2019 Lockdown'!B$5:B$257,0))</f>
        <v>10708.64</v>
      </c>
      <c r="F33" s="7">
        <f>INDEX('Revised 2019 Lockdown'!E$5:E$257,MATCH(B33,'Revised 2019 Lockdown'!B$5:B$257,0))</f>
        <v>8376518.0300000003</v>
      </c>
      <c r="G33" s="7">
        <f>INDEX('Revised 2019 Lockdown'!F$5:F$257,MATCH(B33,'Revised 2019 Lockdown'!B$5:B$257,0))</f>
        <v>1283505.8</v>
      </c>
      <c r="H33" s="7">
        <f t="shared" si="2"/>
        <v>7093012.2300000004</v>
      </c>
      <c r="I33" s="6">
        <f t="shared" si="3"/>
        <v>662.36349620493365</v>
      </c>
      <c r="J33" s="6">
        <f t="shared" si="4"/>
        <v>662.36349620493365</v>
      </c>
      <c r="K33" s="5">
        <f t="shared" si="5"/>
        <v>7093012.2300000004</v>
      </c>
      <c r="L33" s="4">
        <f t="shared" si="0"/>
        <v>0</v>
      </c>
      <c r="M33" s="2" cm="1">
        <f t="array" ref="M33">SUMPRODUCT(--($L$6:$L$300&lt;&gt;1),--($C$6:$C$300=$C33),$H$6:$H$300)/SUMPRODUCT(--($L$6:$L$300&lt;&gt;1),--($C$6:$C$300=$C33),$E$6:$E$300)</f>
        <v>491.3310626649241</v>
      </c>
      <c r="N33" s="1" cm="1">
        <f t="array" ref="N33">SUMPRODUCT(--($L$6:$L$300&lt;&gt;1),--($C$6:$C$300=$C33))</f>
        <v>15</v>
      </c>
      <c r="O33" s="3">
        <f t="shared" si="6"/>
        <v>29252.093322617784</v>
      </c>
      <c r="P33" s="2" cm="1">
        <f t="array" ref="P33">SQRT(SUMPRODUCT(--($L$6:$L$300&lt;&gt;1),--($C$6:$C$300=$C33),$E$6:$E$300,$O$6:$O$300)/((N33-1)*SUMPRODUCT(--($L$6:$L$300&lt;&gt;1),--($C$6:$C$300=$C33),$E$6:$E$300)/N33))</f>
        <v>160.16252509966108</v>
      </c>
      <c r="Q33" s="2">
        <f t="shared" si="1"/>
        <v>286.07452788187709</v>
      </c>
      <c r="R33" s="2">
        <f t="shared" si="1"/>
        <v>696.58759744797112</v>
      </c>
      <c r="S33" s="2">
        <f t="shared" si="7"/>
        <v>662.36349620493365</v>
      </c>
    </row>
    <row r="34" spans="2:19" x14ac:dyDescent="0.3">
      <c r="B34">
        <v>190</v>
      </c>
      <c r="C34" s="25">
        <v>4</v>
      </c>
      <c r="D34" s="32" t="s">
        <v>75</v>
      </c>
      <c r="E34" s="125">
        <f>INDEX('Revised 2019 Lockdown'!H$5:H$257,MATCH(B34,'Revised 2019 Lockdown'!B$5:B$257,0))</f>
        <v>3049.19</v>
      </c>
      <c r="F34" s="7">
        <f>INDEX('Revised 2019 Lockdown'!E$5:E$257,MATCH(B34,'Revised 2019 Lockdown'!B$5:B$257,0))</f>
        <v>2369996.16</v>
      </c>
      <c r="G34" s="7">
        <f>INDEX('Revised 2019 Lockdown'!F$5:F$257,MATCH(B34,'Revised 2019 Lockdown'!B$5:B$257,0))</f>
        <v>436295.02999999997</v>
      </c>
      <c r="H34" s="7">
        <f t="shared" si="2"/>
        <v>1933701.1300000001</v>
      </c>
      <c r="I34" s="6">
        <f t="shared" si="3"/>
        <v>634.1687890882497</v>
      </c>
      <c r="J34" s="6">
        <f t="shared" si="4"/>
        <v>634.1687890882497</v>
      </c>
      <c r="K34" s="5">
        <f t="shared" si="5"/>
        <v>1933701.1300000001</v>
      </c>
      <c r="L34" s="4">
        <f t="shared" si="0"/>
        <v>0</v>
      </c>
      <c r="M34" s="2" cm="1">
        <f t="array" ref="M34">SUMPRODUCT(--($L$6:$L$300&lt;&gt;1),--($C$6:$C$300=$C34),$H$6:$H$300)/SUMPRODUCT(--($L$6:$L$300&lt;&gt;1),--($C$6:$C$300=$C34),$E$6:$E$300)</f>
        <v>491.3310626649241</v>
      </c>
      <c r="N34" s="1" cm="1">
        <f t="array" ref="N34">SUMPRODUCT(--($L$6:$L$300&lt;&gt;1),--($C$6:$C$300=$C34))</f>
        <v>15</v>
      </c>
      <c r="O34" s="3">
        <f t="shared" si="6"/>
        <v>20402.616089784806</v>
      </c>
      <c r="P34" s="2" cm="1">
        <f t="array" ref="P34">SQRT(SUMPRODUCT(--($L$6:$L$300&lt;&gt;1),--($C$6:$C$300=$C34),$E$6:$E$300,$O$6:$O$300)/((N34-1)*SUMPRODUCT(--($L$6:$L$300&lt;&gt;1),--($C$6:$C$300=$C34),$E$6:$E$300)/N34))</f>
        <v>160.16252509966108</v>
      </c>
      <c r="Q34" s="2">
        <f t="shared" si="1"/>
        <v>286.07452788187709</v>
      </c>
      <c r="R34" s="2">
        <f t="shared" si="1"/>
        <v>696.58759744797112</v>
      </c>
      <c r="S34" s="2">
        <f t="shared" si="7"/>
        <v>634.1687890882497</v>
      </c>
    </row>
    <row r="35" spans="2:19" x14ac:dyDescent="0.3">
      <c r="B35">
        <v>324</v>
      </c>
      <c r="C35" s="25">
        <v>4</v>
      </c>
      <c r="D35" s="32" t="s">
        <v>76</v>
      </c>
      <c r="E35" s="125">
        <f>INDEX('Revised 2019 Lockdown'!H$5:H$257,MATCH(B35,'Revised 2019 Lockdown'!B$5:B$257,0))</f>
        <v>7376.43</v>
      </c>
      <c r="F35" s="7">
        <f>INDEX('Revised 2019 Lockdown'!E$5:E$257,MATCH(B35,'Revised 2019 Lockdown'!B$5:B$257,0))</f>
        <v>4455265.83</v>
      </c>
      <c r="G35" s="7">
        <f>INDEX('Revised 2019 Lockdown'!F$5:F$257,MATCH(B35,'Revised 2019 Lockdown'!B$5:B$257,0))</f>
        <v>744094.01</v>
      </c>
      <c r="H35" s="7">
        <f t="shared" si="2"/>
        <v>3711171.8200000003</v>
      </c>
      <c r="I35" s="6">
        <f t="shared" si="3"/>
        <v>503.1121857050091</v>
      </c>
      <c r="J35" s="6">
        <f t="shared" si="4"/>
        <v>503.1121857050091</v>
      </c>
      <c r="K35" s="5">
        <f t="shared" si="5"/>
        <v>3711171.8200000003</v>
      </c>
      <c r="L35" s="4">
        <f t="shared" si="0"/>
        <v>0</v>
      </c>
      <c r="M35" s="2" cm="1">
        <f t="array" ref="M35">SUMPRODUCT(--($L$6:$L$300&lt;&gt;1),--($C$6:$C$300=$C35),$H$6:$H$300)/SUMPRODUCT(--($L$6:$L$300&lt;&gt;1),--($C$6:$C$300=$C35),$E$6:$E$300)</f>
        <v>491.3310626649241</v>
      </c>
      <c r="N35" s="1" cm="1">
        <f t="array" ref="N35">SUMPRODUCT(--($L$6:$L$300&lt;&gt;1),--($C$6:$C$300=$C35))</f>
        <v>15</v>
      </c>
      <c r="O35" s="3">
        <f t="shared" si="6"/>
        <v>138.79486008562145</v>
      </c>
      <c r="P35" s="2" cm="1">
        <f t="array" ref="P35">SQRT(SUMPRODUCT(--($L$6:$L$300&lt;&gt;1),--($C$6:$C$300=$C35),$E$6:$E$300,$O$6:$O$300)/((N35-1)*SUMPRODUCT(--($L$6:$L$300&lt;&gt;1),--($C$6:$C$300=$C35),$E$6:$E$300)/N35))</f>
        <v>160.16252509966108</v>
      </c>
      <c r="Q35" s="2">
        <f t="shared" si="1"/>
        <v>286.07452788187709</v>
      </c>
      <c r="R35" s="2">
        <f t="shared" si="1"/>
        <v>696.58759744797112</v>
      </c>
      <c r="S35" s="2">
        <f t="shared" si="7"/>
        <v>503.1121857050091</v>
      </c>
    </row>
    <row r="36" spans="2:19" x14ac:dyDescent="0.3">
      <c r="B36">
        <v>429</v>
      </c>
      <c r="C36" s="25">
        <v>4</v>
      </c>
      <c r="D36" s="32" t="s">
        <v>77</v>
      </c>
      <c r="E36" s="125">
        <f>INDEX('Revised 2019 Lockdown'!H$5:H$257,MATCH(B36,'Revised 2019 Lockdown'!B$5:B$257,0))</f>
        <v>4180.4643999999998</v>
      </c>
      <c r="F36" s="7">
        <f>INDEX('Revised 2019 Lockdown'!E$5:E$257,MATCH(B36,'Revised 2019 Lockdown'!B$5:B$257,0))</f>
        <v>1615598.05</v>
      </c>
      <c r="G36" s="7">
        <f>INDEX('Revised 2019 Lockdown'!F$5:F$257,MATCH(B36,'Revised 2019 Lockdown'!B$5:B$257,0))</f>
        <v>324593.48</v>
      </c>
      <c r="H36" s="7">
        <f t="shared" si="2"/>
        <v>1291004.57</v>
      </c>
      <c r="I36" s="6">
        <f t="shared" si="3"/>
        <v>308.81845806413281</v>
      </c>
      <c r="J36" s="6">
        <f t="shared" si="4"/>
        <v>308.81845806413281</v>
      </c>
      <c r="K36" s="5">
        <f t="shared" si="5"/>
        <v>1291004.57</v>
      </c>
      <c r="L36" s="4">
        <f t="shared" si="0"/>
        <v>0</v>
      </c>
      <c r="M36" s="2" cm="1">
        <f t="array" ref="M36">SUMPRODUCT(--($L$6:$L$300&lt;&gt;1),--($C$6:$C$300=$C36),$H$6:$H$300)/SUMPRODUCT(--($L$6:$L$300&lt;&gt;1),--($C$6:$C$300=$C36),$E$6:$E$300)</f>
        <v>491.3310626649241</v>
      </c>
      <c r="N36" s="1" cm="1">
        <f t="array" ref="N36">SUMPRODUCT(--($L$6:$L$300&lt;&gt;1),--($C$6:$C$300=$C36))</f>
        <v>15</v>
      </c>
      <c r="O36" s="3">
        <f t="shared" si="6"/>
        <v>33310.850838164784</v>
      </c>
      <c r="P36" s="2" cm="1">
        <f t="array" ref="P36">SQRT(SUMPRODUCT(--($L$6:$L$300&lt;&gt;1),--($C$6:$C$300=$C36),$E$6:$E$300,$O$6:$O$300)/((N36-1)*SUMPRODUCT(--($L$6:$L$300&lt;&gt;1),--($C$6:$C$300=$C36),$E$6:$E$300)/N36))</f>
        <v>160.16252509966108</v>
      </c>
      <c r="Q36" s="2">
        <f t="shared" si="1"/>
        <v>286.07452788187709</v>
      </c>
      <c r="R36" s="2">
        <f t="shared" si="1"/>
        <v>696.58759744797112</v>
      </c>
      <c r="S36" s="2">
        <f t="shared" si="7"/>
        <v>308.81845806413281</v>
      </c>
    </row>
    <row r="37" spans="2:19" x14ac:dyDescent="0.3">
      <c r="B37">
        <v>601</v>
      </c>
      <c r="C37" s="25">
        <v>4</v>
      </c>
      <c r="D37" s="32" t="s">
        <v>78</v>
      </c>
      <c r="E37" s="125">
        <f>INDEX('Revised 2019 Lockdown'!H$5:H$257,MATCH(B37,'Revised 2019 Lockdown'!B$5:B$257,0))</f>
        <v>5551.27</v>
      </c>
      <c r="F37" s="7">
        <f>INDEX('Revised 2019 Lockdown'!E$5:E$257,MATCH(B37,'Revised 2019 Lockdown'!B$5:B$257,0))</f>
        <v>3050653.27</v>
      </c>
      <c r="G37" s="7">
        <f>INDEX('Revised 2019 Lockdown'!F$5:F$257,MATCH(B37,'Revised 2019 Lockdown'!B$5:B$257,0))</f>
        <v>210627.25999999998</v>
      </c>
      <c r="H37" s="7">
        <f t="shared" si="2"/>
        <v>2840026.0100000002</v>
      </c>
      <c r="I37" s="6">
        <f t="shared" si="3"/>
        <v>511.59932952279388</v>
      </c>
      <c r="J37" s="6">
        <f t="shared" si="4"/>
        <v>511.59932952279388</v>
      </c>
      <c r="K37" s="5">
        <f t="shared" si="5"/>
        <v>2840026.0100000002</v>
      </c>
      <c r="L37" s="4">
        <f t="shared" si="0"/>
        <v>0</v>
      </c>
      <c r="M37" s="2" cm="1">
        <f t="array" ref="M37">SUMPRODUCT(--($L$6:$L$300&lt;&gt;1),--($C$6:$C$300=$C37),$H$6:$H$300)/SUMPRODUCT(--($L$6:$L$300&lt;&gt;1),--($C$6:$C$300=$C37),$E$6:$E$300)</f>
        <v>491.3310626649241</v>
      </c>
      <c r="N37" s="1" cm="1">
        <f t="array" ref="N37">SUMPRODUCT(--($L$6:$L$300&lt;&gt;1),--($C$6:$C$300=$C37))</f>
        <v>15</v>
      </c>
      <c r="O37" s="3">
        <f t="shared" si="6"/>
        <v>410.80264142182233</v>
      </c>
      <c r="P37" s="2" cm="1">
        <f t="array" ref="P37">SQRT(SUMPRODUCT(--($L$6:$L$300&lt;&gt;1),--($C$6:$C$300=$C37),$E$6:$E$300,$O$6:$O$300)/((N37-1)*SUMPRODUCT(--($L$6:$L$300&lt;&gt;1),--($C$6:$C$300=$C37),$E$6:$E$300)/N37))</f>
        <v>160.16252509966108</v>
      </c>
      <c r="Q37" s="2">
        <f t="shared" si="1"/>
        <v>286.07452788187709</v>
      </c>
      <c r="R37" s="2">
        <f t="shared" si="1"/>
        <v>696.58759744797112</v>
      </c>
      <c r="S37" s="2">
        <f t="shared" si="7"/>
        <v>511.59932952279388</v>
      </c>
    </row>
    <row r="38" spans="2:19" x14ac:dyDescent="0.3">
      <c r="B38">
        <v>760</v>
      </c>
      <c r="C38" s="25">
        <v>4</v>
      </c>
      <c r="D38" s="32" t="s">
        <v>79</v>
      </c>
      <c r="E38" s="125">
        <f>INDEX('Revised 2019 Lockdown'!H$5:H$257,MATCH(B38,'Revised 2019 Lockdown'!B$5:B$257,0))</f>
        <v>5012.8599999999997</v>
      </c>
      <c r="F38" s="7">
        <f>INDEX('Revised 2019 Lockdown'!E$5:E$257,MATCH(B38,'Revised 2019 Lockdown'!B$5:B$257,0))</f>
        <v>1509097.88</v>
      </c>
      <c r="G38" s="7">
        <f>INDEX('Revised 2019 Lockdown'!F$5:F$257,MATCH(B38,'Revised 2019 Lockdown'!B$5:B$257,0))</f>
        <v>554553.47</v>
      </c>
      <c r="H38" s="7">
        <f t="shared" si="2"/>
        <v>954544.40999999992</v>
      </c>
      <c r="I38" s="6">
        <f t="shared" si="3"/>
        <v>190.41912401303847</v>
      </c>
      <c r="J38" s="6">
        <f t="shared" si="4"/>
        <v>190.41912401303847</v>
      </c>
      <c r="K38" s="5">
        <f t="shared" si="5"/>
        <v>954544.40999999992</v>
      </c>
      <c r="L38" s="4">
        <f t="shared" si="0"/>
        <v>0</v>
      </c>
      <c r="M38" s="2" cm="1">
        <f t="array" ref="M38">SUMPRODUCT(--($L$6:$L$300&lt;&gt;1),--($C$6:$C$300=$C38),$H$6:$H$300)/SUMPRODUCT(--($L$6:$L$300&lt;&gt;1),--($C$6:$C$300=$C38),$E$6:$E$300)</f>
        <v>491.3310626649241</v>
      </c>
      <c r="N38" s="1" cm="1">
        <f t="array" ref="N38">SUMPRODUCT(--($L$6:$L$300&lt;&gt;1),--($C$6:$C$300=$C38))</f>
        <v>15</v>
      </c>
      <c r="O38" s="3">
        <f t="shared" si="6"/>
        <v>90547.994823236178</v>
      </c>
      <c r="P38" s="2" cm="1">
        <f t="array" ref="P38">SQRT(SUMPRODUCT(--($L$6:$L$300&lt;&gt;1),--($C$6:$C$300=$C38),$E$6:$E$300,$O$6:$O$300)/((N38-1)*SUMPRODUCT(--($L$6:$L$300&lt;&gt;1),--($C$6:$C$300=$C38),$E$6:$E$300)/N38))</f>
        <v>160.16252509966108</v>
      </c>
      <c r="Q38" s="2">
        <f t="shared" si="1"/>
        <v>286.07452788187709</v>
      </c>
      <c r="R38" s="2">
        <f t="shared" si="1"/>
        <v>696.58759744797112</v>
      </c>
      <c r="S38" s="2">
        <f t="shared" si="7"/>
        <v>190.41912401303847</v>
      </c>
    </row>
    <row r="39" spans="2:19" x14ac:dyDescent="0.3">
      <c r="B39">
        <v>878</v>
      </c>
      <c r="C39" s="25">
        <v>4</v>
      </c>
      <c r="D39" s="32" t="s">
        <v>80</v>
      </c>
      <c r="E39" s="125">
        <f>INDEX('Revised 2019 Lockdown'!H$5:H$257,MATCH(B39,'Revised 2019 Lockdown'!B$5:B$257,0))</f>
        <v>7393.5</v>
      </c>
      <c r="F39" s="7">
        <f>INDEX('Revised 2019 Lockdown'!E$5:E$257,MATCH(B39,'Revised 2019 Lockdown'!B$5:B$257,0))</f>
        <v>3017896.76</v>
      </c>
      <c r="G39" s="7">
        <f>INDEX('Revised 2019 Lockdown'!F$5:F$257,MATCH(B39,'Revised 2019 Lockdown'!B$5:B$257,0))</f>
        <v>419431.65</v>
      </c>
      <c r="H39" s="7">
        <f t="shared" si="2"/>
        <v>2598465.11</v>
      </c>
      <c r="I39" s="6">
        <f t="shared" si="3"/>
        <v>351.45264218570367</v>
      </c>
      <c r="J39" s="6">
        <f t="shared" si="4"/>
        <v>351.45264218570367</v>
      </c>
      <c r="K39" s="5">
        <f t="shared" si="5"/>
        <v>2598465.11</v>
      </c>
      <c r="L39" s="4">
        <f t="shared" si="0"/>
        <v>0</v>
      </c>
      <c r="M39" s="2" cm="1">
        <f t="array" ref="M39">SUMPRODUCT(--($L$6:$L$300&lt;&gt;1),--($C$6:$C$300=$C39),$H$6:$H$300)/SUMPRODUCT(--($L$6:$L$300&lt;&gt;1),--($C$6:$C$300=$C39),$E$6:$E$300)</f>
        <v>491.3310626649241</v>
      </c>
      <c r="N39" s="1" cm="1">
        <f t="array" ref="N39">SUMPRODUCT(--($L$6:$L$300&lt;&gt;1),--($C$6:$C$300=$C39))</f>
        <v>15</v>
      </c>
      <c r="O39" s="3">
        <f t="shared" si="6"/>
        <v>19565.972515761594</v>
      </c>
      <c r="P39" s="2" cm="1">
        <f t="array" ref="P39">SQRT(SUMPRODUCT(--($L$6:$L$300&lt;&gt;1),--($C$6:$C$300=$C39),$E$6:$E$300,$O$6:$O$300)/((N39-1)*SUMPRODUCT(--($L$6:$L$300&lt;&gt;1),--($C$6:$C$300=$C39),$E$6:$E$300)/N39))</f>
        <v>160.16252509966108</v>
      </c>
      <c r="Q39" s="2">
        <f t="shared" si="1"/>
        <v>286.07452788187709</v>
      </c>
      <c r="R39" s="2">
        <f t="shared" si="1"/>
        <v>696.58759744797112</v>
      </c>
      <c r="S39" s="2">
        <f t="shared" si="7"/>
        <v>351.45264218570367</v>
      </c>
    </row>
    <row r="40" spans="2:19" x14ac:dyDescent="0.3">
      <c r="B40">
        <v>8</v>
      </c>
      <c r="C40" s="25">
        <v>5</v>
      </c>
      <c r="D40" s="32" t="s">
        <v>81</v>
      </c>
      <c r="E40" s="125">
        <f>INDEX('Revised 2019 Lockdown'!H$5:H$257,MATCH(B40,'Revised 2019 Lockdown'!B$5:B$257,0))</f>
        <v>2075.63</v>
      </c>
      <c r="F40" s="7">
        <f>INDEX('Revised 2019 Lockdown'!E$5:E$257,MATCH(B40,'Revised 2019 Lockdown'!B$5:B$257,0))</f>
        <v>864369.87</v>
      </c>
      <c r="G40" s="7">
        <f>INDEX('Revised 2019 Lockdown'!F$5:F$257,MATCH(B40,'Revised 2019 Lockdown'!B$5:B$257,0))</f>
        <v>93052.72</v>
      </c>
      <c r="H40" s="7">
        <f t="shared" si="2"/>
        <v>771317.15</v>
      </c>
      <c r="I40" s="6">
        <f t="shared" si="3"/>
        <v>371.60628339347574</v>
      </c>
      <c r="J40" s="6">
        <f t="shared" si="4"/>
        <v>371.60628339347574</v>
      </c>
      <c r="K40" s="5">
        <f t="shared" si="5"/>
        <v>771317.15</v>
      </c>
      <c r="L40" s="4">
        <f t="shared" si="0"/>
        <v>0</v>
      </c>
      <c r="M40" s="2" cm="1">
        <f t="array" ref="M40">SUMPRODUCT(--($L$6:$L$300&lt;&gt;1),--($C$6:$C$300=$C40),$H$6:$H$300)/SUMPRODUCT(--($L$6:$L$300&lt;&gt;1),--($C$6:$C$300=$C40),$E$6:$E$300)</f>
        <v>347.83705753006336</v>
      </c>
      <c r="N40" s="1" cm="1">
        <f t="array" ref="N40">SUMPRODUCT(--($L$6:$L$300&lt;&gt;1),--($C$6:$C$300=$C40))</f>
        <v>21</v>
      </c>
      <c r="O40" s="3">
        <f t="shared" si="6"/>
        <v>564.97609814591169</v>
      </c>
      <c r="P40" s="2" cm="1">
        <f t="array" ref="P40">SQRT(SUMPRODUCT(--($L$6:$L$300&lt;&gt;1),--($C$6:$C$300=$C40),$E$6:$E$300,$O$6:$O$300)/((N40-1)*SUMPRODUCT(--($L$6:$L$300&lt;&gt;1),--($C$6:$C$300=$C40),$E$6:$E$300)/N40))</f>
        <v>148.32110841275002</v>
      </c>
      <c r="Q40" s="2">
        <f t="shared" si="1"/>
        <v>157.75590884039315</v>
      </c>
      <c r="R40" s="2">
        <f t="shared" si="1"/>
        <v>537.91820621973352</v>
      </c>
      <c r="S40" s="2">
        <f t="shared" si="7"/>
        <v>371.60628339347574</v>
      </c>
    </row>
    <row r="41" spans="2:19" x14ac:dyDescent="0.3">
      <c r="B41">
        <v>41</v>
      </c>
      <c r="C41" s="33">
        <v>5</v>
      </c>
      <c r="D41" s="32" t="s">
        <v>82</v>
      </c>
      <c r="E41" s="125">
        <f>INDEX('Revised 2019 Lockdown'!H$5:H$257,MATCH(B41,'Revised 2019 Lockdown'!B$5:B$257,0))</f>
        <v>993.22</v>
      </c>
      <c r="F41" s="7">
        <f>INDEX('Revised 2019 Lockdown'!E$5:E$257,MATCH(B41,'Revised 2019 Lockdown'!B$5:B$257,0))</f>
        <v>598036.62</v>
      </c>
      <c r="G41" s="7">
        <f>INDEX('Revised 2019 Lockdown'!F$5:F$257,MATCH(B41,'Revised 2019 Lockdown'!B$5:B$257,0))</f>
        <v>171251.26000000004</v>
      </c>
      <c r="H41" s="7">
        <f t="shared" si="2"/>
        <v>426785.36</v>
      </c>
      <c r="I41" s="6">
        <f t="shared" si="3"/>
        <v>429.69871730331647</v>
      </c>
      <c r="J41" s="6">
        <f t="shared" si="4"/>
        <v>429.69871730331647</v>
      </c>
      <c r="K41" s="5">
        <f t="shared" si="5"/>
        <v>426785.36</v>
      </c>
      <c r="L41" s="4">
        <f t="shared" si="0"/>
        <v>0</v>
      </c>
      <c r="M41" s="2" cm="1">
        <f t="array" ref="M41">SUMPRODUCT(--($L$6:$L$300&lt;&gt;1),--($C$6:$C$300=$C41),$H$6:$H$300)/SUMPRODUCT(--($L$6:$L$300&lt;&gt;1),--($C$6:$C$300=$C41),$E$6:$E$300)</f>
        <v>347.83705753006336</v>
      </c>
      <c r="N41" s="1" cm="1">
        <f t="array" ref="N41">SUMPRODUCT(--($L$6:$L$300&lt;&gt;1),--($C$6:$C$300=$C41))</f>
        <v>21</v>
      </c>
      <c r="O41" s="3">
        <f t="shared" si="6"/>
        <v>6701.3313408318463</v>
      </c>
      <c r="P41" s="2" cm="1">
        <f t="array" ref="P41">SQRT(SUMPRODUCT(--($L$6:$L$300&lt;&gt;1),--($C$6:$C$300=$C41),$E$6:$E$300,$O$6:$O$300)/((N41-1)*SUMPRODUCT(--($L$6:$L$300&lt;&gt;1),--($C$6:$C$300=$C41),$E$6:$E$300)/N41))</f>
        <v>148.32110841275002</v>
      </c>
      <c r="Q41" s="2">
        <f t="shared" si="1"/>
        <v>157.75590884039315</v>
      </c>
      <c r="R41" s="2">
        <f t="shared" si="1"/>
        <v>537.91820621973352</v>
      </c>
      <c r="S41" s="2">
        <f t="shared" si="7"/>
        <v>429.69871730331647</v>
      </c>
    </row>
    <row r="42" spans="2:19" x14ac:dyDescent="0.3">
      <c r="B42">
        <v>56</v>
      </c>
      <c r="C42" s="33">
        <v>5</v>
      </c>
      <c r="D42" s="32" t="s">
        <v>83</v>
      </c>
      <c r="E42" s="125">
        <f>INDEX('Revised 2019 Lockdown'!H$5:H$257,MATCH(B42,'Revised 2019 Lockdown'!B$5:B$257,0))</f>
        <v>2867.28</v>
      </c>
      <c r="F42" s="7">
        <f>INDEX('Revised 2019 Lockdown'!E$5:E$257,MATCH(B42,'Revised 2019 Lockdown'!B$5:B$257,0))</f>
        <v>572395.97</v>
      </c>
      <c r="G42" s="7">
        <f>INDEX('Revised 2019 Lockdown'!F$5:F$257,MATCH(B42,'Revised 2019 Lockdown'!B$5:B$257,0))</f>
        <v>2299.3900000000003</v>
      </c>
      <c r="H42" s="7">
        <f t="shared" si="2"/>
        <v>570096.57999999996</v>
      </c>
      <c r="I42" s="6">
        <f t="shared" si="3"/>
        <v>198.82835997879522</v>
      </c>
      <c r="J42" s="6">
        <f t="shared" si="4"/>
        <v>198.82835997879522</v>
      </c>
      <c r="K42" s="5">
        <f t="shared" si="5"/>
        <v>570096.57999999996</v>
      </c>
      <c r="L42" s="4">
        <f t="shared" si="0"/>
        <v>0</v>
      </c>
      <c r="M42" s="2" cm="1">
        <f t="array" ref="M42">SUMPRODUCT(--($L$6:$L$300&lt;&gt;1),--($C$6:$C$300=$C42),$H$6:$H$300)/SUMPRODUCT(--($L$6:$L$300&lt;&gt;1),--($C$6:$C$300=$C42),$E$6:$E$300)</f>
        <v>347.83705753006336</v>
      </c>
      <c r="N42" s="1" cm="1">
        <f t="array" ref="N42">SUMPRODUCT(--($L$6:$L$300&lt;&gt;1),--($C$6:$C$300=$C42))</f>
        <v>21</v>
      </c>
      <c r="O42" s="3">
        <f t="shared" si="6"/>
        <v>22203.591945925305</v>
      </c>
      <c r="P42" s="2" cm="1">
        <f t="array" ref="P42">SQRT(SUMPRODUCT(--($L$6:$L$300&lt;&gt;1),--($C$6:$C$300=$C42),$E$6:$E$300,$O$6:$O$300)/((N42-1)*SUMPRODUCT(--($L$6:$L$300&lt;&gt;1),--($C$6:$C$300=$C42),$E$6:$E$300)/N42))</f>
        <v>148.32110841275002</v>
      </c>
      <c r="Q42" s="2">
        <f t="shared" si="1"/>
        <v>157.75590884039315</v>
      </c>
      <c r="R42" s="2">
        <f t="shared" si="1"/>
        <v>537.91820621973352</v>
      </c>
      <c r="S42" s="2">
        <f t="shared" si="7"/>
        <v>198.82835997879522</v>
      </c>
    </row>
    <row r="43" spans="2:19" x14ac:dyDescent="0.3">
      <c r="B43">
        <v>67</v>
      </c>
      <c r="C43" s="25">
        <v>5</v>
      </c>
      <c r="D43" s="32" t="s">
        <v>84</v>
      </c>
      <c r="E43" s="125">
        <f>INDEX('Revised 2019 Lockdown'!H$5:H$257,MATCH(B43,'Revised 2019 Lockdown'!B$5:B$257,0))</f>
        <v>1347.1733959092533</v>
      </c>
      <c r="F43" s="7">
        <f>INDEX('Revised 2019 Lockdown'!E$5:E$257,MATCH(B43,'Revised 2019 Lockdown'!B$5:B$257,0))</f>
        <v>207963.68</v>
      </c>
      <c r="G43" s="7">
        <f>INDEX('Revised 2019 Lockdown'!F$5:F$257,MATCH(B43,'Revised 2019 Lockdown'!B$5:B$257,0))</f>
        <v>0</v>
      </c>
      <c r="H43" s="7">
        <f t="shared" si="2"/>
        <v>207963.68</v>
      </c>
      <c r="I43" s="6">
        <f t="shared" si="3"/>
        <v>154.37038812634674</v>
      </c>
      <c r="J43" s="6">
        <f t="shared" si="4"/>
        <v>154.37038812634674</v>
      </c>
      <c r="K43" s="5">
        <f t="shared" si="5"/>
        <v>207963.68</v>
      </c>
      <c r="L43" s="4">
        <f t="shared" si="0"/>
        <v>0</v>
      </c>
      <c r="M43" s="2" cm="1">
        <f t="array" ref="M43">SUMPRODUCT(--($L$6:$L$300&lt;&gt;1),--($C$6:$C$300=$C43),$H$6:$H$300)/SUMPRODUCT(--($L$6:$L$300&lt;&gt;1),--($C$6:$C$300=$C43),$E$6:$E$300)</f>
        <v>347.83705753006336</v>
      </c>
      <c r="N43" s="1" cm="1">
        <f t="array" ref="N43">SUMPRODUCT(--($L$6:$L$300&lt;&gt;1),--($C$6:$C$300=$C43))</f>
        <v>21</v>
      </c>
      <c r="O43" s="3">
        <f t="shared" si="6"/>
        <v>37429.352170166982</v>
      </c>
      <c r="P43" s="2" cm="1">
        <f t="array" ref="P43">SQRT(SUMPRODUCT(--($L$6:$L$300&lt;&gt;1),--($C$6:$C$300=$C43),$E$6:$E$300,$O$6:$O$300)/((N43-1)*SUMPRODUCT(--($L$6:$L$300&lt;&gt;1),--($C$6:$C$300=$C43),$E$6:$E$300)/N43))</f>
        <v>148.32110841275002</v>
      </c>
      <c r="Q43" s="2">
        <f t="shared" si="1"/>
        <v>157.75590884039315</v>
      </c>
      <c r="R43" s="2">
        <f t="shared" si="1"/>
        <v>537.91820621973352</v>
      </c>
      <c r="S43" s="2">
        <f t="shared" si="7"/>
        <v>154.37038812634674</v>
      </c>
    </row>
    <row r="44" spans="2:19" x14ac:dyDescent="0.3">
      <c r="B44">
        <v>157</v>
      </c>
      <c r="C44" s="25">
        <v>5</v>
      </c>
      <c r="D44" s="32" t="s">
        <v>85</v>
      </c>
      <c r="E44" s="125">
        <f>INDEX('Revised 2019 Lockdown'!H$5:H$257,MATCH(B44,'Revised 2019 Lockdown'!B$5:B$257,0))</f>
        <v>391.46480007526981</v>
      </c>
      <c r="F44" s="7">
        <f>INDEX('Revised 2019 Lockdown'!E$5:E$257,MATCH(B44,'Revised 2019 Lockdown'!B$5:B$257,0))</f>
        <v>154392.98000000001</v>
      </c>
      <c r="G44" s="7">
        <f>INDEX('Revised 2019 Lockdown'!F$5:F$257,MATCH(B44,'Revised 2019 Lockdown'!B$5:B$257,0))</f>
        <v>250</v>
      </c>
      <c r="H44" s="7">
        <f t="shared" si="2"/>
        <v>154142.98000000001</v>
      </c>
      <c r="I44" s="6">
        <f t="shared" si="3"/>
        <v>393.7594899218571</v>
      </c>
      <c r="J44" s="6">
        <f t="shared" si="4"/>
        <v>393.7594899218571</v>
      </c>
      <c r="K44" s="5">
        <f t="shared" si="5"/>
        <v>154142.98000000001</v>
      </c>
      <c r="L44" s="4">
        <f t="shared" si="0"/>
        <v>0</v>
      </c>
      <c r="M44" s="2" cm="1">
        <f t="array" ref="M44">SUMPRODUCT(--($L$6:$L$300&lt;&gt;1),--($C$6:$C$300=$C44),$H$6:$H$300)/SUMPRODUCT(--($L$6:$L$300&lt;&gt;1),--($C$6:$C$300=$C44),$E$6:$E$300)</f>
        <v>347.83705753006336</v>
      </c>
      <c r="N44" s="1" cm="1">
        <f t="array" ref="N44">SUMPRODUCT(--($L$6:$L$300&lt;&gt;1),--($C$6:$C$300=$C44))</f>
        <v>21</v>
      </c>
      <c r="O44" s="3">
        <f t="shared" si="6"/>
        <v>2108.8697967788662</v>
      </c>
      <c r="P44" s="2" cm="1">
        <f t="array" ref="P44">SQRT(SUMPRODUCT(--($L$6:$L$300&lt;&gt;1),--($C$6:$C$300=$C44),$E$6:$E$300,$O$6:$O$300)/((N44-1)*SUMPRODUCT(--($L$6:$L$300&lt;&gt;1),--($C$6:$C$300=$C44),$E$6:$E$300)/N44))</f>
        <v>148.32110841275002</v>
      </c>
      <c r="Q44" s="2">
        <f t="shared" si="1"/>
        <v>157.75590884039315</v>
      </c>
      <c r="R44" s="2">
        <f t="shared" si="1"/>
        <v>537.91820621973352</v>
      </c>
      <c r="S44" s="2">
        <f t="shared" si="7"/>
        <v>393.7594899218571</v>
      </c>
    </row>
    <row r="45" spans="2:19" x14ac:dyDescent="0.3">
      <c r="B45">
        <v>214</v>
      </c>
      <c r="C45" s="25">
        <v>5</v>
      </c>
      <c r="D45" s="32" t="s">
        <v>86</v>
      </c>
      <c r="E45" s="125">
        <f>INDEX('Revised 2019 Lockdown'!H$5:H$257,MATCH(B45,'Revised 2019 Lockdown'!B$5:B$257,0))</f>
        <v>2751.6000000000004</v>
      </c>
      <c r="F45" s="7">
        <f>INDEX('Revised 2019 Lockdown'!E$5:E$257,MATCH(B45,'Revised 2019 Lockdown'!B$5:B$257,0))</f>
        <v>1755275.05</v>
      </c>
      <c r="G45" s="7">
        <f>INDEX('Revised 2019 Lockdown'!F$5:F$257,MATCH(B45,'Revised 2019 Lockdown'!B$5:B$257,0))</f>
        <v>255085.94</v>
      </c>
      <c r="H45" s="7">
        <f t="shared" si="2"/>
        <v>1500189.11</v>
      </c>
      <c r="I45" s="6">
        <f t="shared" si="3"/>
        <v>545.2061019043465</v>
      </c>
      <c r="J45" s="6">
        <f t="shared" si="4"/>
        <v>537.91820621973352</v>
      </c>
      <c r="K45" s="5">
        <f t="shared" si="5"/>
        <v>1480135.736234219</v>
      </c>
      <c r="L45" s="4">
        <f t="shared" si="0"/>
        <v>0</v>
      </c>
      <c r="M45" s="2" cm="1">
        <f t="array" ref="M45">SUMPRODUCT(--($L$6:$L$300&lt;&gt;1),--($C$6:$C$300=$C45),$H$6:$H$300)/SUMPRODUCT(--($L$6:$L$300&lt;&gt;1),--($C$6:$C$300=$C45),$E$6:$E$300)</f>
        <v>347.83705753006336</v>
      </c>
      <c r="N45" s="1" cm="1">
        <f t="array" ref="N45">SUMPRODUCT(--($L$6:$L$300&lt;&gt;1),--($C$6:$C$300=$C45))</f>
        <v>21</v>
      </c>
      <c r="O45" s="3">
        <f t="shared" si="6"/>
        <v>38954.539677217748</v>
      </c>
      <c r="P45" s="2" cm="1">
        <f t="array" ref="P45">SQRT(SUMPRODUCT(--($L$6:$L$300&lt;&gt;1),--($C$6:$C$300=$C45),$E$6:$E$300,$O$6:$O$300)/((N45-1)*SUMPRODUCT(--($L$6:$L$300&lt;&gt;1),--($C$6:$C$300=$C45),$E$6:$E$300)/N45))</f>
        <v>148.32110841275002</v>
      </c>
      <c r="Q45" s="2">
        <f t="shared" si="1"/>
        <v>157.75590884039315</v>
      </c>
      <c r="R45" s="2">
        <f t="shared" si="1"/>
        <v>537.91820621973352</v>
      </c>
      <c r="S45" s="2">
        <f t="shared" si="7"/>
        <v>537.91820621973352</v>
      </c>
    </row>
    <row r="46" spans="2:19" x14ac:dyDescent="0.3">
      <c r="B46">
        <v>223</v>
      </c>
      <c r="C46" s="25">
        <v>5</v>
      </c>
      <c r="D46" s="32" t="s">
        <v>87</v>
      </c>
      <c r="E46" s="125">
        <f>INDEX('Revised 2019 Lockdown'!H$5:H$257,MATCH(B46,'Revised 2019 Lockdown'!B$5:B$257,0))</f>
        <v>273.99</v>
      </c>
      <c r="F46" s="7">
        <f>INDEX('Revised 2019 Lockdown'!E$5:E$257,MATCH(B46,'Revised 2019 Lockdown'!B$5:B$257,0))</f>
        <v>230639.28</v>
      </c>
      <c r="G46" s="7">
        <f>INDEX('Revised 2019 Lockdown'!F$5:F$257,MATCH(B46,'Revised 2019 Lockdown'!B$5:B$257,0))</f>
        <v>800.41</v>
      </c>
      <c r="H46" s="7">
        <f t="shared" si="2"/>
        <v>229838.87</v>
      </c>
      <c r="I46" s="6">
        <f t="shared" si="3"/>
        <v>838.85860797839337</v>
      </c>
      <c r="J46" s="6">
        <f t="shared" si="4"/>
        <v>537.91820621973352</v>
      </c>
      <c r="K46" s="5">
        <f t="shared" si="5"/>
        <v>147384.2093221448</v>
      </c>
      <c r="L46" s="4">
        <f t="shared" si="0"/>
        <v>0</v>
      </c>
      <c r="M46" s="2" cm="1">
        <f t="array" ref="M46">SUMPRODUCT(--($L$6:$L$300&lt;&gt;1),--($C$6:$C$300=$C46),$H$6:$H$300)/SUMPRODUCT(--($L$6:$L$300&lt;&gt;1),--($C$6:$C$300=$C46),$E$6:$E$300)</f>
        <v>347.83705753006336</v>
      </c>
      <c r="N46" s="1" cm="1">
        <f t="array" ref="N46">SUMPRODUCT(--($L$6:$L$300&lt;&gt;1),--($C$6:$C$300=$C46))</f>
        <v>21</v>
      </c>
      <c r="O46" s="3">
        <f t="shared" si="6"/>
        <v>241102.16300468188</v>
      </c>
      <c r="P46" s="2" cm="1">
        <f t="array" ref="P46">SQRT(SUMPRODUCT(--($L$6:$L$300&lt;&gt;1),--($C$6:$C$300=$C46),$E$6:$E$300,$O$6:$O$300)/((N46-1)*SUMPRODUCT(--($L$6:$L$300&lt;&gt;1),--($C$6:$C$300=$C46),$E$6:$E$300)/N46))</f>
        <v>148.32110841275002</v>
      </c>
      <c r="Q46" s="2">
        <f t="shared" si="1"/>
        <v>157.75590884039315</v>
      </c>
      <c r="R46" s="2">
        <f t="shared" si="1"/>
        <v>537.91820621973352</v>
      </c>
      <c r="S46" s="2">
        <f t="shared" si="7"/>
        <v>537.91820621973352</v>
      </c>
    </row>
    <row r="47" spans="2:19" x14ac:dyDescent="0.3">
      <c r="B47">
        <v>224</v>
      </c>
      <c r="C47" s="25">
        <v>5</v>
      </c>
      <c r="D47" s="32" t="s">
        <v>88</v>
      </c>
      <c r="E47" s="125">
        <f>INDEX('Revised 2019 Lockdown'!H$5:H$257,MATCH(B47,'Revised 2019 Lockdown'!B$5:B$257,0))</f>
        <v>196.82810451351673</v>
      </c>
      <c r="F47" s="7">
        <f>INDEX('Revised 2019 Lockdown'!E$5:E$257,MATCH(B47,'Revised 2019 Lockdown'!B$5:B$257,0))</f>
        <v>77631.63</v>
      </c>
      <c r="G47" s="7">
        <f>INDEX('Revised 2019 Lockdown'!F$5:F$257,MATCH(B47,'Revised 2019 Lockdown'!B$5:B$257,0))</f>
        <v>210</v>
      </c>
      <c r="H47" s="7">
        <f t="shared" si="2"/>
        <v>77421.63</v>
      </c>
      <c r="I47" s="6">
        <f t="shared" si="3"/>
        <v>393.34641864969666</v>
      </c>
      <c r="J47" s="6">
        <f t="shared" si="4"/>
        <v>393.34641864969666</v>
      </c>
      <c r="K47" s="5">
        <f t="shared" si="5"/>
        <v>77421.63</v>
      </c>
      <c r="L47" s="4">
        <f t="shared" si="0"/>
        <v>0</v>
      </c>
      <c r="M47" s="2" cm="1">
        <f t="array" ref="M47">SUMPRODUCT(--($L$6:$L$300&lt;&gt;1),--($C$6:$C$300=$C47),$H$6:$H$300)/SUMPRODUCT(--($L$6:$L$300&lt;&gt;1),--($C$6:$C$300=$C47),$E$6:$E$300)</f>
        <v>347.83705753006336</v>
      </c>
      <c r="N47" s="1" cm="1">
        <f t="array" ref="N47">SUMPRODUCT(--($L$6:$L$300&lt;&gt;1),--($C$6:$C$300=$C47))</f>
        <v>21</v>
      </c>
      <c r="O47" s="3">
        <f t="shared" si="6"/>
        <v>2071.1019495171909</v>
      </c>
      <c r="P47" s="2" cm="1">
        <f t="array" ref="P47">SQRT(SUMPRODUCT(--($L$6:$L$300&lt;&gt;1),--($C$6:$C$300=$C47),$E$6:$E$300,$O$6:$O$300)/((N47-1)*SUMPRODUCT(--($L$6:$L$300&lt;&gt;1),--($C$6:$C$300=$C47),$E$6:$E$300)/N47))</f>
        <v>148.32110841275002</v>
      </c>
      <c r="Q47" s="2">
        <f t="shared" si="1"/>
        <v>157.75590884039315</v>
      </c>
      <c r="R47" s="2">
        <f t="shared" si="1"/>
        <v>537.91820621973352</v>
      </c>
      <c r="S47" s="2">
        <f t="shared" si="7"/>
        <v>393.34641864969666</v>
      </c>
    </row>
    <row r="48" spans="2:19" x14ac:dyDescent="0.3">
      <c r="B48">
        <v>233</v>
      </c>
      <c r="C48" s="33">
        <v>5</v>
      </c>
      <c r="D48" s="32" t="s">
        <v>89</v>
      </c>
      <c r="E48" s="125">
        <f>INDEX('Revised 2019 Lockdown'!H$5:H$257,MATCH(B48,'Revised 2019 Lockdown'!B$5:B$257,0))</f>
        <v>2130.7600000000002</v>
      </c>
      <c r="F48" s="7">
        <f>INDEX('Revised 2019 Lockdown'!E$5:E$257,MATCH(B48,'Revised 2019 Lockdown'!B$5:B$257,0))</f>
        <v>703293.56</v>
      </c>
      <c r="G48" s="7">
        <f>INDEX('Revised 2019 Lockdown'!F$5:F$257,MATCH(B48,'Revised 2019 Lockdown'!B$5:B$257,0))</f>
        <v>171134.77</v>
      </c>
      <c r="H48" s="7">
        <f t="shared" si="2"/>
        <v>532158.79</v>
      </c>
      <c r="I48" s="6">
        <f t="shared" si="3"/>
        <v>249.7506945878466</v>
      </c>
      <c r="J48" s="6">
        <f t="shared" si="4"/>
        <v>249.7506945878466</v>
      </c>
      <c r="K48" s="5">
        <f t="shared" si="5"/>
        <v>532158.79</v>
      </c>
      <c r="L48" s="4">
        <f t="shared" si="0"/>
        <v>0</v>
      </c>
      <c r="M48" s="2" cm="1">
        <f t="array" ref="M48">SUMPRODUCT(--($L$6:$L$300&lt;&gt;1),--($C$6:$C$300=$C48),$H$6:$H$300)/SUMPRODUCT(--($L$6:$L$300&lt;&gt;1),--($C$6:$C$300=$C48),$E$6:$E$300)</f>
        <v>347.83705753006336</v>
      </c>
      <c r="N48" s="1" cm="1">
        <f t="array" ref="N48">SUMPRODUCT(--($L$6:$L$300&lt;&gt;1),--($C$6:$C$300=$C48))</f>
        <v>21</v>
      </c>
      <c r="O48" s="3">
        <f t="shared" si="6"/>
        <v>9620.9345952322747</v>
      </c>
      <c r="P48" s="2" cm="1">
        <f t="array" ref="P48">SQRT(SUMPRODUCT(--($L$6:$L$300&lt;&gt;1),--($C$6:$C$300=$C48),$E$6:$E$300,$O$6:$O$300)/((N48-1)*SUMPRODUCT(--($L$6:$L$300&lt;&gt;1),--($C$6:$C$300=$C48),$E$6:$E$300)/N48))</f>
        <v>148.32110841275002</v>
      </c>
      <c r="Q48" s="2">
        <f t="shared" si="1"/>
        <v>157.75590884039315</v>
      </c>
      <c r="R48" s="2">
        <f t="shared" si="1"/>
        <v>537.91820621973352</v>
      </c>
      <c r="S48" s="2">
        <f t="shared" si="7"/>
        <v>249.7506945878466</v>
      </c>
    </row>
    <row r="49" spans="2:19" x14ac:dyDescent="0.3">
      <c r="B49">
        <v>272</v>
      </c>
      <c r="C49" s="25">
        <v>5</v>
      </c>
      <c r="D49" s="32" t="s">
        <v>90</v>
      </c>
      <c r="E49" s="125">
        <f>INDEX('Revised 2019 Lockdown'!H$5:H$257,MATCH(B49,'Revised 2019 Lockdown'!B$5:B$257,0))</f>
        <v>311.79011619626056</v>
      </c>
      <c r="F49" s="7">
        <f>INDEX('Revised 2019 Lockdown'!E$5:E$257,MATCH(B49,'Revised 2019 Lockdown'!B$5:B$257,0))</f>
        <v>96048.45</v>
      </c>
      <c r="G49" s="7">
        <f>INDEX('Revised 2019 Lockdown'!F$5:F$257,MATCH(B49,'Revised 2019 Lockdown'!B$5:B$257,0))</f>
        <v>0</v>
      </c>
      <c r="H49" s="7">
        <f t="shared" si="2"/>
        <v>96048.45</v>
      </c>
      <c r="I49" s="6">
        <f t="shared" si="3"/>
        <v>308.05482602130013</v>
      </c>
      <c r="J49" s="6">
        <f t="shared" si="4"/>
        <v>308.05482602130013</v>
      </c>
      <c r="K49" s="5">
        <f t="shared" si="5"/>
        <v>96048.45</v>
      </c>
      <c r="L49" s="4">
        <f t="shared" si="0"/>
        <v>0</v>
      </c>
      <c r="M49" s="2" cm="1">
        <f t="array" ref="M49">SUMPRODUCT(--($L$6:$L$300&lt;&gt;1),--($C$6:$C$300=$C49),$H$6:$H$300)/SUMPRODUCT(--($L$6:$L$300&lt;&gt;1),--($C$6:$C$300=$C49),$E$6:$E$300)</f>
        <v>347.83705753006336</v>
      </c>
      <c r="N49" s="1" cm="1">
        <f t="array" ref="N49">SUMPRODUCT(--($L$6:$L$300&lt;&gt;1),--($C$6:$C$300=$C49))</f>
        <v>21</v>
      </c>
      <c r="O49" s="3">
        <f t="shared" si="6"/>
        <v>1582.625943816834</v>
      </c>
      <c r="P49" s="2" cm="1">
        <f t="array" ref="P49">SQRT(SUMPRODUCT(--($L$6:$L$300&lt;&gt;1),--($C$6:$C$300=$C49),$E$6:$E$300,$O$6:$O$300)/((N49-1)*SUMPRODUCT(--($L$6:$L$300&lt;&gt;1),--($C$6:$C$300=$C49),$E$6:$E$300)/N49))</f>
        <v>148.32110841275002</v>
      </c>
      <c r="Q49" s="2">
        <f t="shared" si="1"/>
        <v>157.75590884039315</v>
      </c>
      <c r="R49" s="2">
        <f t="shared" si="1"/>
        <v>537.91820621973352</v>
      </c>
      <c r="S49" s="2">
        <f t="shared" si="7"/>
        <v>308.05482602130013</v>
      </c>
    </row>
    <row r="50" spans="2:19" x14ac:dyDescent="0.3">
      <c r="B50">
        <v>427</v>
      </c>
      <c r="C50" s="25">
        <v>5</v>
      </c>
      <c r="D50" s="32" t="s">
        <v>91</v>
      </c>
      <c r="E50" s="125">
        <f>INDEX('Revised 2019 Lockdown'!H$5:H$257,MATCH(B50,'Revised 2019 Lockdown'!B$5:B$257,0))</f>
        <v>437.80999999999989</v>
      </c>
      <c r="F50" s="7">
        <f>INDEX('Revised 2019 Lockdown'!E$5:E$257,MATCH(B50,'Revised 2019 Lockdown'!B$5:B$257,0))</f>
        <v>207168.59</v>
      </c>
      <c r="G50" s="7">
        <f>INDEX('Revised 2019 Lockdown'!F$5:F$257,MATCH(B50,'Revised 2019 Lockdown'!B$5:B$257,0))</f>
        <v>41727.25</v>
      </c>
      <c r="H50" s="7">
        <f t="shared" si="2"/>
        <v>165441.34</v>
      </c>
      <c r="I50" s="6">
        <f t="shared" si="3"/>
        <v>377.88387656746085</v>
      </c>
      <c r="J50" s="6">
        <f t="shared" si="4"/>
        <v>377.88387656746085</v>
      </c>
      <c r="K50" s="5">
        <f t="shared" si="5"/>
        <v>165441.34</v>
      </c>
      <c r="L50" s="4">
        <f t="shared" si="0"/>
        <v>0</v>
      </c>
      <c r="M50" s="2" cm="1">
        <f t="array" ref="M50">SUMPRODUCT(--($L$6:$L$300&lt;&gt;1),--($C$6:$C$300=$C50),$H$6:$H$300)/SUMPRODUCT(--($L$6:$L$300&lt;&gt;1),--($C$6:$C$300=$C50),$E$6:$E$300)</f>
        <v>347.83705753006336</v>
      </c>
      <c r="N50" s="1" cm="1">
        <f t="array" ref="N50">SUMPRODUCT(--($L$6:$L$300&lt;&gt;1),--($C$6:$C$300=$C50))</f>
        <v>21</v>
      </c>
      <c r="O50" s="3">
        <f t="shared" si="6"/>
        <v>902.81133426611188</v>
      </c>
      <c r="P50" s="2" cm="1">
        <f t="array" ref="P50">SQRT(SUMPRODUCT(--($L$6:$L$300&lt;&gt;1),--($C$6:$C$300=$C50),$E$6:$E$300,$O$6:$O$300)/((N50-1)*SUMPRODUCT(--($L$6:$L$300&lt;&gt;1),--($C$6:$C$300=$C50),$E$6:$E$300)/N50))</f>
        <v>148.32110841275002</v>
      </c>
      <c r="Q50" s="2">
        <f t="shared" si="1"/>
        <v>157.75590884039315</v>
      </c>
      <c r="R50" s="2">
        <f t="shared" si="1"/>
        <v>537.91820621973352</v>
      </c>
      <c r="S50" s="2">
        <f t="shared" si="7"/>
        <v>377.88387656746085</v>
      </c>
    </row>
    <row r="51" spans="2:19" x14ac:dyDescent="0.3">
      <c r="B51">
        <v>524</v>
      </c>
      <c r="C51" s="25">
        <v>5</v>
      </c>
      <c r="D51" s="32" t="s">
        <v>92</v>
      </c>
      <c r="E51" s="125">
        <f>INDEX('Revised 2019 Lockdown'!H$5:H$257,MATCH(B51,'Revised 2019 Lockdown'!B$5:B$257,0))</f>
        <v>482.90286206873753</v>
      </c>
      <c r="F51" s="7">
        <f>INDEX('Revised 2019 Lockdown'!E$5:E$257,MATCH(B51,'Revised 2019 Lockdown'!B$5:B$257,0))</f>
        <v>318123.49</v>
      </c>
      <c r="G51" s="7">
        <f>INDEX('Revised 2019 Lockdown'!F$5:F$257,MATCH(B51,'Revised 2019 Lockdown'!B$5:B$257,0))</f>
        <v>89207.8</v>
      </c>
      <c r="H51" s="7">
        <f t="shared" si="2"/>
        <v>228915.69</v>
      </c>
      <c r="I51" s="6">
        <f t="shared" si="3"/>
        <v>474.04086407633594</v>
      </c>
      <c r="J51" s="6">
        <f t="shared" si="4"/>
        <v>474.04086407633594</v>
      </c>
      <c r="K51" s="5">
        <f t="shared" si="5"/>
        <v>228915.69</v>
      </c>
      <c r="L51" s="4">
        <f t="shared" si="0"/>
        <v>0</v>
      </c>
      <c r="M51" s="2" cm="1">
        <f t="array" ref="M51">SUMPRODUCT(--($L$6:$L$300&lt;&gt;1),--($C$6:$C$300=$C51),$H$6:$H$300)/SUMPRODUCT(--($L$6:$L$300&lt;&gt;1),--($C$6:$C$300=$C51),$E$6:$E$300)</f>
        <v>347.83705753006336</v>
      </c>
      <c r="N51" s="1" cm="1">
        <f t="array" ref="N51">SUMPRODUCT(--($L$6:$L$300&lt;&gt;1),--($C$6:$C$300=$C51))</f>
        <v>21</v>
      </c>
      <c r="O51" s="3">
        <f t="shared" si="6"/>
        <v>15927.400786768992</v>
      </c>
      <c r="P51" s="2" cm="1">
        <f t="array" ref="P51">SQRT(SUMPRODUCT(--($L$6:$L$300&lt;&gt;1),--($C$6:$C$300=$C51),$E$6:$E$300,$O$6:$O$300)/((N51-1)*SUMPRODUCT(--($L$6:$L$300&lt;&gt;1),--($C$6:$C$300=$C51),$E$6:$E$300)/N51))</f>
        <v>148.32110841275002</v>
      </c>
      <c r="Q51" s="2">
        <f t="shared" si="1"/>
        <v>157.75590884039315</v>
      </c>
      <c r="R51" s="2">
        <f t="shared" si="1"/>
        <v>537.91820621973352</v>
      </c>
      <c r="S51" s="2">
        <f t="shared" si="7"/>
        <v>474.04086407633594</v>
      </c>
    </row>
    <row r="52" spans="2:19" x14ac:dyDescent="0.3">
      <c r="B52">
        <v>565</v>
      </c>
      <c r="C52" s="25">
        <v>5</v>
      </c>
      <c r="D52" s="32" t="s">
        <v>93</v>
      </c>
      <c r="E52" s="125">
        <f>INDEX('Revised 2019 Lockdown'!H$5:H$257,MATCH(B52,'Revised 2019 Lockdown'!B$5:B$257,0))</f>
        <v>483.48174802310336</v>
      </c>
      <c r="F52" s="7">
        <f>INDEX('Revised 2019 Lockdown'!E$5:E$257,MATCH(B52,'Revised 2019 Lockdown'!B$5:B$257,0))</f>
        <v>273760.90999999997</v>
      </c>
      <c r="G52" s="7">
        <f>INDEX('Revised 2019 Lockdown'!F$5:F$257,MATCH(B52,'Revised 2019 Lockdown'!B$5:B$257,0))</f>
        <v>88951.02</v>
      </c>
      <c r="H52" s="7">
        <f t="shared" si="2"/>
        <v>184809.88999999996</v>
      </c>
      <c r="I52" s="6">
        <f t="shared" si="3"/>
        <v>382.2479147468639</v>
      </c>
      <c r="J52" s="6">
        <f t="shared" si="4"/>
        <v>382.2479147468639</v>
      </c>
      <c r="K52" s="5">
        <f t="shared" si="5"/>
        <v>184809.88999999996</v>
      </c>
      <c r="L52" s="4">
        <f t="shared" si="0"/>
        <v>0</v>
      </c>
      <c r="M52" s="2" cm="1">
        <f t="array" ref="M52">SUMPRODUCT(--($L$6:$L$300&lt;&gt;1),--($C$6:$C$300=$C52),$H$6:$H$300)/SUMPRODUCT(--($L$6:$L$300&lt;&gt;1),--($C$6:$C$300=$C52),$E$6:$E$300)</f>
        <v>347.83705753006336</v>
      </c>
      <c r="N52" s="1" cm="1">
        <f t="array" ref="N52">SUMPRODUCT(--($L$6:$L$300&lt;&gt;1),--($C$6:$C$300=$C52))</f>
        <v>21</v>
      </c>
      <c r="O52" s="3">
        <f t="shared" si="6"/>
        <v>1184.1070943950335</v>
      </c>
      <c r="P52" s="2" cm="1">
        <f t="array" ref="P52">SQRT(SUMPRODUCT(--($L$6:$L$300&lt;&gt;1),--($C$6:$C$300=$C52),$E$6:$E$300,$O$6:$O$300)/((N52-1)*SUMPRODUCT(--($L$6:$L$300&lt;&gt;1),--($C$6:$C$300=$C52),$E$6:$E$300)/N52))</f>
        <v>148.32110841275002</v>
      </c>
      <c r="Q52" s="2">
        <f t="shared" si="1"/>
        <v>157.75590884039315</v>
      </c>
      <c r="R52" s="2">
        <f t="shared" si="1"/>
        <v>537.91820621973352</v>
      </c>
      <c r="S52" s="2">
        <f t="shared" si="7"/>
        <v>382.2479147468639</v>
      </c>
    </row>
    <row r="53" spans="2:19" x14ac:dyDescent="0.3">
      <c r="B53">
        <v>613</v>
      </c>
      <c r="C53" s="25">
        <v>5</v>
      </c>
      <c r="D53" s="32" t="s">
        <v>94</v>
      </c>
      <c r="E53" s="125">
        <f>INDEX('Revised 2019 Lockdown'!H$5:H$257,MATCH(B53,'Revised 2019 Lockdown'!B$5:B$257,0))</f>
        <v>131.44881180778847</v>
      </c>
      <c r="F53" s="7">
        <f>INDEX('Revised 2019 Lockdown'!E$5:E$257,MATCH(B53,'Revised 2019 Lockdown'!B$5:B$257,0))</f>
        <v>69874.64</v>
      </c>
      <c r="G53" s="7">
        <f>INDEX('Revised 2019 Lockdown'!F$5:F$257,MATCH(B53,'Revised 2019 Lockdown'!B$5:B$257,0))</f>
        <v>0</v>
      </c>
      <c r="H53" s="7">
        <f t="shared" si="2"/>
        <v>69874.64</v>
      </c>
      <c r="I53" s="6">
        <f t="shared" si="3"/>
        <v>531.57300578855336</v>
      </c>
      <c r="J53" s="6">
        <f t="shared" si="4"/>
        <v>531.57300578855336</v>
      </c>
      <c r="K53" s="5">
        <f t="shared" si="5"/>
        <v>69874.64</v>
      </c>
      <c r="L53" s="4">
        <f t="shared" si="0"/>
        <v>0</v>
      </c>
      <c r="M53" s="2" cm="1">
        <f t="array" ref="M53">SUMPRODUCT(--($L$6:$L$300&lt;&gt;1),--($C$6:$C$300=$C53),$H$6:$H$300)/SUMPRODUCT(--($L$6:$L$300&lt;&gt;1),--($C$6:$C$300=$C53),$E$6:$E$300)</f>
        <v>347.83705753006336</v>
      </c>
      <c r="N53" s="1" cm="1">
        <f t="array" ref="N53">SUMPRODUCT(--($L$6:$L$300&lt;&gt;1),--($C$6:$C$300=$C53))</f>
        <v>21</v>
      </c>
      <c r="O53" s="3">
        <f t="shared" si="6"/>
        <v>33758.89868244651</v>
      </c>
      <c r="P53" s="2" cm="1">
        <f t="array" ref="P53">SQRT(SUMPRODUCT(--($L$6:$L$300&lt;&gt;1),--($C$6:$C$300=$C53),$E$6:$E$300,$O$6:$O$300)/((N53-1)*SUMPRODUCT(--($L$6:$L$300&lt;&gt;1),--($C$6:$C$300=$C53),$E$6:$E$300)/N53))</f>
        <v>148.32110841275002</v>
      </c>
      <c r="Q53" s="2">
        <f t="shared" si="1"/>
        <v>157.75590884039315</v>
      </c>
      <c r="R53" s="2">
        <f t="shared" si="1"/>
        <v>537.91820621973352</v>
      </c>
      <c r="S53" s="2">
        <f t="shared" si="7"/>
        <v>531.57300578855336</v>
      </c>
    </row>
    <row r="54" spans="2:19" x14ac:dyDescent="0.3">
      <c r="B54">
        <v>696</v>
      </c>
      <c r="C54" s="25">
        <v>5</v>
      </c>
      <c r="D54" s="32" t="s">
        <v>95</v>
      </c>
      <c r="E54" s="125">
        <f>INDEX('Revised 2019 Lockdown'!H$5:H$257,MATCH(B54,'Revised 2019 Lockdown'!B$5:B$257,0))</f>
        <v>255.58276788790465</v>
      </c>
      <c r="F54" s="7">
        <f>INDEX('Revised 2019 Lockdown'!E$5:E$257,MATCH(B54,'Revised 2019 Lockdown'!B$5:B$257,0))</f>
        <v>129470.73</v>
      </c>
      <c r="G54" s="7">
        <f>INDEX('Revised 2019 Lockdown'!F$5:F$257,MATCH(B54,'Revised 2019 Lockdown'!B$5:B$257,0))</f>
        <v>201.75</v>
      </c>
      <c r="H54" s="7">
        <f t="shared" si="2"/>
        <v>129268.98</v>
      </c>
      <c r="I54" s="6">
        <f t="shared" si="3"/>
        <v>505.78128200214081</v>
      </c>
      <c r="J54" s="6">
        <f t="shared" si="4"/>
        <v>505.78128200214081</v>
      </c>
      <c r="K54" s="5">
        <f t="shared" si="5"/>
        <v>129268.98</v>
      </c>
      <c r="L54" s="4">
        <f t="shared" si="0"/>
        <v>0</v>
      </c>
      <c r="M54" s="2" cm="1">
        <f t="array" ref="M54">SUMPRODUCT(--($L$6:$L$300&lt;&gt;1),--($C$6:$C$300=$C54),$H$6:$H$300)/SUMPRODUCT(--($L$6:$L$300&lt;&gt;1),--($C$6:$C$300=$C54),$E$6:$E$300)</f>
        <v>347.83705753006336</v>
      </c>
      <c r="N54" s="1" cm="1">
        <f t="array" ref="N54">SUMPRODUCT(--($L$6:$L$300&lt;&gt;1),--($C$6:$C$300=$C54))</f>
        <v>21</v>
      </c>
      <c r="O54" s="3">
        <f t="shared" si="6"/>
        <v>24946.378044085988</v>
      </c>
      <c r="P54" s="2" cm="1">
        <f t="array" ref="P54">SQRT(SUMPRODUCT(--($L$6:$L$300&lt;&gt;1),--($C$6:$C$300=$C54),$E$6:$E$300,$O$6:$O$300)/((N54-1)*SUMPRODUCT(--($L$6:$L$300&lt;&gt;1),--($C$6:$C$300=$C54),$E$6:$E$300)/N54))</f>
        <v>148.32110841275002</v>
      </c>
      <c r="Q54" s="2">
        <f t="shared" si="1"/>
        <v>157.75590884039315</v>
      </c>
      <c r="R54" s="2">
        <f t="shared" si="1"/>
        <v>537.91820621973352</v>
      </c>
      <c r="S54" s="2">
        <f t="shared" si="7"/>
        <v>505.78128200214081</v>
      </c>
    </row>
    <row r="55" spans="2:19" x14ac:dyDescent="0.3">
      <c r="B55">
        <v>731</v>
      </c>
      <c r="C55" s="25">
        <v>5</v>
      </c>
      <c r="D55" s="32" t="s">
        <v>96</v>
      </c>
      <c r="E55" s="125">
        <f>INDEX('Revised 2019 Lockdown'!H$5:H$257,MATCH(B55,'Revised 2019 Lockdown'!B$5:B$257,0))</f>
        <v>1049.3999999999999</v>
      </c>
      <c r="F55" s="7">
        <f>INDEX('Revised 2019 Lockdown'!E$5:E$257,MATCH(B55,'Revised 2019 Lockdown'!B$5:B$257,0))</f>
        <v>268966.73</v>
      </c>
      <c r="G55" s="7">
        <f>INDEX('Revised 2019 Lockdown'!F$5:F$257,MATCH(B55,'Revised 2019 Lockdown'!B$5:B$257,0))</f>
        <v>41367.85</v>
      </c>
      <c r="H55" s="7">
        <f t="shared" si="2"/>
        <v>227598.87999999998</v>
      </c>
      <c r="I55" s="6">
        <f t="shared" si="3"/>
        <v>216.88477225080999</v>
      </c>
      <c r="J55" s="6">
        <f t="shared" si="4"/>
        <v>216.88477225080999</v>
      </c>
      <c r="K55" s="5">
        <f t="shared" si="5"/>
        <v>227598.87999999998</v>
      </c>
      <c r="L55" s="4">
        <f t="shared" si="0"/>
        <v>0</v>
      </c>
      <c r="M55" s="2" cm="1">
        <f t="array" ref="M55">SUMPRODUCT(--($L$6:$L$300&lt;&gt;1),--($C$6:$C$300=$C55),$H$6:$H$300)/SUMPRODUCT(--($L$6:$L$300&lt;&gt;1),--($C$6:$C$300=$C55),$E$6:$E$300)</f>
        <v>347.83705753006336</v>
      </c>
      <c r="N55" s="1" cm="1">
        <f t="array" ref="N55">SUMPRODUCT(--($L$6:$L$300&lt;&gt;1),--($C$6:$C$300=$C55))</f>
        <v>21</v>
      </c>
      <c r="O55" s="3">
        <f t="shared" si="6"/>
        <v>17148.501019858959</v>
      </c>
      <c r="P55" s="2" cm="1">
        <f t="array" ref="P55">SQRT(SUMPRODUCT(--($L$6:$L$300&lt;&gt;1),--($C$6:$C$300=$C55),$E$6:$E$300,$O$6:$O$300)/((N55-1)*SUMPRODUCT(--($L$6:$L$300&lt;&gt;1),--($C$6:$C$300=$C55),$E$6:$E$300)/N55))</f>
        <v>148.32110841275002</v>
      </c>
      <c r="Q55" s="2">
        <f t="shared" si="1"/>
        <v>157.75590884039315</v>
      </c>
      <c r="R55" s="2">
        <f t="shared" si="1"/>
        <v>537.91820621973352</v>
      </c>
      <c r="S55" s="2">
        <f t="shared" si="7"/>
        <v>216.88477225080999</v>
      </c>
    </row>
    <row r="56" spans="2:19" x14ac:dyDescent="0.3">
      <c r="B56">
        <v>732</v>
      </c>
      <c r="C56" s="25">
        <v>5</v>
      </c>
      <c r="D56" s="32" t="s">
        <v>97</v>
      </c>
      <c r="E56" s="125">
        <f>INDEX('Revised 2019 Lockdown'!H$5:H$257,MATCH(B56,'Revised 2019 Lockdown'!B$5:B$257,0))</f>
        <v>190.20948473695086</v>
      </c>
      <c r="F56" s="7">
        <f>INDEX('Revised 2019 Lockdown'!E$5:E$257,MATCH(B56,'Revised 2019 Lockdown'!B$5:B$257,0))</f>
        <v>70626.64</v>
      </c>
      <c r="G56" s="7">
        <f>INDEX('Revised 2019 Lockdown'!F$5:F$257,MATCH(B56,'Revised 2019 Lockdown'!B$5:B$257,0))</f>
        <v>0</v>
      </c>
      <c r="H56" s="7">
        <f t="shared" si="2"/>
        <v>70626.64</v>
      </c>
      <c r="I56" s="6">
        <f t="shared" si="3"/>
        <v>371.30976984493026</v>
      </c>
      <c r="J56" s="6">
        <f t="shared" si="4"/>
        <v>371.30976984493026</v>
      </c>
      <c r="K56" s="5">
        <f t="shared" si="5"/>
        <v>70626.64</v>
      </c>
      <c r="L56" s="4">
        <f t="shared" si="0"/>
        <v>0</v>
      </c>
      <c r="M56" s="2" cm="1">
        <f t="array" ref="M56">SUMPRODUCT(--($L$6:$L$300&lt;&gt;1),--($C$6:$C$300=$C56),$H$6:$H$300)/SUMPRODUCT(--($L$6:$L$300&lt;&gt;1),--($C$6:$C$300=$C56),$E$6:$E$300)</f>
        <v>347.83705753006336</v>
      </c>
      <c r="N56" s="1" cm="1">
        <f t="array" ref="N56">SUMPRODUCT(--($L$6:$L$300&lt;&gt;1),--($C$6:$C$300=$C56))</f>
        <v>21</v>
      </c>
      <c r="O56" s="3">
        <f t="shared" si="6"/>
        <v>550.96822341650409</v>
      </c>
      <c r="P56" s="2" cm="1">
        <f t="array" ref="P56">SQRT(SUMPRODUCT(--($L$6:$L$300&lt;&gt;1),--($C$6:$C$300=$C56),$E$6:$E$300,$O$6:$O$300)/((N56-1)*SUMPRODUCT(--($L$6:$L$300&lt;&gt;1),--($C$6:$C$300=$C56),$E$6:$E$300)/N56))</f>
        <v>148.32110841275002</v>
      </c>
      <c r="Q56" s="2">
        <f t="shared" si="1"/>
        <v>157.75590884039315</v>
      </c>
      <c r="R56" s="2">
        <f t="shared" si="1"/>
        <v>537.91820621973352</v>
      </c>
      <c r="S56" s="2">
        <f t="shared" si="7"/>
        <v>371.30976984493026</v>
      </c>
    </row>
    <row r="57" spans="2:19" x14ac:dyDescent="0.3">
      <c r="B57">
        <v>754</v>
      </c>
      <c r="C57" s="25">
        <v>5</v>
      </c>
      <c r="D57" s="32" t="s">
        <v>98</v>
      </c>
      <c r="E57" s="125">
        <f>INDEX('Revised 2019 Lockdown'!H$5:H$257,MATCH(B57,'Revised 2019 Lockdown'!B$5:B$257,0))</f>
        <v>100.39736101583898</v>
      </c>
      <c r="F57" s="7">
        <f>INDEX('Revised 2019 Lockdown'!E$5:E$257,MATCH(B57,'Revised 2019 Lockdown'!B$5:B$257,0))</f>
        <v>35014.82</v>
      </c>
      <c r="G57" s="7">
        <f>INDEX('Revised 2019 Lockdown'!F$5:F$257,MATCH(B57,'Revised 2019 Lockdown'!B$5:B$257,0))</f>
        <v>0</v>
      </c>
      <c r="H57" s="7">
        <f t="shared" si="2"/>
        <v>35014.82</v>
      </c>
      <c r="I57" s="6">
        <f t="shared" si="3"/>
        <v>348.762354365828</v>
      </c>
      <c r="J57" s="6">
        <f t="shared" si="4"/>
        <v>348.762354365828</v>
      </c>
      <c r="K57" s="5">
        <f t="shared" si="5"/>
        <v>35014.82</v>
      </c>
      <c r="L57" s="4">
        <f t="shared" si="0"/>
        <v>0</v>
      </c>
      <c r="M57" s="2" cm="1">
        <f t="array" ref="M57">SUMPRODUCT(--($L$6:$L$300&lt;&gt;1),--($C$6:$C$300=$C57),$H$6:$H$300)/SUMPRODUCT(--($L$6:$L$300&lt;&gt;1),--($C$6:$C$300=$C57),$E$6:$E$300)</f>
        <v>347.83705753006336</v>
      </c>
      <c r="N57" s="1" cm="1">
        <f t="array" ref="N57">SUMPRODUCT(--($L$6:$L$300&lt;&gt;1),--($C$6:$C$300=$C57))</f>
        <v>21</v>
      </c>
      <c r="O57" s="3">
        <f t="shared" si="6"/>
        <v>0.85617423427605688</v>
      </c>
      <c r="P57" s="2" cm="1">
        <f t="array" ref="P57">SQRT(SUMPRODUCT(--($L$6:$L$300&lt;&gt;1),--($C$6:$C$300=$C57),$E$6:$E$300,$O$6:$O$300)/((N57-1)*SUMPRODUCT(--($L$6:$L$300&lt;&gt;1),--($C$6:$C$300=$C57),$E$6:$E$300)/N57))</f>
        <v>148.32110841275002</v>
      </c>
      <c r="Q57" s="2">
        <f t="shared" si="1"/>
        <v>157.75590884039315</v>
      </c>
      <c r="R57" s="2">
        <f t="shared" si="1"/>
        <v>537.91820621973352</v>
      </c>
      <c r="S57" s="2">
        <f t="shared" si="7"/>
        <v>348.762354365828</v>
      </c>
    </row>
    <row r="58" spans="2:19" x14ac:dyDescent="0.3">
      <c r="B58">
        <v>885</v>
      </c>
      <c r="C58" s="25">
        <v>5</v>
      </c>
      <c r="D58" s="32" t="s">
        <v>99</v>
      </c>
      <c r="E58" s="125">
        <f>INDEX('Revised 2019 Lockdown'!H$5:H$257,MATCH(B58,'Revised 2019 Lockdown'!B$5:B$257,0))</f>
        <v>441.47999999999996</v>
      </c>
      <c r="F58" s="7">
        <f>INDEX('Revised 2019 Lockdown'!E$5:E$257,MATCH(B58,'Revised 2019 Lockdown'!B$5:B$257,0))</f>
        <v>146152.16</v>
      </c>
      <c r="G58" s="7">
        <f>INDEX('Revised 2019 Lockdown'!F$5:F$257,MATCH(B58,'Revised 2019 Lockdown'!B$5:B$257,0))</f>
        <v>0</v>
      </c>
      <c r="H58" s="7">
        <f t="shared" si="2"/>
        <v>146152.16</v>
      </c>
      <c r="I58" s="6">
        <f t="shared" si="3"/>
        <v>331.05046661230409</v>
      </c>
      <c r="J58" s="6">
        <f t="shared" si="4"/>
        <v>331.05046661230409</v>
      </c>
      <c r="K58" s="5">
        <f t="shared" si="5"/>
        <v>146152.16</v>
      </c>
      <c r="L58" s="4">
        <f t="shared" si="0"/>
        <v>0</v>
      </c>
      <c r="M58" s="2" cm="1">
        <f t="array" ref="M58">SUMPRODUCT(--($L$6:$L$300&lt;&gt;1),--($C$6:$C$300=$C58),$H$6:$H$300)/SUMPRODUCT(--($L$6:$L$300&lt;&gt;1),--($C$6:$C$300=$C58),$E$6:$E$300)</f>
        <v>347.83705753006336</v>
      </c>
      <c r="N58" s="1" cm="1">
        <f t="array" ref="N58">SUMPRODUCT(--($L$6:$L$300&lt;&gt;1),--($C$6:$C$300=$C58))</f>
        <v>21</v>
      </c>
      <c r="O58" s="3">
        <f t="shared" si="6"/>
        <v>281.78963464019802</v>
      </c>
      <c r="P58" s="2" cm="1">
        <f t="array" ref="P58">SQRT(SUMPRODUCT(--($L$6:$L$300&lt;&gt;1),--($C$6:$C$300=$C58),$E$6:$E$300,$O$6:$O$300)/((N58-1)*SUMPRODUCT(--($L$6:$L$300&lt;&gt;1),--($C$6:$C$300=$C58),$E$6:$E$300)/N58))</f>
        <v>148.32110841275002</v>
      </c>
      <c r="Q58" s="2">
        <f t="shared" si="1"/>
        <v>157.75590884039315</v>
      </c>
      <c r="R58" s="2">
        <f t="shared" si="1"/>
        <v>537.91820621973352</v>
      </c>
      <c r="S58" s="2">
        <f t="shared" si="7"/>
        <v>331.05046661230409</v>
      </c>
    </row>
    <row r="59" spans="2:19" x14ac:dyDescent="0.3">
      <c r="B59">
        <v>909</v>
      </c>
      <c r="C59" s="25">
        <v>5</v>
      </c>
      <c r="D59" s="32" t="s">
        <v>100</v>
      </c>
      <c r="E59" s="125">
        <f>INDEX('Revised 2019 Lockdown'!H$5:H$257,MATCH(B59,'Revised 2019 Lockdown'!B$5:B$257,0))</f>
        <v>447.85999999999996</v>
      </c>
      <c r="F59" s="7">
        <f>INDEX('Revised 2019 Lockdown'!E$5:E$257,MATCH(B59,'Revised 2019 Lockdown'!B$5:B$257,0))</f>
        <v>200038.02</v>
      </c>
      <c r="G59" s="7">
        <f>INDEX('Revised 2019 Lockdown'!F$5:F$257,MATCH(B59,'Revised 2019 Lockdown'!B$5:B$257,0))</f>
        <v>620.13</v>
      </c>
      <c r="H59" s="7">
        <f t="shared" si="2"/>
        <v>199417.88999999998</v>
      </c>
      <c r="I59" s="6">
        <f t="shared" si="3"/>
        <v>445.26836511409817</v>
      </c>
      <c r="J59" s="6">
        <f t="shared" si="4"/>
        <v>445.26836511409817</v>
      </c>
      <c r="K59" s="5">
        <f t="shared" si="5"/>
        <v>199417.88999999998</v>
      </c>
      <c r="L59" s="4">
        <f t="shared" si="0"/>
        <v>0</v>
      </c>
      <c r="M59" s="2" cm="1">
        <f t="array" ref="M59">SUMPRODUCT(--($L$6:$L$300&lt;&gt;1),--($C$6:$C$300=$C59),$H$6:$H$300)/SUMPRODUCT(--($L$6:$L$300&lt;&gt;1),--($C$6:$C$300=$C59),$E$6:$E$300)</f>
        <v>347.83705753006336</v>
      </c>
      <c r="N59" s="1" cm="1">
        <f t="array" ref="N59">SUMPRODUCT(--($L$6:$L$300&lt;&gt;1),--($C$6:$C$300=$C59))</f>
        <v>21</v>
      </c>
      <c r="O59" s="3">
        <f t="shared" si="6"/>
        <v>9492.8596975347991</v>
      </c>
      <c r="P59" s="2" cm="1">
        <f t="array" ref="P59">SQRT(SUMPRODUCT(--($L$6:$L$300&lt;&gt;1),--($C$6:$C$300=$C59),$E$6:$E$300,$O$6:$O$300)/((N59-1)*SUMPRODUCT(--($L$6:$L$300&lt;&gt;1),--($C$6:$C$300=$C59),$E$6:$E$300)/N59))</f>
        <v>148.32110841275002</v>
      </c>
      <c r="Q59" s="2">
        <f t="shared" si="1"/>
        <v>157.75590884039315</v>
      </c>
      <c r="R59" s="2">
        <f t="shared" si="1"/>
        <v>537.91820621973352</v>
      </c>
      <c r="S59" s="2">
        <f t="shared" si="7"/>
        <v>445.26836511409817</v>
      </c>
    </row>
    <row r="60" spans="2:19" x14ac:dyDescent="0.3">
      <c r="B60">
        <v>923</v>
      </c>
      <c r="C60" s="25">
        <v>5</v>
      </c>
      <c r="D60" s="32" t="s">
        <v>101</v>
      </c>
      <c r="E60" s="125">
        <f>INDEX('Revised 2019 Lockdown'!H$5:H$257,MATCH(B60,'Revised 2019 Lockdown'!B$5:B$257,0))</f>
        <v>44.943349148505419</v>
      </c>
      <c r="F60" s="7">
        <f>INDEX('Revised 2019 Lockdown'!E$5:E$257,MATCH(B60,'Revised 2019 Lockdown'!B$5:B$257,0))</f>
        <v>31192.39</v>
      </c>
      <c r="G60" s="7">
        <f>INDEX('Revised 2019 Lockdown'!F$5:F$257,MATCH(B60,'Revised 2019 Lockdown'!B$5:B$257,0))</f>
        <v>84</v>
      </c>
      <c r="H60" s="7">
        <f t="shared" si="2"/>
        <v>31108.39</v>
      </c>
      <c r="I60" s="6">
        <f t="shared" si="3"/>
        <v>692.16893243111815</v>
      </c>
      <c r="J60" s="6">
        <f t="shared" si="4"/>
        <v>537.91820621973352</v>
      </c>
      <c r="K60" s="5">
        <f t="shared" si="5"/>
        <v>24175.845755471222</v>
      </c>
      <c r="L60" s="4">
        <f t="shared" si="0"/>
        <v>0</v>
      </c>
      <c r="M60" s="2" cm="1">
        <f t="array" ref="M60">SUMPRODUCT(--($L$6:$L$300&lt;&gt;1),--($C$6:$C$300=$C60),$H$6:$H$300)/SUMPRODUCT(--($L$6:$L$300&lt;&gt;1),--($C$6:$C$300=$C60),$E$6:$E$300)</f>
        <v>347.83705753006336</v>
      </c>
      <c r="N60" s="1" cm="1">
        <f t="array" ref="N60">SUMPRODUCT(--($L$6:$L$300&lt;&gt;1),--($C$6:$C$300=$C60))</f>
        <v>21</v>
      </c>
      <c r="O60" s="3">
        <f t="shared" si="6"/>
        <v>118564.44007287564</v>
      </c>
      <c r="P60" s="2" cm="1">
        <f t="array" ref="P60">SQRT(SUMPRODUCT(--($L$6:$L$300&lt;&gt;1),--($C$6:$C$300=$C60),$E$6:$E$300,$O$6:$O$300)/((N60-1)*SUMPRODUCT(--($L$6:$L$300&lt;&gt;1),--($C$6:$C$300=$C60),$E$6:$E$300)/N60))</f>
        <v>148.32110841275002</v>
      </c>
      <c r="Q60" s="2">
        <f t="shared" si="1"/>
        <v>157.75590884039315</v>
      </c>
      <c r="R60" s="2">
        <f t="shared" si="1"/>
        <v>537.91820621973352</v>
      </c>
      <c r="S60" s="2">
        <f t="shared" si="7"/>
        <v>537.91820621973352</v>
      </c>
    </row>
    <row r="61" spans="2:19" x14ac:dyDescent="0.3">
      <c r="B61">
        <v>394</v>
      </c>
      <c r="C61" s="25">
        <v>6</v>
      </c>
      <c r="D61" s="32" t="s">
        <v>102</v>
      </c>
      <c r="E61" s="125">
        <f>INDEX('Revised 2019 Lockdown'!H$5:H$257,MATCH(B61,'Revised 2019 Lockdown'!B$5:B$257,0))</f>
        <v>594.22</v>
      </c>
      <c r="F61" s="7">
        <f>INDEX('Revised 2019 Lockdown'!E$5:E$257,MATCH(B61,'Revised 2019 Lockdown'!B$5:B$257,0))</f>
        <v>421357.69</v>
      </c>
      <c r="G61" s="7">
        <f>INDEX('Revised 2019 Lockdown'!F$5:F$257,MATCH(B61,'Revised 2019 Lockdown'!B$5:B$257,0))</f>
        <v>25617.809999999998</v>
      </c>
      <c r="H61" s="7">
        <f t="shared" si="2"/>
        <v>395739.88</v>
      </c>
      <c r="I61" s="6">
        <f t="shared" si="3"/>
        <v>665.982094173875</v>
      </c>
      <c r="J61" s="6">
        <f t="shared" si="4"/>
        <v>665.982094173875</v>
      </c>
      <c r="K61" s="5">
        <f t="shared" si="5"/>
        <v>395739.88</v>
      </c>
      <c r="L61" s="4">
        <f t="shared" si="0"/>
        <v>0</v>
      </c>
      <c r="M61" s="2" cm="1">
        <f t="array" ref="M61">SUMPRODUCT(--($L$6:$L$300&lt;&gt;1),--($C$6:$C$300=$C61),$H$6:$H$300)/SUMPRODUCT(--($L$6:$L$300&lt;&gt;1),--($C$6:$C$300=$C61),$E$6:$E$300)</f>
        <v>809.62179446004825</v>
      </c>
      <c r="N61" s="1" cm="1">
        <f t="array" ref="N61">SUMPRODUCT(--($L$6:$L$300&lt;&gt;1),--($C$6:$C$300=$C61))</f>
        <v>49</v>
      </c>
      <c r="O61" s="3">
        <f t="shared" si="6"/>
        <v>20632.363498301682</v>
      </c>
      <c r="P61" s="2" cm="1">
        <f t="array" ref="P61">SQRT(SUMPRODUCT(--($L$6:$L$300&lt;&gt;1),--($C$6:$C$300=$C61),$E$6:$E$300,$O$6:$O$300)/((N61-1)*SUMPRODUCT(--($L$6:$L$300&lt;&gt;1),--($C$6:$C$300=$C61),$E$6:$E$300)/N61))</f>
        <v>552.30303599331978</v>
      </c>
      <c r="Q61" s="2">
        <f t="shared" si="1"/>
        <v>101.81697402777343</v>
      </c>
      <c r="R61" s="2">
        <f t="shared" si="1"/>
        <v>1517.426614892323</v>
      </c>
      <c r="S61" s="2">
        <f t="shared" si="7"/>
        <v>665.982094173875</v>
      </c>
    </row>
    <row r="62" spans="2:19" x14ac:dyDescent="0.3">
      <c r="B62">
        <v>414</v>
      </c>
      <c r="C62" s="25">
        <v>6</v>
      </c>
      <c r="D62" s="32" t="s">
        <v>103</v>
      </c>
      <c r="E62" s="125">
        <f>INDEX('Revised 2019 Lockdown'!H$5:H$257,MATCH(B62,'Revised 2019 Lockdown'!B$5:B$257,0))</f>
        <v>165.57474646336405</v>
      </c>
      <c r="F62" s="7">
        <f>INDEX('Revised 2019 Lockdown'!E$5:E$257,MATCH(B62,'Revised 2019 Lockdown'!B$5:B$257,0))</f>
        <v>222802.48</v>
      </c>
      <c r="G62" s="7">
        <f>INDEX('Revised 2019 Lockdown'!F$5:F$257,MATCH(B62,'Revised 2019 Lockdown'!B$5:B$257,0))</f>
        <v>11641.15</v>
      </c>
      <c r="H62" s="7">
        <f t="shared" si="2"/>
        <v>211161.33000000002</v>
      </c>
      <c r="I62" s="6">
        <f t="shared" si="3"/>
        <v>1275.3232875807103</v>
      </c>
      <c r="J62" s="6">
        <f t="shared" si="4"/>
        <v>1275.3232875807103</v>
      </c>
      <c r="K62" s="5">
        <f t="shared" si="5"/>
        <v>211161.33000000002</v>
      </c>
      <c r="L62" s="4">
        <f t="shared" si="0"/>
        <v>0</v>
      </c>
      <c r="M62" s="2" cm="1">
        <f t="array" ref="M62">SUMPRODUCT(--($L$6:$L$300&lt;&gt;1),--($C$6:$C$300=$C62),$H$6:$H$300)/SUMPRODUCT(--($L$6:$L$300&lt;&gt;1),--($C$6:$C$300=$C62),$E$6:$E$300)</f>
        <v>809.62179446004825</v>
      </c>
      <c r="N62" s="1" cm="1">
        <f t="array" ref="N62">SUMPRODUCT(--($L$6:$L$300&lt;&gt;1),--($C$6:$C$300=$C62))</f>
        <v>49</v>
      </c>
      <c r="O62" s="3">
        <f t="shared" si="6"/>
        <v>216877.880694814</v>
      </c>
      <c r="P62" s="2" cm="1">
        <f t="array" ref="P62">SQRT(SUMPRODUCT(--($L$6:$L$300&lt;&gt;1),--($C$6:$C$300=$C62),$E$6:$E$300,$O$6:$O$300)/((N62-1)*SUMPRODUCT(--($L$6:$L$300&lt;&gt;1),--($C$6:$C$300=$C62),$E$6:$E$300)/N62))</f>
        <v>552.30303599331978</v>
      </c>
      <c r="Q62" s="2">
        <f t="shared" si="1"/>
        <v>101.81697402777343</v>
      </c>
      <c r="R62" s="2">
        <f t="shared" si="1"/>
        <v>1517.426614892323</v>
      </c>
      <c r="S62" s="2">
        <f t="shared" si="7"/>
        <v>1275.3232875807103</v>
      </c>
    </row>
    <row r="63" spans="2:19" x14ac:dyDescent="0.3">
      <c r="B63">
        <v>426</v>
      </c>
      <c r="C63" s="25">
        <v>6</v>
      </c>
      <c r="D63" s="32" t="s">
        <v>104</v>
      </c>
      <c r="E63" s="125">
        <f>INDEX('Revised 2019 Lockdown'!H$5:H$257,MATCH(B63,'Revised 2019 Lockdown'!B$5:B$257,0))</f>
        <v>463.46518252947482</v>
      </c>
      <c r="F63" s="7">
        <f>INDEX('Revised 2019 Lockdown'!E$5:E$257,MATCH(B63,'Revised 2019 Lockdown'!B$5:B$257,0))</f>
        <v>170973.35</v>
      </c>
      <c r="G63" s="7">
        <f>INDEX('Revised 2019 Lockdown'!F$5:F$257,MATCH(B63,'Revised 2019 Lockdown'!B$5:B$257,0))</f>
        <v>420</v>
      </c>
      <c r="H63" s="7">
        <f t="shared" si="2"/>
        <v>170553.35</v>
      </c>
      <c r="I63" s="6">
        <f t="shared" si="3"/>
        <v>367.9960360110835</v>
      </c>
      <c r="J63" s="6">
        <f t="shared" si="4"/>
        <v>367.9960360110835</v>
      </c>
      <c r="K63" s="5">
        <f t="shared" si="5"/>
        <v>170553.35</v>
      </c>
      <c r="L63" s="4">
        <f t="shared" si="0"/>
        <v>0</v>
      </c>
      <c r="M63" s="2" cm="1">
        <f t="array" ref="M63">SUMPRODUCT(--($L$6:$L$300&lt;&gt;1),--($C$6:$C$300=$C63),$H$6:$H$300)/SUMPRODUCT(--($L$6:$L$300&lt;&gt;1),--($C$6:$C$300=$C63),$E$6:$E$300)</f>
        <v>809.62179446004825</v>
      </c>
      <c r="N63" s="1" cm="1">
        <f t="array" ref="N63">SUMPRODUCT(--($L$6:$L$300&lt;&gt;1),--($C$6:$C$300=$C63))</f>
        <v>49</v>
      </c>
      <c r="O63" s="3">
        <f t="shared" si="6"/>
        <v>195033.31052562335</v>
      </c>
      <c r="P63" s="2" cm="1">
        <f t="array" ref="P63">SQRT(SUMPRODUCT(--($L$6:$L$300&lt;&gt;1),--($C$6:$C$300=$C63),$E$6:$E$300,$O$6:$O$300)/((N63-1)*SUMPRODUCT(--($L$6:$L$300&lt;&gt;1),--($C$6:$C$300=$C63),$E$6:$E$300)/N63))</f>
        <v>552.30303599331978</v>
      </c>
      <c r="Q63" s="2">
        <f t="shared" si="1"/>
        <v>101.81697402777343</v>
      </c>
      <c r="R63" s="2">
        <f t="shared" si="1"/>
        <v>1517.426614892323</v>
      </c>
      <c r="S63" s="2">
        <f t="shared" si="7"/>
        <v>367.9960360110835</v>
      </c>
    </row>
    <row r="64" spans="2:19" x14ac:dyDescent="0.3">
      <c r="B64">
        <v>430</v>
      </c>
      <c r="C64" s="25">
        <v>6</v>
      </c>
      <c r="D64" s="32" t="s">
        <v>105</v>
      </c>
      <c r="E64" s="125">
        <f>INDEX('Revised 2019 Lockdown'!H$5:H$257,MATCH(B64,'Revised 2019 Lockdown'!B$5:B$257,0))</f>
        <v>2460.6207907556477</v>
      </c>
      <c r="F64" s="7">
        <f>INDEX('Revised 2019 Lockdown'!E$5:E$257,MATCH(B64,'Revised 2019 Lockdown'!B$5:B$257,0))</f>
        <v>1748413.46</v>
      </c>
      <c r="G64" s="7">
        <f>INDEX('Revised 2019 Lockdown'!F$5:F$257,MATCH(B64,'Revised 2019 Lockdown'!B$5:B$257,0))</f>
        <v>480</v>
      </c>
      <c r="H64" s="7">
        <f t="shared" si="2"/>
        <v>1747933.46</v>
      </c>
      <c r="I64" s="6">
        <f t="shared" si="3"/>
        <v>710.36279404239929</v>
      </c>
      <c r="J64" s="6">
        <f t="shared" si="4"/>
        <v>710.36279404239929</v>
      </c>
      <c r="K64" s="5">
        <f t="shared" si="5"/>
        <v>1747933.4599999997</v>
      </c>
      <c r="L64" s="4">
        <f t="shared" si="0"/>
        <v>0</v>
      </c>
      <c r="M64" s="2" cm="1">
        <f t="array" ref="M64">SUMPRODUCT(--($L$6:$L$300&lt;&gt;1),--($C$6:$C$300=$C64),$H$6:$H$300)/SUMPRODUCT(--($L$6:$L$300&lt;&gt;1),--($C$6:$C$300=$C64),$E$6:$E$300)</f>
        <v>809.62179446004825</v>
      </c>
      <c r="N64" s="1" cm="1">
        <f t="array" ref="N64">SUMPRODUCT(--($L$6:$L$300&lt;&gt;1),--($C$6:$C$300=$C64))</f>
        <v>49</v>
      </c>
      <c r="O64" s="3">
        <f t="shared" si="6"/>
        <v>9852.3491639108379</v>
      </c>
      <c r="P64" s="2" cm="1">
        <f t="array" ref="P64">SQRT(SUMPRODUCT(--($L$6:$L$300&lt;&gt;1),--($C$6:$C$300=$C64),$E$6:$E$300,$O$6:$O$300)/((N64-1)*SUMPRODUCT(--($L$6:$L$300&lt;&gt;1),--($C$6:$C$300=$C64),$E$6:$E$300)/N64))</f>
        <v>552.30303599331978</v>
      </c>
      <c r="Q64" s="2">
        <f t="shared" si="1"/>
        <v>101.81697402777343</v>
      </c>
      <c r="R64" s="2">
        <f t="shared" si="1"/>
        <v>1517.426614892323</v>
      </c>
      <c r="S64" s="2">
        <f t="shared" si="7"/>
        <v>710.36279404239929</v>
      </c>
    </row>
    <row r="65" spans="2:19" x14ac:dyDescent="0.3">
      <c r="B65">
        <v>443</v>
      </c>
      <c r="C65" s="25">
        <v>6</v>
      </c>
      <c r="D65" s="32" t="s">
        <v>106</v>
      </c>
      <c r="E65" s="125">
        <f>INDEX('Revised 2019 Lockdown'!H$5:H$257,MATCH(B65,'Revised 2019 Lockdown'!B$5:B$257,0))</f>
        <v>15.06</v>
      </c>
      <c r="F65" s="7">
        <f>INDEX('Revised 2019 Lockdown'!E$5:E$257,MATCH(B65,'Revised 2019 Lockdown'!B$5:B$257,0))</f>
        <v>15830.2</v>
      </c>
      <c r="G65" s="7">
        <f>INDEX('Revised 2019 Lockdown'!F$5:F$257,MATCH(B65,'Revised 2019 Lockdown'!B$5:B$257,0))</f>
        <v>0</v>
      </c>
      <c r="H65" s="7">
        <f t="shared" si="2"/>
        <v>15830.2</v>
      </c>
      <c r="I65" s="6">
        <f t="shared" si="3"/>
        <v>1051.1420982735724</v>
      </c>
      <c r="J65" s="6">
        <f t="shared" si="4"/>
        <v>1051.1420982735724</v>
      </c>
      <c r="K65" s="5">
        <f t="shared" si="5"/>
        <v>15830.2</v>
      </c>
      <c r="L65" s="4">
        <f t="shared" si="0"/>
        <v>0</v>
      </c>
      <c r="M65" s="2" cm="1">
        <f t="array" ref="M65">SUMPRODUCT(--($L$6:$L$300&lt;&gt;1),--($C$6:$C$300=$C65),$H$6:$H$300)/SUMPRODUCT(--($L$6:$L$300&lt;&gt;1),--($C$6:$C$300=$C65),$E$6:$E$300)</f>
        <v>809.62179446004825</v>
      </c>
      <c r="N65" s="1" cm="1">
        <f t="array" ref="N65">SUMPRODUCT(--($L$6:$L$300&lt;&gt;1),--($C$6:$C$300=$C65))</f>
        <v>49</v>
      </c>
      <c r="O65" s="3">
        <f t="shared" si="6"/>
        <v>58332.057154177011</v>
      </c>
      <c r="P65" s="2" cm="1">
        <f t="array" ref="P65">SQRT(SUMPRODUCT(--($L$6:$L$300&lt;&gt;1),--($C$6:$C$300=$C65),$E$6:$E$300,$O$6:$O$300)/((N65-1)*SUMPRODUCT(--($L$6:$L$300&lt;&gt;1),--($C$6:$C$300=$C65),$E$6:$E$300)/N65))</f>
        <v>552.30303599331978</v>
      </c>
      <c r="Q65" s="2">
        <f t="shared" si="1"/>
        <v>101.81697402777343</v>
      </c>
      <c r="R65" s="2">
        <f t="shared" si="1"/>
        <v>1517.426614892323</v>
      </c>
      <c r="S65" s="2">
        <f t="shared" si="7"/>
        <v>1051.1420982735724</v>
      </c>
    </row>
    <row r="66" spans="2:19" x14ac:dyDescent="0.3">
      <c r="B66">
        <v>562</v>
      </c>
      <c r="C66" s="25">
        <v>6</v>
      </c>
      <c r="D66" s="32" t="s">
        <v>107</v>
      </c>
      <c r="E66" s="125">
        <f>INDEX('Revised 2019 Lockdown'!H$5:H$257,MATCH(B66,'Revised 2019 Lockdown'!B$5:B$257,0))</f>
        <v>81.472925896153384</v>
      </c>
      <c r="F66" s="7">
        <f>INDEX('Revised 2019 Lockdown'!E$5:E$257,MATCH(B66,'Revised 2019 Lockdown'!B$5:B$257,0))</f>
        <v>48863.76</v>
      </c>
      <c r="G66" s="7">
        <f>INDEX('Revised 2019 Lockdown'!F$5:F$257,MATCH(B66,'Revised 2019 Lockdown'!B$5:B$257,0))</f>
        <v>0</v>
      </c>
      <c r="H66" s="7">
        <f t="shared" si="2"/>
        <v>48863.76</v>
      </c>
      <c r="I66" s="6">
        <f t="shared" si="3"/>
        <v>599.75457444946176</v>
      </c>
      <c r="J66" s="6">
        <f t="shared" si="4"/>
        <v>599.75457444946176</v>
      </c>
      <c r="K66" s="5">
        <f t="shared" si="5"/>
        <v>48863.760000000009</v>
      </c>
      <c r="L66" s="4">
        <f t="shared" si="0"/>
        <v>0</v>
      </c>
      <c r="M66" s="2" cm="1">
        <f t="array" ref="M66">SUMPRODUCT(--($L$6:$L$300&lt;&gt;1),--($C$6:$C$300=$C66),$H$6:$H$300)/SUMPRODUCT(--($L$6:$L$300&lt;&gt;1),--($C$6:$C$300=$C66),$E$6:$E$300)</f>
        <v>809.62179446004825</v>
      </c>
      <c r="N66" s="1" cm="1">
        <f t="array" ref="N66">SUMPRODUCT(--($L$6:$L$300&lt;&gt;1),--($C$6:$C$300=$C66))</f>
        <v>49</v>
      </c>
      <c r="O66" s="3">
        <f t="shared" si="6"/>
        <v>44044.250034971919</v>
      </c>
      <c r="P66" s="2" cm="1">
        <f t="array" ref="P66">SQRT(SUMPRODUCT(--($L$6:$L$300&lt;&gt;1),--($C$6:$C$300=$C66),$E$6:$E$300,$O$6:$O$300)/((N66-1)*SUMPRODUCT(--($L$6:$L$300&lt;&gt;1),--($C$6:$C$300=$C66),$E$6:$E$300)/N66))</f>
        <v>552.30303599331978</v>
      </c>
      <c r="Q66" s="2">
        <f t="shared" si="1"/>
        <v>101.81697402777343</v>
      </c>
      <c r="R66" s="2">
        <f t="shared" si="1"/>
        <v>1517.426614892323</v>
      </c>
      <c r="S66" s="2">
        <f t="shared" si="7"/>
        <v>599.75457444946176</v>
      </c>
    </row>
    <row r="67" spans="2:19" x14ac:dyDescent="0.3">
      <c r="B67">
        <v>603</v>
      </c>
      <c r="C67" s="25">
        <v>6</v>
      </c>
      <c r="D67" s="32" t="s">
        <v>108</v>
      </c>
      <c r="E67" s="125">
        <f>INDEX('Revised 2019 Lockdown'!H$5:H$257,MATCH(B67,'Revised 2019 Lockdown'!B$5:B$257,0))</f>
        <v>97.242758687043789</v>
      </c>
      <c r="F67" s="7">
        <f>INDEX('Revised 2019 Lockdown'!E$5:E$257,MATCH(B67,'Revised 2019 Lockdown'!B$5:B$257,0))</f>
        <v>86512.44</v>
      </c>
      <c r="G67" s="7">
        <f>INDEX('Revised 2019 Lockdown'!F$5:F$257,MATCH(B67,'Revised 2019 Lockdown'!B$5:B$257,0))</f>
        <v>0</v>
      </c>
      <c r="H67" s="7">
        <f t="shared" si="2"/>
        <v>86512.44</v>
      </c>
      <c r="I67" s="6">
        <f t="shared" si="3"/>
        <v>889.65431635298262</v>
      </c>
      <c r="J67" s="6">
        <f t="shared" si="4"/>
        <v>889.65431635298262</v>
      </c>
      <c r="K67" s="5">
        <f t="shared" si="5"/>
        <v>86512.44</v>
      </c>
      <c r="L67" s="4">
        <f t="shared" si="0"/>
        <v>0</v>
      </c>
      <c r="M67" s="2" cm="1">
        <f t="array" ref="M67">SUMPRODUCT(--($L$6:$L$300&lt;&gt;1),--($C$6:$C$300=$C67),$H$6:$H$300)/SUMPRODUCT(--($L$6:$L$300&lt;&gt;1),--($C$6:$C$300=$C67),$E$6:$E$300)</f>
        <v>809.62179446004825</v>
      </c>
      <c r="N67" s="1" cm="1">
        <f t="array" ref="N67">SUMPRODUCT(--($L$6:$L$300&lt;&gt;1),--($C$6:$C$300=$C67))</f>
        <v>49</v>
      </c>
      <c r="O67" s="3">
        <f t="shared" si="6"/>
        <v>6405.2045605430194</v>
      </c>
      <c r="P67" s="2" cm="1">
        <f t="array" ref="P67">SQRT(SUMPRODUCT(--($L$6:$L$300&lt;&gt;1),--($C$6:$C$300=$C67),$E$6:$E$300,$O$6:$O$300)/((N67-1)*SUMPRODUCT(--($L$6:$L$300&lt;&gt;1),--($C$6:$C$300=$C67),$E$6:$E$300)/N67))</f>
        <v>552.30303599331978</v>
      </c>
      <c r="Q67" s="2">
        <f t="shared" si="1"/>
        <v>101.81697402777343</v>
      </c>
      <c r="R67" s="2">
        <f t="shared" si="1"/>
        <v>1517.426614892323</v>
      </c>
      <c r="S67" s="2">
        <f t="shared" si="7"/>
        <v>889.65431635298262</v>
      </c>
    </row>
    <row r="68" spans="2:19" x14ac:dyDescent="0.3">
      <c r="B68">
        <v>618</v>
      </c>
      <c r="C68" s="25">
        <v>6</v>
      </c>
      <c r="D68" s="32" t="s">
        <v>109</v>
      </c>
      <c r="E68" s="125">
        <f>INDEX('Revised 2019 Lockdown'!H$5:H$257,MATCH(B68,'Revised 2019 Lockdown'!B$5:B$257,0))</f>
        <v>17.611337055752642</v>
      </c>
      <c r="F68" s="7">
        <f>INDEX('Revised 2019 Lockdown'!E$5:E$257,MATCH(B68,'Revised 2019 Lockdown'!B$5:B$257,0))</f>
        <v>17288.669999999998</v>
      </c>
      <c r="G68" s="7">
        <f>INDEX('Revised 2019 Lockdown'!F$5:F$257,MATCH(B68,'Revised 2019 Lockdown'!B$5:B$257,0))</f>
        <v>0</v>
      </c>
      <c r="H68" s="7">
        <f t="shared" si="2"/>
        <v>17288.669999999998</v>
      </c>
      <c r="I68" s="6">
        <f t="shared" si="3"/>
        <v>981.6784464046558</v>
      </c>
      <c r="J68" s="6">
        <f t="shared" si="4"/>
        <v>981.6784464046558</v>
      </c>
      <c r="K68" s="5">
        <f t="shared" si="5"/>
        <v>17288.669999999998</v>
      </c>
      <c r="L68" s="4">
        <f t="shared" si="0"/>
        <v>0</v>
      </c>
      <c r="M68" s="2" cm="1">
        <f t="array" ref="M68">SUMPRODUCT(--($L$6:$L$300&lt;&gt;1),--($C$6:$C$300=$C68),$H$6:$H$300)/SUMPRODUCT(--($L$6:$L$300&lt;&gt;1),--($C$6:$C$300=$C68),$E$6:$E$300)</f>
        <v>809.62179446004825</v>
      </c>
      <c r="N68" s="1" cm="1">
        <f t="array" ref="N68">SUMPRODUCT(--($L$6:$L$300&lt;&gt;1),--($C$6:$C$300=$C68))</f>
        <v>49</v>
      </c>
      <c r="O68" s="3">
        <f t="shared" si="6"/>
        <v>29603.491478387827</v>
      </c>
      <c r="P68" s="2" cm="1">
        <f t="array" ref="P68">SQRT(SUMPRODUCT(--($L$6:$L$300&lt;&gt;1),--($C$6:$C$300=$C68),$E$6:$E$300,$O$6:$O$300)/((N68-1)*SUMPRODUCT(--($L$6:$L$300&lt;&gt;1),--($C$6:$C$300=$C68),$E$6:$E$300)/N68))</f>
        <v>552.30303599331978</v>
      </c>
      <c r="Q68" s="2">
        <f t="shared" si="1"/>
        <v>101.81697402777343</v>
      </c>
      <c r="R68" s="2">
        <f t="shared" si="1"/>
        <v>1517.426614892323</v>
      </c>
      <c r="S68" s="2">
        <f t="shared" si="7"/>
        <v>981.6784464046558</v>
      </c>
    </row>
    <row r="69" spans="2:19" x14ac:dyDescent="0.3">
      <c r="B69">
        <v>620</v>
      </c>
      <c r="C69" s="25">
        <v>6</v>
      </c>
      <c r="D69" s="32" t="s">
        <v>110</v>
      </c>
      <c r="E69" s="125">
        <f>INDEX('Revised 2019 Lockdown'!H$5:H$257,MATCH(B69,'Revised 2019 Lockdown'!B$5:B$257,0))</f>
        <v>235.76910512683102</v>
      </c>
      <c r="F69" s="7">
        <f>INDEX('Revised 2019 Lockdown'!E$5:E$257,MATCH(B69,'Revised 2019 Lockdown'!B$5:B$257,0))</f>
        <v>122866.55</v>
      </c>
      <c r="G69" s="7">
        <f>INDEX('Revised 2019 Lockdown'!F$5:F$257,MATCH(B69,'Revised 2019 Lockdown'!B$5:B$257,0))</f>
        <v>0</v>
      </c>
      <c r="H69" s="7">
        <f t="shared" si="2"/>
        <v>122866.55</v>
      </c>
      <c r="I69" s="6">
        <f t="shared" si="3"/>
        <v>521.13083236204523</v>
      </c>
      <c r="J69" s="6">
        <f t="shared" si="4"/>
        <v>521.13083236204523</v>
      </c>
      <c r="K69" s="5">
        <f t="shared" si="5"/>
        <v>122866.54999999999</v>
      </c>
      <c r="L69" s="4">
        <f t="shared" si="0"/>
        <v>0</v>
      </c>
      <c r="M69" s="2" cm="1">
        <f t="array" ref="M69">SUMPRODUCT(--($L$6:$L$300&lt;&gt;1),--($C$6:$C$300=$C69),$H$6:$H$300)/SUMPRODUCT(--($L$6:$L$300&lt;&gt;1),--($C$6:$C$300=$C69),$E$6:$E$300)</f>
        <v>809.62179446004825</v>
      </c>
      <c r="N69" s="1" cm="1">
        <f t="array" ref="N69">SUMPRODUCT(--($L$6:$L$300&lt;&gt;1),--($C$6:$C$300=$C69))</f>
        <v>49</v>
      </c>
      <c r="O69" s="3">
        <f t="shared" si="6"/>
        <v>83227.035212231422</v>
      </c>
      <c r="P69" s="2" cm="1">
        <f t="array" ref="P69">SQRT(SUMPRODUCT(--($L$6:$L$300&lt;&gt;1),--($C$6:$C$300=$C69),$E$6:$E$300,$O$6:$O$300)/((N69-1)*SUMPRODUCT(--($L$6:$L$300&lt;&gt;1),--($C$6:$C$300=$C69),$E$6:$E$300)/N69))</f>
        <v>552.30303599331978</v>
      </c>
      <c r="Q69" s="2">
        <f t="shared" si="1"/>
        <v>101.81697402777343</v>
      </c>
      <c r="R69" s="2">
        <f t="shared" si="1"/>
        <v>1517.426614892323</v>
      </c>
      <c r="S69" s="2">
        <f t="shared" si="7"/>
        <v>521.13083236204523</v>
      </c>
    </row>
    <row r="70" spans="2:19" x14ac:dyDescent="0.3">
      <c r="B70">
        <v>622</v>
      </c>
      <c r="C70" s="25">
        <v>6</v>
      </c>
      <c r="D70" s="32" t="s">
        <v>111</v>
      </c>
      <c r="E70" s="125">
        <f>INDEX('Revised 2019 Lockdown'!H$5:H$257,MATCH(B70,'Revised 2019 Lockdown'!B$5:B$257,0))</f>
        <v>122.59818725735381</v>
      </c>
      <c r="F70" s="7">
        <f>INDEX('Revised 2019 Lockdown'!E$5:E$257,MATCH(B70,'Revised 2019 Lockdown'!B$5:B$257,0))</f>
        <v>83536.710000000006</v>
      </c>
      <c r="G70" s="7">
        <f>INDEX('Revised 2019 Lockdown'!F$5:F$257,MATCH(B70,'Revised 2019 Lockdown'!B$5:B$257,0))</f>
        <v>396</v>
      </c>
      <c r="H70" s="7">
        <f t="shared" si="2"/>
        <v>83140.710000000006</v>
      </c>
      <c r="I70" s="6">
        <f t="shared" si="3"/>
        <v>678.15611192907727</v>
      </c>
      <c r="J70" s="6">
        <f t="shared" si="4"/>
        <v>678.15611192907727</v>
      </c>
      <c r="K70" s="5">
        <f t="shared" si="5"/>
        <v>83140.710000000006</v>
      </c>
      <c r="L70" s="4">
        <f t="shared" ref="L70:L132" si="8">IF(ISERROR(I70),1,0)</f>
        <v>0</v>
      </c>
      <c r="M70" s="2" cm="1">
        <f t="array" ref="M70">SUMPRODUCT(--($L$6:$L$300&lt;&gt;1),--($C$6:$C$300=$C70),$H$6:$H$300)/SUMPRODUCT(--($L$6:$L$300&lt;&gt;1),--($C$6:$C$300=$C70),$E$6:$E$300)</f>
        <v>809.62179446004825</v>
      </c>
      <c r="N70" s="1" cm="1">
        <f t="array" ref="N70">SUMPRODUCT(--($L$6:$L$300&lt;&gt;1),--($C$6:$C$300=$C70))</f>
        <v>49</v>
      </c>
      <c r="O70" s="3">
        <f t="shared" si="6"/>
        <v>17283.225683334047</v>
      </c>
      <c r="P70" s="2" cm="1">
        <f t="array" ref="P70">SQRT(SUMPRODUCT(--($L$6:$L$300&lt;&gt;1),--($C$6:$C$300=$C70),$E$6:$E$300,$O$6:$O$300)/((N70-1)*SUMPRODUCT(--($L$6:$L$300&lt;&gt;1),--($C$6:$C$300=$C70),$E$6:$E$300)/N70))</f>
        <v>552.30303599331978</v>
      </c>
      <c r="Q70" s="2">
        <f t="shared" si="1"/>
        <v>101.81697402777343</v>
      </c>
      <c r="R70" s="2">
        <f t="shared" si="1"/>
        <v>1517.426614892323</v>
      </c>
      <c r="S70" s="2">
        <f t="shared" si="7"/>
        <v>678.15611192907727</v>
      </c>
    </row>
    <row r="71" spans="2:19" x14ac:dyDescent="0.3">
      <c r="B71">
        <v>623</v>
      </c>
      <c r="C71" s="25">
        <v>6</v>
      </c>
      <c r="D71" s="32" t="s">
        <v>112</v>
      </c>
      <c r="E71" s="125">
        <f>INDEX('Revised 2019 Lockdown'!H$5:H$257,MATCH(B71,'Revised 2019 Lockdown'!B$5:B$257,0))</f>
        <v>230.09002718232705</v>
      </c>
      <c r="F71" s="7">
        <f>INDEX('Revised 2019 Lockdown'!E$5:E$257,MATCH(B71,'Revised 2019 Lockdown'!B$5:B$257,0))</f>
        <v>79811.240000000005</v>
      </c>
      <c r="G71" s="7">
        <f>INDEX('Revised 2019 Lockdown'!F$5:F$257,MATCH(B71,'Revised 2019 Lockdown'!B$5:B$257,0))</f>
        <v>0</v>
      </c>
      <c r="H71" s="7">
        <f t="shared" ref="H71:H133" si="9">F71-G71</f>
        <v>79811.240000000005</v>
      </c>
      <c r="I71" s="6">
        <f t="shared" ref="I71:I133" si="10">H71/E71</f>
        <v>346.86961871996431</v>
      </c>
      <c r="J71" s="6">
        <f t="shared" ref="J71:J133" si="11">IF(ISERROR(IF($J$2=1,MAX(MIN(I71,R71),Q71),MIN(I71,R71))),R71,IF($J$2=1,MAX(MIN(I71,R71),Q71),MIN(I71,R71)))</f>
        <v>346.86961871996431</v>
      </c>
      <c r="K71" s="5">
        <f t="shared" ref="K71:K133" si="12">J71*E71</f>
        <v>79811.240000000005</v>
      </c>
      <c r="L71" s="4">
        <f t="shared" si="8"/>
        <v>0</v>
      </c>
      <c r="M71" s="2" cm="1">
        <f t="array" ref="M71">SUMPRODUCT(--($L$6:$L$300&lt;&gt;1),--($C$6:$C$300=$C71),$H$6:$H$300)/SUMPRODUCT(--($L$6:$L$300&lt;&gt;1),--($C$6:$C$300=$C71),$E$6:$E$300)</f>
        <v>809.62179446004825</v>
      </c>
      <c r="N71" s="1" cm="1">
        <f t="array" ref="N71">SUMPRODUCT(--($L$6:$L$300&lt;&gt;1),--($C$6:$C$300=$C71))</f>
        <v>49</v>
      </c>
      <c r="O71" s="3">
        <f t="shared" ref="O71:O134" si="13">IF(ISERROR((I71-M71)^2),0,(I71-M71)^2)</f>
        <v>214139.57615218154</v>
      </c>
      <c r="P71" s="2" cm="1">
        <f t="array" ref="P71">SQRT(SUMPRODUCT(--($L$6:$L$300&lt;&gt;1),--($C$6:$C$300=$C71),$E$6:$E$300,$O$6:$O$300)/((N71-1)*SUMPRODUCT(--($L$6:$L$300&lt;&gt;1),--($C$6:$C$300=$C71),$E$6:$E$300)/N71))</f>
        <v>552.30303599331978</v>
      </c>
      <c r="Q71" s="2">
        <f t="shared" si="1"/>
        <v>101.81697402777343</v>
      </c>
      <c r="R71" s="2">
        <f t="shared" si="1"/>
        <v>1517.426614892323</v>
      </c>
      <c r="S71" s="2">
        <f t="shared" ref="S71:S134" si="14">IF($J$2=1,MAX(MIN(I71,R71),Q71),MIN(R71,I71))</f>
        <v>346.86961871996431</v>
      </c>
    </row>
    <row r="72" spans="2:19" x14ac:dyDescent="0.3">
      <c r="B72">
        <v>626</v>
      </c>
      <c r="C72" s="25">
        <v>6</v>
      </c>
      <c r="D72" s="32" t="s">
        <v>113</v>
      </c>
      <c r="E72" s="125">
        <f>INDEX('Revised 2019 Lockdown'!H$5:H$257,MATCH(B72,'Revised 2019 Lockdown'!B$5:B$257,0))</f>
        <v>21.510599845182803</v>
      </c>
      <c r="F72" s="7">
        <f>INDEX('Revised 2019 Lockdown'!E$5:E$257,MATCH(B72,'Revised 2019 Lockdown'!B$5:B$257,0))</f>
        <v>17900.14</v>
      </c>
      <c r="G72" s="7">
        <f>INDEX('Revised 2019 Lockdown'!F$5:F$257,MATCH(B72,'Revised 2019 Lockdown'!B$5:B$257,0))</f>
        <v>0</v>
      </c>
      <c r="H72" s="7">
        <f t="shared" si="9"/>
        <v>17900.14</v>
      </c>
      <c r="I72" s="6">
        <f t="shared" si="10"/>
        <v>832.15438569039497</v>
      </c>
      <c r="J72" s="6">
        <f t="shared" si="11"/>
        <v>832.15438569039497</v>
      </c>
      <c r="K72" s="5">
        <f t="shared" si="12"/>
        <v>17900.14</v>
      </c>
      <c r="L72" s="4">
        <f t="shared" si="8"/>
        <v>0</v>
      </c>
      <c r="M72" s="2" cm="1">
        <f t="array" ref="M72">SUMPRODUCT(--($L$6:$L$300&lt;&gt;1),--($C$6:$C$300=$C72),$H$6:$H$300)/SUMPRODUCT(--($L$6:$L$300&lt;&gt;1),--($C$6:$C$300=$C72),$E$6:$E$300)</f>
        <v>809.62179446004825</v>
      </c>
      <c r="N72" s="1" cm="1">
        <f t="array" ref="N72">SUMPRODUCT(--($L$6:$L$300&lt;&gt;1),--($C$6:$C$300=$C72))</f>
        <v>49</v>
      </c>
      <c r="O72" s="3">
        <f t="shared" si="13"/>
        <v>507.71766755389814</v>
      </c>
      <c r="P72" s="2" cm="1">
        <f t="array" ref="P72">SQRT(SUMPRODUCT(--($L$6:$L$300&lt;&gt;1),--($C$6:$C$300=$C72),$E$6:$E$300,$O$6:$O$300)/((N72-1)*SUMPRODUCT(--($L$6:$L$300&lt;&gt;1),--($C$6:$C$300=$C72),$E$6:$E$300)/N72))</f>
        <v>552.30303599331978</v>
      </c>
      <c r="Q72" s="2">
        <f t="shared" si="1"/>
        <v>101.81697402777343</v>
      </c>
      <c r="R72" s="2">
        <f t="shared" si="1"/>
        <v>1517.426614892323</v>
      </c>
      <c r="S72" s="2">
        <f t="shared" si="14"/>
        <v>832.15438569039497</v>
      </c>
    </row>
    <row r="73" spans="2:19" x14ac:dyDescent="0.3">
      <c r="B73">
        <v>627</v>
      </c>
      <c r="C73" s="25">
        <v>6</v>
      </c>
      <c r="D73" s="32" t="s">
        <v>114</v>
      </c>
      <c r="E73" s="125">
        <f>INDEX('Revised 2019 Lockdown'!H$5:H$257,MATCH(B73,'Revised 2019 Lockdown'!B$5:B$257,0))</f>
        <v>166.68530619268788</v>
      </c>
      <c r="F73" s="7">
        <f>INDEX('Revised 2019 Lockdown'!E$5:E$257,MATCH(B73,'Revised 2019 Lockdown'!B$5:B$257,0))</f>
        <v>81020.789999999994</v>
      </c>
      <c r="G73" s="7">
        <f>INDEX('Revised 2019 Lockdown'!F$5:F$257,MATCH(B73,'Revised 2019 Lockdown'!B$5:B$257,0))</f>
        <v>0</v>
      </c>
      <c r="H73" s="7">
        <f t="shared" si="9"/>
        <v>81020.789999999994</v>
      </c>
      <c r="I73" s="6">
        <f t="shared" si="10"/>
        <v>486.07037927110457</v>
      </c>
      <c r="J73" s="6">
        <f t="shared" si="11"/>
        <v>486.07037927110457</v>
      </c>
      <c r="K73" s="5">
        <f t="shared" si="12"/>
        <v>81020.789999999994</v>
      </c>
      <c r="L73" s="4">
        <f t="shared" si="8"/>
        <v>0</v>
      </c>
      <c r="M73" s="2" cm="1">
        <f t="array" ref="M73">SUMPRODUCT(--($L$6:$L$300&lt;&gt;1),--($C$6:$C$300=$C73),$H$6:$H$300)/SUMPRODUCT(--($L$6:$L$300&lt;&gt;1),--($C$6:$C$300=$C73),$E$6:$E$300)</f>
        <v>809.62179446004825</v>
      </c>
      <c r="N73" s="1" cm="1">
        <f t="array" ref="N73">SUMPRODUCT(--($L$6:$L$300&lt;&gt;1),--($C$6:$C$300=$C73))</f>
        <v>49</v>
      </c>
      <c r="O73" s="3">
        <f t="shared" si="13"/>
        <v>104685.51827076821</v>
      </c>
      <c r="P73" s="2" cm="1">
        <f t="array" ref="P73">SQRT(SUMPRODUCT(--($L$6:$L$300&lt;&gt;1),--($C$6:$C$300=$C73),$E$6:$E$300,$O$6:$O$300)/((N73-1)*SUMPRODUCT(--($L$6:$L$300&lt;&gt;1),--($C$6:$C$300=$C73),$E$6:$E$300)/N73))</f>
        <v>552.30303599331978</v>
      </c>
      <c r="Q73" s="2">
        <f t="shared" si="1"/>
        <v>101.81697402777343</v>
      </c>
      <c r="R73" s="2">
        <f t="shared" si="1"/>
        <v>1517.426614892323</v>
      </c>
      <c r="S73" s="2">
        <f t="shared" si="14"/>
        <v>486.07037927110457</v>
      </c>
    </row>
    <row r="74" spans="2:19" x14ac:dyDescent="0.3">
      <c r="B74">
        <v>634</v>
      </c>
      <c r="C74" s="25">
        <v>6</v>
      </c>
      <c r="D74" s="32" t="s">
        <v>115</v>
      </c>
      <c r="E74" s="125">
        <f>INDEX('Revised 2019 Lockdown'!H$5:H$257,MATCH(B74,'Revised 2019 Lockdown'!B$5:B$257,0))</f>
        <v>627.63282999291278</v>
      </c>
      <c r="F74" s="7">
        <f>INDEX('Revised 2019 Lockdown'!E$5:E$257,MATCH(B74,'Revised 2019 Lockdown'!B$5:B$257,0))</f>
        <v>651840.68999999994</v>
      </c>
      <c r="G74" s="7">
        <f>INDEX('Revised 2019 Lockdown'!F$5:F$257,MATCH(B74,'Revised 2019 Lockdown'!B$5:B$257,0))</f>
        <v>0</v>
      </c>
      <c r="H74" s="7">
        <f t="shared" si="9"/>
        <v>651840.68999999994</v>
      </c>
      <c r="I74" s="6">
        <f t="shared" si="10"/>
        <v>1038.5700983923364</v>
      </c>
      <c r="J74" s="6">
        <f t="shared" si="11"/>
        <v>1038.5700983923364</v>
      </c>
      <c r="K74" s="5">
        <f t="shared" si="12"/>
        <v>651840.68999999994</v>
      </c>
      <c r="L74" s="4">
        <f t="shared" si="8"/>
        <v>0</v>
      </c>
      <c r="M74" s="2" cm="1">
        <f t="array" ref="M74">SUMPRODUCT(--($L$6:$L$300&lt;&gt;1),--($C$6:$C$300=$C74),$H$6:$H$300)/SUMPRODUCT(--($L$6:$L$300&lt;&gt;1),--($C$6:$C$300=$C74),$E$6:$E$300)</f>
        <v>809.62179446004825</v>
      </c>
      <c r="N74" s="1" cm="1">
        <f t="array" ref="N74">SUMPRODUCT(--($L$6:$L$300&lt;&gt;1),--($C$6:$C$300=$C74))</f>
        <v>49</v>
      </c>
      <c r="O74" s="3">
        <f t="shared" si="13"/>
        <v>52417.325873471382</v>
      </c>
      <c r="P74" s="2" cm="1">
        <f t="array" ref="P74">SQRT(SUMPRODUCT(--($L$6:$L$300&lt;&gt;1),--($C$6:$C$300=$C74),$E$6:$E$300,$O$6:$O$300)/((N74-1)*SUMPRODUCT(--($L$6:$L$300&lt;&gt;1),--($C$6:$C$300=$C74),$E$6:$E$300)/N74))</f>
        <v>552.30303599331978</v>
      </c>
      <c r="Q74" s="2">
        <f t="shared" si="1"/>
        <v>101.81697402777343</v>
      </c>
      <c r="R74" s="2">
        <f t="shared" si="1"/>
        <v>1517.426614892323</v>
      </c>
      <c r="S74" s="2">
        <f t="shared" si="14"/>
        <v>1038.5700983923364</v>
      </c>
    </row>
    <row r="75" spans="2:19" x14ac:dyDescent="0.3">
      <c r="B75">
        <v>636</v>
      </c>
      <c r="C75" s="25">
        <v>6</v>
      </c>
      <c r="D75" s="32" t="s">
        <v>294</v>
      </c>
      <c r="E75" s="125">
        <f>INDEX('Revised 2019 Lockdown'!H$5:H$257,MATCH(B75,'Revised 2019 Lockdown'!B$5:B$257,0))</f>
        <v>71.040896564249138</v>
      </c>
      <c r="F75" s="7">
        <f>INDEX('Revised 2019 Lockdown'!E$5:E$257,MATCH(B75,'Revised 2019 Lockdown'!B$5:B$257,0))</f>
        <v>82605.94</v>
      </c>
      <c r="G75" s="7">
        <f>INDEX('Revised 2019 Lockdown'!F$5:F$257,MATCH(B75,'Revised 2019 Lockdown'!B$5:B$257,0))</f>
        <v>76356</v>
      </c>
      <c r="H75" s="7">
        <f t="shared" si="9"/>
        <v>6249.9400000000023</v>
      </c>
      <c r="I75" s="6">
        <f t="shared" si="10"/>
        <v>87.976648694848308</v>
      </c>
      <c r="J75" s="6">
        <f t="shared" si="11"/>
        <v>87.976648694848308</v>
      </c>
      <c r="K75" s="5">
        <f t="shared" si="12"/>
        <v>6249.9400000000023</v>
      </c>
      <c r="L75" s="4">
        <f t="shared" si="8"/>
        <v>0</v>
      </c>
      <c r="M75" s="2" cm="1">
        <f t="array" ref="M75">SUMPRODUCT(--($L$6:$L$300&lt;&gt;1),--($C$6:$C$300=$C75),$H$6:$H$300)/SUMPRODUCT(--($L$6:$L$300&lt;&gt;1),--($C$6:$C$300=$C75),$E$6:$E$300)</f>
        <v>809.62179446004825</v>
      </c>
      <c r="N75" s="1" cm="1">
        <f t="array" ref="N75">SUMPRODUCT(--($L$6:$L$300&lt;&gt;1),--($C$6:$C$300=$C75))</f>
        <v>49</v>
      </c>
      <c r="O75" s="3">
        <f t="shared" si="13"/>
        <v>520771.71640647663</v>
      </c>
      <c r="P75" s="2" cm="1">
        <f t="array" ref="P75">SQRT(SUMPRODUCT(--($L$6:$L$300&lt;&gt;1),--($C$6:$C$300=$C75),$E$6:$E$300,$O$6:$O$300)/((N75-1)*SUMPRODUCT(--($L$6:$L$300&lt;&gt;1),--($C$6:$C$300=$C75),$E$6:$E$300)/N75))</f>
        <v>552.30303599331978</v>
      </c>
      <c r="Q75" s="2">
        <f t="shared" si="1"/>
        <v>101.81697402777343</v>
      </c>
      <c r="R75" s="2">
        <f t="shared" si="1"/>
        <v>1517.426614892323</v>
      </c>
      <c r="S75" s="2">
        <f t="shared" si="14"/>
        <v>87.976648694848308</v>
      </c>
    </row>
    <row r="76" spans="2:19" x14ac:dyDescent="0.3">
      <c r="B76">
        <v>641</v>
      </c>
      <c r="C76" s="25">
        <v>6</v>
      </c>
      <c r="D76" s="32" t="s">
        <v>309</v>
      </c>
      <c r="E76" s="125">
        <f>INDEX('Revised 2019 Lockdown'!H$5:H$257,MATCH(B76,'Revised 2019 Lockdown'!B$5:B$257,0))</f>
        <v>7.6885978325592479</v>
      </c>
      <c r="F76" s="7">
        <f>INDEX('Revised 2019 Lockdown'!E$5:E$257,MATCH(B76,'Revised 2019 Lockdown'!B$5:B$257,0))</f>
        <v>28951.200000000001</v>
      </c>
      <c r="G76" s="7">
        <f>INDEX('Revised 2019 Lockdown'!F$5:F$257,MATCH(B76,'Revised 2019 Lockdown'!B$5:B$257,0))</f>
        <v>0</v>
      </c>
      <c r="H76" s="7">
        <f t="shared" si="9"/>
        <v>28951.200000000001</v>
      </c>
      <c r="I76" s="6">
        <f t="shared" si="10"/>
        <v>3765.4720184997923</v>
      </c>
      <c r="J76" s="6">
        <f t="shared" si="11"/>
        <v>1517.426614892323</v>
      </c>
      <c r="K76" s="5">
        <f t="shared" si="12"/>
        <v>11666.882982328831</v>
      </c>
      <c r="L76" s="4">
        <f t="shared" si="8"/>
        <v>0</v>
      </c>
      <c r="M76" s="2" cm="1">
        <f t="array" ref="M76">SUMPRODUCT(--($L$6:$L$300&lt;&gt;1),--($C$6:$C$300=$C76),$H$6:$H$300)/SUMPRODUCT(--($L$6:$L$300&lt;&gt;1),--($C$6:$C$300=$C76),$E$6:$E$300)</f>
        <v>809.62179446004825</v>
      </c>
      <c r="N76" s="1" cm="1">
        <f t="array" ref="N76">SUMPRODUCT(--($L$6:$L$300&lt;&gt;1),--($C$6:$C$300=$C76))</f>
        <v>49</v>
      </c>
      <c r="O76" s="3">
        <f t="shared" si="13"/>
        <v>8737050.5469558034</v>
      </c>
      <c r="P76" s="2" cm="1">
        <f t="array" ref="P76">SQRT(SUMPRODUCT(--($L$6:$L$300&lt;&gt;1),--($C$6:$C$300=$C76),$E$6:$E$300,$O$6:$O$300)/((N76-1)*SUMPRODUCT(--($L$6:$L$300&lt;&gt;1),--($C$6:$C$300=$C76),$E$6:$E$300)/N76))</f>
        <v>552.30303599331978</v>
      </c>
      <c r="Q76" s="2">
        <f t="shared" si="1"/>
        <v>101.81697402777343</v>
      </c>
      <c r="R76" s="2">
        <f t="shared" si="1"/>
        <v>1517.426614892323</v>
      </c>
      <c r="S76" s="2">
        <f t="shared" si="14"/>
        <v>1517.426614892323</v>
      </c>
    </row>
    <row r="77" spans="2:19" x14ac:dyDescent="0.3">
      <c r="B77">
        <v>694</v>
      </c>
      <c r="C77" s="25">
        <v>6</v>
      </c>
      <c r="D77" s="32" t="s">
        <v>116</v>
      </c>
      <c r="E77" s="125">
        <f>INDEX('Revised 2019 Lockdown'!H$5:H$257,MATCH(B77,'Revised 2019 Lockdown'!B$5:B$257,0))</f>
        <v>13.652308485619448</v>
      </c>
      <c r="F77" s="7">
        <f>INDEX('Revised 2019 Lockdown'!E$5:E$257,MATCH(B77,'Revised 2019 Lockdown'!B$5:B$257,0))</f>
        <v>89610.08</v>
      </c>
      <c r="G77" s="7">
        <f>INDEX('Revised 2019 Lockdown'!F$5:F$257,MATCH(B77,'Revised 2019 Lockdown'!B$5:B$257,0))</f>
        <v>0</v>
      </c>
      <c r="H77" s="7">
        <f t="shared" si="9"/>
        <v>89610.08</v>
      </c>
      <c r="I77" s="6">
        <f t="shared" si="10"/>
        <v>6563.7309686043263</v>
      </c>
      <c r="J77" s="6">
        <f t="shared" si="11"/>
        <v>1517.426614892323</v>
      </c>
      <c r="K77" s="5">
        <f t="shared" si="12"/>
        <v>20716.376250799254</v>
      </c>
      <c r="L77" s="4">
        <f t="shared" si="8"/>
        <v>0</v>
      </c>
      <c r="M77" s="2" cm="1">
        <f t="array" ref="M77">SUMPRODUCT(--($L$6:$L$300&lt;&gt;1),--($C$6:$C$300=$C77),$H$6:$H$300)/SUMPRODUCT(--($L$6:$L$300&lt;&gt;1),--($C$6:$C$300=$C77),$E$6:$E$300)</f>
        <v>809.62179446004825</v>
      </c>
      <c r="N77" s="1" cm="1">
        <f t="array" ref="N77">SUMPRODUCT(--($L$6:$L$300&lt;&gt;1),--($C$6:$C$300=$C77))</f>
        <v>49</v>
      </c>
      <c r="O77" s="3">
        <f t="shared" si="13"/>
        <v>33109772.387971342</v>
      </c>
      <c r="P77" s="2" cm="1">
        <f t="array" ref="P77">SQRT(SUMPRODUCT(--($L$6:$L$300&lt;&gt;1),--($C$6:$C$300=$C77),$E$6:$E$300,$O$6:$O$300)/((N77-1)*SUMPRODUCT(--($L$6:$L$300&lt;&gt;1),--($C$6:$C$300=$C77),$E$6:$E$300)/N77))</f>
        <v>552.30303599331978</v>
      </c>
      <c r="Q77" s="2">
        <f t="shared" si="1"/>
        <v>101.81697402777343</v>
      </c>
      <c r="R77" s="2">
        <f t="shared" si="1"/>
        <v>1517.426614892323</v>
      </c>
      <c r="S77" s="2">
        <f t="shared" si="14"/>
        <v>1517.426614892323</v>
      </c>
    </row>
    <row r="78" spans="2:19" x14ac:dyDescent="0.3">
      <c r="B78">
        <v>706</v>
      </c>
      <c r="C78" s="25">
        <v>6</v>
      </c>
      <c r="D78" s="32" t="s">
        <v>221</v>
      </c>
      <c r="E78" s="125">
        <f>INDEX('Revised 2019 Lockdown'!H$5:H$257,MATCH(B78,'Revised 2019 Lockdown'!B$5:B$257,0))</f>
        <v>56.018140906938008</v>
      </c>
      <c r="F78" s="7">
        <f>INDEX('Revised 2019 Lockdown'!E$5:E$257,MATCH(B78,'Revised 2019 Lockdown'!B$5:B$257,0))</f>
        <v>63477.03</v>
      </c>
      <c r="G78" s="7">
        <f>INDEX('Revised 2019 Lockdown'!F$5:F$257,MATCH(B78,'Revised 2019 Lockdown'!B$5:B$257,0))</f>
        <v>0</v>
      </c>
      <c r="H78" s="7">
        <f t="shared" si="9"/>
        <v>63477.03</v>
      </c>
      <c r="I78" s="6">
        <f t="shared" si="10"/>
        <v>1133.1513144189007</v>
      </c>
      <c r="J78" s="6">
        <f t="shared" si="11"/>
        <v>1133.1513144189007</v>
      </c>
      <c r="K78" s="5">
        <f t="shared" si="12"/>
        <v>63477.029999999992</v>
      </c>
      <c r="L78" s="4">
        <f t="shared" si="8"/>
        <v>0</v>
      </c>
      <c r="M78" s="2" cm="1">
        <f t="array" ref="M78">SUMPRODUCT(--($L$6:$L$300&lt;&gt;1),--($C$6:$C$300=$C78),$H$6:$H$300)/SUMPRODUCT(--($L$6:$L$300&lt;&gt;1),--($C$6:$C$300=$C78),$E$6:$E$300)</f>
        <v>809.62179446004825</v>
      </c>
      <c r="N78" s="1" cm="1">
        <f t="array" ref="N78">SUMPRODUCT(--($L$6:$L$300&lt;&gt;1),--($C$6:$C$300=$C78))</f>
        <v>49</v>
      </c>
      <c r="O78" s="3">
        <f t="shared" si="13"/>
        <v>104671.35028480551</v>
      </c>
      <c r="P78" s="2" cm="1">
        <f t="array" ref="P78">SQRT(SUMPRODUCT(--($L$6:$L$300&lt;&gt;1),--($C$6:$C$300=$C78),$E$6:$E$300,$O$6:$O$300)/((N78-1)*SUMPRODUCT(--($L$6:$L$300&lt;&gt;1),--($C$6:$C$300=$C78),$E$6:$E$300)/N78))</f>
        <v>552.30303599331978</v>
      </c>
      <c r="Q78" s="2">
        <f t="shared" si="1"/>
        <v>101.81697402777343</v>
      </c>
      <c r="R78" s="2">
        <f t="shared" si="1"/>
        <v>1517.426614892323</v>
      </c>
      <c r="S78" s="2">
        <f t="shared" si="14"/>
        <v>1133.1513144189007</v>
      </c>
    </row>
    <row r="79" spans="2:19" x14ac:dyDescent="0.3">
      <c r="B79">
        <v>710</v>
      </c>
      <c r="C79" s="25">
        <v>6</v>
      </c>
      <c r="D79" s="32" t="s">
        <v>117</v>
      </c>
      <c r="E79" s="125">
        <f>INDEX('Revised 2019 Lockdown'!H$5:H$257,MATCH(B79,'Revised 2019 Lockdown'!B$5:B$257,0))</f>
        <v>69.210000000000008</v>
      </c>
      <c r="F79" s="7">
        <f>INDEX('Revised 2019 Lockdown'!E$5:E$257,MATCH(B79,'Revised 2019 Lockdown'!B$5:B$257,0))</f>
        <v>68111.539999999994</v>
      </c>
      <c r="G79" s="7">
        <f>INDEX('Revised 2019 Lockdown'!F$5:F$257,MATCH(B79,'Revised 2019 Lockdown'!B$5:B$257,0))</f>
        <v>0</v>
      </c>
      <c r="H79" s="7">
        <f t="shared" si="9"/>
        <v>68111.539999999994</v>
      </c>
      <c r="I79" s="6">
        <f t="shared" si="10"/>
        <v>984.12859413379545</v>
      </c>
      <c r="J79" s="6">
        <f t="shared" si="11"/>
        <v>984.12859413379545</v>
      </c>
      <c r="K79" s="5">
        <f t="shared" si="12"/>
        <v>68111.539999999994</v>
      </c>
      <c r="L79" s="4">
        <f t="shared" si="8"/>
        <v>0</v>
      </c>
      <c r="M79" s="2" cm="1">
        <f t="array" ref="M79">SUMPRODUCT(--($L$6:$L$300&lt;&gt;1),--($C$6:$C$300=$C79),$H$6:$H$300)/SUMPRODUCT(--($L$6:$L$300&lt;&gt;1),--($C$6:$C$300=$C79),$E$6:$E$300)</f>
        <v>809.62179446004825</v>
      </c>
      <c r="N79" s="1" cm="1">
        <f t="array" ref="N79">SUMPRODUCT(--($L$6:$L$300&lt;&gt;1),--($C$6:$C$300=$C79))</f>
        <v>49</v>
      </c>
      <c r="O79" s="3">
        <f t="shared" si="13"/>
        <v>30452.623132373334</v>
      </c>
      <c r="P79" s="2" cm="1">
        <f t="array" ref="P79">SQRT(SUMPRODUCT(--($L$6:$L$300&lt;&gt;1),--($C$6:$C$300=$C79),$E$6:$E$300,$O$6:$O$300)/((N79-1)*SUMPRODUCT(--($L$6:$L$300&lt;&gt;1),--($C$6:$C$300=$C79),$E$6:$E$300)/N79))</f>
        <v>552.30303599331978</v>
      </c>
      <c r="Q79" s="2">
        <f t="shared" si="1"/>
        <v>101.81697402777343</v>
      </c>
      <c r="R79" s="2">
        <f t="shared" si="1"/>
        <v>1517.426614892323</v>
      </c>
      <c r="S79" s="2">
        <f t="shared" si="14"/>
        <v>984.12859413379545</v>
      </c>
    </row>
    <row r="80" spans="2:19" x14ac:dyDescent="0.3">
      <c r="B80">
        <v>743</v>
      </c>
      <c r="C80" s="25">
        <v>6</v>
      </c>
      <c r="D80" s="32" t="s">
        <v>118</v>
      </c>
      <c r="E80" s="125">
        <f>INDEX('Revised 2019 Lockdown'!H$5:H$257,MATCH(B80,'Revised 2019 Lockdown'!B$5:B$257,0))</f>
        <v>71.12866810077378</v>
      </c>
      <c r="F80" s="7">
        <f>INDEX('Revised 2019 Lockdown'!E$5:E$257,MATCH(B80,'Revised 2019 Lockdown'!B$5:B$257,0))</f>
        <v>137831.6</v>
      </c>
      <c r="G80" s="7">
        <f>INDEX('Revised 2019 Lockdown'!F$5:F$257,MATCH(B80,'Revised 2019 Lockdown'!B$5:B$257,0))</f>
        <v>0</v>
      </c>
      <c r="H80" s="7">
        <f t="shared" si="9"/>
        <v>137831.6</v>
      </c>
      <c r="I80" s="6">
        <f t="shared" si="10"/>
        <v>1937.7784468664977</v>
      </c>
      <c r="J80" s="6">
        <f t="shared" si="11"/>
        <v>1517.426614892323</v>
      </c>
      <c r="K80" s="5">
        <f t="shared" si="12"/>
        <v>107932.53405795671</v>
      </c>
      <c r="L80" s="4">
        <f t="shared" si="8"/>
        <v>0</v>
      </c>
      <c r="M80" s="2" cm="1">
        <f t="array" ref="M80">SUMPRODUCT(--($L$6:$L$300&lt;&gt;1),--($C$6:$C$300=$C80),$H$6:$H$300)/SUMPRODUCT(--($L$6:$L$300&lt;&gt;1),--($C$6:$C$300=$C80),$E$6:$E$300)</f>
        <v>809.62179446004825</v>
      </c>
      <c r="N80" s="1" cm="1">
        <f t="array" ref="N80">SUMPRODUCT(--($L$6:$L$300&lt;&gt;1),--($C$6:$C$300=$C80))</f>
        <v>49</v>
      </c>
      <c r="O80" s="3">
        <f t="shared" si="13"/>
        <v>1272737.4323689265</v>
      </c>
      <c r="P80" s="2" cm="1">
        <f t="array" ref="P80">SQRT(SUMPRODUCT(--($L$6:$L$300&lt;&gt;1),--($C$6:$C$300=$C80),$E$6:$E$300,$O$6:$O$300)/((N80-1)*SUMPRODUCT(--($L$6:$L$300&lt;&gt;1),--($C$6:$C$300=$C80),$E$6:$E$300)/N80))</f>
        <v>552.30303599331978</v>
      </c>
      <c r="Q80" s="2">
        <f t="shared" si="1"/>
        <v>101.81697402777343</v>
      </c>
      <c r="R80" s="2">
        <f t="shared" si="1"/>
        <v>1517.426614892323</v>
      </c>
      <c r="S80" s="2">
        <f t="shared" si="14"/>
        <v>1517.426614892323</v>
      </c>
    </row>
    <row r="81" spans="2:19" x14ac:dyDescent="0.3">
      <c r="B81">
        <v>747</v>
      </c>
      <c r="C81" s="25">
        <v>6</v>
      </c>
      <c r="D81" s="32" t="s">
        <v>119</v>
      </c>
      <c r="E81" s="125">
        <f>INDEX('Revised 2019 Lockdown'!H$5:H$257,MATCH(B81,'Revised 2019 Lockdown'!B$5:B$257,0))</f>
        <v>38</v>
      </c>
      <c r="F81" s="7">
        <f>INDEX('Revised 2019 Lockdown'!E$5:E$257,MATCH(B81,'Revised 2019 Lockdown'!B$5:B$257,0))</f>
        <v>67182.81</v>
      </c>
      <c r="G81" s="7">
        <f>INDEX('Revised 2019 Lockdown'!F$5:F$257,MATCH(B81,'Revised 2019 Lockdown'!B$5:B$257,0))</f>
        <v>0</v>
      </c>
      <c r="H81" s="7">
        <f t="shared" si="9"/>
        <v>67182.81</v>
      </c>
      <c r="I81" s="6">
        <f t="shared" si="10"/>
        <v>1767.9686842105264</v>
      </c>
      <c r="J81" s="6">
        <f t="shared" si="11"/>
        <v>1517.426614892323</v>
      </c>
      <c r="K81" s="5">
        <f t="shared" si="12"/>
        <v>57662.211365908275</v>
      </c>
      <c r="L81" s="4">
        <f t="shared" si="8"/>
        <v>0</v>
      </c>
      <c r="M81" s="2" cm="1">
        <f t="array" ref="M81">SUMPRODUCT(--($L$6:$L$300&lt;&gt;1),--($C$6:$C$300=$C81),$H$6:$H$300)/SUMPRODUCT(--($L$6:$L$300&lt;&gt;1),--($C$6:$C$300=$C81),$E$6:$E$300)</f>
        <v>809.62179446004825</v>
      </c>
      <c r="N81" s="1" cm="1">
        <f t="array" ref="N81">SUMPRODUCT(--($L$6:$L$300&lt;&gt;1),--($C$6:$C$300=$C81))</f>
        <v>49</v>
      </c>
      <c r="O81" s="3">
        <f t="shared" si="13"/>
        <v>918428.76109441509</v>
      </c>
      <c r="P81" s="2" cm="1">
        <f t="array" ref="P81">SQRT(SUMPRODUCT(--($L$6:$L$300&lt;&gt;1),--($C$6:$C$300=$C81),$E$6:$E$300,$O$6:$O$300)/((N81-1)*SUMPRODUCT(--($L$6:$L$300&lt;&gt;1),--($C$6:$C$300=$C81),$E$6:$E$300)/N81))</f>
        <v>552.30303599331978</v>
      </c>
      <c r="Q81" s="2">
        <f t="shared" si="1"/>
        <v>101.81697402777343</v>
      </c>
      <c r="R81" s="2">
        <f t="shared" si="1"/>
        <v>1517.426614892323</v>
      </c>
      <c r="S81" s="2">
        <f t="shared" si="14"/>
        <v>1517.426614892323</v>
      </c>
    </row>
    <row r="82" spans="2:19" x14ac:dyDescent="0.3">
      <c r="B82">
        <v>758</v>
      </c>
      <c r="C82" s="25">
        <v>6</v>
      </c>
      <c r="D82" s="32" t="s">
        <v>120</v>
      </c>
      <c r="E82" s="125">
        <f>INDEX('Revised 2019 Lockdown'!H$5:H$257,MATCH(B82,'Revised 2019 Lockdown'!B$5:B$257,0))</f>
        <v>242.43766590949087</v>
      </c>
      <c r="F82" s="7">
        <f>INDEX('Revised 2019 Lockdown'!E$5:E$257,MATCH(B82,'Revised 2019 Lockdown'!B$5:B$257,0))</f>
        <v>340319.42</v>
      </c>
      <c r="G82" s="7">
        <f>INDEX('Revised 2019 Lockdown'!F$5:F$257,MATCH(B82,'Revised 2019 Lockdown'!B$5:B$257,0))</f>
        <v>142.1</v>
      </c>
      <c r="H82" s="7">
        <f t="shared" si="9"/>
        <v>340177.32</v>
      </c>
      <c r="I82" s="6">
        <f t="shared" si="10"/>
        <v>1403.1537497436484</v>
      </c>
      <c r="J82" s="6">
        <f t="shared" si="11"/>
        <v>1403.1537497436484</v>
      </c>
      <c r="K82" s="5">
        <f t="shared" si="12"/>
        <v>340177.32</v>
      </c>
      <c r="L82" s="4">
        <f t="shared" si="8"/>
        <v>0</v>
      </c>
      <c r="M82" s="2" cm="1">
        <f t="array" ref="M82">SUMPRODUCT(--($L$6:$L$300&lt;&gt;1),--($C$6:$C$300=$C82),$H$6:$H$300)/SUMPRODUCT(--($L$6:$L$300&lt;&gt;1),--($C$6:$C$300=$C82),$E$6:$E$300)</f>
        <v>809.62179446004825</v>
      </c>
      <c r="N82" s="1" cm="1">
        <f t="array" ref="N82">SUMPRODUCT(--($L$6:$L$300&lt;&gt;1),--($C$6:$C$300=$C82))</f>
        <v>49</v>
      </c>
      <c r="O82" s="3">
        <f t="shared" si="13"/>
        <v>352280.18194277352</v>
      </c>
      <c r="P82" s="2" cm="1">
        <f t="array" ref="P82">SQRT(SUMPRODUCT(--($L$6:$L$300&lt;&gt;1),--($C$6:$C$300=$C82),$E$6:$E$300,$O$6:$O$300)/((N82-1)*SUMPRODUCT(--($L$6:$L$300&lt;&gt;1),--($C$6:$C$300=$C82),$E$6:$E$300)/N82))</f>
        <v>552.30303599331978</v>
      </c>
      <c r="Q82" s="2">
        <f t="shared" si="1"/>
        <v>101.81697402777343</v>
      </c>
      <c r="R82" s="2">
        <f t="shared" si="1"/>
        <v>1517.426614892323</v>
      </c>
      <c r="S82" s="2">
        <f t="shared" si="14"/>
        <v>1403.1537497436484</v>
      </c>
    </row>
    <row r="83" spans="2:19" x14ac:dyDescent="0.3">
      <c r="B83">
        <v>765</v>
      </c>
      <c r="C83" s="25">
        <v>6</v>
      </c>
      <c r="D83" s="32" t="s">
        <v>121</v>
      </c>
      <c r="E83" s="125">
        <f>INDEX('Revised 2019 Lockdown'!H$5:H$257,MATCH(B83,'Revised 2019 Lockdown'!B$5:B$257,0))</f>
        <v>86.906400000000005</v>
      </c>
      <c r="F83" s="7">
        <f>INDEX('Revised 2019 Lockdown'!E$5:E$257,MATCH(B83,'Revised 2019 Lockdown'!B$5:B$257,0))</f>
        <v>83939.95</v>
      </c>
      <c r="G83" s="7">
        <f>INDEX('Revised 2019 Lockdown'!F$5:F$257,MATCH(B83,'Revised 2019 Lockdown'!B$5:B$257,0))</f>
        <v>0</v>
      </c>
      <c r="H83" s="7">
        <f t="shared" si="9"/>
        <v>83939.95</v>
      </c>
      <c r="I83" s="6">
        <f t="shared" si="10"/>
        <v>965.86615024900345</v>
      </c>
      <c r="J83" s="6">
        <f t="shared" si="11"/>
        <v>965.86615024900345</v>
      </c>
      <c r="K83" s="5">
        <f t="shared" si="12"/>
        <v>83939.95</v>
      </c>
      <c r="L83" s="4">
        <f t="shared" si="8"/>
        <v>0</v>
      </c>
      <c r="M83" s="2" cm="1">
        <f t="array" ref="M83">SUMPRODUCT(--($L$6:$L$300&lt;&gt;1),--($C$6:$C$300=$C83),$H$6:$H$300)/SUMPRODUCT(--($L$6:$L$300&lt;&gt;1),--($C$6:$C$300=$C83),$E$6:$E$300)</f>
        <v>809.62179446004825</v>
      </c>
      <c r="N83" s="1" cm="1">
        <f t="array" ref="N83">SUMPRODUCT(--($L$6:$L$300&lt;&gt;1),--($C$6:$C$300=$C83))</f>
        <v>49</v>
      </c>
      <c r="O83" s="3">
        <f t="shared" si="13"/>
        <v>24412.298715905621</v>
      </c>
      <c r="P83" s="2" cm="1">
        <f t="array" ref="P83">SQRT(SUMPRODUCT(--($L$6:$L$300&lt;&gt;1),--($C$6:$C$300=$C83),$E$6:$E$300,$O$6:$O$300)/((N83-1)*SUMPRODUCT(--($L$6:$L$300&lt;&gt;1),--($C$6:$C$300=$C83),$E$6:$E$300)/N83))</f>
        <v>552.30303599331978</v>
      </c>
      <c r="Q83" s="2">
        <f t="shared" si="1"/>
        <v>101.81697402777343</v>
      </c>
      <c r="R83" s="2">
        <f t="shared" si="1"/>
        <v>1517.426614892323</v>
      </c>
      <c r="S83" s="2">
        <f t="shared" si="14"/>
        <v>965.86615024900345</v>
      </c>
    </row>
    <row r="84" spans="2:19" x14ac:dyDescent="0.3">
      <c r="B84">
        <v>770</v>
      </c>
      <c r="C84" s="25">
        <v>6</v>
      </c>
      <c r="D84" s="32" t="s">
        <v>122</v>
      </c>
      <c r="E84" s="125">
        <f>INDEX('Revised 2019 Lockdown'!H$5:H$257,MATCH(B84,'Revised 2019 Lockdown'!B$5:B$257,0))</f>
        <v>26.529718140785779</v>
      </c>
      <c r="F84" s="7">
        <f>INDEX('Revised 2019 Lockdown'!E$5:E$257,MATCH(B84,'Revised 2019 Lockdown'!B$5:B$257,0))</f>
        <v>30839.79</v>
      </c>
      <c r="G84" s="7">
        <f>INDEX('Revised 2019 Lockdown'!F$5:F$257,MATCH(B84,'Revised 2019 Lockdown'!B$5:B$257,0))</f>
        <v>0</v>
      </c>
      <c r="H84" s="7">
        <f t="shared" si="9"/>
        <v>30839.79</v>
      </c>
      <c r="I84" s="6">
        <f t="shared" si="10"/>
        <v>1162.4620298015184</v>
      </c>
      <c r="J84" s="6">
        <f t="shared" si="11"/>
        <v>1162.4620298015184</v>
      </c>
      <c r="K84" s="5">
        <f t="shared" si="12"/>
        <v>30839.79</v>
      </c>
      <c r="L84" s="4">
        <f t="shared" si="8"/>
        <v>0</v>
      </c>
      <c r="M84" s="2" cm="1">
        <f t="array" ref="M84">SUMPRODUCT(--($L$6:$L$300&lt;&gt;1),--($C$6:$C$300=$C84),$H$6:$H$300)/SUMPRODUCT(--($L$6:$L$300&lt;&gt;1),--($C$6:$C$300=$C84),$E$6:$E$300)</f>
        <v>809.62179446004825</v>
      </c>
      <c r="N84" s="1" cm="1">
        <f t="array" ref="N84">SUMPRODUCT(--($L$6:$L$300&lt;&gt;1),--($C$6:$C$300=$C84))</f>
        <v>49</v>
      </c>
      <c r="O84" s="3">
        <f t="shared" si="13"/>
        <v>124496.23167582403</v>
      </c>
      <c r="P84" s="2" cm="1">
        <f t="array" ref="P84">SQRT(SUMPRODUCT(--($L$6:$L$300&lt;&gt;1),--($C$6:$C$300=$C84),$E$6:$E$300,$O$6:$O$300)/((N84-1)*SUMPRODUCT(--($L$6:$L$300&lt;&gt;1),--($C$6:$C$300=$C84),$E$6:$E$300)/N84))</f>
        <v>552.30303599331978</v>
      </c>
      <c r="Q84" s="2">
        <f t="shared" si="1"/>
        <v>101.81697402777343</v>
      </c>
      <c r="R84" s="2">
        <f t="shared" si="1"/>
        <v>1517.426614892323</v>
      </c>
      <c r="S84" s="2">
        <f t="shared" si="14"/>
        <v>1162.4620298015184</v>
      </c>
    </row>
    <row r="85" spans="2:19" x14ac:dyDescent="0.3">
      <c r="B85">
        <v>774</v>
      </c>
      <c r="C85" s="25">
        <v>6</v>
      </c>
      <c r="D85" s="32" t="s">
        <v>123</v>
      </c>
      <c r="E85" s="125">
        <f>INDEX('Revised 2019 Lockdown'!H$5:H$257,MATCH(B85,'Revised 2019 Lockdown'!B$5:B$257,0))</f>
        <v>357.53127583624553</v>
      </c>
      <c r="F85" s="7">
        <f>INDEX('Revised 2019 Lockdown'!E$5:E$257,MATCH(B85,'Revised 2019 Lockdown'!B$5:B$257,0))</f>
        <v>291174.90000000002</v>
      </c>
      <c r="G85" s="7">
        <f>INDEX('Revised 2019 Lockdown'!F$5:F$257,MATCH(B85,'Revised 2019 Lockdown'!B$5:B$257,0))</f>
        <v>0</v>
      </c>
      <c r="H85" s="7">
        <f t="shared" si="9"/>
        <v>291174.90000000002</v>
      </c>
      <c r="I85" s="6">
        <f t="shared" si="10"/>
        <v>814.40399673835054</v>
      </c>
      <c r="J85" s="6">
        <f t="shared" si="11"/>
        <v>814.40399673835054</v>
      </c>
      <c r="K85" s="5">
        <f t="shared" si="12"/>
        <v>291174.90000000002</v>
      </c>
      <c r="L85" s="4">
        <f t="shared" si="8"/>
        <v>0</v>
      </c>
      <c r="M85" s="2" cm="1">
        <f t="array" ref="M85">SUMPRODUCT(--($L$6:$L$300&lt;&gt;1),--($C$6:$C$300=$C85),$H$6:$H$300)/SUMPRODUCT(--($L$6:$L$300&lt;&gt;1),--($C$6:$C$300=$C85),$E$6:$E$300)</f>
        <v>809.62179446004825</v>
      </c>
      <c r="N85" s="1" cm="1">
        <f t="array" ref="N85">SUMPRODUCT(--($L$6:$L$300&lt;&gt;1),--($C$6:$C$300=$C85))</f>
        <v>49</v>
      </c>
      <c r="O85" s="3">
        <f t="shared" si="13"/>
        <v>22.869458630599642</v>
      </c>
      <c r="P85" s="2" cm="1">
        <f t="array" ref="P85">SQRT(SUMPRODUCT(--($L$6:$L$300&lt;&gt;1),--($C$6:$C$300=$C85),$E$6:$E$300,$O$6:$O$300)/((N85-1)*SUMPRODUCT(--($L$6:$L$300&lt;&gt;1),--($C$6:$C$300=$C85),$E$6:$E$300)/N85))</f>
        <v>552.30303599331978</v>
      </c>
      <c r="Q85" s="2">
        <f t="shared" si="1"/>
        <v>101.81697402777343</v>
      </c>
      <c r="R85" s="2">
        <f t="shared" si="1"/>
        <v>1517.426614892323</v>
      </c>
      <c r="S85" s="2">
        <f t="shared" si="14"/>
        <v>814.40399673835054</v>
      </c>
    </row>
    <row r="86" spans="2:19" x14ac:dyDescent="0.3">
      <c r="B86">
        <v>794</v>
      </c>
      <c r="C86" s="25">
        <v>6</v>
      </c>
      <c r="D86" s="32" t="s">
        <v>124</v>
      </c>
      <c r="E86" s="125">
        <f>INDEX('Revised 2019 Lockdown'!H$5:H$257,MATCH(B86,'Revised 2019 Lockdown'!B$5:B$257,0))</f>
        <v>19.658346730975349</v>
      </c>
      <c r="F86" s="7">
        <f>INDEX('Revised 2019 Lockdown'!E$5:E$257,MATCH(B86,'Revised 2019 Lockdown'!B$5:B$257,0))</f>
        <v>44067.08</v>
      </c>
      <c r="G86" s="7">
        <f>INDEX('Revised 2019 Lockdown'!F$5:F$257,MATCH(B86,'Revised 2019 Lockdown'!B$5:B$257,0))</f>
        <v>0</v>
      </c>
      <c r="H86" s="7">
        <f t="shared" si="9"/>
        <v>44067.08</v>
      </c>
      <c r="I86" s="6">
        <f t="shared" si="10"/>
        <v>2241.6473065135328</v>
      </c>
      <c r="J86" s="6">
        <f t="shared" si="11"/>
        <v>1517.426614892323</v>
      </c>
      <c r="K86" s="5">
        <f t="shared" si="12"/>
        <v>29830.098534363489</v>
      </c>
      <c r="L86" s="4">
        <f t="shared" si="8"/>
        <v>0</v>
      </c>
      <c r="M86" s="2" cm="1">
        <f t="array" ref="M86">SUMPRODUCT(--($L$6:$L$300&lt;&gt;1),--($C$6:$C$300=$C86),$H$6:$H$300)/SUMPRODUCT(--($L$6:$L$300&lt;&gt;1),--($C$6:$C$300=$C86),$E$6:$E$300)</f>
        <v>809.62179446004825</v>
      </c>
      <c r="N86" s="1" cm="1">
        <f t="array" ref="N86">SUMPRODUCT(--($L$6:$L$300&lt;&gt;1),--($C$6:$C$300=$C86))</f>
        <v>49</v>
      </c>
      <c r="O86" s="3">
        <f t="shared" si="13"/>
        <v>2050697.0671720447</v>
      </c>
      <c r="P86" s="2" cm="1">
        <f t="array" ref="P86">SQRT(SUMPRODUCT(--($L$6:$L$300&lt;&gt;1),--($C$6:$C$300=$C86),$E$6:$E$300,$O$6:$O$300)/((N86-1)*SUMPRODUCT(--($L$6:$L$300&lt;&gt;1),--($C$6:$C$300=$C86),$E$6:$E$300)/N86))</f>
        <v>552.30303599331978</v>
      </c>
      <c r="Q86" s="2">
        <f t="shared" si="1"/>
        <v>101.81697402777343</v>
      </c>
      <c r="R86" s="2">
        <f t="shared" si="1"/>
        <v>1517.426614892323</v>
      </c>
      <c r="S86" s="2">
        <f t="shared" si="14"/>
        <v>1517.426614892323</v>
      </c>
    </row>
    <row r="87" spans="2:19" x14ac:dyDescent="0.3">
      <c r="B87">
        <v>806</v>
      </c>
      <c r="C87" s="25">
        <v>6</v>
      </c>
      <c r="D87" s="32" t="s">
        <v>125</v>
      </c>
      <c r="E87" s="125">
        <f>INDEX('Revised 2019 Lockdown'!H$5:H$257,MATCH(B87,'Revised 2019 Lockdown'!B$5:B$257,0))</f>
        <v>28</v>
      </c>
      <c r="F87" s="7">
        <f>INDEX('Revised 2019 Lockdown'!E$5:E$257,MATCH(B87,'Revised 2019 Lockdown'!B$5:B$257,0))</f>
        <v>39624.269999999997</v>
      </c>
      <c r="G87" s="7">
        <f>INDEX('Revised 2019 Lockdown'!F$5:F$257,MATCH(B87,'Revised 2019 Lockdown'!B$5:B$257,0))</f>
        <v>0</v>
      </c>
      <c r="H87" s="7">
        <f t="shared" si="9"/>
        <v>39624.269999999997</v>
      </c>
      <c r="I87" s="6">
        <f t="shared" si="10"/>
        <v>1415.1524999999999</v>
      </c>
      <c r="J87" s="6">
        <f t="shared" si="11"/>
        <v>1415.1524999999999</v>
      </c>
      <c r="K87" s="5">
        <f t="shared" si="12"/>
        <v>39624.269999999997</v>
      </c>
      <c r="L87" s="4">
        <f t="shared" si="8"/>
        <v>0</v>
      </c>
      <c r="M87" s="2" cm="1">
        <f t="array" ref="M87">SUMPRODUCT(--($L$6:$L$300&lt;&gt;1),--($C$6:$C$300=$C87),$H$6:$H$300)/SUMPRODUCT(--($L$6:$L$300&lt;&gt;1),--($C$6:$C$300=$C87),$E$6:$E$300)</f>
        <v>809.62179446004825</v>
      </c>
      <c r="N87" s="1" cm="1">
        <f t="array" ref="N87">SUMPRODUCT(--($L$6:$L$300&lt;&gt;1),--($C$6:$C$300=$C87))</f>
        <v>49</v>
      </c>
      <c r="O87" s="3">
        <f t="shared" si="13"/>
        <v>366667.43535171164</v>
      </c>
      <c r="P87" s="2" cm="1">
        <f t="array" ref="P87">SQRT(SUMPRODUCT(--($L$6:$L$300&lt;&gt;1),--($C$6:$C$300=$C87),$E$6:$E$300,$O$6:$O$300)/((N87-1)*SUMPRODUCT(--($L$6:$L$300&lt;&gt;1),--($C$6:$C$300=$C87),$E$6:$E$300)/N87))</f>
        <v>552.30303599331978</v>
      </c>
      <c r="Q87" s="2">
        <f t="shared" si="1"/>
        <v>101.81697402777343</v>
      </c>
      <c r="R87" s="2">
        <f t="shared" si="1"/>
        <v>1517.426614892323</v>
      </c>
      <c r="S87" s="2">
        <f t="shared" si="14"/>
        <v>1415.1524999999999</v>
      </c>
    </row>
    <row r="88" spans="2:19" x14ac:dyDescent="0.3">
      <c r="B88">
        <v>809</v>
      </c>
      <c r="C88" s="25">
        <v>6</v>
      </c>
      <c r="D88" s="32" t="s">
        <v>299</v>
      </c>
      <c r="E88" s="125">
        <f>INDEX('Revised 2019 Lockdown'!H$5:H$257,MATCH(B88,'Revised 2019 Lockdown'!B$5:B$257,0))</f>
        <v>348.4649595199441</v>
      </c>
      <c r="F88" s="7">
        <f>INDEX('Revised 2019 Lockdown'!E$5:E$257,MATCH(B88,'Revised 2019 Lockdown'!B$5:B$257,0))</f>
        <v>495521.19</v>
      </c>
      <c r="G88" s="7">
        <f>INDEX('Revised 2019 Lockdown'!F$5:F$257,MATCH(B88,'Revised 2019 Lockdown'!B$5:B$257,0))</f>
        <v>0</v>
      </c>
      <c r="H88" s="7">
        <f t="shared" si="9"/>
        <v>495521.19</v>
      </c>
      <c r="I88" s="6">
        <f t="shared" si="10"/>
        <v>1422.0115293160179</v>
      </c>
      <c r="J88" s="6">
        <f t="shared" si="11"/>
        <v>1422.0115293160179</v>
      </c>
      <c r="K88" s="5">
        <f t="shared" si="12"/>
        <v>495521.19</v>
      </c>
      <c r="L88" s="4">
        <f t="shared" si="8"/>
        <v>0</v>
      </c>
      <c r="M88" s="2" cm="1">
        <f t="array" ref="M88">SUMPRODUCT(--($L$6:$L$300&lt;&gt;1),--($C$6:$C$300=$C88),$H$6:$H$300)/SUMPRODUCT(--($L$6:$L$300&lt;&gt;1),--($C$6:$C$300=$C88),$E$6:$E$300)</f>
        <v>809.62179446004825</v>
      </c>
      <c r="N88" s="1" cm="1">
        <f t="array" ref="N88">SUMPRODUCT(--($L$6:$L$300&lt;&gt;1),--($C$6:$C$300=$C88))</f>
        <v>49</v>
      </c>
      <c r="O88" s="3">
        <f t="shared" si="13"/>
        <v>375021.1873569648</v>
      </c>
      <c r="P88" s="2" cm="1">
        <f t="array" ref="P88">SQRT(SUMPRODUCT(--($L$6:$L$300&lt;&gt;1),--($C$6:$C$300=$C88),$E$6:$E$300,$O$6:$O$300)/((N88-1)*SUMPRODUCT(--($L$6:$L$300&lt;&gt;1),--($C$6:$C$300=$C88),$E$6:$E$300)/N88))</f>
        <v>552.30303599331978</v>
      </c>
      <c r="Q88" s="2">
        <f t="shared" si="1"/>
        <v>101.81697402777343</v>
      </c>
      <c r="R88" s="2">
        <f t="shared" si="1"/>
        <v>1517.426614892323</v>
      </c>
      <c r="S88" s="2">
        <f t="shared" si="14"/>
        <v>1422.0115293160179</v>
      </c>
    </row>
    <row r="89" spans="2:19" x14ac:dyDescent="0.3">
      <c r="B89">
        <v>811</v>
      </c>
      <c r="C89" s="25">
        <v>6</v>
      </c>
      <c r="D89" s="32" t="s">
        <v>126</v>
      </c>
      <c r="E89" s="125">
        <f>INDEX('Revised 2019 Lockdown'!H$5:H$257,MATCH(B89,'Revised 2019 Lockdown'!B$5:B$257,0))</f>
        <v>586.72521627981052</v>
      </c>
      <c r="F89" s="7">
        <f>INDEX('Revised 2019 Lockdown'!E$5:E$257,MATCH(B89,'Revised 2019 Lockdown'!B$5:B$257,0))</f>
        <v>508959.18</v>
      </c>
      <c r="G89" s="7">
        <f>INDEX('Revised 2019 Lockdown'!F$5:F$257,MATCH(B89,'Revised 2019 Lockdown'!B$5:B$257,0))</f>
        <v>7228.6</v>
      </c>
      <c r="H89" s="7">
        <f t="shared" si="9"/>
        <v>501730.58</v>
      </c>
      <c r="I89" s="6">
        <f t="shared" si="10"/>
        <v>855.1372364414002</v>
      </c>
      <c r="J89" s="6">
        <f t="shared" si="11"/>
        <v>855.1372364414002</v>
      </c>
      <c r="K89" s="5">
        <f t="shared" si="12"/>
        <v>501730.58</v>
      </c>
      <c r="L89" s="4">
        <f t="shared" si="8"/>
        <v>0</v>
      </c>
      <c r="M89" s="2" cm="1">
        <f t="array" ref="M89">SUMPRODUCT(--($L$6:$L$300&lt;&gt;1),--($C$6:$C$300=$C89),$H$6:$H$300)/SUMPRODUCT(--($L$6:$L$300&lt;&gt;1),--($C$6:$C$300=$C89),$E$6:$E$300)</f>
        <v>809.62179446004825</v>
      </c>
      <c r="N89" s="1" cm="1">
        <f t="array" ref="N89">SUMPRODUCT(--($L$6:$L$300&lt;&gt;1),--($C$6:$C$300=$C89))</f>
        <v>49</v>
      </c>
      <c r="O89" s="3">
        <f t="shared" si="13"/>
        <v>2071.6554587578162</v>
      </c>
      <c r="P89" s="2" cm="1">
        <f t="array" ref="P89">SQRT(SUMPRODUCT(--($L$6:$L$300&lt;&gt;1),--($C$6:$C$300=$C89),$E$6:$E$300,$O$6:$O$300)/((N89-1)*SUMPRODUCT(--($L$6:$L$300&lt;&gt;1),--($C$6:$C$300=$C89),$E$6:$E$300)/N89))</f>
        <v>552.30303599331978</v>
      </c>
      <c r="Q89" s="2">
        <f t="shared" si="1"/>
        <v>101.81697402777343</v>
      </c>
      <c r="R89" s="2">
        <f t="shared" si="1"/>
        <v>1517.426614892323</v>
      </c>
      <c r="S89" s="2">
        <f t="shared" si="14"/>
        <v>855.1372364414002</v>
      </c>
    </row>
    <row r="90" spans="2:19" x14ac:dyDescent="0.3">
      <c r="B90">
        <v>824</v>
      </c>
      <c r="C90" s="25">
        <v>6</v>
      </c>
      <c r="D90" s="32" t="s">
        <v>127</v>
      </c>
      <c r="E90" s="125">
        <f>INDEX('Revised 2019 Lockdown'!H$5:H$257,MATCH(B90,'Revised 2019 Lockdown'!B$5:B$257,0))</f>
        <v>33.61</v>
      </c>
      <c r="F90" s="7">
        <f>INDEX('Revised 2019 Lockdown'!E$5:E$257,MATCH(B90,'Revised 2019 Lockdown'!B$5:B$257,0))</f>
        <v>64105.83</v>
      </c>
      <c r="G90" s="7">
        <f>INDEX('Revised 2019 Lockdown'!F$5:F$257,MATCH(B90,'Revised 2019 Lockdown'!B$5:B$257,0))</f>
        <v>0</v>
      </c>
      <c r="H90" s="7">
        <f t="shared" si="9"/>
        <v>64105.83</v>
      </c>
      <c r="I90" s="6">
        <f t="shared" si="10"/>
        <v>1907.3439452543887</v>
      </c>
      <c r="J90" s="6">
        <f t="shared" si="11"/>
        <v>1517.426614892323</v>
      </c>
      <c r="K90" s="5">
        <f t="shared" si="12"/>
        <v>51000.708526530972</v>
      </c>
      <c r="L90" s="4">
        <f t="shared" si="8"/>
        <v>0</v>
      </c>
      <c r="M90" s="2" cm="1">
        <f t="array" ref="M90">SUMPRODUCT(--($L$6:$L$300&lt;&gt;1),--($C$6:$C$300=$C90),$H$6:$H$300)/SUMPRODUCT(--($L$6:$L$300&lt;&gt;1),--($C$6:$C$300=$C90),$E$6:$E$300)</f>
        <v>809.62179446004825</v>
      </c>
      <c r="N90" s="1" cm="1">
        <f t="array" ref="N90">SUMPRODUCT(--($L$6:$L$300&lt;&gt;1),--($C$6:$C$300=$C90))</f>
        <v>49</v>
      </c>
      <c r="O90" s="3">
        <f t="shared" si="13"/>
        <v>1204993.9203445527</v>
      </c>
      <c r="P90" s="2" cm="1">
        <f t="array" ref="P90">SQRT(SUMPRODUCT(--($L$6:$L$300&lt;&gt;1),--($C$6:$C$300=$C90),$E$6:$E$300,$O$6:$O$300)/((N90-1)*SUMPRODUCT(--($L$6:$L$300&lt;&gt;1),--($C$6:$C$300=$C90),$E$6:$E$300)/N90))</f>
        <v>552.30303599331978</v>
      </c>
      <c r="Q90" s="2">
        <f t="shared" si="1"/>
        <v>101.81697402777343</v>
      </c>
      <c r="R90" s="2">
        <f t="shared" si="1"/>
        <v>1517.426614892323</v>
      </c>
      <c r="S90" s="2">
        <f t="shared" si="14"/>
        <v>1517.426614892323</v>
      </c>
    </row>
    <row r="91" spans="2:19" x14ac:dyDescent="0.3">
      <c r="B91">
        <v>826</v>
      </c>
      <c r="C91" s="25">
        <v>6</v>
      </c>
      <c r="D91" s="32" t="s">
        <v>128</v>
      </c>
      <c r="E91" s="125">
        <f>INDEX('Revised 2019 Lockdown'!H$5:H$257,MATCH(B91,'Revised 2019 Lockdown'!B$5:B$257,0))</f>
        <v>39.180399999999999</v>
      </c>
      <c r="F91" s="7">
        <f>INDEX('Revised 2019 Lockdown'!E$5:E$257,MATCH(B91,'Revised 2019 Lockdown'!B$5:B$257,0))</f>
        <v>36328.44</v>
      </c>
      <c r="G91" s="7">
        <f>INDEX('Revised 2019 Lockdown'!F$5:F$257,MATCH(B91,'Revised 2019 Lockdown'!B$5:B$257,0))</f>
        <v>0</v>
      </c>
      <c r="H91" s="7">
        <f t="shared" si="9"/>
        <v>36328.44</v>
      </c>
      <c r="I91" s="6">
        <f t="shared" si="10"/>
        <v>927.20952312891143</v>
      </c>
      <c r="J91" s="6">
        <f t="shared" si="11"/>
        <v>927.20952312891143</v>
      </c>
      <c r="K91" s="5">
        <f t="shared" si="12"/>
        <v>36328.44</v>
      </c>
      <c r="L91" s="4">
        <f t="shared" si="8"/>
        <v>0</v>
      </c>
      <c r="M91" s="2" cm="1">
        <f t="array" ref="M91">SUMPRODUCT(--($L$6:$L$300&lt;&gt;1),--($C$6:$C$300=$C91),$H$6:$H$300)/SUMPRODUCT(--($L$6:$L$300&lt;&gt;1),--($C$6:$C$300=$C91),$E$6:$E$300)</f>
        <v>809.62179446004825</v>
      </c>
      <c r="N91" s="1" cm="1">
        <f t="array" ref="N91">SUMPRODUCT(--($L$6:$L$300&lt;&gt;1),--($C$6:$C$300=$C91))</f>
        <v>49</v>
      </c>
      <c r="O91" s="3">
        <f t="shared" si="13"/>
        <v>13826.873933502187</v>
      </c>
      <c r="P91" s="2" cm="1">
        <f t="array" ref="P91">SQRT(SUMPRODUCT(--($L$6:$L$300&lt;&gt;1),--($C$6:$C$300=$C91),$E$6:$E$300,$O$6:$O$300)/((N91-1)*SUMPRODUCT(--($L$6:$L$300&lt;&gt;1),--($C$6:$C$300=$C91),$E$6:$E$300)/N91))</f>
        <v>552.30303599331978</v>
      </c>
      <c r="Q91" s="2">
        <f t="shared" si="1"/>
        <v>101.81697402777343</v>
      </c>
      <c r="R91" s="2">
        <f t="shared" si="1"/>
        <v>1517.426614892323</v>
      </c>
      <c r="S91" s="2">
        <f t="shared" si="14"/>
        <v>927.20952312891143</v>
      </c>
    </row>
    <row r="92" spans="2:19" x14ac:dyDescent="0.3">
      <c r="B92">
        <v>840</v>
      </c>
      <c r="C92" s="25">
        <v>6</v>
      </c>
      <c r="D92" s="32" t="s">
        <v>129</v>
      </c>
      <c r="E92" s="125">
        <f>INDEX('Revised 2019 Lockdown'!H$5:H$257,MATCH(B92,'Revised 2019 Lockdown'!B$5:B$257,0))</f>
        <v>138.55202775991427</v>
      </c>
      <c r="F92" s="7">
        <f>INDEX('Revised 2019 Lockdown'!E$5:E$257,MATCH(B92,'Revised 2019 Lockdown'!B$5:B$257,0))</f>
        <v>115261.04</v>
      </c>
      <c r="G92" s="7">
        <f>INDEX('Revised 2019 Lockdown'!F$5:F$257,MATCH(B92,'Revised 2019 Lockdown'!B$5:B$257,0))</f>
        <v>0</v>
      </c>
      <c r="H92" s="7">
        <f t="shared" si="9"/>
        <v>115261.04</v>
      </c>
      <c r="I92" s="6">
        <f t="shared" si="10"/>
        <v>831.89717150676881</v>
      </c>
      <c r="J92" s="6">
        <f t="shared" si="11"/>
        <v>831.89717150676881</v>
      </c>
      <c r="K92" s="5">
        <f t="shared" si="12"/>
        <v>115261.04</v>
      </c>
      <c r="L92" s="4">
        <f t="shared" si="8"/>
        <v>0</v>
      </c>
      <c r="M92" s="2" cm="1">
        <f t="array" ref="M92">SUMPRODUCT(--($L$6:$L$300&lt;&gt;1),--($C$6:$C$300=$C92),$H$6:$H$300)/SUMPRODUCT(--($L$6:$L$300&lt;&gt;1),--($C$6:$C$300=$C92),$E$6:$E$300)</f>
        <v>809.62179446004825</v>
      </c>
      <c r="N92" s="1" cm="1">
        <f t="array" ref="N92">SUMPRODUCT(--($L$6:$L$300&lt;&gt;1),--($C$6:$C$300=$C92))</f>
        <v>49</v>
      </c>
      <c r="O92" s="3">
        <f t="shared" si="13"/>
        <v>496.19242257356535</v>
      </c>
      <c r="P92" s="2" cm="1">
        <f t="array" ref="P92">SQRT(SUMPRODUCT(--($L$6:$L$300&lt;&gt;1),--($C$6:$C$300=$C92),$E$6:$E$300,$O$6:$O$300)/((N92-1)*SUMPRODUCT(--($L$6:$L$300&lt;&gt;1),--($C$6:$C$300=$C92),$E$6:$E$300)/N92))</f>
        <v>552.30303599331978</v>
      </c>
      <c r="Q92" s="2">
        <f t="shared" si="1"/>
        <v>101.81697402777343</v>
      </c>
      <c r="R92" s="2">
        <f t="shared" si="1"/>
        <v>1517.426614892323</v>
      </c>
      <c r="S92" s="2">
        <f t="shared" si="14"/>
        <v>831.89717150676881</v>
      </c>
    </row>
    <row r="93" spans="2:19" x14ac:dyDescent="0.3">
      <c r="B93">
        <v>843</v>
      </c>
      <c r="C93" s="25">
        <v>6</v>
      </c>
      <c r="D93" s="32" t="s">
        <v>130</v>
      </c>
      <c r="E93" s="125">
        <f>INDEX('Revised 2019 Lockdown'!H$5:H$257,MATCH(B93,'Revised 2019 Lockdown'!B$5:B$257,0))</f>
        <v>24.72</v>
      </c>
      <c r="F93" s="7">
        <f>INDEX('Revised 2019 Lockdown'!E$5:E$257,MATCH(B93,'Revised 2019 Lockdown'!B$5:B$257,0))</f>
        <v>32653.86</v>
      </c>
      <c r="G93" s="7">
        <f>INDEX('Revised 2019 Lockdown'!F$5:F$257,MATCH(B93,'Revised 2019 Lockdown'!B$5:B$257,0))</f>
        <v>0</v>
      </c>
      <c r="H93" s="7">
        <f t="shared" si="9"/>
        <v>32653.86</v>
      </c>
      <c r="I93" s="6">
        <f t="shared" si="10"/>
        <v>1320.9490291262136</v>
      </c>
      <c r="J93" s="6">
        <f t="shared" si="11"/>
        <v>1320.9490291262136</v>
      </c>
      <c r="K93" s="5">
        <f t="shared" si="12"/>
        <v>32653.86</v>
      </c>
      <c r="L93" s="4">
        <f t="shared" si="8"/>
        <v>0</v>
      </c>
      <c r="M93" s="2" cm="1">
        <f t="array" ref="M93">SUMPRODUCT(--($L$6:$L$300&lt;&gt;1),--($C$6:$C$300=$C93),$H$6:$H$300)/SUMPRODUCT(--($L$6:$L$300&lt;&gt;1),--($C$6:$C$300=$C93),$E$6:$E$300)</f>
        <v>809.62179446004825</v>
      </c>
      <c r="N93" s="1" cm="1">
        <f t="array" ref="N93">SUMPRODUCT(--($L$6:$L$300&lt;&gt;1),--($C$6:$C$300=$C93))</f>
        <v>49</v>
      </c>
      <c r="O93" s="3">
        <f t="shared" si="13"/>
        <v>261455.54091134778</v>
      </c>
      <c r="P93" s="2" cm="1">
        <f t="array" ref="P93">SQRT(SUMPRODUCT(--($L$6:$L$300&lt;&gt;1),--($C$6:$C$300=$C93),$E$6:$E$300,$O$6:$O$300)/((N93-1)*SUMPRODUCT(--($L$6:$L$300&lt;&gt;1),--($C$6:$C$300=$C93),$E$6:$E$300)/N93))</f>
        <v>552.30303599331978</v>
      </c>
      <c r="Q93" s="2">
        <f t="shared" si="1"/>
        <v>101.81697402777343</v>
      </c>
      <c r="R93" s="2">
        <f t="shared" si="1"/>
        <v>1517.426614892323</v>
      </c>
      <c r="S93" s="2">
        <f t="shared" si="14"/>
        <v>1320.9490291262136</v>
      </c>
    </row>
    <row r="94" spans="2:19" x14ac:dyDescent="0.3">
      <c r="B94">
        <v>846</v>
      </c>
      <c r="C94" s="25">
        <v>6</v>
      </c>
      <c r="D94" s="32" t="s">
        <v>131</v>
      </c>
      <c r="E94" s="125">
        <f>INDEX('Revised 2019 Lockdown'!H$5:H$257,MATCH(B94,'Revised 2019 Lockdown'!B$5:B$257,0))</f>
        <v>24.695999999999998</v>
      </c>
      <c r="F94" s="7">
        <f>INDEX('Revised 2019 Lockdown'!E$5:E$257,MATCH(B94,'Revised 2019 Lockdown'!B$5:B$257,0))</f>
        <v>35434.99</v>
      </c>
      <c r="G94" s="7">
        <f>INDEX('Revised 2019 Lockdown'!F$5:F$257,MATCH(B94,'Revised 2019 Lockdown'!B$5:B$257,0))</f>
        <v>0</v>
      </c>
      <c r="H94" s="7">
        <f t="shared" si="9"/>
        <v>35434.99</v>
      </c>
      <c r="I94" s="6">
        <f t="shared" si="10"/>
        <v>1434.8473436993845</v>
      </c>
      <c r="J94" s="6">
        <f t="shared" si="11"/>
        <v>1434.8473436993845</v>
      </c>
      <c r="K94" s="5">
        <f t="shared" si="12"/>
        <v>35434.99</v>
      </c>
      <c r="L94" s="4">
        <f t="shared" si="8"/>
        <v>0</v>
      </c>
      <c r="M94" s="2" cm="1">
        <f t="array" ref="M94">SUMPRODUCT(--($L$6:$L$300&lt;&gt;1),--($C$6:$C$300=$C94),$H$6:$H$300)/SUMPRODUCT(--($L$6:$L$300&lt;&gt;1),--($C$6:$C$300=$C94),$E$6:$E$300)</f>
        <v>809.62179446004825</v>
      </c>
      <c r="N94" s="1" cm="1">
        <f t="array" ref="N94">SUMPRODUCT(--($L$6:$L$300&lt;&gt;1),--($C$6:$C$300=$C94))</f>
        <v>49</v>
      </c>
      <c r="O94" s="3">
        <f t="shared" si="13"/>
        <v>390906.98742162972</v>
      </c>
      <c r="P94" s="2" cm="1">
        <f t="array" ref="P94">SQRT(SUMPRODUCT(--($L$6:$L$300&lt;&gt;1),--($C$6:$C$300=$C94),$E$6:$E$300,$O$6:$O$300)/((N94-1)*SUMPRODUCT(--($L$6:$L$300&lt;&gt;1),--($C$6:$C$300=$C94),$E$6:$E$300)/N94))</f>
        <v>552.30303599331978</v>
      </c>
      <c r="Q94" s="2">
        <f t="shared" si="1"/>
        <v>101.81697402777343</v>
      </c>
      <c r="R94" s="2">
        <f t="shared" si="1"/>
        <v>1517.426614892323</v>
      </c>
      <c r="S94" s="2">
        <f t="shared" si="14"/>
        <v>1434.8473436993845</v>
      </c>
    </row>
    <row r="95" spans="2:19" x14ac:dyDescent="0.3">
      <c r="B95">
        <v>888</v>
      </c>
      <c r="C95" s="25">
        <v>6</v>
      </c>
      <c r="D95" s="32" t="s">
        <v>132</v>
      </c>
      <c r="E95" s="125">
        <f>INDEX('Revised 2019 Lockdown'!H$5:H$257,MATCH(B95,'Revised 2019 Lockdown'!B$5:B$257,0))</f>
        <v>103.64754100869358</v>
      </c>
      <c r="F95" s="7">
        <f>INDEX('Revised 2019 Lockdown'!E$5:E$257,MATCH(B95,'Revised 2019 Lockdown'!B$5:B$257,0))</f>
        <v>49302.5</v>
      </c>
      <c r="G95" s="7">
        <f>INDEX('Revised 2019 Lockdown'!F$5:F$257,MATCH(B95,'Revised 2019 Lockdown'!B$5:B$257,0))</f>
        <v>0</v>
      </c>
      <c r="H95" s="7">
        <f t="shared" si="9"/>
        <v>49302.5</v>
      </c>
      <c r="I95" s="6">
        <f t="shared" si="10"/>
        <v>475.67457481566964</v>
      </c>
      <c r="J95" s="6">
        <f t="shared" si="11"/>
        <v>475.67457481566964</v>
      </c>
      <c r="K95" s="5">
        <f t="shared" si="12"/>
        <v>49302.5</v>
      </c>
      <c r="L95" s="4">
        <f t="shared" si="8"/>
        <v>0</v>
      </c>
      <c r="M95" s="2" cm="1">
        <f t="array" ref="M95">SUMPRODUCT(--($L$6:$L$300&lt;&gt;1),--($C$6:$C$300=$C95),$H$6:$H$300)/SUMPRODUCT(--($L$6:$L$300&lt;&gt;1),--($C$6:$C$300=$C95),$E$6:$E$300)</f>
        <v>809.62179446004825</v>
      </c>
      <c r="N95" s="1" cm="1">
        <f t="array" ref="N95">SUMPRODUCT(--($L$6:$L$300&lt;&gt;1),--($C$6:$C$300=$C95))</f>
        <v>49</v>
      </c>
      <c r="O95" s="3">
        <f t="shared" si="13"/>
        <v>111520.74550821085</v>
      </c>
      <c r="P95" s="2" cm="1">
        <f t="array" ref="P95">SQRT(SUMPRODUCT(--($L$6:$L$300&lt;&gt;1),--($C$6:$C$300=$C95),$E$6:$E$300,$O$6:$O$300)/((N95-1)*SUMPRODUCT(--($L$6:$L$300&lt;&gt;1),--($C$6:$C$300=$C95),$E$6:$E$300)/N95))</f>
        <v>552.30303599331978</v>
      </c>
      <c r="Q95" s="2">
        <f t="shared" si="1"/>
        <v>101.81697402777343</v>
      </c>
      <c r="R95" s="2">
        <f t="shared" si="1"/>
        <v>1517.426614892323</v>
      </c>
      <c r="S95" s="2">
        <f t="shared" si="14"/>
        <v>475.67457481566964</v>
      </c>
    </row>
    <row r="96" spans="2:19" x14ac:dyDescent="0.3">
      <c r="B96">
        <v>889</v>
      </c>
      <c r="C96" s="25">
        <v>6</v>
      </c>
      <c r="D96" s="32" t="s">
        <v>133</v>
      </c>
      <c r="E96" s="125">
        <f>INDEX('Revised 2019 Lockdown'!H$5:H$257,MATCH(B96,'Revised 2019 Lockdown'!B$5:B$257,0))</f>
        <v>36.258728414910088</v>
      </c>
      <c r="F96" s="7">
        <f>INDEX('Revised 2019 Lockdown'!E$5:E$257,MATCH(B96,'Revised 2019 Lockdown'!B$5:B$257,0))</f>
        <v>52828.79</v>
      </c>
      <c r="G96" s="7">
        <f>INDEX('Revised 2019 Lockdown'!F$5:F$257,MATCH(B96,'Revised 2019 Lockdown'!B$5:B$257,0))</f>
        <v>0</v>
      </c>
      <c r="H96" s="7">
        <f t="shared" si="9"/>
        <v>52828.79</v>
      </c>
      <c r="I96" s="6">
        <f t="shared" si="10"/>
        <v>1456.9951101284644</v>
      </c>
      <c r="J96" s="6">
        <f t="shared" si="11"/>
        <v>1456.9951101284644</v>
      </c>
      <c r="K96" s="5">
        <f t="shared" si="12"/>
        <v>52828.79</v>
      </c>
      <c r="L96" s="4">
        <f t="shared" si="8"/>
        <v>0</v>
      </c>
      <c r="M96" s="2" cm="1">
        <f t="array" ref="M96">SUMPRODUCT(--($L$6:$L$300&lt;&gt;1),--($C$6:$C$300=$C96),$H$6:$H$300)/SUMPRODUCT(--($L$6:$L$300&lt;&gt;1),--($C$6:$C$300=$C96),$E$6:$E$300)</f>
        <v>809.62179446004825</v>
      </c>
      <c r="N96" s="1" cm="1">
        <f t="array" ref="N96">SUMPRODUCT(--($L$6:$L$300&lt;&gt;1),--($C$6:$C$300=$C96))</f>
        <v>49</v>
      </c>
      <c r="O96" s="3">
        <f t="shared" si="13"/>
        <v>419092.20983951876</v>
      </c>
      <c r="P96" s="2" cm="1">
        <f t="array" ref="P96">SQRT(SUMPRODUCT(--($L$6:$L$300&lt;&gt;1),--($C$6:$C$300=$C96),$E$6:$E$300,$O$6:$O$300)/((N96-1)*SUMPRODUCT(--($L$6:$L$300&lt;&gt;1),--($C$6:$C$300=$C96),$E$6:$E$300)/N96))</f>
        <v>552.30303599331978</v>
      </c>
      <c r="Q96" s="2">
        <f t="shared" si="1"/>
        <v>101.81697402777343</v>
      </c>
      <c r="R96" s="2">
        <f t="shared" si="1"/>
        <v>1517.426614892323</v>
      </c>
      <c r="S96" s="2">
        <f t="shared" si="14"/>
        <v>1456.9951101284644</v>
      </c>
    </row>
    <row r="97" spans="2:19" x14ac:dyDescent="0.3">
      <c r="B97">
        <v>891</v>
      </c>
      <c r="C97" s="25">
        <v>6</v>
      </c>
      <c r="D97" s="32" t="s">
        <v>134</v>
      </c>
      <c r="E97" s="125">
        <f>INDEX('Revised 2019 Lockdown'!H$5:H$257,MATCH(B97,'Revised 2019 Lockdown'!B$5:B$257,0))</f>
        <v>291.1435796708804</v>
      </c>
      <c r="F97" s="7">
        <f>INDEX('Revised 2019 Lockdown'!E$5:E$257,MATCH(B97,'Revised 2019 Lockdown'!B$5:B$257,0))</f>
        <v>101210.64</v>
      </c>
      <c r="G97" s="7">
        <f>INDEX('Revised 2019 Lockdown'!F$5:F$257,MATCH(B97,'Revised 2019 Lockdown'!B$5:B$257,0))</f>
        <v>0</v>
      </c>
      <c r="H97" s="7">
        <f t="shared" si="9"/>
        <v>101210.64</v>
      </c>
      <c r="I97" s="6">
        <f t="shared" si="10"/>
        <v>347.63136495887113</v>
      </c>
      <c r="J97" s="6">
        <f t="shared" si="11"/>
        <v>347.63136495887113</v>
      </c>
      <c r="K97" s="5">
        <f t="shared" si="12"/>
        <v>101210.64</v>
      </c>
      <c r="L97" s="4">
        <f t="shared" si="8"/>
        <v>0</v>
      </c>
      <c r="M97" s="2" cm="1">
        <f t="array" ref="M97">SUMPRODUCT(--($L$6:$L$300&lt;&gt;1),--($C$6:$C$300=$C97),$H$6:$H$300)/SUMPRODUCT(--($L$6:$L$300&lt;&gt;1),--($C$6:$C$300=$C97),$E$6:$E$300)</f>
        <v>809.62179446004825</v>
      </c>
      <c r="N97" s="1" cm="1">
        <f t="array" ref="N97">SUMPRODUCT(--($L$6:$L$300&lt;&gt;1),--($C$6:$C$300=$C97))</f>
        <v>49</v>
      </c>
      <c r="O97" s="3">
        <f t="shared" si="13"/>
        <v>213435.15695068211</v>
      </c>
      <c r="P97" s="2" cm="1">
        <f t="array" ref="P97">SQRT(SUMPRODUCT(--($L$6:$L$300&lt;&gt;1),--($C$6:$C$300=$C97),$E$6:$E$300,$O$6:$O$300)/((N97-1)*SUMPRODUCT(--($L$6:$L$300&lt;&gt;1),--($C$6:$C$300=$C97),$E$6:$E$300)/N97))</f>
        <v>552.30303599331978</v>
      </c>
      <c r="Q97" s="2">
        <f t="shared" si="1"/>
        <v>101.81697402777343</v>
      </c>
      <c r="R97" s="2">
        <f t="shared" si="1"/>
        <v>1517.426614892323</v>
      </c>
      <c r="S97" s="2">
        <f t="shared" si="14"/>
        <v>347.63136495887113</v>
      </c>
    </row>
    <row r="98" spans="2:19" x14ac:dyDescent="0.3">
      <c r="B98">
        <v>897</v>
      </c>
      <c r="C98" s="25">
        <v>6</v>
      </c>
      <c r="D98" s="32" t="s">
        <v>242</v>
      </c>
      <c r="E98" s="125">
        <f>INDEX('Revised 2019 Lockdown'!H$5:H$257,MATCH(B98,'Revised 2019 Lockdown'!B$5:B$257,0))</f>
        <v>72.361461694676464</v>
      </c>
      <c r="F98" s="7">
        <f>INDEX('Revised 2019 Lockdown'!E$5:E$257,MATCH(B98,'Revised 2019 Lockdown'!B$5:B$257,0))</f>
        <v>311526.77</v>
      </c>
      <c r="G98" s="7">
        <f>INDEX('Revised 2019 Lockdown'!F$5:F$257,MATCH(B98,'Revised 2019 Lockdown'!B$5:B$257,0))</f>
        <v>84</v>
      </c>
      <c r="H98" s="7">
        <f t="shared" si="9"/>
        <v>311442.77</v>
      </c>
      <c r="I98" s="6">
        <f t="shared" si="10"/>
        <v>4303.9867175998797</v>
      </c>
      <c r="J98" s="6">
        <f t="shared" si="11"/>
        <v>1517.426614892323</v>
      </c>
      <c r="K98" s="5">
        <f t="shared" si="12"/>
        <v>109803.2078680134</v>
      </c>
      <c r="L98" s="4">
        <f t="shared" si="8"/>
        <v>0</v>
      </c>
      <c r="M98" s="2" cm="1">
        <f t="array" ref="M98">SUMPRODUCT(--($L$6:$L$300&lt;&gt;1),--($C$6:$C$300=$C98),$H$6:$H$300)/SUMPRODUCT(--($L$6:$L$300&lt;&gt;1),--($C$6:$C$300=$C98),$E$6:$E$300)</f>
        <v>809.62179446004825</v>
      </c>
      <c r="N98" s="1" cm="1">
        <f t="array" ref="N98">SUMPRODUCT(--($L$6:$L$300&lt;&gt;1),--($C$6:$C$300=$C98))</f>
        <v>49</v>
      </c>
      <c r="O98" s="3">
        <f t="shared" si="13"/>
        <v>12210586.216070039</v>
      </c>
      <c r="P98" s="2" cm="1">
        <f t="array" ref="P98">SQRT(SUMPRODUCT(--($L$6:$L$300&lt;&gt;1),--($C$6:$C$300=$C98),$E$6:$E$300,$O$6:$O$300)/((N98-1)*SUMPRODUCT(--($L$6:$L$300&lt;&gt;1),--($C$6:$C$300=$C98),$E$6:$E$300)/N98))</f>
        <v>552.30303599331978</v>
      </c>
      <c r="Q98" s="2">
        <f t="shared" si="1"/>
        <v>101.81697402777343</v>
      </c>
      <c r="R98" s="2">
        <f t="shared" si="1"/>
        <v>1517.426614892323</v>
      </c>
      <c r="S98" s="2">
        <f t="shared" si="14"/>
        <v>1517.426614892323</v>
      </c>
    </row>
    <row r="99" spans="2:19" x14ac:dyDescent="0.3">
      <c r="B99">
        <v>904</v>
      </c>
      <c r="C99" s="25">
        <v>6</v>
      </c>
      <c r="D99" s="32" t="s">
        <v>135</v>
      </c>
      <c r="E99" s="125">
        <f>INDEX('Revised 2019 Lockdown'!H$5:H$257,MATCH(B99,'Revised 2019 Lockdown'!B$5:B$257,0))</f>
        <v>23.641458863642349</v>
      </c>
      <c r="F99" s="7">
        <f>INDEX('Revised 2019 Lockdown'!E$5:E$257,MATCH(B99,'Revised 2019 Lockdown'!B$5:B$257,0))</f>
        <v>14117.02</v>
      </c>
      <c r="G99" s="7">
        <f>INDEX('Revised 2019 Lockdown'!F$5:F$257,MATCH(B99,'Revised 2019 Lockdown'!B$5:B$257,0))</f>
        <v>0</v>
      </c>
      <c r="H99" s="7">
        <f t="shared" si="9"/>
        <v>14117.02</v>
      </c>
      <c r="I99" s="6">
        <f t="shared" si="10"/>
        <v>597.12981679443806</v>
      </c>
      <c r="J99" s="6">
        <f t="shared" si="11"/>
        <v>597.12981679443806</v>
      </c>
      <c r="K99" s="5">
        <f t="shared" si="12"/>
        <v>14117.019999999999</v>
      </c>
      <c r="L99" s="4">
        <f t="shared" si="8"/>
        <v>0</v>
      </c>
      <c r="M99" s="2" cm="1">
        <f t="array" ref="M99">SUMPRODUCT(--($L$6:$L$300&lt;&gt;1),--($C$6:$C$300=$C99),$H$6:$H$300)/SUMPRODUCT(--($L$6:$L$300&lt;&gt;1),--($C$6:$C$300=$C99),$E$6:$E$300)</f>
        <v>809.62179446004825</v>
      </c>
      <c r="N99" s="1" cm="1">
        <f t="array" ref="N99">SUMPRODUCT(--($L$6:$L$300&lt;&gt;1),--($C$6:$C$300=$C99))</f>
        <v>49</v>
      </c>
      <c r="O99" s="3">
        <f t="shared" si="13"/>
        <v>45152.840572242181</v>
      </c>
      <c r="P99" s="2" cm="1">
        <f t="array" ref="P99">SQRT(SUMPRODUCT(--($L$6:$L$300&lt;&gt;1),--($C$6:$C$300=$C99),$E$6:$E$300,$O$6:$O$300)/((N99-1)*SUMPRODUCT(--($L$6:$L$300&lt;&gt;1),--($C$6:$C$300=$C99),$E$6:$E$300)/N99))</f>
        <v>552.30303599331978</v>
      </c>
      <c r="Q99" s="2">
        <f t="shared" si="1"/>
        <v>101.81697402777343</v>
      </c>
      <c r="R99" s="2">
        <f t="shared" si="1"/>
        <v>1517.426614892323</v>
      </c>
      <c r="S99" s="2">
        <f t="shared" si="14"/>
        <v>597.12981679443806</v>
      </c>
    </row>
    <row r="100" spans="2:19" x14ac:dyDescent="0.3">
      <c r="B100">
        <v>906</v>
      </c>
      <c r="C100" s="25">
        <v>6</v>
      </c>
      <c r="D100" s="32" t="s">
        <v>301</v>
      </c>
      <c r="E100" s="125">
        <f>INDEX('Revised 2019 Lockdown'!H$5:H$257,MATCH(B100,'Revised 2019 Lockdown'!B$5:B$257,0))</f>
        <v>251.9</v>
      </c>
      <c r="F100" s="7">
        <f>INDEX('Revised 2019 Lockdown'!E$5:E$257,MATCH(B100,'Revised 2019 Lockdown'!B$5:B$257,0))</f>
        <v>141116.71</v>
      </c>
      <c r="G100" s="7">
        <f>INDEX('Revised 2019 Lockdown'!F$5:F$257,MATCH(B100,'Revised 2019 Lockdown'!B$5:B$257,0))</f>
        <v>58.4</v>
      </c>
      <c r="H100" s="7">
        <f t="shared" si="9"/>
        <v>141058.31</v>
      </c>
      <c r="I100" s="6">
        <f t="shared" si="10"/>
        <v>559.97741167129811</v>
      </c>
      <c r="J100" s="6">
        <f t="shared" si="11"/>
        <v>559.97741167129811</v>
      </c>
      <c r="K100" s="5">
        <f t="shared" si="12"/>
        <v>141058.31</v>
      </c>
      <c r="L100" s="4">
        <f t="shared" si="8"/>
        <v>0</v>
      </c>
      <c r="M100" s="2" cm="1">
        <f t="array" ref="M100">SUMPRODUCT(--($L$6:$L$300&lt;&gt;1),--($C$6:$C$300=$C100),$H$6:$H$300)/SUMPRODUCT(--($L$6:$L$300&lt;&gt;1),--($C$6:$C$300=$C100),$E$6:$E$300)</f>
        <v>809.62179446004825</v>
      </c>
      <c r="N100" s="1" cm="1">
        <f t="array" ref="N100">SUMPRODUCT(--($L$6:$L$300&lt;&gt;1),--($C$6:$C$300=$C100))</f>
        <v>49</v>
      </c>
      <c r="O100" s="3">
        <f t="shared" si="13"/>
        <v>62322.317857976006</v>
      </c>
      <c r="P100" s="2" cm="1">
        <f t="array" ref="P100">SQRT(SUMPRODUCT(--($L$6:$L$300&lt;&gt;1),--($C$6:$C$300=$C100),$E$6:$E$300,$O$6:$O$300)/((N100-1)*SUMPRODUCT(--($L$6:$L$300&lt;&gt;1),--($C$6:$C$300=$C100),$E$6:$E$300)/N100))</f>
        <v>552.30303599331978</v>
      </c>
      <c r="Q100" s="2">
        <f t="shared" si="1"/>
        <v>101.81697402777343</v>
      </c>
      <c r="R100" s="2">
        <f t="shared" si="1"/>
        <v>1517.426614892323</v>
      </c>
      <c r="S100" s="2">
        <f t="shared" si="14"/>
        <v>559.97741167129811</v>
      </c>
    </row>
    <row r="101" spans="2:19" x14ac:dyDescent="0.3">
      <c r="B101">
        <v>917</v>
      </c>
      <c r="C101" s="25">
        <v>6</v>
      </c>
      <c r="D101" s="32" t="s">
        <v>136</v>
      </c>
      <c r="E101" s="125">
        <f>INDEX('Revised 2019 Lockdown'!H$5:H$257,MATCH(B101,'Revised 2019 Lockdown'!B$5:B$257,0))</f>
        <v>188.10316882508283</v>
      </c>
      <c r="F101" s="7">
        <f>INDEX('Revised 2019 Lockdown'!E$5:E$257,MATCH(B101,'Revised 2019 Lockdown'!B$5:B$257,0))</f>
        <v>59201.33</v>
      </c>
      <c r="G101" s="7">
        <f>INDEX('Revised 2019 Lockdown'!F$5:F$257,MATCH(B101,'Revised 2019 Lockdown'!B$5:B$257,0))</f>
        <v>0</v>
      </c>
      <c r="H101" s="7">
        <f t="shared" si="9"/>
        <v>59201.33</v>
      </c>
      <c r="I101" s="6">
        <f t="shared" si="10"/>
        <v>314.72797810786125</v>
      </c>
      <c r="J101" s="6">
        <f t="shared" si="11"/>
        <v>314.72797810786125</v>
      </c>
      <c r="K101" s="5">
        <f t="shared" si="12"/>
        <v>59201.329999999994</v>
      </c>
      <c r="L101" s="4">
        <f t="shared" si="8"/>
        <v>0</v>
      </c>
      <c r="M101" s="2" cm="1">
        <f t="array" ref="M101">SUMPRODUCT(--($L$6:$L$300&lt;&gt;1),--($C$6:$C$300=$C101),$H$6:$H$300)/SUMPRODUCT(--($L$6:$L$300&lt;&gt;1),--($C$6:$C$300=$C101),$E$6:$E$300)</f>
        <v>809.62179446004825</v>
      </c>
      <c r="N101" s="1" cm="1">
        <f t="array" ref="N101">SUMPRODUCT(--($L$6:$L$300&lt;&gt;1),--($C$6:$C$300=$C101))</f>
        <v>49</v>
      </c>
      <c r="O101" s="3">
        <f t="shared" si="13"/>
        <v>244919.88946363219</v>
      </c>
      <c r="P101" s="2" cm="1">
        <f t="array" ref="P101">SQRT(SUMPRODUCT(--($L$6:$L$300&lt;&gt;1),--($C$6:$C$300=$C101),$E$6:$E$300,$O$6:$O$300)/((N101-1)*SUMPRODUCT(--($L$6:$L$300&lt;&gt;1),--($C$6:$C$300=$C101),$E$6:$E$300)/N101))</f>
        <v>552.30303599331978</v>
      </c>
      <c r="Q101" s="2">
        <f t="shared" si="1"/>
        <v>101.81697402777343</v>
      </c>
      <c r="R101" s="2">
        <f t="shared" si="1"/>
        <v>1517.426614892323</v>
      </c>
      <c r="S101" s="2">
        <f t="shared" si="14"/>
        <v>314.72797810786125</v>
      </c>
    </row>
    <row r="102" spans="2:19" x14ac:dyDescent="0.3">
      <c r="B102">
        <v>957</v>
      </c>
      <c r="C102" s="25">
        <v>6</v>
      </c>
      <c r="D102" s="32" t="s">
        <v>137</v>
      </c>
      <c r="E102" s="125">
        <f>INDEX('Revised 2019 Lockdown'!H$5:H$257,MATCH(B102,'Revised 2019 Lockdown'!B$5:B$257,0))</f>
        <v>101.14874671311182</v>
      </c>
      <c r="F102" s="7">
        <f>INDEX('Revised 2019 Lockdown'!E$5:E$257,MATCH(B102,'Revised 2019 Lockdown'!B$5:B$257,0))</f>
        <v>40203.24</v>
      </c>
      <c r="G102" s="7">
        <f>INDEX('Revised 2019 Lockdown'!F$5:F$257,MATCH(B102,'Revised 2019 Lockdown'!B$5:B$257,0))</f>
        <v>0</v>
      </c>
      <c r="H102" s="7">
        <f t="shared" si="9"/>
        <v>40203.24</v>
      </c>
      <c r="I102" s="6">
        <f t="shared" si="10"/>
        <v>397.46651645648603</v>
      </c>
      <c r="J102" s="6">
        <f t="shared" si="11"/>
        <v>397.46651645648603</v>
      </c>
      <c r="K102" s="5">
        <f t="shared" si="12"/>
        <v>40203.24</v>
      </c>
      <c r="L102" s="4">
        <f t="shared" si="8"/>
        <v>0</v>
      </c>
      <c r="M102" s="2" cm="1">
        <f t="array" ref="M102">SUMPRODUCT(--($L$6:$L$300&lt;&gt;1),--($C$6:$C$300=$C102),$H$6:$H$300)/SUMPRODUCT(--($L$6:$L$300&lt;&gt;1),--($C$6:$C$300=$C102),$E$6:$E$300)</f>
        <v>809.62179446004825</v>
      </c>
      <c r="N102" s="1" cm="1">
        <f t="array" ref="N102">SUMPRODUCT(--($L$6:$L$300&lt;&gt;1),--($C$6:$C$300=$C102))</f>
        <v>49</v>
      </c>
      <c r="O102" s="3">
        <f t="shared" si="13"/>
        <v>169871.97318619365</v>
      </c>
      <c r="P102" s="2" cm="1">
        <f t="array" ref="P102">SQRT(SUMPRODUCT(--($L$6:$L$300&lt;&gt;1),--($C$6:$C$300=$C102),$E$6:$E$300,$O$6:$O$300)/((N102-1)*SUMPRODUCT(--($L$6:$L$300&lt;&gt;1),--($C$6:$C$300=$C102),$E$6:$E$300)/N102))</f>
        <v>552.30303599331978</v>
      </c>
      <c r="Q102" s="2">
        <f t="shared" si="1"/>
        <v>101.81697402777343</v>
      </c>
      <c r="R102" s="2">
        <f t="shared" si="1"/>
        <v>1517.426614892323</v>
      </c>
      <c r="S102" s="2">
        <f t="shared" si="14"/>
        <v>397.46651645648603</v>
      </c>
    </row>
    <row r="103" spans="2:19" x14ac:dyDescent="0.3">
      <c r="B103">
        <v>959</v>
      </c>
      <c r="C103" s="25">
        <v>6</v>
      </c>
      <c r="D103" s="32" t="s">
        <v>138</v>
      </c>
      <c r="E103" s="125">
        <f>INDEX('Revised 2019 Lockdown'!H$5:H$257,MATCH(B103,'Revised 2019 Lockdown'!B$5:B$257,0))</f>
        <v>330.53661839718791</v>
      </c>
      <c r="F103" s="7">
        <f>INDEX('Revised 2019 Lockdown'!E$5:E$257,MATCH(B103,'Revised 2019 Lockdown'!B$5:B$257,0))</f>
        <v>123075.62</v>
      </c>
      <c r="G103" s="7">
        <f>INDEX('Revised 2019 Lockdown'!F$5:F$257,MATCH(B103,'Revised 2019 Lockdown'!B$5:B$257,0))</f>
        <v>0</v>
      </c>
      <c r="H103" s="7">
        <f t="shared" si="9"/>
        <v>123075.62</v>
      </c>
      <c r="I103" s="6">
        <f t="shared" si="10"/>
        <v>372.35093829182551</v>
      </c>
      <c r="J103" s="6">
        <f t="shared" si="11"/>
        <v>372.35093829182551</v>
      </c>
      <c r="K103" s="5">
        <f t="shared" si="12"/>
        <v>123075.62</v>
      </c>
      <c r="L103" s="4">
        <f t="shared" si="8"/>
        <v>0</v>
      </c>
      <c r="M103" s="2" cm="1">
        <f t="array" ref="M103">SUMPRODUCT(--($L$6:$L$300&lt;&gt;1),--($C$6:$C$300=$C103),$H$6:$H$300)/SUMPRODUCT(--($L$6:$L$300&lt;&gt;1),--($C$6:$C$300=$C103),$E$6:$E$300)</f>
        <v>809.62179446004825</v>
      </c>
      <c r="N103" s="1" cm="1">
        <f t="array" ref="N103">SUMPRODUCT(--($L$6:$L$300&lt;&gt;1),--($C$6:$C$300=$C103))</f>
        <v>49</v>
      </c>
      <c r="O103" s="3">
        <f t="shared" si="13"/>
        <v>191205.80165409052</v>
      </c>
      <c r="P103" s="2" cm="1">
        <f t="array" ref="P103">SQRT(SUMPRODUCT(--($L$6:$L$300&lt;&gt;1),--($C$6:$C$300=$C103),$E$6:$E$300,$O$6:$O$300)/((N103-1)*SUMPRODUCT(--($L$6:$L$300&lt;&gt;1),--($C$6:$C$300=$C103),$E$6:$E$300)/N103))</f>
        <v>552.30303599331978</v>
      </c>
      <c r="Q103" s="2">
        <f t="shared" si="1"/>
        <v>101.81697402777343</v>
      </c>
      <c r="R103" s="2">
        <f t="shared" si="1"/>
        <v>1517.426614892323</v>
      </c>
      <c r="S103" s="2">
        <f t="shared" si="14"/>
        <v>372.35093829182551</v>
      </c>
    </row>
    <row r="104" spans="2:19" x14ac:dyDescent="0.3">
      <c r="B104">
        <v>969</v>
      </c>
      <c r="C104" s="25">
        <v>6</v>
      </c>
      <c r="D104" s="32" t="s">
        <v>139</v>
      </c>
      <c r="E104" s="125">
        <f>INDEX('Revised 2019 Lockdown'!H$5:H$257,MATCH(B104,'Revised 2019 Lockdown'!B$5:B$257,0))</f>
        <v>20.253037614115541</v>
      </c>
      <c r="F104" s="7">
        <f>INDEX('Revised 2019 Lockdown'!E$5:E$257,MATCH(B104,'Revised 2019 Lockdown'!B$5:B$257,0))</f>
        <v>87738.63</v>
      </c>
      <c r="G104" s="7">
        <f>INDEX('Revised 2019 Lockdown'!F$5:F$257,MATCH(B104,'Revised 2019 Lockdown'!B$5:B$257,0))</f>
        <v>0</v>
      </c>
      <c r="H104" s="7">
        <f t="shared" si="9"/>
        <v>87738.63</v>
      </c>
      <c r="I104" s="6">
        <f t="shared" si="10"/>
        <v>4332.1220091375208</v>
      </c>
      <c r="J104" s="6">
        <f t="shared" si="11"/>
        <v>1517.426614892323</v>
      </c>
      <c r="K104" s="5">
        <f t="shared" si="12"/>
        <v>30732.498308074235</v>
      </c>
      <c r="L104" s="4">
        <f t="shared" si="8"/>
        <v>0</v>
      </c>
      <c r="M104" s="2" cm="1">
        <f t="array" ref="M104">SUMPRODUCT(--($L$6:$L$300&lt;&gt;1),--($C$6:$C$300=$C104),$H$6:$H$300)/SUMPRODUCT(--($L$6:$L$300&lt;&gt;1),--($C$6:$C$300=$C104),$E$6:$E$300)</f>
        <v>809.62179446004825</v>
      </c>
      <c r="N104" s="1" cm="1">
        <f t="array" ref="N104">SUMPRODUCT(--($L$6:$L$300&lt;&gt;1),--($C$6:$C$300=$C104))</f>
        <v>49</v>
      </c>
      <c r="O104" s="3">
        <f t="shared" si="13"/>
        <v>12408007.762402838</v>
      </c>
      <c r="P104" s="2" cm="1">
        <f t="array" ref="P104">SQRT(SUMPRODUCT(--($L$6:$L$300&lt;&gt;1),--($C$6:$C$300=$C104),$E$6:$E$300,$O$6:$O$300)/((N104-1)*SUMPRODUCT(--($L$6:$L$300&lt;&gt;1),--($C$6:$C$300=$C104),$E$6:$E$300)/N104))</f>
        <v>552.30303599331978</v>
      </c>
      <c r="Q104" s="2">
        <f t="shared" si="1"/>
        <v>101.81697402777343</v>
      </c>
      <c r="R104" s="2">
        <f t="shared" si="1"/>
        <v>1517.426614892323</v>
      </c>
      <c r="S104" s="2">
        <f t="shared" si="14"/>
        <v>1517.426614892323</v>
      </c>
    </row>
    <row r="105" spans="2:19" x14ac:dyDescent="0.3">
      <c r="B105">
        <v>970</v>
      </c>
      <c r="C105" s="25">
        <v>6</v>
      </c>
      <c r="D105" s="32" t="s">
        <v>140</v>
      </c>
      <c r="E105" s="125">
        <f>INDEX('Revised 2019 Lockdown'!H$5:H$257,MATCH(B105,'Revised 2019 Lockdown'!B$5:B$257,0))</f>
        <v>155.9519118961008</v>
      </c>
      <c r="F105" s="7">
        <f>INDEX('Revised 2019 Lockdown'!E$5:E$257,MATCH(B105,'Revised 2019 Lockdown'!B$5:B$257,0))</f>
        <v>73920.09</v>
      </c>
      <c r="G105" s="7">
        <f>INDEX('Revised 2019 Lockdown'!F$5:F$257,MATCH(B105,'Revised 2019 Lockdown'!B$5:B$257,0))</f>
        <v>161.72</v>
      </c>
      <c r="H105" s="7">
        <f t="shared" si="9"/>
        <v>73758.37</v>
      </c>
      <c r="I105" s="6">
        <f t="shared" si="10"/>
        <v>472.95585609197104</v>
      </c>
      <c r="J105" s="6">
        <f t="shared" si="11"/>
        <v>472.95585609197104</v>
      </c>
      <c r="K105" s="5">
        <f t="shared" si="12"/>
        <v>73758.37</v>
      </c>
      <c r="L105" s="4">
        <f t="shared" si="8"/>
        <v>0</v>
      </c>
      <c r="M105" s="2" cm="1">
        <f t="array" ref="M105">SUMPRODUCT(--($L$6:$L$300&lt;&gt;1),--($C$6:$C$300=$C105),$H$6:$H$300)/SUMPRODUCT(--($L$6:$L$300&lt;&gt;1),--($C$6:$C$300=$C105),$E$6:$E$300)</f>
        <v>809.62179446004825</v>
      </c>
      <c r="N105" s="1" cm="1">
        <f t="array" ref="N105">SUMPRODUCT(--($L$6:$L$300&lt;&gt;1),--($C$6:$C$300=$C105))</f>
        <v>49</v>
      </c>
      <c r="O105" s="3">
        <f t="shared" si="13"/>
        <v>113343.95405725796</v>
      </c>
      <c r="P105" s="2" cm="1">
        <f t="array" ref="P105">SQRT(SUMPRODUCT(--($L$6:$L$300&lt;&gt;1),--($C$6:$C$300=$C105),$E$6:$E$300,$O$6:$O$300)/((N105-1)*SUMPRODUCT(--($L$6:$L$300&lt;&gt;1),--($C$6:$C$300=$C105),$E$6:$E$300)/N105))</f>
        <v>552.30303599331978</v>
      </c>
      <c r="Q105" s="2">
        <f t="shared" si="1"/>
        <v>101.81697402777343</v>
      </c>
      <c r="R105" s="2">
        <f t="shared" si="1"/>
        <v>1517.426614892323</v>
      </c>
      <c r="S105" s="2">
        <f t="shared" si="14"/>
        <v>472.95585609197104</v>
      </c>
    </row>
    <row r="106" spans="2:19" x14ac:dyDescent="0.3">
      <c r="B106">
        <v>978</v>
      </c>
      <c r="C106" s="25">
        <v>6</v>
      </c>
      <c r="D106" s="32" t="s">
        <v>252</v>
      </c>
      <c r="E106" s="125">
        <f>INDEX('Revised 2019 Lockdown'!H$5:H$257,MATCH(B106,'Revised 2019 Lockdown'!B$5:B$257,0))</f>
        <v>25.008098619168752</v>
      </c>
      <c r="F106" s="7">
        <f>INDEX('Revised 2019 Lockdown'!E$5:E$257,MATCH(B106,'Revised 2019 Lockdown'!B$5:B$257,0))</f>
        <v>28052.51</v>
      </c>
      <c r="G106" s="7">
        <f>INDEX('Revised 2019 Lockdown'!F$5:F$257,MATCH(B106,'Revised 2019 Lockdown'!B$5:B$257,0))</f>
        <v>0</v>
      </c>
      <c r="H106" s="7">
        <f t="shared" si="9"/>
        <v>28052.51</v>
      </c>
      <c r="I106" s="6">
        <f t="shared" si="10"/>
        <v>1121.7370191629723</v>
      </c>
      <c r="J106" s="6">
        <f t="shared" si="11"/>
        <v>1121.7370191629723</v>
      </c>
      <c r="K106" s="5">
        <f t="shared" si="12"/>
        <v>28052.51</v>
      </c>
      <c r="L106" s="4">
        <f t="shared" si="8"/>
        <v>0</v>
      </c>
      <c r="M106" s="2" cm="1">
        <f t="array" ref="M106">SUMPRODUCT(--($L$6:$L$300&lt;&gt;1),--($C$6:$C$300=$C106),$H$6:$H$300)/SUMPRODUCT(--($L$6:$L$300&lt;&gt;1),--($C$6:$C$300=$C106),$E$6:$E$300)</f>
        <v>809.62179446004825</v>
      </c>
      <c r="N106" s="1" cm="1">
        <f t="array" ref="N106">SUMPRODUCT(--($L$6:$L$300&lt;&gt;1),--($C$6:$C$300=$C106))</f>
        <v>49</v>
      </c>
      <c r="O106" s="3">
        <f t="shared" si="13"/>
        <v>97415.913491356754</v>
      </c>
      <c r="P106" s="2" cm="1">
        <f t="array" ref="P106">SQRT(SUMPRODUCT(--($L$6:$L$300&lt;&gt;1),--($C$6:$C$300=$C106),$E$6:$E$300,$O$6:$O$300)/((N106-1)*SUMPRODUCT(--($L$6:$L$300&lt;&gt;1),--($C$6:$C$300=$C106),$E$6:$E$300)/N106))</f>
        <v>552.30303599331978</v>
      </c>
      <c r="Q106" s="2">
        <f t="shared" si="1"/>
        <v>101.81697402777343</v>
      </c>
      <c r="R106" s="2">
        <f t="shared" si="1"/>
        <v>1517.426614892323</v>
      </c>
      <c r="S106" s="2">
        <f t="shared" si="14"/>
        <v>1121.7370191629723</v>
      </c>
    </row>
    <row r="107" spans="2:19" x14ac:dyDescent="0.3">
      <c r="B107">
        <v>986</v>
      </c>
      <c r="C107" s="25">
        <v>6</v>
      </c>
      <c r="D107" s="32" t="s">
        <v>142</v>
      </c>
      <c r="E107" s="125">
        <f>INDEX('Revised 2019 Lockdown'!H$5:H$257,MATCH(B107,'Revised 2019 Lockdown'!B$5:B$257,0))</f>
        <v>7.8194336527541735</v>
      </c>
      <c r="F107" s="7">
        <f>INDEX('Revised 2019 Lockdown'!E$5:E$257,MATCH(B107,'Revised 2019 Lockdown'!B$5:B$257,0))</f>
        <v>43562.55</v>
      </c>
      <c r="G107" s="7">
        <f>INDEX('Revised 2019 Lockdown'!F$5:F$257,MATCH(B107,'Revised 2019 Lockdown'!B$5:B$257,0))</f>
        <v>0</v>
      </c>
      <c r="H107" s="7">
        <f t="shared" si="9"/>
        <v>43562.55</v>
      </c>
      <c r="I107" s="6">
        <f t="shared" si="10"/>
        <v>5571.0620403635412</v>
      </c>
      <c r="J107" s="6">
        <f t="shared" si="11"/>
        <v>1517.426614892323</v>
      </c>
      <c r="K107" s="5">
        <f t="shared" si="12"/>
        <v>11865.416738073878</v>
      </c>
      <c r="L107" s="4">
        <f t="shared" si="8"/>
        <v>0</v>
      </c>
      <c r="M107" s="2" cm="1">
        <f t="array" ref="M107">SUMPRODUCT(--($L$6:$L$300&lt;&gt;1),--($C$6:$C$300=$C107),$H$6:$H$300)/SUMPRODUCT(--($L$6:$L$300&lt;&gt;1),--($C$6:$C$300=$C107),$E$6:$E$300)</f>
        <v>809.62179446004825</v>
      </c>
      <c r="N107" s="1" cm="1">
        <f t="array" ref="N107">SUMPRODUCT(--($L$6:$L$300&lt;&gt;1),--($C$6:$C$300=$C107))</f>
        <v>49</v>
      </c>
      <c r="O107" s="3">
        <f t="shared" si="13"/>
        <v>22671313.215309512</v>
      </c>
      <c r="P107" s="2" cm="1">
        <f t="array" ref="P107">SQRT(SUMPRODUCT(--($L$6:$L$300&lt;&gt;1),--($C$6:$C$300=$C107),$E$6:$E$300,$O$6:$O$300)/((N107-1)*SUMPRODUCT(--($L$6:$L$300&lt;&gt;1),--($C$6:$C$300=$C107),$E$6:$E$300)/N107))</f>
        <v>552.30303599331978</v>
      </c>
      <c r="Q107" s="2">
        <f t="shared" si="1"/>
        <v>101.81697402777343</v>
      </c>
      <c r="R107" s="2">
        <f t="shared" si="1"/>
        <v>1517.426614892323</v>
      </c>
      <c r="S107" s="2">
        <f t="shared" si="14"/>
        <v>1517.426614892323</v>
      </c>
    </row>
    <row r="108" spans="2:19" x14ac:dyDescent="0.3">
      <c r="B108">
        <v>988</v>
      </c>
      <c r="C108" s="25">
        <v>6</v>
      </c>
      <c r="D108" s="32" t="s">
        <v>143</v>
      </c>
      <c r="E108" s="125">
        <f>INDEX('Revised 2019 Lockdown'!H$5:H$257,MATCH(B108,'Revised 2019 Lockdown'!B$5:B$257,0))</f>
        <v>133.20495744908894</v>
      </c>
      <c r="F108" s="7">
        <f>INDEX('Revised 2019 Lockdown'!E$5:E$257,MATCH(B108,'Revised 2019 Lockdown'!B$5:B$257,0))</f>
        <v>132703.88</v>
      </c>
      <c r="G108" s="7">
        <f>INDEX('Revised 2019 Lockdown'!F$5:F$257,MATCH(B108,'Revised 2019 Lockdown'!B$5:B$257,0))</f>
        <v>91</v>
      </c>
      <c r="H108" s="7">
        <f t="shared" si="9"/>
        <v>132612.88</v>
      </c>
      <c r="I108" s="6">
        <f t="shared" si="10"/>
        <v>995.55513953513912</v>
      </c>
      <c r="J108" s="6">
        <f t="shared" si="11"/>
        <v>995.55513953513912</v>
      </c>
      <c r="K108" s="5">
        <f t="shared" si="12"/>
        <v>132612.88</v>
      </c>
      <c r="L108" s="4">
        <f t="shared" si="8"/>
        <v>0</v>
      </c>
      <c r="M108" s="2" cm="1">
        <f t="array" ref="M108">SUMPRODUCT(--($L$6:$L$300&lt;&gt;1),--($C$6:$C$300=$C108),$H$6:$H$300)/SUMPRODUCT(--($L$6:$L$300&lt;&gt;1),--($C$6:$C$300=$C108),$E$6:$E$300)</f>
        <v>809.62179446004825</v>
      </c>
      <c r="N108" s="1" cm="1">
        <f t="array" ref="N108">SUMPRODUCT(--($L$6:$L$300&lt;&gt;1),--($C$6:$C$300=$C108))</f>
        <v>49</v>
      </c>
      <c r="O108" s="3">
        <f t="shared" si="13"/>
        <v>34571.208810812815</v>
      </c>
      <c r="P108" s="2" cm="1">
        <f t="array" ref="P108">SQRT(SUMPRODUCT(--($L$6:$L$300&lt;&gt;1),--($C$6:$C$300=$C108),$E$6:$E$300,$O$6:$O$300)/((N108-1)*SUMPRODUCT(--($L$6:$L$300&lt;&gt;1),--($C$6:$C$300=$C108),$E$6:$E$300)/N108))</f>
        <v>552.30303599331978</v>
      </c>
      <c r="Q108" s="2">
        <f t="shared" si="1"/>
        <v>101.81697402777343</v>
      </c>
      <c r="R108" s="2">
        <f t="shared" si="1"/>
        <v>1517.426614892323</v>
      </c>
      <c r="S108" s="2">
        <f t="shared" si="14"/>
        <v>995.55513953513912</v>
      </c>
    </row>
    <row r="109" spans="2:19" x14ac:dyDescent="0.3">
      <c r="B109">
        <v>989</v>
      </c>
      <c r="C109" s="25">
        <v>6</v>
      </c>
      <c r="D109" s="32" t="s">
        <v>144</v>
      </c>
      <c r="E109" s="125">
        <f>INDEX('Revised 2019 Lockdown'!H$5:H$257,MATCH(B109,'Revised 2019 Lockdown'!B$5:B$257,0))</f>
        <v>311.67839867788797</v>
      </c>
      <c r="F109" s="7">
        <f>INDEX('Revised 2019 Lockdown'!E$5:E$257,MATCH(B109,'Revised 2019 Lockdown'!B$5:B$257,0))</f>
        <v>276934.09999999998</v>
      </c>
      <c r="G109" s="7">
        <f>INDEX('Revised 2019 Lockdown'!F$5:F$257,MATCH(B109,'Revised 2019 Lockdown'!B$5:B$257,0))</f>
        <v>36351.42</v>
      </c>
      <c r="H109" s="7">
        <f t="shared" si="9"/>
        <v>240582.68</v>
      </c>
      <c r="I109" s="6">
        <f t="shared" si="10"/>
        <v>771.89398116946927</v>
      </c>
      <c r="J109" s="6">
        <f t="shared" si="11"/>
        <v>771.89398116946927</v>
      </c>
      <c r="K109" s="5">
        <f t="shared" si="12"/>
        <v>240582.68</v>
      </c>
      <c r="L109" s="4">
        <f t="shared" si="8"/>
        <v>0</v>
      </c>
      <c r="M109" s="2" cm="1">
        <f t="array" ref="M109">SUMPRODUCT(--($L$6:$L$300&lt;&gt;1),--($C$6:$C$300=$C109),$H$6:$H$300)/SUMPRODUCT(--($L$6:$L$300&lt;&gt;1),--($C$6:$C$300=$C109),$E$6:$E$300)</f>
        <v>809.62179446004825</v>
      </c>
      <c r="N109" s="1" cm="1">
        <f t="array" ref="N109">SUMPRODUCT(--($L$6:$L$300&lt;&gt;1),--($C$6:$C$300=$C109))</f>
        <v>49</v>
      </c>
      <c r="O109" s="3">
        <f t="shared" si="13"/>
        <v>1423.3878956887879</v>
      </c>
      <c r="P109" s="2" cm="1">
        <f t="array" ref="P109">SQRT(SUMPRODUCT(--($L$6:$L$300&lt;&gt;1),--($C$6:$C$300=$C109),$E$6:$E$300,$O$6:$O$300)/((N109-1)*SUMPRODUCT(--($L$6:$L$300&lt;&gt;1),--($C$6:$C$300=$C109),$E$6:$E$300)/N109))</f>
        <v>552.30303599331978</v>
      </c>
      <c r="Q109" s="2">
        <f t="shared" si="1"/>
        <v>101.81697402777343</v>
      </c>
      <c r="R109" s="2">
        <f t="shared" si="1"/>
        <v>1517.426614892323</v>
      </c>
      <c r="S109" s="2">
        <f t="shared" si="14"/>
        <v>771.89398116946927</v>
      </c>
    </row>
    <row r="110" spans="2:19" x14ac:dyDescent="0.3">
      <c r="B110">
        <v>39</v>
      </c>
      <c r="C110" s="25">
        <v>7</v>
      </c>
      <c r="D110" s="32" t="s">
        <v>145</v>
      </c>
      <c r="E110" s="125">
        <f>INDEX('Revised 2019 Lockdown'!H$5:H$257,MATCH(B110,'Revised 2019 Lockdown'!B$5:B$257,0))</f>
        <v>314.39</v>
      </c>
      <c r="F110" s="7">
        <f>INDEX('Revised 2019 Lockdown'!E$5:E$257,MATCH(B110,'Revised 2019 Lockdown'!B$5:B$257,0))</f>
        <v>131981.43</v>
      </c>
      <c r="G110" s="7">
        <f>INDEX('Revised 2019 Lockdown'!F$5:F$257,MATCH(B110,'Revised 2019 Lockdown'!B$5:B$257,0))</f>
        <v>1501.53</v>
      </c>
      <c r="H110" s="7">
        <f t="shared" si="9"/>
        <v>130479.9</v>
      </c>
      <c r="I110" s="6">
        <f t="shared" si="10"/>
        <v>415.02560514011259</v>
      </c>
      <c r="J110" s="6">
        <f t="shared" si="11"/>
        <v>415.02560514011259</v>
      </c>
      <c r="K110" s="5">
        <f t="shared" si="12"/>
        <v>130479.9</v>
      </c>
      <c r="L110" s="4">
        <f t="shared" si="8"/>
        <v>0</v>
      </c>
      <c r="M110" s="2" cm="1">
        <f t="array" ref="M110">SUMPRODUCT(--($L$6:$L$300&lt;&gt;1),--($C$6:$C$300=$C110),$H$6:$H$300)/SUMPRODUCT(--($L$6:$L$300&lt;&gt;1),--($C$6:$C$300=$C110),$E$6:$E$300)</f>
        <v>541.95489918408634</v>
      </c>
      <c r="N110" s="1" cm="1">
        <f t="array" ref="N110">SUMPRODUCT(--($L$6:$L$300&lt;&gt;1),--($C$6:$C$300=$C110))</f>
        <v>69</v>
      </c>
      <c r="O110" s="3">
        <f t="shared" si="13"/>
        <v>16111.045686501551</v>
      </c>
      <c r="P110" s="2" cm="1">
        <f t="array" ref="P110">SQRT(SUMPRODUCT(--($L$6:$L$300&lt;&gt;1),--($C$6:$C$300=$C110),$E$6:$E$300,$O$6:$O$300)/((N110-1)*SUMPRODUCT(--($L$6:$L$300&lt;&gt;1),--($C$6:$C$300=$C110),$E$6:$E$300)/N110))</f>
        <v>187.73196054161087</v>
      </c>
      <c r="Q110" s="2">
        <f t="shared" si="1"/>
        <v>301.36671124922771</v>
      </c>
      <c r="R110" s="2">
        <f t="shared" si="1"/>
        <v>782.54308711894498</v>
      </c>
      <c r="S110" s="2">
        <f t="shared" si="14"/>
        <v>415.02560514011259</v>
      </c>
    </row>
    <row r="111" spans="2:19" x14ac:dyDescent="0.3">
      <c r="B111">
        <v>59</v>
      </c>
      <c r="C111" s="25">
        <v>7</v>
      </c>
      <c r="D111" s="32" t="s">
        <v>146</v>
      </c>
      <c r="E111" s="125">
        <f>INDEX('Revised 2019 Lockdown'!H$5:H$257,MATCH(B111,'Revised 2019 Lockdown'!B$5:B$257,0))</f>
        <v>199.24762291396314</v>
      </c>
      <c r="F111" s="7">
        <f>INDEX('Revised 2019 Lockdown'!E$5:E$257,MATCH(B111,'Revised 2019 Lockdown'!B$5:B$257,0))</f>
        <v>176388.86</v>
      </c>
      <c r="G111" s="7">
        <f>INDEX('Revised 2019 Lockdown'!F$5:F$257,MATCH(B111,'Revised 2019 Lockdown'!B$5:B$257,0))</f>
        <v>0</v>
      </c>
      <c r="H111" s="7">
        <f t="shared" si="9"/>
        <v>176388.86</v>
      </c>
      <c r="I111" s="6">
        <f t="shared" si="10"/>
        <v>885.27460162556736</v>
      </c>
      <c r="J111" s="6">
        <f t="shared" si="11"/>
        <v>782.54308711894498</v>
      </c>
      <c r="K111" s="5">
        <f t="shared" si="12"/>
        <v>155919.84993620415</v>
      </c>
      <c r="L111" s="4">
        <f t="shared" si="8"/>
        <v>0</v>
      </c>
      <c r="M111" s="2" cm="1">
        <f t="array" ref="M111">SUMPRODUCT(--($L$6:$L$300&lt;&gt;1),--($C$6:$C$300=$C111),$H$6:$H$300)/SUMPRODUCT(--($L$6:$L$300&lt;&gt;1),--($C$6:$C$300=$C111),$E$6:$E$300)</f>
        <v>541.95489918408634</v>
      </c>
      <c r="N111" s="1" cm="1">
        <f t="array" ref="N111">SUMPRODUCT(--($L$6:$L$300&lt;&gt;1),--($C$6:$C$300=$C111))</f>
        <v>69</v>
      </c>
      <c r="O111" s="3">
        <f t="shared" si="13"/>
        <v>117868.41808450707</v>
      </c>
      <c r="P111" s="2" cm="1">
        <f t="array" ref="P111">SQRT(SUMPRODUCT(--($L$6:$L$300&lt;&gt;1),--($C$6:$C$300=$C111),$E$6:$E$300,$O$6:$O$300)/((N111-1)*SUMPRODUCT(--($L$6:$L$300&lt;&gt;1),--($C$6:$C$300=$C111),$E$6:$E$300)/N111))</f>
        <v>187.73196054161087</v>
      </c>
      <c r="Q111" s="2">
        <f t="shared" si="1"/>
        <v>301.36671124922771</v>
      </c>
      <c r="R111" s="2">
        <f t="shared" si="1"/>
        <v>782.54308711894498</v>
      </c>
      <c r="S111" s="2">
        <f t="shared" si="14"/>
        <v>782.54308711894498</v>
      </c>
    </row>
    <row r="112" spans="2:19" x14ac:dyDescent="0.3">
      <c r="B112">
        <v>100</v>
      </c>
      <c r="C112" s="25">
        <v>7</v>
      </c>
      <c r="D112" s="32" t="s">
        <v>254</v>
      </c>
      <c r="E112" s="125">
        <f>INDEX('Revised 2019 Lockdown'!H$5:H$257,MATCH(B112,'Revised 2019 Lockdown'!B$5:B$257,0))</f>
        <v>28.459920682096275</v>
      </c>
      <c r="F112" s="7">
        <f>INDEX('Revised 2019 Lockdown'!E$5:E$257,MATCH(B112,'Revised 2019 Lockdown'!B$5:B$257,0))</f>
        <v>31057.59</v>
      </c>
      <c r="G112" s="7">
        <f>INDEX('Revised 2019 Lockdown'!F$5:F$257,MATCH(B112,'Revised 2019 Lockdown'!B$5:B$257,0))</f>
        <v>0</v>
      </c>
      <c r="H112" s="7">
        <f t="shared" si="9"/>
        <v>31057.59</v>
      </c>
      <c r="I112" s="6">
        <f t="shared" si="10"/>
        <v>1091.27465065417</v>
      </c>
      <c r="J112" s="6">
        <f t="shared" si="11"/>
        <v>782.54308711894498</v>
      </c>
      <c r="K112" s="5">
        <f t="shared" si="12"/>
        <v>22271.11418972793</v>
      </c>
      <c r="L112" s="4">
        <f t="shared" si="8"/>
        <v>0</v>
      </c>
      <c r="M112" s="2" cm="1">
        <f t="array" ref="M112">SUMPRODUCT(--($L$6:$L$300&lt;&gt;1),--($C$6:$C$300=$C112),$H$6:$H$300)/SUMPRODUCT(--($L$6:$L$300&lt;&gt;1),--($C$6:$C$300=$C112),$E$6:$E$300)</f>
        <v>541.95489918408634</v>
      </c>
      <c r="N112" s="1" cm="1">
        <f t="array" ref="N112">SUMPRODUCT(--($L$6:$L$300&lt;&gt;1),--($C$6:$C$300=$C112))</f>
        <v>69</v>
      </c>
      <c r="O112" s="3">
        <f t="shared" si="13"/>
        <v>301752.18935515452</v>
      </c>
      <c r="P112" s="2" cm="1">
        <f t="array" ref="P112">SQRT(SUMPRODUCT(--($L$6:$L$300&lt;&gt;1),--($C$6:$C$300=$C112),$E$6:$E$300,$O$6:$O$300)/((N112-1)*SUMPRODUCT(--($L$6:$L$300&lt;&gt;1),--($C$6:$C$300=$C112),$E$6:$E$300)/N112))</f>
        <v>187.73196054161087</v>
      </c>
      <c r="Q112" s="2">
        <f t="shared" si="1"/>
        <v>301.36671124922771</v>
      </c>
      <c r="R112" s="2">
        <f t="shared" si="1"/>
        <v>782.54308711894498</v>
      </c>
      <c r="S112" s="2">
        <f t="shared" si="14"/>
        <v>782.54308711894498</v>
      </c>
    </row>
    <row r="113" spans="2:19" x14ac:dyDescent="0.3">
      <c r="B113">
        <v>128</v>
      </c>
      <c r="C113" s="25">
        <v>7</v>
      </c>
      <c r="D113" s="32" t="s">
        <v>147</v>
      </c>
      <c r="E113" s="125">
        <f>INDEX('Revised 2019 Lockdown'!H$5:H$257,MATCH(B113,'Revised 2019 Lockdown'!B$5:B$257,0))</f>
        <v>124.30081693950216</v>
      </c>
      <c r="F113" s="7">
        <f>INDEX('Revised 2019 Lockdown'!E$5:E$257,MATCH(B113,'Revised 2019 Lockdown'!B$5:B$257,0))</f>
        <v>94207.63</v>
      </c>
      <c r="G113" s="7">
        <f>INDEX('Revised 2019 Lockdown'!F$5:F$257,MATCH(B113,'Revised 2019 Lockdown'!B$5:B$257,0))</f>
        <v>265.42</v>
      </c>
      <c r="H113" s="7">
        <f t="shared" si="9"/>
        <v>93942.21</v>
      </c>
      <c r="I113" s="6">
        <f t="shared" si="10"/>
        <v>755.76502482459273</v>
      </c>
      <c r="J113" s="6">
        <f t="shared" si="11"/>
        <v>755.76502482459273</v>
      </c>
      <c r="K113" s="5">
        <f t="shared" si="12"/>
        <v>93942.21</v>
      </c>
      <c r="L113" s="4">
        <f t="shared" si="8"/>
        <v>0</v>
      </c>
      <c r="M113" s="2" cm="1">
        <f t="array" ref="M113">SUMPRODUCT(--($L$6:$L$300&lt;&gt;1),--($C$6:$C$300=$C113),$H$6:$H$300)/SUMPRODUCT(--($L$6:$L$300&lt;&gt;1),--($C$6:$C$300=$C113),$E$6:$E$300)</f>
        <v>541.95489918408634</v>
      </c>
      <c r="N113" s="1" cm="1">
        <f t="array" ref="N113">SUMPRODUCT(--($L$6:$L$300&lt;&gt;1),--($C$6:$C$300=$C113))</f>
        <v>69</v>
      </c>
      <c r="O113" s="3">
        <f t="shared" si="13"/>
        <v>45714.769826409123</v>
      </c>
      <c r="P113" s="2" cm="1">
        <f t="array" ref="P113">SQRT(SUMPRODUCT(--($L$6:$L$300&lt;&gt;1),--($C$6:$C$300=$C113),$E$6:$E$300,$O$6:$O$300)/((N113-1)*SUMPRODUCT(--($L$6:$L$300&lt;&gt;1),--($C$6:$C$300=$C113),$E$6:$E$300)/N113))</f>
        <v>187.73196054161087</v>
      </c>
      <c r="Q113" s="2">
        <f t="shared" si="1"/>
        <v>301.36671124922771</v>
      </c>
      <c r="R113" s="2">
        <f t="shared" si="1"/>
        <v>782.54308711894498</v>
      </c>
      <c r="S113" s="2">
        <f t="shared" si="14"/>
        <v>755.76502482459273</v>
      </c>
    </row>
    <row r="114" spans="2:19" x14ac:dyDescent="0.3">
      <c r="B114">
        <v>152</v>
      </c>
      <c r="C114" s="25">
        <v>7</v>
      </c>
      <c r="D114" s="32" t="s">
        <v>148</v>
      </c>
      <c r="E114" s="125">
        <f>INDEX('Revised 2019 Lockdown'!H$5:H$257,MATCH(B114,'Revised 2019 Lockdown'!B$5:B$257,0))</f>
        <v>416.02</v>
      </c>
      <c r="F114" s="7">
        <f>INDEX('Revised 2019 Lockdown'!E$5:E$257,MATCH(B114,'Revised 2019 Lockdown'!B$5:B$257,0))</f>
        <v>201392.59</v>
      </c>
      <c r="G114" s="7">
        <f>INDEX('Revised 2019 Lockdown'!F$5:F$257,MATCH(B114,'Revised 2019 Lockdown'!B$5:B$257,0))</f>
        <v>0</v>
      </c>
      <c r="H114" s="7">
        <f t="shared" si="9"/>
        <v>201392.59</v>
      </c>
      <c r="I114" s="6">
        <f t="shared" si="10"/>
        <v>484.09352915725208</v>
      </c>
      <c r="J114" s="6">
        <f t="shared" si="11"/>
        <v>484.09352915725208</v>
      </c>
      <c r="K114" s="5">
        <f t="shared" si="12"/>
        <v>201392.59</v>
      </c>
      <c r="L114" s="4">
        <f t="shared" si="8"/>
        <v>0</v>
      </c>
      <c r="M114" s="2" cm="1">
        <f t="array" ref="M114">SUMPRODUCT(--($L$6:$L$300&lt;&gt;1),--($C$6:$C$300=$C114),$H$6:$H$300)/SUMPRODUCT(--($L$6:$L$300&lt;&gt;1),--($C$6:$C$300=$C114),$E$6:$E$300)</f>
        <v>541.95489918408634</v>
      </c>
      <c r="N114" s="1" cm="1">
        <f t="array" ref="N114">SUMPRODUCT(--($L$6:$L$300&lt;&gt;1),--($C$6:$C$300=$C114))</f>
        <v>69</v>
      </c>
      <c r="O114" s="3">
        <f t="shared" si="13"/>
        <v>3347.9381413822348</v>
      </c>
      <c r="P114" s="2" cm="1">
        <f t="array" ref="P114">SQRT(SUMPRODUCT(--($L$6:$L$300&lt;&gt;1),--($C$6:$C$300=$C114),$E$6:$E$300,$O$6:$O$300)/((N114-1)*SUMPRODUCT(--($L$6:$L$300&lt;&gt;1),--($C$6:$C$300=$C114),$E$6:$E$300)/N114))</f>
        <v>187.73196054161087</v>
      </c>
      <c r="Q114" s="2">
        <f t="shared" si="1"/>
        <v>301.36671124922771</v>
      </c>
      <c r="R114" s="2">
        <f>NORMINV(R$4,$M114,$P114)</f>
        <v>782.54308711894498</v>
      </c>
      <c r="S114" s="2">
        <f t="shared" si="14"/>
        <v>484.09352915725208</v>
      </c>
    </row>
    <row r="115" spans="2:19" x14ac:dyDescent="0.3">
      <c r="B115">
        <v>162</v>
      </c>
      <c r="C115" s="25">
        <v>7</v>
      </c>
      <c r="D115" s="32" t="s">
        <v>149</v>
      </c>
      <c r="E115" s="125">
        <f>INDEX('Revised 2019 Lockdown'!H$5:H$257,MATCH(B115,'Revised 2019 Lockdown'!B$5:B$257,0))</f>
        <v>817.57999999999993</v>
      </c>
      <c r="F115" s="7">
        <f>INDEX('Revised 2019 Lockdown'!E$5:E$257,MATCH(B115,'Revised 2019 Lockdown'!B$5:B$257,0))</f>
        <v>406976.46</v>
      </c>
      <c r="G115" s="7">
        <f>INDEX('Revised 2019 Lockdown'!F$5:F$257,MATCH(B115,'Revised 2019 Lockdown'!B$5:B$257,0))</f>
        <v>20849.919999999998</v>
      </c>
      <c r="H115" s="7">
        <f t="shared" si="9"/>
        <v>386126.54000000004</v>
      </c>
      <c r="I115" s="6">
        <f t="shared" si="10"/>
        <v>472.27982582744204</v>
      </c>
      <c r="J115" s="6">
        <f t="shared" si="11"/>
        <v>472.27982582744204</v>
      </c>
      <c r="K115" s="5">
        <f t="shared" si="12"/>
        <v>386126.54000000004</v>
      </c>
      <c r="L115" s="4">
        <f t="shared" si="8"/>
        <v>0</v>
      </c>
      <c r="M115" s="2" cm="1">
        <f t="array" ref="M115">SUMPRODUCT(--($L$6:$L$300&lt;&gt;1),--($C$6:$C$300=$C115),$H$6:$H$300)/SUMPRODUCT(--($L$6:$L$300&lt;&gt;1),--($C$6:$C$300=$C115),$E$6:$E$300)</f>
        <v>541.95489918408634</v>
      </c>
      <c r="N115" s="1" cm="1">
        <f t="array" ref="N115">SUMPRODUCT(--($L$6:$L$300&lt;&gt;1),--($C$6:$C$300=$C115))</f>
        <v>69</v>
      </c>
      <c r="O115" s="3">
        <f t="shared" si="13"/>
        <v>4854.6158472537654</v>
      </c>
      <c r="P115" s="2" cm="1">
        <f t="array" ref="P115">SQRT(SUMPRODUCT(--($L$6:$L$300&lt;&gt;1),--($C$6:$C$300=$C115),$E$6:$E$300,$O$6:$O$300)/((N115-1)*SUMPRODUCT(--($L$6:$L$300&lt;&gt;1),--($C$6:$C$300=$C115),$E$6:$E$300)/N115))</f>
        <v>187.73196054161087</v>
      </c>
      <c r="Q115" s="2">
        <f t="shared" ref="Q115:R178" si="15">NORMINV(Q$4,$M115,$P115)</f>
        <v>301.36671124922771</v>
      </c>
      <c r="R115" s="2">
        <f t="shared" si="15"/>
        <v>782.54308711894498</v>
      </c>
      <c r="S115" s="2">
        <f t="shared" si="14"/>
        <v>472.27982582744204</v>
      </c>
    </row>
    <row r="116" spans="2:19" x14ac:dyDescent="0.3">
      <c r="B116">
        <v>166</v>
      </c>
      <c r="C116" s="25">
        <v>7</v>
      </c>
      <c r="D116" s="32" t="s">
        <v>150</v>
      </c>
      <c r="E116" s="125">
        <f>INDEX('Revised 2019 Lockdown'!H$5:H$257,MATCH(B116,'Revised 2019 Lockdown'!B$5:B$257,0))</f>
        <v>812.39060000000006</v>
      </c>
      <c r="F116" s="7">
        <f>INDEX('Revised 2019 Lockdown'!E$5:E$257,MATCH(B116,'Revised 2019 Lockdown'!B$5:B$257,0))</f>
        <v>468737.5</v>
      </c>
      <c r="G116" s="7">
        <f>INDEX('Revised 2019 Lockdown'!F$5:F$257,MATCH(B116,'Revised 2019 Lockdown'!B$5:B$257,0))</f>
        <v>69372.91</v>
      </c>
      <c r="H116" s="7">
        <f t="shared" si="9"/>
        <v>399364.58999999997</v>
      </c>
      <c r="I116" s="6">
        <f t="shared" si="10"/>
        <v>491.59184018131174</v>
      </c>
      <c r="J116" s="6">
        <f t="shared" si="11"/>
        <v>491.59184018131174</v>
      </c>
      <c r="K116" s="5">
        <f t="shared" si="12"/>
        <v>399364.58999999997</v>
      </c>
      <c r="L116" s="4">
        <f t="shared" si="8"/>
        <v>0</v>
      </c>
      <c r="M116" s="2" cm="1">
        <f t="array" ref="M116">SUMPRODUCT(--($L$6:$L$300&lt;&gt;1),--($C$6:$C$300=$C116),$H$6:$H$300)/SUMPRODUCT(--($L$6:$L$300&lt;&gt;1),--($C$6:$C$300=$C116),$E$6:$E$300)</f>
        <v>541.95489918408634</v>
      </c>
      <c r="N116" s="1" cm="1">
        <f t="array" ref="N116">SUMPRODUCT(--($L$6:$L$300&lt;&gt;1),--($C$6:$C$300=$C116))</f>
        <v>69</v>
      </c>
      <c r="O116" s="3">
        <f t="shared" si="13"/>
        <v>2536.4377121169564</v>
      </c>
      <c r="P116" s="2" cm="1">
        <f t="array" ref="P116">SQRT(SUMPRODUCT(--($L$6:$L$300&lt;&gt;1),--($C$6:$C$300=$C116),$E$6:$E$300,$O$6:$O$300)/((N116-1)*SUMPRODUCT(--($L$6:$L$300&lt;&gt;1),--($C$6:$C$300=$C116),$E$6:$E$300)/N116))</f>
        <v>187.73196054161087</v>
      </c>
      <c r="Q116" s="2">
        <f t="shared" si="15"/>
        <v>301.36671124922771</v>
      </c>
      <c r="R116" s="2">
        <f t="shared" si="15"/>
        <v>782.54308711894498</v>
      </c>
      <c r="S116" s="2">
        <f t="shared" si="14"/>
        <v>491.59184018131174</v>
      </c>
    </row>
    <row r="117" spans="2:19" x14ac:dyDescent="0.3">
      <c r="B117">
        <v>192</v>
      </c>
      <c r="C117" s="25">
        <v>7</v>
      </c>
      <c r="D117" s="32" t="s">
        <v>151</v>
      </c>
      <c r="E117" s="125">
        <f>INDEX('Revised 2019 Lockdown'!H$5:H$257,MATCH(B117,'Revised 2019 Lockdown'!B$5:B$257,0))</f>
        <v>176.93</v>
      </c>
      <c r="F117" s="7">
        <f>INDEX('Revised 2019 Lockdown'!E$5:E$257,MATCH(B117,'Revised 2019 Lockdown'!B$5:B$257,0))</f>
        <v>131883.44</v>
      </c>
      <c r="G117" s="7">
        <f>INDEX('Revised 2019 Lockdown'!F$5:F$257,MATCH(B117,'Revised 2019 Lockdown'!B$5:B$257,0))</f>
        <v>15209.029999999999</v>
      </c>
      <c r="H117" s="7">
        <f t="shared" si="9"/>
        <v>116674.41</v>
      </c>
      <c r="I117" s="6">
        <f t="shared" si="10"/>
        <v>659.43825241620982</v>
      </c>
      <c r="J117" s="6">
        <f t="shared" si="11"/>
        <v>659.43825241620982</v>
      </c>
      <c r="K117" s="5">
        <f t="shared" si="12"/>
        <v>116674.41</v>
      </c>
      <c r="L117" s="4">
        <f t="shared" si="8"/>
        <v>0</v>
      </c>
      <c r="M117" s="2" cm="1">
        <f t="array" ref="M117">SUMPRODUCT(--($L$6:$L$300&lt;&gt;1),--($C$6:$C$300=$C117),$H$6:$H$300)/SUMPRODUCT(--($L$6:$L$300&lt;&gt;1),--($C$6:$C$300=$C117),$E$6:$E$300)</f>
        <v>541.95489918408634</v>
      </c>
      <c r="N117" s="1" cm="1">
        <f t="array" ref="N117">SUMPRODUCT(--($L$6:$L$300&lt;&gt;1),--($C$6:$C$300=$C117))</f>
        <v>69</v>
      </c>
      <c r="O117" s="3">
        <f t="shared" si="13"/>
        <v>13802.338286663899</v>
      </c>
      <c r="P117" s="2" cm="1">
        <f t="array" ref="P117">SQRT(SUMPRODUCT(--($L$6:$L$300&lt;&gt;1),--($C$6:$C$300=$C117),$E$6:$E$300,$O$6:$O$300)/((N117-1)*SUMPRODUCT(--($L$6:$L$300&lt;&gt;1),--($C$6:$C$300=$C117),$E$6:$E$300)/N117))</f>
        <v>187.73196054161087</v>
      </c>
      <c r="Q117" s="2">
        <f t="shared" si="15"/>
        <v>301.36671124922771</v>
      </c>
      <c r="R117" s="2">
        <f t="shared" si="15"/>
        <v>782.54308711894498</v>
      </c>
      <c r="S117" s="2">
        <f t="shared" si="14"/>
        <v>659.43825241620982</v>
      </c>
    </row>
    <row r="118" spans="2:19" x14ac:dyDescent="0.3">
      <c r="B118">
        <v>205</v>
      </c>
      <c r="C118" s="25">
        <v>7</v>
      </c>
      <c r="D118" s="32" t="s">
        <v>152</v>
      </c>
      <c r="E118" s="125">
        <f>INDEX('Revised 2019 Lockdown'!H$5:H$257,MATCH(B118,'Revised 2019 Lockdown'!B$5:B$257,0))</f>
        <v>569.83868095153036</v>
      </c>
      <c r="F118" s="7">
        <f>INDEX('Revised 2019 Lockdown'!E$5:E$257,MATCH(B118,'Revised 2019 Lockdown'!B$5:B$257,0))</f>
        <v>404989.35</v>
      </c>
      <c r="G118" s="7">
        <f>INDEX('Revised 2019 Lockdown'!F$5:F$257,MATCH(B118,'Revised 2019 Lockdown'!B$5:B$257,0))</f>
        <v>12086.56</v>
      </c>
      <c r="H118" s="7">
        <f t="shared" si="9"/>
        <v>392902.79</v>
      </c>
      <c r="I118" s="6">
        <f t="shared" si="10"/>
        <v>689.49827930936772</v>
      </c>
      <c r="J118" s="6">
        <f t="shared" si="11"/>
        <v>689.49827930936772</v>
      </c>
      <c r="K118" s="5">
        <f t="shared" si="12"/>
        <v>392902.79</v>
      </c>
      <c r="L118" s="4">
        <f t="shared" si="8"/>
        <v>0</v>
      </c>
      <c r="M118" s="2" cm="1">
        <f t="array" ref="M118">SUMPRODUCT(--($L$6:$L$300&lt;&gt;1),--($C$6:$C$300=$C118),$H$6:$H$300)/SUMPRODUCT(--($L$6:$L$300&lt;&gt;1),--($C$6:$C$300=$C118),$E$6:$E$300)</f>
        <v>541.95489918408634</v>
      </c>
      <c r="N118" s="1" cm="1">
        <f t="array" ref="N118">SUMPRODUCT(--($L$6:$L$300&lt;&gt;1),--($C$6:$C$300=$C118))</f>
        <v>69</v>
      </c>
      <c r="O118" s="3">
        <f t="shared" si="13"/>
        <v>21769.049018793274</v>
      </c>
      <c r="P118" s="2" cm="1">
        <f t="array" ref="P118">SQRT(SUMPRODUCT(--($L$6:$L$300&lt;&gt;1),--($C$6:$C$300=$C118),$E$6:$E$300,$O$6:$O$300)/((N118-1)*SUMPRODUCT(--($L$6:$L$300&lt;&gt;1),--($C$6:$C$300=$C118),$E$6:$E$300)/N118))</f>
        <v>187.73196054161087</v>
      </c>
      <c r="Q118" s="2">
        <f t="shared" si="15"/>
        <v>301.36671124922771</v>
      </c>
      <c r="R118" s="2">
        <f t="shared" si="15"/>
        <v>782.54308711894498</v>
      </c>
      <c r="S118" s="2">
        <f t="shared" si="14"/>
        <v>689.49827930936772</v>
      </c>
    </row>
    <row r="119" spans="2:19" x14ac:dyDescent="0.3">
      <c r="B119">
        <v>212</v>
      </c>
      <c r="C119" s="33">
        <v>7</v>
      </c>
      <c r="D119" s="32" t="s">
        <v>153</v>
      </c>
      <c r="E119" s="125">
        <f>INDEX('Revised 2019 Lockdown'!H$5:H$257,MATCH(B119,'Revised 2019 Lockdown'!B$5:B$257,0))</f>
        <v>406.16674424941203</v>
      </c>
      <c r="F119" s="7">
        <f>INDEX('Revised 2019 Lockdown'!E$5:E$257,MATCH(B119,'Revised 2019 Lockdown'!B$5:B$257,0))</f>
        <v>252953.60000000001</v>
      </c>
      <c r="G119" s="7">
        <f>INDEX('Revised 2019 Lockdown'!F$5:F$257,MATCH(B119,'Revised 2019 Lockdown'!B$5:B$257,0))</f>
        <v>851</v>
      </c>
      <c r="H119" s="7">
        <f t="shared" si="9"/>
        <v>252102.6</v>
      </c>
      <c r="I119" s="6">
        <f t="shared" si="10"/>
        <v>620.68744812153579</v>
      </c>
      <c r="J119" s="6">
        <f t="shared" si="11"/>
        <v>620.68744812153579</v>
      </c>
      <c r="K119" s="5">
        <f t="shared" si="12"/>
        <v>252102.60000000003</v>
      </c>
      <c r="L119" s="4">
        <f t="shared" si="8"/>
        <v>0</v>
      </c>
      <c r="M119" s="2" cm="1">
        <f t="array" ref="M119">SUMPRODUCT(--($L$6:$L$300&lt;&gt;1),--($C$6:$C$300=$C119),$H$6:$H$300)/SUMPRODUCT(--($L$6:$L$300&lt;&gt;1),--($C$6:$C$300=$C119),$E$6:$E$300)</f>
        <v>541.95489918408634</v>
      </c>
      <c r="N119" s="1" cm="1">
        <f t="array" ref="N119">SUMPRODUCT(--($L$6:$L$300&lt;&gt;1),--($C$6:$C$300=$C119))</f>
        <v>69</v>
      </c>
      <c r="O119" s="3">
        <f t="shared" si="13"/>
        <v>6198.8142621878724</v>
      </c>
      <c r="P119" s="2" cm="1">
        <f t="array" ref="P119">SQRT(SUMPRODUCT(--($L$6:$L$300&lt;&gt;1),--($C$6:$C$300=$C119),$E$6:$E$300,$O$6:$O$300)/((N119-1)*SUMPRODUCT(--($L$6:$L$300&lt;&gt;1),--($C$6:$C$300=$C119),$E$6:$E$300)/N119))</f>
        <v>187.73196054161087</v>
      </c>
      <c r="Q119" s="2">
        <f t="shared" si="15"/>
        <v>301.36671124922771</v>
      </c>
      <c r="R119" s="2">
        <f t="shared" si="15"/>
        <v>782.54308711894498</v>
      </c>
      <c r="S119" s="2">
        <f t="shared" si="14"/>
        <v>620.68744812153579</v>
      </c>
    </row>
    <row r="120" spans="2:19" x14ac:dyDescent="0.3">
      <c r="B120">
        <v>216</v>
      </c>
      <c r="C120" s="25">
        <v>7</v>
      </c>
      <c r="D120" s="32" t="s">
        <v>154</v>
      </c>
      <c r="E120" s="125">
        <f>INDEX('Revised 2019 Lockdown'!H$5:H$257,MATCH(B120,'Revised 2019 Lockdown'!B$5:B$257,0))</f>
        <v>734.36593752530666</v>
      </c>
      <c r="F120" s="7">
        <f>INDEX('Revised 2019 Lockdown'!E$5:E$257,MATCH(B120,'Revised 2019 Lockdown'!B$5:B$257,0))</f>
        <v>322813.15000000002</v>
      </c>
      <c r="G120" s="7">
        <f>INDEX('Revised 2019 Lockdown'!F$5:F$257,MATCH(B120,'Revised 2019 Lockdown'!B$5:B$257,0))</f>
        <v>665</v>
      </c>
      <c r="H120" s="7">
        <f t="shared" si="9"/>
        <v>322148.15000000002</v>
      </c>
      <c r="I120" s="6">
        <f t="shared" si="10"/>
        <v>438.6752347005455</v>
      </c>
      <c r="J120" s="6">
        <f t="shared" si="11"/>
        <v>438.6752347005455</v>
      </c>
      <c r="K120" s="5">
        <f t="shared" si="12"/>
        <v>322148.15000000002</v>
      </c>
      <c r="L120" s="4">
        <f t="shared" si="8"/>
        <v>0</v>
      </c>
      <c r="M120" s="2" cm="1">
        <f t="array" ref="M120">SUMPRODUCT(--($L$6:$L$300&lt;&gt;1),--($C$6:$C$300=$C120),$H$6:$H$300)/SUMPRODUCT(--($L$6:$L$300&lt;&gt;1),--($C$6:$C$300=$C120),$E$6:$E$300)</f>
        <v>541.95489918408634</v>
      </c>
      <c r="N120" s="1" cm="1">
        <f t="array" ref="N120">SUMPRODUCT(--($L$6:$L$300&lt;&gt;1),--($C$6:$C$300=$C120))</f>
        <v>69</v>
      </c>
      <c r="O120" s="3">
        <f t="shared" si="13"/>
        <v>10666.689095832768</v>
      </c>
      <c r="P120" s="2" cm="1">
        <f t="array" ref="P120">SQRT(SUMPRODUCT(--($L$6:$L$300&lt;&gt;1),--($C$6:$C$300=$C120),$E$6:$E$300,$O$6:$O$300)/((N120-1)*SUMPRODUCT(--($L$6:$L$300&lt;&gt;1),--($C$6:$C$300=$C120),$E$6:$E$300)/N120))</f>
        <v>187.73196054161087</v>
      </c>
      <c r="Q120" s="2">
        <f t="shared" si="15"/>
        <v>301.36671124922771</v>
      </c>
      <c r="R120" s="2">
        <f t="shared" si="15"/>
        <v>782.54308711894498</v>
      </c>
      <c r="S120" s="2">
        <f t="shared" si="14"/>
        <v>438.6752347005455</v>
      </c>
    </row>
    <row r="121" spans="2:19" x14ac:dyDescent="0.3">
      <c r="B121">
        <v>218</v>
      </c>
      <c r="C121" s="25">
        <v>7</v>
      </c>
      <c r="D121" s="32" t="s">
        <v>258</v>
      </c>
      <c r="E121" s="125">
        <f>INDEX('Revised 2019 Lockdown'!H$5:H$257,MATCH(B121,'Revised 2019 Lockdown'!B$5:B$257,0))</f>
        <v>234.26633373228532</v>
      </c>
      <c r="F121" s="7">
        <f>INDEX('Revised 2019 Lockdown'!E$5:E$257,MATCH(B121,'Revised 2019 Lockdown'!B$5:B$257,0))</f>
        <v>202407.39</v>
      </c>
      <c r="G121" s="7">
        <f>INDEX('Revised 2019 Lockdown'!F$5:F$257,MATCH(B121,'Revised 2019 Lockdown'!B$5:B$257,0))</f>
        <v>240</v>
      </c>
      <c r="H121" s="7">
        <f t="shared" si="9"/>
        <v>202167.39</v>
      </c>
      <c r="I121" s="6">
        <f t="shared" si="10"/>
        <v>862.98097886755124</v>
      </c>
      <c r="J121" s="6">
        <f t="shared" si="11"/>
        <v>782.54308711894498</v>
      </c>
      <c r="K121" s="5">
        <f t="shared" si="12"/>
        <v>183323.50000689959</v>
      </c>
      <c r="L121" s="4">
        <f t="shared" si="8"/>
        <v>0</v>
      </c>
      <c r="M121" s="2" cm="1">
        <f t="array" ref="M121">SUMPRODUCT(--($L$6:$L$300&lt;&gt;1),--($C$6:$C$300=$C121),$H$6:$H$300)/SUMPRODUCT(--($L$6:$L$300&lt;&gt;1),--($C$6:$C$300=$C121),$E$6:$E$300)</f>
        <v>541.95489918408634</v>
      </c>
      <c r="N121" s="1" cm="1">
        <f t="array" ref="N121">SUMPRODUCT(--($L$6:$L$300&lt;&gt;1),--($C$6:$C$300=$C121))</f>
        <v>69</v>
      </c>
      <c r="O121" s="3">
        <f t="shared" si="13"/>
        <v>103057.74383693436</v>
      </c>
      <c r="P121" s="2" cm="1">
        <f t="array" ref="P121">SQRT(SUMPRODUCT(--($L$6:$L$300&lt;&gt;1),--($C$6:$C$300=$C121),$E$6:$E$300,$O$6:$O$300)/((N121-1)*SUMPRODUCT(--($L$6:$L$300&lt;&gt;1),--($C$6:$C$300=$C121),$E$6:$E$300)/N121))</f>
        <v>187.73196054161087</v>
      </c>
      <c r="Q121" s="2">
        <f t="shared" si="15"/>
        <v>301.36671124922771</v>
      </c>
      <c r="R121" s="2">
        <f t="shared" si="15"/>
        <v>782.54308711894498</v>
      </c>
      <c r="S121" s="2">
        <f t="shared" si="14"/>
        <v>782.54308711894498</v>
      </c>
    </row>
    <row r="122" spans="2:19" x14ac:dyDescent="0.3">
      <c r="B122">
        <v>229</v>
      </c>
      <c r="C122" s="25">
        <v>7</v>
      </c>
      <c r="D122" s="32" t="s">
        <v>155</v>
      </c>
      <c r="E122" s="125">
        <f>INDEX('Revised 2019 Lockdown'!H$5:H$257,MATCH(B122,'Revised 2019 Lockdown'!B$5:B$257,0))</f>
        <v>828.46</v>
      </c>
      <c r="F122" s="7">
        <f>INDEX('Revised 2019 Lockdown'!E$5:E$257,MATCH(B122,'Revised 2019 Lockdown'!B$5:B$257,0))</f>
        <v>520124.41</v>
      </c>
      <c r="G122" s="7">
        <f>INDEX('Revised 2019 Lockdown'!F$5:F$257,MATCH(B122,'Revised 2019 Lockdown'!B$5:B$257,0))</f>
        <v>81188.479999999996</v>
      </c>
      <c r="H122" s="7">
        <f t="shared" si="9"/>
        <v>438935.93</v>
      </c>
      <c r="I122" s="6">
        <f t="shared" si="10"/>
        <v>529.82151220336527</v>
      </c>
      <c r="J122" s="6">
        <f t="shared" si="11"/>
        <v>529.82151220336527</v>
      </c>
      <c r="K122" s="5">
        <f t="shared" si="12"/>
        <v>438935.93</v>
      </c>
      <c r="L122" s="4">
        <f t="shared" si="8"/>
        <v>0</v>
      </c>
      <c r="M122" s="2" cm="1">
        <f t="array" ref="M122">SUMPRODUCT(--($L$6:$L$300&lt;&gt;1),--($C$6:$C$300=$C122),$H$6:$H$300)/SUMPRODUCT(--($L$6:$L$300&lt;&gt;1),--($C$6:$C$300=$C122),$E$6:$E$300)</f>
        <v>541.95489918408634</v>
      </c>
      <c r="N122" s="1" cm="1">
        <f t="array" ref="N122">SUMPRODUCT(--($L$6:$L$300&lt;&gt;1),--($C$6:$C$300=$C122))</f>
        <v>69</v>
      </c>
      <c r="O122" s="3">
        <f t="shared" si="13"/>
        <v>147.21907962393158</v>
      </c>
      <c r="P122" s="2" cm="1">
        <f t="array" ref="P122">SQRT(SUMPRODUCT(--($L$6:$L$300&lt;&gt;1),--($C$6:$C$300=$C122),$E$6:$E$300,$O$6:$O$300)/((N122-1)*SUMPRODUCT(--($L$6:$L$300&lt;&gt;1),--($C$6:$C$300=$C122),$E$6:$E$300)/N122))</f>
        <v>187.73196054161087</v>
      </c>
      <c r="Q122" s="2">
        <f t="shared" si="15"/>
        <v>301.36671124922771</v>
      </c>
      <c r="R122" s="2">
        <f t="shared" si="15"/>
        <v>782.54308711894498</v>
      </c>
      <c r="S122" s="2">
        <f t="shared" si="14"/>
        <v>529.82151220336527</v>
      </c>
    </row>
    <row r="123" spans="2:19" x14ac:dyDescent="0.3">
      <c r="B123">
        <v>236</v>
      </c>
      <c r="C123" s="25">
        <v>7</v>
      </c>
      <c r="D123" s="32" t="s">
        <v>156</v>
      </c>
      <c r="E123" s="125">
        <f>INDEX('Revised 2019 Lockdown'!H$5:H$257,MATCH(B123,'Revised 2019 Lockdown'!B$5:B$257,0))</f>
        <v>1063.22</v>
      </c>
      <c r="F123" s="7">
        <f>INDEX('Revised 2019 Lockdown'!E$5:E$257,MATCH(B123,'Revised 2019 Lockdown'!B$5:B$257,0))</f>
        <v>641009.56000000006</v>
      </c>
      <c r="G123" s="7">
        <f>INDEX('Revised 2019 Lockdown'!F$5:F$257,MATCH(B123,'Revised 2019 Lockdown'!B$5:B$257,0))</f>
        <v>131330.90000000002</v>
      </c>
      <c r="H123" s="7">
        <f t="shared" si="9"/>
        <v>509678.66000000003</v>
      </c>
      <c r="I123" s="6">
        <f t="shared" si="10"/>
        <v>479.37271684129342</v>
      </c>
      <c r="J123" s="6">
        <f t="shared" si="11"/>
        <v>479.37271684129342</v>
      </c>
      <c r="K123" s="5">
        <f t="shared" si="12"/>
        <v>509678.66000000003</v>
      </c>
      <c r="L123" s="4">
        <f t="shared" si="8"/>
        <v>0</v>
      </c>
      <c r="M123" s="2" cm="1">
        <f t="array" ref="M123">SUMPRODUCT(--($L$6:$L$300&lt;&gt;1),--($C$6:$C$300=$C123),$H$6:$H$300)/SUMPRODUCT(--($L$6:$L$300&lt;&gt;1),--($C$6:$C$300=$C123),$E$6:$E$300)</f>
        <v>541.95489918408634</v>
      </c>
      <c r="N123" s="1" cm="1">
        <f t="array" ref="N123">SUMPRODUCT(--($L$6:$L$300&lt;&gt;1),--($C$6:$C$300=$C123))</f>
        <v>69</v>
      </c>
      <c r="O123" s="3">
        <f t="shared" si="13"/>
        <v>3916.5295467865817</v>
      </c>
      <c r="P123" s="2" cm="1">
        <f t="array" ref="P123">SQRT(SUMPRODUCT(--($L$6:$L$300&lt;&gt;1),--($C$6:$C$300=$C123),$E$6:$E$300,$O$6:$O$300)/((N123-1)*SUMPRODUCT(--($L$6:$L$300&lt;&gt;1),--($C$6:$C$300=$C123),$E$6:$E$300)/N123))</f>
        <v>187.73196054161087</v>
      </c>
      <c r="Q123" s="2">
        <f t="shared" si="15"/>
        <v>301.36671124922771</v>
      </c>
      <c r="R123" s="2">
        <f t="shared" si="15"/>
        <v>782.54308711894498</v>
      </c>
      <c r="S123" s="2">
        <f t="shared" si="14"/>
        <v>479.37271684129342</v>
      </c>
    </row>
    <row r="124" spans="2:19" x14ac:dyDescent="0.3">
      <c r="B124">
        <v>238</v>
      </c>
      <c r="C124" s="25">
        <v>7</v>
      </c>
      <c r="D124" s="32" t="s">
        <v>292</v>
      </c>
      <c r="E124" s="125">
        <f>INDEX('Revised 2019 Lockdown'!H$5:H$257,MATCH(B124,'Revised 2019 Lockdown'!B$5:B$257,0))</f>
        <v>59.944851964987492</v>
      </c>
      <c r="F124" s="7">
        <f>INDEX('Revised 2019 Lockdown'!E$5:E$257,MATCH(B124,'Revised 2019 Lockdown'!B$5:B$257,0))</f>
        <v>35866.36</v>
      </c>
      <c r="G124" s="7">
        <f>INDEX('Revised 2019 Lockdown'!F$5:F$257,MATCH(B124,'Revised 2019 Lockdown'!B$5:B$257,0))</f>
        <v>24</v>
      </c>
      <c r="H124" s="7">
        <f t="shared" si="9"/>
        <v>35842.36</v>
      </c>
      <c r="I124" s="6">
        <f t="shared" si="10"/>
        <v>597.92223727459964</v>
      </c>
      <c r="J124" s="6">
        <f t="shared" si="11"/>
        <v>597.92223727459964</v>
      </c>
      <c r="K124" s="5">
        <f t="shared" si="12"/>
        <v>35842.36</v>
      </c>
      <c r="L124" s="4">
        <f t="shared" si="8"/>
        <v>0</v>
      </c>
      <c r="M124" s="2" cm="1">
        <f t="array" ref="M124">SUMPRODUCT(--($L$6:$L$300&lt;&gt;1),--($C$6:$C$300=$C124),$H$6:$H$300)/SUMPRODUCT(--($L$6:$L$300&lt;&gt;1),--($C$6:$C$300=$C124),$E$6:$E$300)</f>
        <v>541.95489918408634</v>
      </c>
      <c r="N124" s="1" cm="1">
        <f t="array" ref="N124">SUMPRODUCT(--($L$6:$L$300&lt;&gt;1),--($C$6:$C$300=$C124))</f>
        <v>69</v>
      </c>
      <c r="O124" s="3">
        <f t="shared" si="13"/>
        <v>3132.3429329378205</v>
      </c>
      <c r="P124" s="2" cm="1">
        <f t="array" ref="P124">SQRT(SUMPRODUCT(--($L$6:$L$300&lt;&gt;1),--($C$6:$C$300=$C124),$E$6:$E$300,$O$6:$O$300)/((N124-1)*SUMPRODUCT(--($L$6:$L$300&lt;&gt;1),--($C$6:$C$300=$C124),$E$6:$E$300)/N124))</f>
        <v>187.73196054161087</v>
      </c>
      <c r="Q124" s="2">
        <f t="shared" si="15"/>
        <v>301.36671124922771</v>
      </c>
      <c r="R124" s="2">
        <f t="shared" si="15"/>
        <v>782.54308711894498</v>
      </c>
      <c r="S124" s="2">
        <f t="shared" si="14"/>
        <v>597.92223727459964</v>
      </c>
    </row>
    <row r="125" spans="2:19" x14ac:dyDescent="0.3">
      <c r="B125">
        <v>239</v>
      </c>
      <c r="C125" s="25">
        <v>7</v>
      </c>
      <c r="D125" s="32" t="s">
        <v>157</v>
      </c>
      <c r="E125" s="125">
        <f>INDEX('Revised 2019 Lockdown'!H$5:H$257,MATCH(B125,'Revised 2019 Lockdown'!B$5:B$257,0))</f>
        <v>2925.25</v>
      </c>
      <c r="F125" s="7">
        <f>INDEX('Revised 2019 Lockdown'!E$5:E$257,MATCH(B125,'Revised 2019 Lockdown'!B$5:B$257,0))</f>
        <v>1822993.26</v>
      </c>
      <c r="G125" s="7">
        <f>INDEX('Revised 2019 Lockdown'!F$5:F$257,MATCH(B125,'Revised 2019 Lockdown'!B$5:B$257,0))</f>
        <v>204609.35</v>
      </c>
      <c r="H125" s="7">
        <f t="shared" si="9"/>
        <v>1618383.91</v>
      </c>
      <c r="I125" s="6">
        <f t="shared" si="10"/>
        <v>553.24635843090334</v>
      </c>
      <c r="J125" s="6">
        <f t="shared" si="11"/>
        <v>553.24635843090334</v>
      </c>
      <c r="K125" s="5">
        <f t="shared" si="12"/>
        <v>1618383.91</v>
      </c>
      <c r="L125" s="4">
        <f t="shared" si="8"/>
        <v>0</v>
      </c>
      <c r="M125" s="2" cm="1">
        <f t="array" ref="M125">SUMPRODUCT(--($L$6:$L$300&lt;&gt;1),--($C$6:$C$300=$C125),$H$6:$H$300)/SUMPRODUCT(--($L$6:$L$300&lt;&gt;1),--($C$6:$C$300=$C125),$E$6:$E$300)</f>
        <v>541.95489918408634</v>
      </c>
      <c r="N125" s="1" cm="1">
        <f t="array" ref="N125">SUMPRODUCT(--($L$6:$L$300&lt;&gt;1),--($C$6:$C$300=$C125))</f>
        <v>69</v>
      </c>
      <c r="O125" s="3">
        <f t="shared" si="13"/>
        <v>127.4970519225291</v>
      </c>
      <c r="P125" s="2" cm="1">
        <f t="array" ref="P125">SQRT(SUMPRODUCT(--($L$6:$L$300&lt;&gt;1),--($C$6:$C$300=$C125),$E$6:$E$300,$O$6:$O$300)/((N125-1)*SUMPRODUCT(--($L$6:$L$300&lt;&gt;1),--($C$6:$C$300=$C125),$E$6:$E$300)/N125))</f>
        <v>187.73196054161087</v>
      </c>
      <c r="Q125" s="2">
        <f t="shared" si="15"/>
        <v>301.36671124922771</v>
      </c>
      <c r="R125" s="2">
        <f t="shared" si="15"/>
        <v>782.54308711894498</v>
      </c>
      <c r="S125" s="2">
        <f t="shared" si="14"/>
        <v>553.24635843090334</v>
      </c>
    </row>
    <row r="126" spans="2:19" x14ac:dyDescent="0.3">
      <c r="B126">
        <v>249</v>
      </c>
      <c r="C126" s="25">
        <v>7</v>
      </c>
      <c r="D126" s="32" t="s">
        <v>158</v>
      </c>
      <c r="E126" s="125">
        <f>INDEX('Revised 2019 Lockdown'!H$5:H$257,MATCH(B126,'Revised 2019 Lockdown'!B$5:B$257,0))</f>
        <v>1034.1306673789729</v>
      </c>
      <c r="F126" s="7">
        <f>INDEX('Revised 2019 Lockdown'!E$5:E$257,MATCH(B126,'Revised 2019 Lockdown'!B$5:B$257,0))</f>
        <v>679586.79</v>
      </c>
      <c r="G126" s="7">
        <f>INDEX('Revised 2019 Lockdown'!F$5:F$257,MATCH(B126,'Revised 2019 Lockdown'!B$5:B$257,0))</f>
        <v>0</v>
      </c>
      <c r="H126" s="7">
        <f t="shared" si="9"/>
        <v>679586.79</v>
      </c>
      <c r="I126" s="6">
        <f t="shared" si="10"/>
        <v>657.15756377521211</v>
      </c>
      <c r="J126" s="6">
        <f t="shared" si="11"/>
        <v>657.15756377521211</v>
      </c>
      <c r="K126" s="5">
        <f t="shared" si="12"/>
        <v>679586.79</v>
      </c>
      <c r="L126" s="4">
        <f t="shared" si="8"/>
        <v>0</v>
      </c>
      <c r="M126" s="2" cm="1">
        <f t="array" ref="M126">SUMPRODUCT(--($L$6:$L$300&lt;&gt;1),--($C$6:$C$300=$C126),$H$6:$H$300)/SUMPRODUCT(--($L$6:$L$300&lt;&gt;1),--($C$6:$C$300=$C126),$E$6:$E$300)</f>
        <v>541.95489918408634</v>
      </c>
      <c r="N126" s="1" cm="1">
        <f t="array" ref="N126">SUMPRODUCT(--($L$6:$L$300&lt;&gt;1),--($C$6:$C$300=$C126))</f>
        <v>69</v>
      </c>
      <c r="O126" s="3">
        <f t="shared" si="13"/>
        <v>13271.653928895423</v>
      </c>
      <c r="P126" s="2" cm="1">
        <f t="array" ref="P126">SQRT(SUMPRODUCT(--($L$6:$L$300&lt;&gt;1),--($C$6:$C$300=$C126),$E$6:$E$300,$O$6:$O$300)/((N126-1)*SUMPRODUCT(--($L$6:$L$300&lt;&gt;1),--($C$6:$C$300=$C126),$E$6:$E$300)/N126))</f>
        <v>187.73196054161087</v>
      </c>
      <c r="Q126" s="2">
        <f t="shared" si="15"/>
        <v>301.36671124922771</v>
      </c>
      <c r="R126" s="2">
        <f t="shared" si="15"/>
        <v>782.54308711894498</v>
      </c>
      <c r="S126" s="2">
        <f t="shared" si="14"/>
        <v>657.15756377521211</v>
      </c>
    </row>
    <row r="127" spans="2:19" x14ac:dyDescent="0.3">
      <c r="B127">
        <v>271</v>
      </c>
      <c r="C127" s="25">
        <v>7</v>
      </c>
      <c r="D127" s="32" t="s">
        <v>159</v>
      </c>
      <c r="E127" s="125">
        <f>INDEX('Revised 2019 Lockdown'!H$5:H$257,MATCH(B127,'Revised 2019 Lockdown'!B$5:B$257,0))</f>
        <v>759.30399999999997</v>
      </c>
      <c r="F127" s="7">
        <f>INDEX('Revised 2019 Lockdown'!E$5:E$257,MATCH(B127,'Revised 2019 Lockdown'!B$5:B$257,0))</f>
        <v>726125.85</v>
      </c>
      <c r="G127" s="7">
        <f>INDEX('Revised 2019 Lockdown'!F$5:F$257,MATCH(B127,'Revised 2019 Lockdown'!B$5:B$257,0))</f>
        <v>103587.01000000002</v>
      </c>
      <c r="H127" s="7">
        <f t="shared" si="9"/>
        <v>622538.84</v>
      </c>
      <c r="I127" s="6">
        <f t="shared" si="10"/>
        <v>819.88089092115933</v>
      </c>
      <c r="J127" s="6">
        <f t="shared" si="11"/>
        <v>782.54308711894498</v>
      </c>
      <c r="K127" s="5">
        <f t="shared" si="12"/>
        <v>594188.09622176341</v>
      </c>
      <c r="L127" s="4">
        <f t="shared" si="8"/>
        <v>0</v>
      </c>
      <c r="M127" s="2" cm="1">
        <f t="array" ref="M127">SUMPRODUCT(--($L$6:$L$300&lt;&gt;1),--($C$6:$C$300=$C127),$H$6:$H$300)/SUMPRODUCT(--($L$6:$L$300&lt;&gt;1),--($C$6:$C$300=$C127),$E$6:$E$300)</f>
        <v>541.95489918408634</v>
      </c>
      <c r="N127" s="1" cm="1">
        <f t="array" ref="N127">SUMPRODUCT(--($L$6:$L$300&lt;&gt;1),--($C$6:$C$300=$C127))</f>
        <v>69</v>
      </c>
      <c r="O127" s="3">
        <f t="shared" si="13"/>
        <v>77242.856883035565</v>
      </c>
      <c r="P127" s="2" cm="1">
        <f t="array" ref="P127">SQRT(SUMPRODUCT(--($L$6:$L$300&lt;&gt;1),--($C$6:$C$300=$C127),$E$6:$E$300,$O$6:$O$300)/((N127-1)*SUMPRODUCT(--($L$6:$L$300&lt;&gt;1),--($C$6:$C$300=$C127),$E$6:$E$300)/N127))</f>
        <v>187.73196054161087</v>
      </c>
      <c r="Q127" s="2">
        <f t="shared" si="15"/>
        <v>301.36671124922771</v>
      </c>
      <c r="R127" s="2">
        <f t="shared" si="15"/>
        <v>782.54308711894498</v>
      </c>
      <c r="S127" s="2">
        <f t="shared" si="14"/>
        <v>782.54308711894498</v>
      </c>
    </row>
    <row r="128" spans="2:19" x14ac:dyDescent="0.3">
      <c r="B128">
        <v>275</v>
      </c>
      <c r="C128" s="25">
        <v>7</v>
      </c>
      <c r="D128" s="32" t="s">
        <v>160</v>
      </c>
      <c r="E128" s="125">
        <f>INDEX('Revised 2019 Lockdown'!H$5:H$257,MATCH(B128,'Revised 2019 Lockdown'!B$5:B$257,0))</f>
        <v>689.9799999999999</v>
      </c>
      <c r="F128" s="7">
        <f>INDEX('Revised 2019 Lockdown'!E$5:E$257,MATCH(B128,'Revised 2019 Lockdown'!B$5:B$257,0))</f>
        <v>403137.48</v>
      </c>
      <c r="G128" s="7">
        <f>INDEX('Revised 2019 Lockdown'!F$5:F$257,MATCH(B128,'Revised 2019 Lockdown'!B$5:B$257,0))</f>
        <v>66785.36</v>
      </c>
      <c r="H128" s="7">
        <f t="shared" si="9"/>
        <v>336352.12</v>
      </c>
      <c r="I128" s="6">
        <f t="shared" si="10"/>
        <v>487.48097046291201</v>
      </c>
      <c r="J128" s="6">
        <f t="shared" si="11"/>
        <v>487.48097046291201</v>
      </c>
      <c r="K128" s="5">
        <f t="shared" si="12"/>
        <v>336352.12</v>
      </c>
      <c r="L128" s="4">
        <f t="shared" si="8"/>
        <v>0</v>
      </c>
      <c r="M128" s="2" cm="1">
        <f t="array" ref="M128">SUMPRODUCT(--($L$6:$L$300&lt;&gt;1),--($C$6:$C$300=$C128),$H$6:$H$300)/SUMPRODUCT(--($L$6:$L$300&lt;&gt;1),--($C$6:$C$300=$C128),$E$6:$E$300)</f>
        <v>541.95489918408634</v>
      </c>
      <c r="N128" s="1" cm="1">
        <f t="array" ref="N128">SUMPRODUCT(--($L$6:$L$300&lt;&gt;1),--($C$6:$C$300=$C128))</f>
        <v>69</v>
      </c>
      <c r="O128" s="3">
        <f t="shared" si="13"/>
        <v>2967.4089103195815</v>
      </c>
      <c r="P128" s="2" cm="1">
        <f t="array" ref="P128">SQRT(SUMPRODUCT(--($L$6:$L$300&lt;&gt;1),--($C$6:$C$300=$C128),$E$6:$E$300,$O$6:$O$300)/((N128-1)*SUMPRODUCT(--($L$6:$L$300&lt;&gt;1),--($C$6:$C$300=$C128),$E$6:$E$300)/N128))</f>
        <v>187.73196054161087</v>
      </c>
      <c r="Q128" s="2">
        <f t="shared" si="15"/>
        <v>301.36671124922771</v>
      </c>
      <c r="R128" s="2">
        <f t="shared" si="15"/>
        <v>782.54308711894498</v>
      </c>
      <c r="S128" s="2">
        <f t="shared" si="14"/>
        <v>487.48097046291201</v>
      </c>
    </row>
    <row r="129" spans="2:19" x14ac:dyDescent="0.3">
      <c r="B129">
        <v>282</v>
      </c>
      <c r="C129" s="25">
        <v>7</v>
      </c>
      <c r="D129" s="32" t="s">
        <v>161</v>
      </c>
      <c r="E129" s="125">
        <f>INDEX('Revised 2019 Lockdown'!H$5:H$257,MATCH(B129,'Revised 2019 Lockdown'!B$5:B$257,0))</f>
        <v>110.63441938423811</v>
      </c>
      <c r="F129" s="7">
        <f>INDEX('Revised 2019 Lockdown'!E$5:E$257,MATCH(B129,'Revised 2019 Lockdown'!B$5:B$257,0))</f>
        <v>58517.06</v>
      </c>
      <c r="G129" s="7">
        <f>INDEX('Revised 2019 Lockdown'!F$5:F$257,MATCH(B129,'Revised 2019 Lockdown'!B$5:B$257,0))</f>
        <v>0</v>
      </c>
      <c r="H129" s="7">
        <f t="shared" si="9"/>
        <v>58517.06</v>
      </c>
      <c r="I129" s="6">
        <f t="shared" si="10"/>
        <v>528.92273783954818</v>
      </c>
      <c r="J129" s="6">
        <f t="shared" si="11"/>
        <v>528.92273783954818</v>
      </c>
      <c r="K129" s="5">
        <f t="shared" si="12"/>
        <v>58517.060000000005</v>
      </c>
      <c r="L129" s="4">
        <f t="shared" si="8"/>
        <v>0</v>
      </c>
      <c r="M129" s="2" cm="1">
        <f t="array" ref="M129">SUMPRODUCT(--($L$6:$L$300&lt;&gt;1),--($C$6:$C$300=$C129),$H$6:$H$300)/SUMPRODUCT(--($L$6:$L$300&lt;&gt;1),--($C$6:$C$300=$C129),$E$6:$E$300)</f>
        <v>541.95489918408634</v>
      </c>
      <c r="N129" s="1" cm="1">
        <f t="array" ref="N129">SUMPRODUCT(--($L$6:$L$300&lt;&gt;1),--($C$6:$C$300=$C129))</f>
        <v>69</v>
      </c>
      <c r="O129" s="3">
        <f t="shared" si="13"/>
        <v>169.83722931007486</v>
      </c>
      <c r="P129" s="2" cm="1">
        <f t="array" ref="P129">SQRT(SUMPRODUCT(--($L$6:$L$300&lt;&gt;1),--($C$6:$C$300=$C129),$E$6:$E$300,$O$6:$O$300)/((N129-1)*SUMPRODUCT(--($L$6:$L$300&lt;&gt;1),--($C$6:$C$300=$C129),$E$6:$E$300)/N129))</f>
        <v>187.73196054161087</v>
      </c>
      <c r="Q129" s="2">
        <f t="shared" si="15"/>
        <v>301.36671124922771</v>
      </c>
      <c r="R129" s="2">
        <f t="shared" si="15"/>
        <v>782.54308711894498</v>
      </c>
      <c r="S129" s="2">
        <f t="shared" si="14"/>
        <v>528.92273783954818</v>
      </c>
    </row>
    <row r="130" spans="2:19" x14ac:dyDescent="0.3">
      <c r="B130">
        <v>287</v>
      </c>
      <c r="C130" s="25">
        <v>7</v>
      </c>
      <c r="D130" s="32" t="s">
        <v>162</v>
      </c>
      <c r="E130" s="125">
        <f>INDEX('Revised 2019 Lockdown'!H$5:H$257,MATCH(B130,'Revised 2019 Lockdown'!B$5:B$257,0))</f>
        <v>159.07264082238018</v>
      </c>
      <c r="F130" s="7">
        <f>INDEX('Revised 2019 Lockdown'!E$5:E$257,MATCH(B130,'Revised 2019 Lockdown'!B$5:B$257,0))</f>
        <v>122709.58</v>
      </c>
      <c r="G130" s="7">
        <f>INDEX('Revised 2019 Lockdown'!F$5:F$257,MATCH(B130,'Revised 2019 Lockdown'!B$5:B$257,0))</f>
        <v>1002.5</v>
      </c>
      <c r="H130" s="7">
        <f t="shared" si="9"/>
        <v>121707.08</v>
      </c>
      <c r="I130" s="6">
        <f t="shared" si="10"/>
        <v>765.10378762050982</v>
      </c>
      <c r="J130" s="6">
        <f t="shared" si="11"/>
        <v>765.10378762050982</v>
      </c>
      <c r="K130" s="5">
        <f t="shared" si="12"/>
        <v>121707.08</v>
      </c>
      <c r="L130" s="4">
        <f t="shared" si="8"/>
        <v>0</v>
      </c>
      <c r="M130" s="2" cm="1">
        <f t="array" ref="M130">SUMPRODUCT(--($L$6:$L$300&lt;&gt;1),--($C$6:$C$300=$C130),$H$6:$H$300)/SUMPRODUCT(--($L$6:$L$300&lt;&gt;1),--($C$6:$C$300=$C130),$E$6:$E$300)</f>
        <v>541.95489918408634</v>
      </c>
      <c r="N130" s="1" cm="1">
        <f t="array" ref="N130">SUMPRODUCT(--($L$6:$L$300&lt;&gt;1),--($C$6:$C$300=$C130))</f>
        <v>69</v>
      </c>
      <c r="O130" s="3">
        <f t="shared" si="13"/>
        <v>49795.426410411368</v>
      </c>
      <c r="P130" s="2" cm="1">
        <f t="array" ref="P130">SQRT(SUMPRODUCT(--($L$6:$L$300&lt;&gt;1),--($C$6:$C$300=$C130),$E$6:$E$300,$O$6:$O$300)/((N130-1)*SUMPRODUCT(--($L$6:$L$300&lt;&gt;1),--($C$6:$C$300=$C130),$E$6:$E$300)/N130))</f>
        <v>187.73196054161087</v>
      </c>
      <c r="Q130" s="2">
        <f t="shared" si="15"/>
        <v>301.36671124922771</v>
      </c>
      <c r="R130" s="2">
        <f t="shared" si="15"/>
        <v>782.54308711894498</v>
      </c>
      <c r="S130" s="2">
        <f t="shared" si="14"/>
        <v>765.10378762050982</v>
      </c>
    </row>
    <row r="131" spans="2:19" x14ac:dyDescent="0.3">
      <c r="B131">
        <v>290</v>
      </c>
      <c r="C131" s="25">
        <v>7</v>
      </c>
      <c r="D131" s="32" t="s">
        <v>163</v>
      </c>
      <c r="E131" s="125">
        <f>INDEX('Revised 2019 Lockdown'!H$5:H$257,MATCH(B131,'Revised 2019 Lockdown'!B$5:B$257,0))</f>
        <v>274.87774876618727</v>
      </c>
      <c r="F131" s="7">
        <f>INDEX('Revised 2019 Lockdown'!E$5:E$257,MATCH(B131,'Revised 2019 Lockdown'!B$5:B$257,0))</f>
        <v>123807.44</v>
      </c>
      <c r="G131" s="7">
        <f>INDEX('Revised 2019 Lockdown'!F$5:F$257,MATCH(B131,'Revised 2019 Lockdown'!B$5:B$257,0))</f>
        <v>4228.57</v>
      </c>
      <c r="H131" s="7">
        <f t="shared" si="9"/>
        <v>119578.87</v>
      </c>
      <c r="I131" s="6">
        <f t="shared" si="10"/>
        <v>435.02564517040821</v>
      </c>
      <c r="J131" s="6">
        <f t="shared" si="11"/>
        <v>435.02564517040821</v>
      </c>
      <c r="K131" s="5">
        <f t="shared" si="12"/>
        <v>119578.87</v>
      </c>
      <c r="L131" s="4">
        <f t="shared" si="8"/>
        <v>0</v>
      </c>
      <c r="M131" s="2" cm="1">
        <f t="array" ref="M131">SUMPRODUCT(--($L$6:$L$300&lt;&gt;1),--($C$6:$C$300=$C131),$H$6:$H$300)/SUMPRODUCT(--($L$6:$L$300&lt;&gt;1),--($C$6:$C$300=$C131),$E$6:$E$300)</f>
        <v>541.95489918408634</v>
      </c>
      <c r="N131" s="1" cm="1">
        <f t="array" ref="N131">SUMPRODUCT(--($L$6:$L$300&lt;&gt;1),--($C$6:$C$300=$C131))</f>
        <v>69</v>
      </c>
      <c r="O131" s="3">
        <f t="shared" si="13"/>
        <v>11433.865363921701</v>
      </c>
      <c r="P131" s="2" cm="1">
        <f t="array" ref="P131">SQRT(SUMPRODUCT(--($L$6:$L$300&lt;&gt;1),--($C$6:$C$300=$C131),$E$6:$E$300,$O$6:$O$300)/((N131-1)*SUMPRODUCT(--($L$6:$L$300&lt;&gt;1),--($C$6:$C$300=$C131),$E$6:$E$300)/N131))</f>
        <v>187.73196054161087</v>
      </c>
      <c r="Q131" s="2">
        <f t="shared" si="15"/>
        <v>301.36671124922771</v>
      </c>
      <c r="R131" s="2">
        <f t="shared" si="15"/>
        <v>782.54308711894498</v>
      </c>
      <c r="S131" s="2">
        <f t="shared" si="14"/>
        <v>435.02564517040821</v>
      </c>
    </row>
    <row r="132" spans="2:19" x14ac:dyDescent="0.3">
      <c r="B132">
        <v>294</v>
      </c>
      <c r="C132" s="25">
        <v>7</v>
      </c>
      <c r="D132" s="32" t="s">
        <v>164</v>
      </c>
      <c r="E132" s="125">
        <f>INDEX('Revised 2019 Lockdown'!H$5:H$257,MATCH(B132,'Revised 2019 Lockdown'!B$5:B$257,0))</f>
        <v>1039.1314711563653</v>
      </c>
      <c r="F132" s="7">
        <f>INDEX('Revised 2019 Lockdown'!E$5:E$257,MATCH(B132,'Revised 2019 Lockdown'!B$5:B$257,0))</f>
        <v>587423.01</v>
      </c>
      <c r="G132" s="7">
        <f>INDEX('Revised 2019 Lockdown'!F$5:F$257,MATCH(B132,'Revised 2019 Lockdown'!B$5:B$257,0))</f>
        <v>1414</v>
      </c>
      <c r="H132" s="7">
        <f t="shared" si="9"/>
        <v>586009.01</v>
      </c>
      <c r="I132" s="6">
        <f t="shared" si="10"/>
        <v>563.94116265950265</v>
      </c>
      <c r="J132" s="6">
        <f t="shared" si="11"/>
        <v>563.94116265950265</v>
      </c>
      <c r="K132" s="5">
        <f t="shared" si="12"/>
        <v>586009.01</v>
      </c>
      <c r="L132" s="4">
        <f t="shared" si="8"/>
        <v>0</v>
      </c>
      <c r="M132" s="2" cm="1">
        <f t="array" ref="M132">SUMPRODUCT(--($L$6:$L$300&lt;&gt;1),--($C$6:$C$300=$C132),$H$6:$H$300)/SUMPRODUCT(--($L$6:$L$300&lt;&gt;1),--($C$6:$C$300=$C132),$E$6:$E$300)</f>
        <v>541.95489918408634</v>
      </c>
      <c r="N132" s="1" cm="1">
        <f t="array" ref="N132">SUMPRODUCT(--($L$6:$L$300&lt;&gt;1),--($C$6:$C$300=$C132))</f>
        <v>69</v>
      </c>
      <c r="O132" s="3">
        <f t="shared" si="13"/>
        <v>483.39578161042522</v>
      </c>
      <c r="P132" s="2" cm="1">
        <f t="array" ref="P132">SQRT(SUMPRODUCT(--($L$6:$L$300&lt;&gt;1),--($C$6:$C$300=$C132),$E$6:$E$300,$O$6:$O$300)/((N132-1)*SUMPRODUCT(--($L$6:$L$300&lt;&gt;1),--($C$6:$C$300=$C132),$E$6:$E$300)/N132))</f>
        <v>187.73196054161087</v>
      </c>
      <c r="Q132" s="2">
        <f t="shared" si="15"/>
        <v>301.36671124922771</v>
      </c>
      <c r="R132" s="2">
        <f t="shared" si="15"/>
        <v>782.54308711894498</v>
      </c>
      <c r="S132" s="2">
        <f t="shared" si="14"/>
        <v>563.94116265950265</v>
      </c>
    </row>
    <row r="133" spans="2:19" x14ac:dyDescent="0.3">
      <c r="B133">
        <v>296</v>
      </c>
      <c r="C133" s="25">
        <v>7</v>
      </c>
      <c r="D133" s="32" t="s">
        <v>165</v>
      </c>
      <c r="E133" s="125">
        <f>INDEX('Revised 2019 Lockdown'!H$5:H$257,MATCH(B133,'Revised 2019 Lockdown'!B$5:B$257,0))</f>
        <v>799.83</v>
      </c>
      <c r="F133" s="7">
        <f>INDEX('Revised 2019 Lockdown'!E$5:E$257,MATCH(B133,'Revised 2019 Lockdown'!B$5:B$257,0))</f>
        <v>880549.01</v>
      </c>
      <c r="G133" s="7">
        <f>INDEX('Revised 2019 Lockdown'!F$5:F$257,MATCH(B133,'Revised 2019 Lockdown'!B$5:B$257,0))</f>
        <v>140281.66999999998</v>
      </c>
      <c r="H133" s="7">
        <f t="shared" si="9"/>
        <v>740267.34000000008</v>
      </c>
      <c r="I133" s="6">
        <f t="shared" si="10"/>
        <v>925.53085030569002</v>
      </c>
      <c r="J133" s="6">
        <f t="shared" si="11"/>
        <v>782.54308711894498</v>
      </c>
      <c r="K133" s="5">
        <f t="shared" si="12"/>
        <v>625901.43737034581</v>
      </c>
      <c r="L133" s="4">
        <f t="shared" ref="L133:L196" si="16">IF(ISERROR(I133),1,0)</f>
        <v>0</v>
      </c>
      <c r="M133" s="2" cm="1">
        <f t="array" ref="M133">SUMPRODUCT(--($L$6:$L$300&lt;&gt;1),--($C$6:$C$300=$C133),$H$6:$H$300)/SUMPRODUCT(--($L$6:$L$300&lt;&gt;1),--($C$6:$C$300=$C133),$E$6:$E$300)</f>
        <v>541.95489918408634</v>
      </c>
      <c r="N133" s="1" cm="1">
        <f t="array" ref="N133">SUMPRODUCT(--($L$6:$L$300&lt;&gt;1),--($C$6:$C$300=$C133))</f>
        <v>69</v>
      </c>
      <c r="O133" s="3">
        <f t="shared" si="13"/>
        <v>147130.51027884291</v>
      </c>
      <c r="P133" s="2" cm="1">
        <f t="array" ref="P133">SQRT(SUMPRODUCT(--($L$6:$L$300&lt;&gt;1),--($C$6:$C$300=$C133),$E$6:$E$300,$O$6:$O$300)/((N133-1)*SUMPRODUCT(--($L$6:$L$300&lt;&gt;1),--($C$6:$C$300=$C133),$E$6:$E$300)/N133))</f>
        <v>187.73196054161087</v>
      </c>
      <c r="Q133" s="2">
        <f t="shared" si="15"/>
        <v>301.36671124922771</v>
      </c>
      <c r="R133" s="2">
        <f t="shared" si="15"/>
        <v>782.54308711894498</v>
      </c>
      <c r="S133" s="2">
        <f t="shared" si="14"/>
        <v>782.54308711894498</v>
      </c>
    </row>
    <row r="134" spans="2:19" x14ac:dyDescent="0.3">
      <c r="B134">
        <v>301</v>
      </c>
      <c r="C134" s="25">
        <v>7</v>
      </c>
      <c r="D134" s="32" t="s">
        <v>166</v>
      </c>
      <c r="E134" s="125">
        <f>INDEX('Revised 2019 Lockdown'!H$5:H$257,MATCH(B134,'Revised 2019 Lockdown'!B$5:B$257,0))</f>
        <v>570.30440560902662</v>
      </c>
      <c r="F134" s="7">
        <f>INDEX('Revised 2019 Lockdown'!E$5:E$257,MATCH(B134,'Revised 2019 Lockdown'!B$5:B$257,0))</f>
        <v>272819.37</v>
      </c>
      <c r="G134" s="7">
        <f>INDEX('Revised 2019 Lockdown'!F$5:F$257,MATCH(B134,'Revised 2019 Lockdown'!B$5:B$257,0))</f>
        <v>512.72</v>
      </c>
      <c r="H134" s="7">
        <f t="shared" ref="H134:H197" si="17">F134-G134</f>
        <v>272306.65000000002</v>
      </c>
      <c r="I134" s="6">
        <f t="shared" ref="I134:I197" si="18">H134/E134</f>
        <v>477.47597129151484</v>
      </c>
      <c r="J134" s="6">
        <f t="shared" ref="J134:J197" si="19">IF(ISERROR(IF($J$2=1,MAX(MIN(I134,R134),Q134),MIN(I134,R134))),R134,IF($J$2=1,MAX(MIN(I134,R134),Q134),MIN(I134,R134)))</f>
        <v>477.47597129151484</v>
      </c>
      <c r="K134" s="5">
        <f t="shared" ref="K134:K197" si="20">J134*E134</f>
        <v>272306.65000000002</v>
      </c>
      <c r="L134" s="4">
        <f t="shared" si="16"/>
        <v>0</v>
      </c>
      <c r="M134" s="2" cm="1">
        <f t="array" ref="M134">SUMPRODUCT(--($L$6:$L$300&lt;&gt;1),--($C$6:$C$300=$C134),$H$6:$H$300)/SUMPRODUCT(--($L$6:$L$300&lt;&gt;1),--($C$6:$C$300=$C134),$E$6:$E$300)</f>
        <v>541.95489918408634</v>
      </c>
      <c r="N134" s="1" cm="1">
        <f t="array" ref="N134">SUMPRODUCT(--($L$6:$L$300&lt;&gt;1),--($C$6:$C$300=$C134))</f>
        <v>69</v>
      </c>
      <c r="O134" s="3">
        <f t="shared" si="13"/>
        <v>4157.5321421754361</v>
      </c>
      <c r="P134" s="2" cm="1">
        <f t="array" ref="P134">SQRT(SUMPRODUCT(--($L$6:$L$300&lt;&gt;1),--($C$6:$C$300=$C134),$E$6:$E$300,$O$6:$O$300)/((N134-1)*SUMPRODUCT(--($L$6:$L$300&lt;&gt;1),--($C$6:$C$300=$C134),$E$6:$E$300)/N134))</f>
        <v>187.73196054161087</v>
      </c>
      <c r="Q134" s="2">
        <f t="shared" si="15"/>
        <v>301.36671124922771</v>
      </c>
      <c r="R134" s="2">
        <f t="shared" si="15"/>
        <v>782.54308711894498</v>
      </c>
      <c r="S134" s="2">
        <f t="shared" si="14"/>
        <v>477.47597129151484</v>
      </c>
    </row>
    <row r="135" spans="2:19" x14ac:dyDescent="0.3">
      <c r="B135">
        <v>321</v>
      </c>
      <c r="C135" s="25">
        <v>7</v>
      </c>
      <c r="D135" s="32" t="s">
        <v>167</v>
      </c>
      <c r="E135" s="125">
        <f>INDEX('Revised 2019 Lockdown'!H$5:H$257,MATCH(B135,'Revised 2019 Lockdown'!B$5:B$257,0))</f>
        <v>367.13</v>
      </c>
      <c r="F135" s="7">
        <f>INDEX('Revised 2019 Lockdown'!E$5:E$257,MATCH(B135,'Revised 2019 Lockdown'!B$5:B$257,0))</f>
        <v>499165.92</v>
      </c>
      <c r="G135" s="7">
        <f>INDEX('Revised 2019 Lockdown'!F$5:F$257,MATCH(B135,'Revised 2019 Lockdown'!B$5:B$257,0))</f>
        <v>29784.109999999997</v>
      </c>
      <c r="H135" s="7">
        <f t="shared" si="17"/>
        <v>469381.81</v>
      </c>
      <c r="I135" s="6">
        <f t="shared" si="18"/>
        <v>1278.5166289870074</v>
      </c>
      <c r="J135" s="6">
        <f t="shared" si="19"/>
        <v>782.54308711894498</v>
      </c>
      <c r="K135" s="5">
        <f t="shared" si="20"/>
        <v>287295.04357397824</v>
      </c>
      <c r="L135" s="4">
        <f t="shared" si="16"/>
        <v>0</v>
      </c>
      <c r="M135" s="2" cm="1">
        <f t="array" ref="M135">SUMPRODUCT(--($L$6:$L$300&lt;&gt;1),--($C$6:$C$300=$C135),$H$6:$H$300)/SUMPRODUCT(--($L$6:$L$300&lt;&gt;1),--($C$6:$C$300=$C135),$E$6:$E$300)</f>
        <v>541.95489918408634</v>
      </c>
      <c r="N135" s="1" cm="1">
        <f t="array" ref="N135">SUMPRODUCT(--($L$6:$L$300&lt;&gt;1),--($C$6:$C$300=$C135))</f>
        <v>69</v>
      </c>
      <c r="O135" s="3">
        <f t="shared" ref="O135:O198" si="21">IF(ISERROR((I135-M135)^2),0,(I135-M135)^2)</f>
        <v>542523.18181027123</v>
      </c>
      <c r="P135" s="2" cm="1">
        <f t="array" ref="P135">SQRT(SUMPRODUCT(--($L$6:$L$300&lt;&gt;1),--($C$6:$C$300=$C135),$E$6:$E$300,$O$6:$O$300)/((N135-1)*SUMPRODUCT(--($L$6:$L$300&lt;&gt;1),--($C$6:$C$300=$C135),$E$6:$E$300)/N135))</f>
        <v>187.73196054161087</v>
      </c>
      <c r="Q135" s="2">
        <f t="shared" si="15"/>
        <v>301.36671124922771</v>
      </c>
      <c r="R135" s="2">
        <f t="shared" si="15"/>
        <v>782.54308711894498</v>
      </c>
      <c r="S135" s="2">
        <f t="shared" ref="S135:S198" si="22">IF($J$2=1,MAX(MIN(I135,R135),Q135),MIN(R135,I135))</f>
        <v>782.54308711894498</v>
      </c>
    </row>
    <row r="136" spans="2:19" x14ac:dyDescent="0.3">
      <c r="B136">
        <v>325</v>
      </c>
      <c r="C136" s="25">
        <v>7</v>
      </c>
      <c r="D136" s="32" t="s">
        <v>168</v>
      </c>
      <c r="E136" s="125">
        <f>INDEX('Revised 2019 Lockdown'!H$5:H$257,MATCH(B136,'Revised 2019 Lockdown'!B$5:B$257,0))</f>
        <v>334.4714798023104</v>
      </c>
      <c r="F136" s="7">
        <f>INDEX('Revised 2019 Lockdown'!E$5:E$257,MATCH(B136,'Revised 2019 Lockdown'!B$5:B$257,0))</f>
        <v>167952.06</v>
      </c>
      <c r="G136" s="7">
        <f>INDEX('Revised 2019 Lockdown'!F$5:F$257,MATCH(B136,'Revised 2019 Lockdown'!B$5:B$257,0))</f>
        <v>0</v>
      </c>
      <c r="H136" s="7">
        <f t="shared" si="17"/>
        <v>167952.06</v>
      </c>
      <c r="I136" s="6">
        <f t="shared" si="18"/>
        <v>502.14164776999274</v>
      </c>
      <c r="J136" s="6">
        <f t="shared" si="19"/>
        <v>502.14164776999274</v>
      </c>
      <c r="K136" s="5">
        <f t="shared" si="20"/>
        <v>167952.06</v>
      </c>
      <c r="L136" s="4">
        <f t="shared" si="16"/>
        <v>0</v>
      </c>
      <c r="M136" s="2" cm="1">
        <f t="array" ref="M136">SUMPRODUCT(--($L$6:$L$300&lt;&gt;1),--($C$6:$C$300=$C136),$H$6:$H$300)/SUMPRODUCT(--($L$6:$L$300&lt;&gt;1),--($C$6:$C$300=$C136),$E$6:$E$300)</f>
        <v>541.95489918408634</v>
      </c>
      <c r="N136" s="1" cm="1">
        <f t="array" ref="N136">SUMPRODUCT(--($L$6:$L$300&lt;&gt;1),--($C$6:$C$300=$C136))</f>
        <v>69</v>
      </c>
      <c r="O136" s="3">
        <f t="shared" si="21"/>
        <v>1585.094988161826</v>
      </c>
      <c r="P136" s="2" cm="1">
        <f t="array" ref="P136">SQRT(SUMPRODUCT(--($L$6:$L$300&lt;&gt;1),--($C$6:$C$300=$C136),$E$6:$E$300,$O$6:$O$300)/((N136-1)*SUMPRODUCT(--($L$6:$L$300&lt;&gt;1),--($C$6:$C$300=$C136),$E$6:$E$300)/N136))</f>
        <v>187.73196054161087</v>
      </c>
      <c r="Q136" s="2">
        <f t="shared" si="15"/>
        <v>301.36671124922771</v>
      </c>
      <c r="R136" s="2">
        <f t="shared" si="15"/>
        <v>782.54308711894498</v>
      </c>
      <c r="S136" s="2">
        <f t="shared" si="22"/>
        <v>502.14164776999274</v>
      </c>
    </row>
    <row r="137" spans="2:19" x14ac:dyDescent="0.3">
      <c r="B137">
        <v>346</v>
      </c>
      <c r="C137" s="25">
        <v>7</v>
      </c>
      <c r="D137" s="32" t="s">
        <v>169</v>
      </c>
      <c r="E137" s="125">
        <f>INDEX('Revised 2019 Lockdown'!H$5:H$257,MATCH(B137,'Revised 2019 Lockdown'!B$5:B$257,0))</f>
        <v>223.88000000000002</v>
      </c>
      <c r="F137" s="7">
        <f>INDEX('Revised 2019 Lockdown'!E$5:E$257,MATCH(B137,'Revised 2019 Lockdown'!B$5:B$257,0))</f>
        <v>141740.18</v>
      </c>
      <c r="G137" s="7">
        <f>INDEX('Revised 2019 Lockdown'!F$5:F$257,MATCH(B137,'Revised 2019 Lockdown'!B$5:B$257,0))</f>
        <v>18678.990000000002</v>
      </c>
      <c r="H137" s="7">
        <f t="shared" si="17"/>
        <v>123061.18999999999</v>
      </c>
      <c r="I137" s="6">
        <f t="shared" si="18"/>
        <v>549.67478113274956</v>
      </c>
      <c r="J137" s="6">
        <f t="shared" si="19"/>
        <v>549.67478113274956</v>
      </c>
      <c r="K137" s="5">
        <f t="shared" si="20"/>
        <v>123061.18999999999</v>
      </c>
      <c r="L137" s="4">
        <f t="shared" si="16"/>
        <v>0</v>
      </c>
      <c r="M137" s="2" cm="1">
        <f t="array" ref="M137">SUMPRODUCT(--($L$6:$L$300&lt;&gt;1),--($C$6:$C$300=$C137),$H$6:$H$300)/SUMPRODUCT(--($L$6:$L$300&lt;&gt;1),--($C$6:$C$300=$C137),$E$6:$E$300)</f>
        <v>541.95489918408634</v>
      </c>
      <c r="N137" s="1" cm="1">
        <f t="array" ref="N137">SUMPRODUCT(--($L$6:$L$300&lt;&gt;1),--($C$6:$C$300=$C137))</f>
        <v>69</v>
      </c>
      <c r="O137" s="3">
        <f t="shared" si="21"/>
        <v>59.596577301296151</v>
      </c>
      <c r="P137" s="2" cm="1">
        <f t="array" ref="P137">SQRT(SUMPRODUCT(--($L$6:$L$300&lt;&gt;1),--($C$6:$C$300=$C137),$E$6:$E$300,$O$6:$O$300)/((N137-1)*SUMPRODUCT(--($L$6:$L$300&lt;&gt;1),--($C$6:$C$300=$C137),$E$6:$E$300)/N137))</f>
        <v>187.73196054161087</v>
      </c>
      <c r="Q137" s="2">
        <f t="shared" si="15"/>
        <v>301.36671124922771</v>
      </c>
      <c r="R137" s="2">
        <f t="shared" si="15"/>
        <v>782.54308711894498</v>
      </c>
      <c r="S137" s="2">
        <f t="shared" si="22"/>
        <v>549.67478113274956</v>
      </c>
    </row>
    <row r="138" spans="2:19" x14ac:dyDescent="0.3">
      <c r="B138">
        <v>358</v>
      </c>
      <c r="C138" s="25">
        <v>7</v>
      </c>
      <c r="D138" s="32" t="s">
        <v>170</v>
      </c>
      <c r="E138" s="125">
        <f>INDEX('Revised 2019 Lockdown'!H$5:H$257,MATCH(B138,'Revised 2019 Lockdown'!B$5:B$257,0))</f>
        <v>394.71</v>
      </c>
      <c r="F138" s="7">
        <f>INDEX('Revised 2019 Lockdown'!E$5:E$257,MATCH(B138,'Revised 2019 Lockdown'!B$5:B$257,0))</f>
        <v>249358.72</v>
      </c>
      <c r="G138" s="7">
        <f>INDEX('Revised 2019 Lockdown'!F$5:F$257,MATCH(B138,'Revised 2019 Lockdown'!B$5:B$257,0))</f>
        <v>33885.050000000003</v>
      </c>
      <c r="H138" s="7">
        <f t="shared" si="17"/>
        <v>215473.66999999998</v>
      </c>
      <c r="I138" s="6">
        <f t="shared" si="18"/>
        <v>545.90375212181095</v>
      </c>
      <c r="J138" s="6">
        <f t="shared" si="19"/>
        <v>545.90375212181095</v>
      </c>
      <c r="K138" s="5">
        <f t="shared" si="20"/>
        <v>215473.66999999998</v>
      </c>
      <c r="L138" s="4">
        <f t="shared" si="16"/>
        <v>0</v>
      </c>
      <c r="M138" s="2" cm="1">
        <f t="array" ref="M138">SUMPRODUCT(--($L$6:$L$300&lt;&gt;1),--($C$6:$C$300=$C138),$H$6:$H$300)/SUMPRODUCT(--($L$6:$L$300&lt;&gt;1),--($C$6:$C$300=$C138),$E$6:$E$300)</f>
        <v>541.95489918408634</v>
      </c>
      <c r="N138" s="1" cm="1">
        <f t="array" ref="N138">SUMPRODUCT(--($L$6:$L$300&lt;&gt;1),--($C$6:$C$300=$C138))</f>
        <v>69</v>
      </c>
      <c r="O138" s="3">
        <f t="shared" si="21"/>
        <v>15.593439523776279</v>
      </c>
      <c r="P138" s="2" cm="1">
        <f t="array" ref="P138">SQRT(SUMPRODUCT(--($L$6:$L$300&lt;&gt;1),--($C$6:$C$300=$C138),$E$6:$E$300,$O$6:$O$300)/((N138-1)*SUMPRODUCT(--($L$6:$L$300&lt;&gt;1),--($C$6:$C$300=$C138),$E$6:$E$300)/N138))</f>
        <v>187.73196054161087</v>
      </c>
      <c r="Q138" s="2">
        <f t="shared" si="15"/>
        <v>301.36671124922771</v>
      </c>
      <c r="R138" s="2">
        <f t="shared" si="15"/>
        <v>782.54308711894498</v>
      </c>
      <c r="S138" s="2">
        <f t="shared" si="22"/>
        <v>545.90375212181095</v>
      </c>
    </row>
    <row r="139" spans="2:19" x14ac:dyDescent="0.3">
      <c r="B139">
        <v>361</v>
      </c>
      <c r="C139" s="33">
        <v>7</v>
      </c>
      <c r="D139" s="32" t="s">
        <v>171</v>
      </c>
      <c r="E139" s="125">
        <f>INDEX('Revised 2019 Lockdown'!H$5:H$257,MATCH(B139,'Revised 2019 Lockdown'!B$5:B$257,0))</f>
        <v>1529.9173871204</v>
      </c>
      <c r="F139" s="7">
        <f>INDEX('Revised 2019 Lockdown'!E$5:E$257,MATCH(B139,'Revised 2019 Lockdown'!B$5:B$257,0))</f>
        <v>950847.24</v>
      </c>
      <c r="G139" s="7">
        <f>INDEX('Revised 2019 Lockdown'!F$5:F$257,MATCH(B139,'Revised 2019 Lockdown'!B$5:B$257,0))</f>
        <v>8401.06</v>
      </c>
      <c r="H139" s="7">
        <f t="shared" si="17"/>
        <v>942446.17999999993</v>
      </c>
      <c r="I139" s="6">
        <f t="shared" si="18"/>
        <v>616.01115716049583</v>
      </c>
      <c r="J139" s="6">
        <f t="shared" si="19"/>
        <v>616.01115716049583</v>
      </c>
      <c r="K139" s="5">
        <f t="shared" si="20"/>
        <v>942446.17999999982</v>
      </c>
      <c r="L139" s="4">
        <f t="shared" si="16"/>
        <v>0</v>
      </c>
      <c r="M139" s="2" cm="1">
        <f t="array" ref="M139">SUMPRODUCT(--($L$6:$L$300&lt;&gt;1),--($C$6:$C$300=$C139),$H$6:$H$300)/SUMPRODUCT(--($L$6:$L$300&lt;&gt;1),--($C$6:$C$300=$C139),$E$6:$E$300)</f>
        <v>541.95489918408634</v>
      </c>
      <c r="N139" s="1" cm="1">
        <f t="array" ref="N139">SUMPRODUCT(--($L$6:$L$300&lt;&gt;1),--($C$6:$C$300=$C139))</f>
        <v>69</v>
      </c>
      <c r="O139" s="3">
        <f t="shared" si="21"/>
        <v>5484.3293454685136</v>
      </c>
      <c r="P139" s="2" cm="1">
        <f t="array" ref="P139">SQRT(SUMPRODUCT(--($L$6:$L$300&lt;&gt;1),--($C$6:$C$300=$C139),$E$6:$E$300,$O$6:$O$300)/((N139-1)*SUMPRODUCT(--($L$6:$L$300&lt;&gt;1),--($C$6:$C$300=$C139),$E$6:$E$300)/N139))</f>
        <v>187.73196054161087</v>
      </c>
      <c r="Q139" s="2">
        <f t="shared" si="15"/>
        <v>301.36671124922771</v>
      </c>
      <c r="R139" s="2">
        <f t="shared" si="15"/>
        <v>782.54308711894498</v>
      </c>
      <c r="S139" s="2">
        <f t="shared" si="22"/>
        <v>616.01115716049583</v>
      </c>
    </row>
    <row r="140" spans="2:19" x14ac:dyDescent="0.3">
      <c r="B140">
        <v>376</v>
      </c>
      <c r="C140" s="25">
        <v>7</v>
      </c>
      <c r="D140" s="32" t="s">
        <v>172</v>
      </c>
      <c r="E140" s="125">
        <f>INDEX('Revised 2019 Lockdown'!H$5:H$257,MATCH(B140,'Revised 2019 Lockdown'!B$5:B$257,0))</f>
        <v>640.18619104625316</v>
      </c>
      <c r="F140" s="7">
        <f>INDEX('Revised 2019 Lockdown'!E$5:E$257,MATCH(B140,'Revised 2019 Lockdown'!B$5:B$257,0))</f>
        <v>292314.15999999997</v>
      </c>
      <c r="G140" s="7">
        <f>INDEX('Revised 2019 Lockdown'!F$5:F$257,MATCH(B140,'Revised 2019 Lockdown'!B$5:B$257,0))</f>
        <v>428</v>
      </c>
      <c r="H140" s="7">
        <f t="shared" si="17"/>
        <v>291886.15999999997</v>
      </c>
      <c r="I140" s="6">
        <f t="shared" si="18"/>
        <v>455.93948148580313</v>
      </c>
      <c r="J140" s="6">
        <f t="shared" si="19"/>
        <v>455.93948148580313</v>
      </c>
      <c r="K140" s="5">
        <f t="shared" si="20"/>
        <v>291886.15999999997</v>
      </c>
      <c r="L140" s="4">
        <f t="shared" si="16"/>
        <v>0</v>
      </c>
      <c r="M140" s="2" cm="1">
        <f t="array" ref="M140">SUMPRODUCT(--($L$6:$L$300&lt;&gt;1),--($C$6:$C$300=$C140),$H$6:$H$300)/SUMPRODUCT(--($L$6:$L$300&lt;&gt;1),--($C$6:$C$300=$C140),$E$6:$E$300)</f>
        <v>541.95489918408634</v>
      </c>
      <c r="N140" s="1" cm="1">
        <f t="array" ref="N140">SUMPRODUCT(--($L$6:$L$300&lt;&gt;1),--($C$6:$C$300=$C140))</f>
        <v>69</v>
      </c>
      <c r="O140" s="3">
        <f t="shared" si="21"/>
        <v>7398.6520818101335</v>
      </c>
      <c r="P140" s="2" cm="1">
        <f t="array" ref="P140">SQRT(SUMPRODUCT(--($L$6:$L$300&lt;&gt;1),--($C$6:$C$300=$C140),$E$6:$E$300,$O$6:$O$300)/((N140-1)*SUMPRODUCT(--($L$6:$L$300&lt;&gt;1),--($C$6:$C$300=$C140),$E$6:$E$300)/N140))</f>
        <v>187.73196054161087</v>
      </c>
      <c r="Q140" s="2">
        <f t="shared" si="15"/>
        <v>301.36671124922771</v>
      </c>
      <c r="R140" s="2">
        <f t="shared" si="15"/>
        <v>782.54308711894498</v>
      </c>
      <c r="S140" s="2">
        <f t="shared" si="22"/>
        <v>455.93948148580313</v>
      </c>
    </row>
    <row r="141" spans="2:19" x14ac:dyDescent="0.3">
      <c r="B141">
        <v>382</v>
      </c>
      <c r="C141" s="25">
        <v>7</v>
      </c>
      <c r="D141" s="32" t="s">
        <v>173</v>
      </c>
      <c r="E141" s="125">
        <f>INDEX('Revised 2019 Lockdown'!H$5:H$257,MATCH(B141,'Revised 2019 Lockdown'!B$5:B$257,0))</f>
        <v>188.48</v>
      </c>
      <c r="F141" s="7">
        <f>INDEX('Revised 2019 Lockdown'!E$5:E$257,MATCH(B141,'Revised 2019 Lockdown'!B$5:B$257,0))</f>
        <v>102492.26</v>
      </c>
      <c r="G141" s="7">
        <f>INDEX('Revised 2019 Lockdown'!F$5:F$257,MATCH(B141,'Revised 2019 Lockdown'!B$5:B$257,0))</f>
        <v>19148.469999999998</v>
      </c>
      <c r="H141" s="7">
        <f t="shared" si="17"/>
        <v>83343.789999999994</v>
      </c>
      <c r="I141" s="6">
        <f t="shared" si="18"/>
        <v>442.18903862478777</v>
      </c>
      <c r="J141" s="6">
        <f t="shared" si="19"/>
        <v>442.18903862478777</v>
      </c>
      <c r="K141" s="5">
        <f t="shared" si="20"/>
        <v>83343.789999999994</v>
      </c>
      <c r="L141" s="4">
        <f t="shared" si="16"/>
        <v>0</v>
      </c>
      <c r="M141" s="2" cm="1">
        <f t="array" ref="M141">SUMPRODUCT(--($L$6:$L$300&lt;&gt;1),--($C$6:$C$300=$C141),$H$6:$H$300)/SUMPRODUCT(--($L$6:$L$300&lt;&gt;1),--($C$6:$C$300=$C141),$E$6:$E$300)</f>
        <v>541.95489918408634</v>
      </c>
      <c r="N141" s="1" cm="1">
        <f t="array" ref="N141">SUMPRODUCT(--($L$6:$L$300&lt;&gt;1),--($C$6:$C$300=$C141))</f>
        <v>69</v>
      </c>
      <c r="O141" s="3">
        <f t="shared" si="21"/>
        <v>9953.2269331374064</v>
      </c>
      <c r="P141" s="2" cm="1">
        <f t="array" ref="P141">SQRT(SUMPRODUCT(--($L$6:$L$300&lt;&gt;1),--($C$6:$C$300=$C141),$E$6:$E$300,$O$6:$O$300)/((N141-1)*SUMPRODUCT(--($L$6:$L$300&lt;&gt;1),--($C$6:$C$300=$C141),$E$6:$E$300)/N141))</f>
        <v>187.73196054161087</v>
      </c>
      <c r="Q141" s="2">
        <f t="shared" si="15"/>
        <v>301.36671124922771</v>
      </c>
      <c r="R141" s="2">
        <f t="shared" si="15"/>
        <v>782.54308711894498</v>
      </c>
      <c r="S141" s="2">
        <f t="shared" si="22"/>
        <v>442.18903862478777</v>
      </c>
    </row>
    <row r="142" spans="2:19" x14ac:dyDescent="0.3">
      <c r="B142">
        <v>389</v>
      </c>
      <c r="C142" s="25">
        <v>7</v>
      </c>
      <c r="D142" s="32" t="s">
        <v>174</v>
      </c>
      <c r="E142" s="125">
        <f>INDEX('Revised 2019 Lockdown'!H$5:H$257,MATCH(B142,'Revised 2019 Lockdown'!B$5:B$257,0))</f>
        <v>867.99901008098129</v>
      </c>
      <c r="F142" s="7">
        <f>INDEX('Revised 2019 Lockdown'!E$5:E$257,MATCH(B142,'Revised 2019 Lockdown'!B$5:B$257,0))</f>
        <v>170757.02</v>
      </c>
      <c r="G142" s="7">
        <f>INDEX('Revised 2019 Lockdown'!F$5:F$257,MATCH(B142,'Revised 2019 Lockdown'!B$5:B$257,0))</f>
        <v>807.5</v>
      </c>
      <c r="H142" s="7">
        <f t="shared" si="17"/>
        <v>169949.52</v>
      </c>
      <c r="I142" s="6">
        <f t="shared" si="18"/>
        <v>195.79460117603622</v>
      </c>
      <c r="J142" s="6">
        <f t="shared" si="19"/>
        <v>195.79460117603622</v>
      </c>
      <c r="K142" s="5">
        <f t="shared" si="20"/>
        <v>169949.52</v>
      </c>
      <c r="L142" s="4">
        <f t="shared" si="16"/>
        <v>0</v>
      </c>
      <c r="M142" s="2" cm="1">
        <f t="array" ref="M142">SUMPRODUCT(--($L$6:$L$300&lt;&gt;1),--($C$6:$C$300=$C142),$H$6:$H$300)/SUMPRODUCT(--($L$6:$L$300&lt;&gt;1),--($C$6:$C$300=$C142),$E$6:$E$300)</f>
        <v>541.95489918408634</v>
      </c>
      <c r="N142" s="1" cm="1">
        <f t="array" ref="N142">SUMPRODUCT(--($L$6:$L$300&lt;&gt;1),--($C$6:$C$300=$C142))</f>
        <v>69</v>
      </c>
      <c r="O142" s="3">
        <f t="shared" si="21"/>
        <v>119826.95191702207</v>
      </c>
      <c r="P142" s="2" cm="1">
        <f t="array" ref="P142">SQRT(SUMPRODUCT(--($L$6:$L$300&lt;&gt;1),--($C$6:$C$300=$C142),$E$6:$E$300,$O$6:$O$300)/((N142-1)*SUMPRODUCT(--($L$6:$L$300&lt;&gt;1),--($C$6:$C$300=$C142),$E$6:$E$300)/N142))</f>
        <v>187.73196054161087</v>
      </c>
      <c r="Q142" s="2">
        <f t="shared" si="15"/>
        <v>301.36671124922771</v>
      </c>
      <c r="R142" s="2">
        <f t="shared" si="15"/>
        <v>782.54308711894498</v>
      </c>
      <c r="S142" s="2">
        <f t="shared" si="22"/>
        <v>195.79460117603622</v>
      </c>
    </row>
    <row r="143" spans="2:19" x14ac:dyDescent="0.3">
      <c r="B143">
        <v>420</v>
      </c>
      <c r="C143" s="25">
        <v>7</v>
      </c>
      <c r="D143" s="32" t="s">
        <v>265</v>
      </c>
      <c r="E143" s="125">
        <f>INDEX('Revised 2019 Lockdown'!H$5:H$257,MATCH(B143,'Revised 2019 Lockdown'!B$5:B$257,0))</f>
        <v>342.99840049783847</v>
      </c>
      <c r="F143" s="7">
        <f>INDEX('Revised 2019 Lockdown'!E$5:E$257,MATCH(B143,'Revised 2019 Lockdown'!B$5:B$257,0))</f>
        <v>176959.11</v>
      </c>
      <c r="G143" s="7">
        <f>INDEX('Revised 2019 Lockdown'!F$5:F$257,MATCH(B143,'Revised 2019 Lockdown'!B$5:B$257,0))</f>
        <v>167</v>
      </c>
      <c r="H143" s="7">
        <f t="shared" si="17"/>
        <v>176792.11</v>
      </c>
      <c r="I143" s="6">
        <f t="shared" si="18"/>
        <v>515.43129572440705</v>
      </c>
      <c r="J143" s="6">
        <f t="shared" si="19"/>
        <v>515.43129572440705</v>
      </c>
      <c r="K143" s="5">
        <f t="shared" si="20"/>
        <v>176792.11</v>
      </c>
      <c r="L143" s="4">
        <f t="shared" si="16"/>
        <v>0</v>
      </c>
      <c r="M143" s="2" cm="1">
        <f t="array" ref="M143">SUMPRODUCT(--($L$6:$L$300&lt;&gt;1),--($C$6:$C$300=$C143),$H$6:$H$300)/SUMPRODUCT(--($L$6:$L$300&lt;&gt;1),--($C$6:$C$300=$C143),$E$6:$E$300)</f>
        <v>541.95489918408634</v>
      </c>
      <c r="N143" s="1" cm="1">
        <f t="array" ref="N143">SUMPRODUCT(--($L$6:$L$300&lt;&gt;1),--($C$6:$C$300=$C143))</f>
        <v>69</v>
      </c>
      <c r="O143" s="3">
        <f t="shared" si="21"/>
        <v>703.50154048631134</v>
      </c>
      <c r="P143" s="2" cm="1">
        <f t="array" ref="P143">SQRT(SUMPRODUCT(--($L$6:$L$300&lt;&gt;1),--($C$6:$C$300=$C143),$E$6:$E$300,$O$6:$O$300)/((N143-1)*SUMPRODUCT(--($L$6:$L$300&lt;&gt;1),--($C$6:$C$300=$C143),$E$6:$E$300)/N143))</f>
        <v>187.73196054161087</v>
      </c>
      <c r="Q143" s="2">
        <f t="shared" si="15"/>
        <v>301.36671124922771</v>
      </c>
      <c r="R143" s="2">
        <f t="shared" si="15"/>
        <v>782.54308711894498</v>
      </c>
      <c r="S143" s="2">
        <f t="shared" si="22"/>
        <v>515.43129572440705</v>
      </c>
    </row>
    <row r="144" spans="2:19" x14ac:dyDescent="0.3">
      <c r="B144">
        <v>434</v>
      </c>
      <c r="C144" s="25">
        <v>7</v>
      </c>
      <c r="D144" s="32" t="s">
        <v>175</v>
      </c>
      <c r="E144" s="125">
        <f>INDEX('Revised 2019 Lockdown'!H$5:H$257,MATCH(B144,'Revised 2019 Lockdown'!B$5:B$257,0))</f>
        <v>253.47645197603669</v>
      </c>
      <c r="F144" s="7">
        <f>INDEX('Revised 2019 Lockdown'!E$5:E$257,MATCH(B144,'Revised 2019 Lockdown'!B$5:B$257,0))</f>
        <v>134168.73000000001</v>
      </c>
      <c r="G144" s="7">
        <f>INDEX('Revised 2019 Lockdown'!F$5:F$257,MATCH(B144,'Revised 2019 Lockdown'!B$5:B$257,0))</f>
        <v>0</v>
      </c>
      <c r="H144" s="7">
        <f t="shared" si="17"/>
        <v>134168.73000000001</v>
      </c>
      <c r="I144" s="6">
        <f t="shared" si="18"/>
        <v>529.31437596690103</v>
      </c>
      <c r="J144" s="6">
        <f t="shared" si="19"/>
        <v>529.31437596690103</v>
      </c>
      <c r="K144" s="5">
        <f t="shared" si="20"/>
        <v>134168.73000000001</v>
      </c>
      <c r="L144" s="4">
        <f t="shared" si="16"/>
        <v>0</v>
      </c>
      <c r="M144" s="2" cm="1">
        <f t="array" ref="M144">SUMPRODUCT(--($L$6:$L$300&lt;&gt;1),--($C$6:$C$300=$C144),$H$6:$H$300)/SUMPRODUCT(--($L$6:$L$300&lt;&gt;1),--($C$6:$C$300=$C144),$E$6:$E$300)</f>
        <v>541.95489918408634</v>
      </c>
      <c r="N144" s="1" cm="1">
        <f t="array" ref="N144">SUMPRODUCT(--($L$6:$L$300&lt;&gt;1),--($C$6:$C$300=$C144))</f>
        <v>69</v>
      </c>
      <c r="O144" s="3">
        <f t="shared" si="21"/>
        <v>159.78282720420108</v>
      </c>
      <c r="P144" s="2" cm="1">
        <f t="array" ref="P144">SQRT(SUMPRODUCT(--($L$6:$L$300&lt;&gt;1),--($C$6:$C$300=$C144),$E$6:$E$300,$O$6:$O$300)/((N144-1)*SUMPRODUCT(--($L$6:$L$300&lt;&gt;1),--($C$6:$C$300=$C144),$E$6:$E$300)/N144))</f>
        <v>187.73196054161087</v>
      </c>
      <c r="Q144" s="2">
        <f t="shared" si="15"/>
        <v>301.36671124922771</v>
      </c>
      <c r="R144" s="2">
        <f t="shared" si="15"/>
        <v>782.54308711894498</v>
      </c>
      <c r="S144" s="2">
        <f t="shared" si="22"/>
        <v>529.31437596690103</v>
      </c>
    </row>
    <row r="145" spans="2:19" x14ac:dyDescent="0.3">
      <c r="B145">
        <v>437</v>
      </c>
      <c r="C145" s="25">
        <v>7</v>
      </c>
      <c r="D145" s="32" t="s">
        <v>176</v>
      </c>
      <c r="E145" s="125">
        <f>INDEX('Revised 2019 Lockdown'!H$5:H$257,MATCH(B145,'Revised 2019 Lockdown'!B$5:B$257,0))</f>
        <v>305.36649547710624</v>
      </c>
      <c r="F145" s="7">
        <f>INDEX('Revised 2019 Lockdown'!E$5:E$257,MATCH(B145,'Revised 2019 Lockdown'!B$5:B$257,0))</f>
        <v>243556.24</v>
      </c>
      <c r="G145" s="7">
        <f>INDEX('Revised 2019 Lockdown'!F$5:F$257,MATCH(B145,'Revised 2019 Lockdown'!B$5:B$257,0))</f>
        <v>0</v>
      </c>
      <c r="H145" s="7">
        <f t="shared" si="17"/>
        <v>243556.24</v>
      </c>
      <c r="I145" s="6">
        <f t="shared" si="18"/>
        <v>797.58664950935895</v>
      </c>
      <c r="J145" s="6">
        <f t="shared" si="19"/>
        <v>782.54308711894498</v>
      </c>
      <c r="K145" s="5">
        <f t="shared" si="20"/>
        <v>238962.44007334806</v>
      </c>
      <c r="L145" s="4">
        <f t="shared" si="16"/>
        <v>0</v>
      </c>
      <c r="M145" s="2" cm="1">
        <f t="array" ref="M145">SUMPRODUCT(--($L$6:$L$300&lt;&gt;1),--($C$6:$C$300=$C145),$H$6:$H$300)/SUMPRODUCT(--($L$6:$L$300&lt;&gt;1),--($C$6:$C$300=$C145),$E$6:$E$300)</f>
        <v>541.95489918408634</v>
      </c>
      <c r="N145" s="1" cm="1">
        <f t="array" ref="N145">SUMPRODUCT(--($L$6:$L$300&lt;&gt;1),--($C$6:$C$300=$C145))</f>
        <v>69</v>
      </c>
      <c r="O145" s="3">
        <f t="shared" si="21"/>
        <v>65347.59177436251</v>
      </c>
      <c r="P145" s="2" cm="1">
        <f t="array" ref="P145">SQRT(SUMPRODUCT(--($L$6:$L$300&lt;&gt;1),--($C$6:$C$300=$C145),$E$6:$E$300,$O$6:$O$300)/((N145-1)*SUMPRODUCT(--($L$6:$L$300&lt;&gt;1),--($C$6:$C$300=$C145),$E$6:$E$300)/N145))</f>
        <v>187.73196054161087</v>
      </c>
      <c r="Q145" s="2">
        <f t="shared" si="15"/>
        <v>301.36671124922771</v>
      </c>
      <c r="R145" s="2">
        <f t="shared" si="15"/>
        <v>782.54308711894498</v>
      </c>
      <c r="S145" s="2">
        <f t="shared" si="22"/>
        <v>782.54308711894498</v>
      </c>
    </row>
    <row r="146" spans="2:19" x14ac:dyDescent="0.3">
      <c r="B146">
        <v>502</v>
      </c>
      <c r="C146" s="25">
        <v>7</v>
      </c>
      <c r="D146" s="32" t="s">
        <v>177</v>
      </c>
      <c r="E146" s="125">
        <f>INDEX('Revised 2019 Lockdown'!H$5:H$257,MATCH(B146,'Revised 2019 Lockdown'!B$5:B$257,0))</f>
        <v>497.74569693932585</v>
      </c>
      <c r="F146" s="7">
        <f>INDEX('Revised 2019 Lockdown'!E$5:E$257,MATCH(B146,'Revised 2019 Lockdown'!B$5:B$257,0))</f>
        <v>294346.69</v>
      </c>
      <c r="G146" s="7">
        <f>INDEX('Revised 2019 Lockdown'!F$5:F$257,MATCH(B146,'Revised 2019 Lockdown'!B$5:B$257,0))</f>
        <v>0</v>
      </c>
      <c r="H146" s="7">
        <f t="shared" si="17"/>
        <v>294346.69</v>
      </c>
      <c r="I146" s="6">
        <f t="shared" si="18"/>
        <v>591.35958745592177</v>
      </c>
      <c r="J146" s="6">
        <f t="shared" si="19"/>
        <v>591.35958745592177</v>
      </c>
      <c r="K146" s="5">
        <f t="shared" si="20"/>
        <v>294346.69</v>
      </c>
      <c r="L146" s="4">
        <f t="shared" si="16"/>
        <v>0</v>
      </c>
      <c r="M146" s="2" cm="1">
        <f t="array" ref="M146">SUMPRODUCT(--($L$6:$L$300&lt;&gt;1),--($C$6:$C$300=$C146),$H$6:$H$300)/SUMPRODUCT(--($L$6:$L$300&lt;&gt;1),--($C$6:$C$300=$C146),$E$6:$E$300)</f>
        <v>541.95489918408634</v>
      </c>
      <c r="N146" s="1" cm="1">
        <f t="array" ref="N146">SUMPRODUCT(--($L$6:$L$300&lt;&gt;1),--($C$6:$C$300=$C146))</f>
        <v>69</v>
      </c>
      <c r="O146" s="3">
        <f t="shared" si="21"/>
        <v>2440.8232232372329</v>
      </c>
      <c r="P146" s="2" cm="1">
        <f t="array" ref="P146">SQRT(SUMPRODUCT(--($L$6:$L$300&lt;&gt;1),--($C$6:$C$300=$C146),$E$6:$E$300,$O$6:$O$300)/((N146-1)*SUMPRODUCT(--($L$6:$L$300&lt;&gt;1),--($C$6:$C$300=$C146),$E$6:$E$300)/N146))</f>
        <v>187.73196054161087</v>
      </c>
      <c r="Q146" s="2">
        <f t="shared" si="15"/>
        <v>301.36671124922771</v>
      </c>
      <c r="R146" s="2">
        <f t="shared" si="15"/>
        <v>782.54308711894498</v>
      </c>
      <c r="S146" s="2">
        <f t="shared" si="22"/>
        <v>591.35958745592177</v>
      </c>
    </row>
    <row r="147" spans="2:19" x14ac:dyDescent="0.3">
      <c r="B147">
        <v>503</v>
      </c>
      <c r="C147" s="25">
        <v>7</v>
      </c>
      <c r="D147" s="32" t="s">
        <v>178</v>
      </c>
      <c r="E147" s="125">
        <f>INDEX('Revised 2019 Lockdown'!H$5:H$257,MATCH(B147,'Revised 2019 Lockdown'!B$5:B$257,0))</f>
        <v>391.2185740323925</v>
      </c>
      <c r="F147" s="7">
        <f>INDEX('Revised 2019 Lockdown'!E$5:E$257,MATCH(B147,'Revised 2019 Lockdown'!B$5:B$257,0))</f>
        <v>213000.07</v>
      </c>
      <c r="G147" s="7">
        <f>INDEX('Revised 2019 Lockdown'!F$5:F$257,MATCH(B147,'Revised 2019 Lockdown'!B$5:B$257,0))</f>
        <v>33972.22</v>
      </c>
      <c r="H147" s="7">
        <f t="shared" si="17"/>
        <v>179027.85</v>
      </c>
      <c r="I147" s="6">
        <f t="shared" si="18"/>
        <v>457.61592593805807</v>
      </c>
      <c r="J147" s="6">
        <f t="shared" si="19"/>
        <v>457.61592593805807</v>
      </c>
      <c r="K147" s="5">
        <f t="shared" si="20"/>
        <v>179027.85</v>
      </c>
      <c r="L147" s="4">
        <f t="shared" si="16"/>
        <v>0</v>
      </c>
      <c r="M147" s="2" cm="1">
        <f t="array" ref="M147">SUMPRODUCT(--($L$6:$L$300&lt;&gt;1),--($C$6:$C$300=$C147),$H$6:$H$300)/SUMPRODUCT(--($L$6:$L$300&lt;&gt;1),--($C$6:$C$300=$C147),$E$6:$E$300)</f>
        <v>541.95489918408634</v>
      </c>
      <c r="N147" s="1" cm="1">
        <f t="array" ref="N147">SUMPRODUCT(--($L$6:$L$300&lt;&gt;1),--($C$6:$C$300=$C147))</f>
        <v>69</v>
      </c>
      <c r="O147" s="3">
        <f t="shared" si="21"/>
        <v>7113.0624081942733</v>
      </c>
      <c r="P147" s="2" cm="1">
        <f t="array" ref="P147">SQRT(SUMPRODUCT(--($L$6:$L$300&lt;&gt;1),--($C$6:$C$300=$C147),$E$6:$E$300,$O$6:$O$300)/((N147-1)*SUMPRODUCT(--($L$6:$L$300&lt;&gt;1),--($C$6:$C$300=$C147),$E$6:$E$300)/N147))</f>
        <v>187.73196054161087</v>
      </c>
      <c r="Q147" s="2">
        <f t="shared" si="15"/>
        <v>301.36671124922771</v>
      </c>
      <c r="R147" s="2">
        <f t="shared" si="15"/>
        <v>782.54308711894498</v>
      </c>
      <c r="S147" s="2">
        <f t="shared" si="22"/>
        <v>457.61592593805807</v>
      </c>
    </row>
    <row r="148" spans="2:19" x14ac:dyDescent="0.3">
      <c r="B148">
        <v>510</v>
      </c>
      <c r="C148" s="25">
        <v>7</v>
      </c>
      <c r="D148" s="32" t="s">
        <v>179</v>
      </c>
      <c r="E148" s="125">
        <f>INDEX('Revised 2019 Lockdown'!H$5:H$257,MATCH(B148,'Revised 2019 Lockdown'!B$5:B$257,0))</f>
        <v>507.29892721805413</v>
      </c>
      <c r="F148" s="7">
        <f>INDEX('Revised 2019 Lockdown'!E$5:E$257,MATCH(B148,'Revised 2019 Lockdown'!B$5:B$257,0))</f>
        <v>285919.75</v>
      </c>
      <c r="G148" s="7">
        <f>INDEX('Revised 2019 Lockdown'!F$5:F$257,MATCH(B148,'Revised 2019 Lockdown'!B$5:B$257,0))</f>
        <v>1071</v>
      </c>
      <c r="H148" s="7">
        <f t="shared" si="17"/>
        <v>284848.75</v>
      </c>
      <c r="I148" s="6">
        <f t="shared" si="18"/>
        <v>561.50079315575294</v>
      </c>
      <c r="J148" s="6">
        <f t="shared" si="19"/>
        <v>561.50079315575294</v>
      </c>
      <c r="K148" s="5">
        <f t="shared" si="20"/>
        <v>284848.75</v>
      </c>
      <c r="L148" s="4">
        <f t="shared" si="16"/>
        <v>0</v>
      </c>
      <c r="M148" s="2" cm="1">
        <f t="array" ref="M148">SUMPRODUCT(--($L$6:$L$300&lt;&gt;1),--($C$6:$C$300=$C148),$H$6:$H$300)/SUMPRODUCT(--($L$6:$L$300&lt;&gt;1),--($C$6:$C$300=$C148),$E$6:$E$300)</f>
        <v>541.95489918408634</v>
      </c>
      <c r="N148" s="1" cm="1">
        <f t="array" ref="N148">SUMPRODUCT(--($L$6:$L$300&lt;&gt;1),--($C$6:$C$300=$C148))</f>
        <v>69</v>
      </c>
      <c r="O148" s="3">
        <f t="shared" si="21"/>
        <v>382.04197115163277</v>
      </c>
      <c r="P148" s="2" cm="1">
        <f t="array" ref="P148">SQRT(SUMPRODUCT(--($L$6:$L$300&lt;&gt;1),--($C$6:$C$300=$C148),$E$6:$E$300,$O$6:$O$300)/((N148-1)*SUMPRODUCT(--($L$6:$L$300&lt;&gt;1),--($C$6:$C$300=$C148),$E$6:$E$300)/N148))</f>
        <v>187.73196054161087</v>
      </c>
      <c r="Q148" s="2">
        <f t="shared" si="15"/>
        <v>301.36671124922771</v>
      </c>
      <c r="R148" s="2">
        <f t="shared" si="15"/>
        <v>782.54308711894498</v>
      </c>
      <c r="S148" s="2">
        <f t="shared" si="22"/>
        <v>561.50079315575294</v>
      </c>
    </row>
    <row r="149" spans="2:19" x14ac:dyDescent="0.3">
      <c r="B149">
        <v>531</v>
      </c>
      <c r="C149" s="25">
        <v>7</v>
      </c>
      <c r="D149" s="32" t="s">
        <v>180</v>
      </c>
      <c r="E149" s="125">
        <f>INDEX('Revised 2019 Lockdown'!H$5:H$257,MATCH(B149,'Revised 2019 Lockdown'!B$5:B$257,0))</f>
        <v>1984.57</v>
      </c>
      <c r="F149" s="7">
        <f>INDEX('Revised 2019 Lockdown'!E$5:E$257,MATCH(B149,'Revised 2019 Lockdown'!B$5:B$257,0))</f>
        <v>629818.71</v>
      </c>
      <c r="G149" s="7">
        <f>INDEX('Revised 2019 Lockdown'!F$5:F$257,MATCH(B149,'Revised 2019 Lockdown'!B$5:B$257,0))</f>
        <v>2609.7399999999998</v>
      </c>
      <c r="H149" s="7">
        <f t="shared" si="17"/>
        <v>627208.97</v>
      </c>
      <c r="I149" s="6">
        <f t="shared" si="18"/>
        <v>316.04275485369624</v>
      </c>
      <c r="J149" s="6">
        <f t="shared" si="19"/>
        <v>316.04275485369624</v>
      </c>
      <c r="K149" s="5">
        <f t="shared" si="20"/>
        <v>627208.97</v>
      </c>
      <c r="L149" s="4">
        <f t="shared" si="16"/>
        <v>0</v>
      </c>
      <c r="M149" s="2" cm="1">
        <f t="array" ref="M149">SUMPRODUCT(--($L$6:$L$300&lt;&gt;1),--($C$6:$C$300=$C149),$H$6:$H$300)/SUMPRODUCT(--($L$6:$L$300&lt;&gt;1),--($C$6:$C$300=$C149),$E$6:$E$300)</f>
        <v>541.95489918408634</v>
      </c>
      <c r="N149" s="1" cm="1">
        <f t="array" ref="N149">SUMPRODUCT(--($L$6:$L$300&lt;&gt;1),--($C$6:$C$300=$C149))</f>
        <v>69</v>
      </c>
      <c r="O149" s="3">
        <f t="shared" si="21"/>
        <v>51036.296955955011</v>
      </c>
      <c r="P149" s="2" cm="1">
        <f t="array" ref="P149">SQRT(SUMPRODUCT(--($L$6:$L$300&lt;&gt;1),--($C$6:$C$300=$C149),$E$6:$E$300,$O$6:$O$300)/((N149-1)*SUMPRODUCT(--($L$6:$L$300&lt;&gt;1),--($C$6:$C$300=$C149),$E$6:$E$300)/N149))</f>
        <v>187.73196054161087</v>
      </c>
      <c r="Q149" s="2">
        <f t="shared" si="15"/>
        <v>301.36671124922771</v>
      </c>
      <c r="R149" s="2">
        <f t="shared" si="15"/>
        <v>782.54308711894498</v>
      </c>
      <c r="S149" s="2">
        <f t="shared" si="22"/>
        <v>316.04275485369624</v>
      </c>
    </row>
    <row r="150" spans="2:19" x14ac:dyDescent="0.3">
      <c r="B150">
        <v>551</v>
      </c>
      <c r="C150" s="25">
        <v>7</v>
      </c>
      <c r="D150" s="32" t="s">
        <v>182</v>
      </c>
      <c r="E150" s="125">
        <f>INDEX('Revised 2019 Lockdown'!H$5:H$257,MATCH(B150,'Revised 2019 Lockdown'!B$5:B$257,0))</f>
        <v>153.38752675955698</v>
      </c>
      <c r="F150" s="7">
        <f>INDEX('Revised 2019 Lockdown'!E$5:E$257,MATCH(B150,'Revised 2019 Lockdown'!B$5:B$257,0))</f>
        <v>117853.72</v>
      </c>
      <c r="G150" s="7">
        <f>INDEX('Revised 2019 Lockdown'!F$5:F$257,MATCH(B150,'Revised 2019 Lockdown'!B$5:B$257,0))</f>
        <v>72</v>
      </c>
      <c r="H150" s="7">
        <f t="shared" si="17"/>
        <v>117781.72</v>
      </c>
      <c r="I150" s="6">
        <f t="shared" si="18"/>
        <v>767.87025965044108</v>
      </c>
      <c r="J150" s="6">
        <f t="shared" si="19"/>
        <v>767.87025965044108</v>
      </c>
      <c r="K150" s="5">
        <f t="shared" si="20"/>
        <v>117781.72</v>
      </c>
      <c r="L150" s="4">
        <f t="shared" si="16"/>
        <v>0</v>
      </c>
      <c r="M150" s="2" cm="1">
        <f t="array" ref="M150">SUMPRODUCT(--($L$6:$L$300&lt;&gt;1),--($C$6:$C$300=$C150),$H$6:$H$300)/SUMPRODUCT(--($L$6:$L$300&lt;&gt;1),--($C$6:$C$300=$C150),$E$6:$E$300)</f>
        <v>541.95489918408634</v>
      </c>
      <c r="N150" s="1" cm="1">
        <f t="array" ref="N150">SUMPRODUCT(--($L$6:$L$300&lt;&gt;1),--($C$6:$C$300=$C150))</f>
        <v>69</v>
      </c>
      <c r="O150" s="3">
        <f t="shared" si="21"/>
        <v>51037.750094643001</v>
      </c>
      <c r="P150" s="2" cm="1">
        <f t="array" ref="P150">SQRT(SUMPRODUCT(--($L$6:$L$300&lt;&gt;1),--($C$6:$C$300=$C150),$E$6:$E$300,$O$6:$O$300)/((N150-1)*SUMPRODUCT(--($L$6:$L$300&lt;&gt;1),--($C$6:$C$300=$C150),$E$6:$E$300)/N150))</f>
        <v>187.73196054161087</v>
      </c>
      <c r="Q150" s="2">
        <f t="shared" si="15"/>
        <v>301.36671124922771</v>
      </c>
      <c r="R150" s="2">
        <f t="shared" si="15"/>
        <v>782.54308711894498</v>
      </c>
      <c r="S150" s="2">
        <f t="shared" si="22"/>
        <v>767.87025965044108</v>
      </c>
    </row>
    <row r="151" spans="2:19" x14ac:dyDescent="0.3">
      <c r="B151">
        <v>555</v>
      </c>
      <c r="C151" s="25">
        <v>7</v>
      </c>
      <c r="D151" s="32" t="s">
        <v>183</v>
      </c>
      <c r="E151" s="125">
        <f>INDEX('Revised 2019 Lockdown'!H$5:H$257,MATCH(B151,'Revised 2019 Lockdown'!B$5:B$257,0))</f>
        <v>517.66764141679323</v>
      </c>
      <c r="F151" s="7">
        <f>INDEX('Revised 2019 Lockdown'!E$5:E$257,MATCH(B151,'Revised 2019 Lockdown'!B$5:B$257,0))</f>
        <v>492608.68</v>
      </c>
      <c r="G151" s="7">
        <f>INDEX('Revised 2019 Lockdown'!F$5:F$257,MATCH(B151,'Revised 2019 Lockdown'!B$5:B$257,0))</f>
        <v>497.7</v>
      </c>
      <c r="H151" s="7">
        <f t="shared" si="17"/>
        <v>492110.98</v>
      </c>
      <c r="I151" s="6">
        <f t="shared" si="18"/>
        <v>950.63113980459013</v>
      </c>
      <c r="J151" s="6">
        <f t="shared" si="19"/>
        <v>782.54308711894498</v>
      </c>
      <c r="K151" s="5">
        <f t="shared" si="20"/>
        <v>405097.23421588039</v>
      </c>
      <c r="L151" s="4">
        <f t="shared" si="16"/>
        <v>0</v>
      </c>
      <c r="M151" s="2" cm="1">
        <f t="array" ref="M151">SUMPRODUCT(--($L$6:$L$300&lt;&gt;1),--($C$6:$C$300=$C151),$H$6:$H$300)/SUMPRODUCT(--($L$6:$L$300&lt;&gt;1),--($C$6:$C$300=$C151),$E$6:$E$300)</f>
        <v>541.95489918408634</v>
      </c>
      <c r="N151" s="1" cm="1">
        <f t="array" ref="N151">SUMPRODUCT(--($L$6:$L$300&lt;&gt;1),--($C$6:$C$300=$C151))</f>
        <v>69</v>
      </c>
      <c r="O151" s="3">
        <f t="shared" si="21"/>
        <v>167016.2696477079</v>
      </c>
      <c r="P151" s="2" cm="1">
        <f t="array" ref="P151">SQRT(SUMPRODUCT(--($L$6:$L$300&lt;&gt;1),--($C$6:$C$300=$C151),$E$6:$E$300,$O$6:$O$300)/((N151-1)*SUMPRODUCT(--($L$6:$L$300&lt;&gt;1),--($C$6:$C$300=$C151),$E$6:$E$300)/N151))</f>
        <v>187.73196054161087</v>
      </c>
      <c r="Q151" s="2">
        <f t="shared" si="15"/>
        <v>301.36671124922771</v>
      </c>
      <c r="R151" s="2">
        <f t="shared" si="15"/>
        <v>782.54308711894498</v>
      </c>
      <c r="S151" s="2">
        <f t="shared" si="22"/>
        <v>782.54308711894498</v>
      </c>
    </row>
    <row r="152" spans="2:19" x14ac:dyDescent="0.3">
      <c r="B152">
        <v>556</v>
      </c>
      <c r="C152" s="25">
        <v>7</v>
      </c>
      <c r="D152" s="32" t="s">
        <v>184</v>
      </c>
      <c r="E152" s="125">
        <f>INDEX('Revised 2019 Lockdown'!H$5:H$257,MATCH(B152,'Revised 2019 Lockdown'!B$5:B$257,0))</f>
        <v>429.57419276527332</v>
      </c>
      <c r="F152" s="7">
        <f>INDEX('Revised 2019 Lockdown'!E$5:E$257,MATCH(B152,'Revised 2019 Lockdown'!B$5:B$257,0))</f>
        <v>251644.37</v>
      </c>
      <c r="G152" s="7">
        <f>INDEX('Revised 2019 Lockdown'!F$5:F$257,MATCH(B152,'Revised 2019 Lockdown'!B$5:B$257,0))</f>
        <v>73939.33</v>
      </c>
      <c r="H152" s="7">
        <f t="shared" si="17"/>
        <v>177705.03999999998</v>
      </c>
      <c r="I152" s="6">
        <f t="shared" si="18"/>
        <v>413.67717845448192</v>
      </c>
      <c r="J152" s="6">
        <f t="shared" si="19"/>
        <v>413.67717845448192</v>
      </c>
      <c r="K152" s="5">
        <f t="shared" si="20"/>
        <v>177705.03999999998</v>
      </c>
      <c r="L152" s="4">
        <f t="shared" si="16"/>
        <v>0</v>
      </c>
      <c r="M152" s="2" cm="1">
        <f t="array" ref="M152">SUMPRODUCT(--($L$6:$L$300&lt;&gt;1),--($C$6:$C$300=$C152),$H$6:$H$300)/SUMPRODUCT(--($L$6:$L$300&lt;&gt;1),--($C$6:$C$300=$C152),$E$6:$E$300)</f>
        <v>541.95489918408634</v>
      </c>
      <c r="N152" s="1" cm="1">
        <f t="array" ref="N152">SUMPRODUCT(--($L$6:$L$300&lt;&gt;1),--($C$6:$C$300=$C152))</f>
        <v>69</v>
      </c>
      <c r="O152" s="3">
        <f t="shared" si="21"/>
        <v>16455.173635582385</v>
      </c>
      <c r="P152" s="2" cm="1">
        <f t="array" ref="P152">SQRT(SUMPRODUCT(--($L$6:$L$300&lt;&gt;1),--($C$6:$C$300=$C152),$E$6:$E$300,$O$6:$O$300)/((N152-1)*SUMPRODUCT(--($L$6:$L$300&lt;&gt;1),--($C$6:$C$300=$C152),$E$6:$E$300)/N152))</f>
        <v>187.73196054161087</v>
      </c>
      <c r="Q152" s="2">
        <f t="shared" si="15"/>
        <v>301.36671124922771</v>
      </c>
      <c r="R152" s="2">
        <f t="shared" si="15"/>
        <v>782.54308711894498</v>
      </c>
      <c r="S152" s="2">
        <f t="shared" si="22"/>
        <v>413.67717845448192</v>
      </c>
    </row>
    <row r="153" spans="2:19" x14ac:dyDescent="0.3">
      <c r="B153">
        <v>558</v>
      </c>
      <c r="C153" s="25">
        <v>7</v>
      </c>
      <c r="D153" s="32" t="s">
        <v>185</v>
      </c>
      <c r="E153" s="125">
        <f>INDEX('Revised 2019 Lockdown'!H$5:H$257,MATCH(B153,'Revised 2019 Lockdown'!B$5:B$257,0))</f>
        <v>390.35176357334609</v>
      </c>
      <c r="F153" s="7">
        <f>INDEX('Revised 2019 Lockdown'!E$5:E$257,MATCH(B153,'Revised 2019 Lockdown'!B$5:B$257,0))</f>
        <v>237481.28</v>
      </c>
      <c r="G153" s="7">
        <f>INDEX('Revised 2019 Lockdown'!F$5:F$257,MATCH(B153,'Revised 2019 Lockdown'!B$5:B$257,0))</f>
        <v>9049.75</v>
      </c>
      <c r="H153" s="7">
        <f t="shared" si="17"/>
        <v>228431.53</v>
      </c>
      <c r="I153" s="6">
        <f t="shared" si="18"/>
        <v>585.19405140865547</v>
      </c>
      <c r="J153" s="6">
        <f t="shared" si="19"/>
        <v>585.19405140865547</v>
      </c>
      <c r="K153" s="5">
        <f t="shared" si="20"/>
        <v>228431.53000000003</v>
      </c>
      <c r="L153" s="4">
        <f t="shared" si="16"/>
        <v>0</v>
      </c>
      <c r="M153" s="2" cm="1">
        <f t="array" ref="M153">SUMPRODUCT(--($L$6:$L$300&lt;&gt;1),--($C$6:$C$300=$C153),$H$6:$H$300)/SUMPRODUCT(--($L$6:$L$300&lt;&gt;1),--($C$6:$C$300=$C153),$E$6:$E$300)</f>
        <v>541.95489918408634</v>
      </c>
      <c r="N153" s="1" cm="1">
        <f t="array" ref="N153">SUMPRODUCT(--($L$6:$L$300&lt;&gt;1),--($C$6:$C$300=$C153))</f>
        <v>69</v>
      </c>
      <c r="O153" s="3">
        <f t="shared" si="21"/>
        <v>1869.6242850994611</v>
      </c>
      <c r="P153" s="2" cm="1">
        <f t="array" ref="P153">SQRT(SUMPRODUCT(--($L$6:$L$300&lt;&gt;1),--($C$6:$C$300=$C153),$E$6:$E$300,$O$6:$O$300)/((N153-1)*SUMPRODUCT(--($L$6:$L$300&lt;&gt;1),--($C$6:$C$300=$C153),$E$6:$E$300)/N153))</f>
        <v>187.73196054161087</v>
      </c>
      <c r="Q153" s="2">
        <f t="shared" si="15"/>
        <v>301.36671124922771</v>
      </c>
      <c r="R153" s="2">
        <f t="shared" si="15"/>
        <v>782.54308711894498</v>
      </c>
      <c r="S153" s="2">
        <f t="shared" si="22"/>
        <v>585.19405140865547</v>
      </c>
    </row>
    <row r="154" spans="2:19" x14ac:dyDescent="0.3">
      <c r="B154">
        <v>600</v>
      </c>
      <c r="C154" s="25">
        <v>7</v>
      </c>
      <c r="D154" s="32" t="s">
        <v>186</v>
      </c>
      <c r="E154" s="125">
        <f>INDEX('Revised 2019 Lockdown'!H$5:H$257,MATCH(B154,'Revised 2019 Lockdown'!B$5:B$257,0))</f>
        <v>754.93</v>
      </c>
      <c r="F154" s="7">
        <f>INDEX('Revised 2019 Lockdown'!E$5:E$257,MATCH(B154,'Revised 2019 Lockdown'!B$5:B$257,0))</f>
        <v>289349.82</v>
      </c>
      <c r="G154" s="7">
        <f>INDEX('Revised 2019 Lockdown'!F$5:F$257,MATCH(B154,'Revised 2019 Lockdown'!B$5:B$257,0))</f>
        <v>0</v>
      </c>
      <c r="H154" s="7">
        <f t="shared" si="17"/>
        <v>289349.82</v>
      </c>
      <c r="I154" s="6">
        <f t="shared" si="18"/>
        <v>383.28033062668067</v>
      </c>
      <c r="J154" s="6">
        <f t="shared" si="19"/>
        <v>383.28033062668067</v>
      </c>
      <c r="K154" s="5">
        <f t="shared" si="20"/>
        <v>289349.82</v>
      </c>
      <c r="L154" s="4">
        <f t="shared" si="16"/>
        <v>0</v>
      </c>
      <c r="M154" s="2" cm="1">
        <f t="array" ref="M154">SUMPRODUCT(--($L$6:$L$300&lt;&gt;1),--($C$6:$C$300=$C154),$H$6:$H$300)/SUMPRODUCT(--($L$6:$L$300&lt;&gt;1),--($C$6:$C$300=$C154),$E$6:$E$300)</f>
        <v>541.95489918408634</v>
      </c>
      <c r="N154" s="1" cm="1">
        <f t="array" ref="N154">SUMPRODUCT(--($L$6:$L$300&lt;&gt;1),--($C$6:$C$300=$C154))</f>
        <v>69</v>
      </c>
      <c r="O154" s="3">
        <f t="shared" si="21"/>
        <v>25177.618706878835</v>
      </c>
      <c r="P154" s="2" cm="1">
        <f t="array" ref="P154">SQRT(SUMPRODUCT(--($L$6:$L$300&lt;&gt;1),--($C$6:$C$300=$C154),$E$6:$E$300,$O$6:$O$300)/((N154-1)*SUMPRODUCT(--($L$6:$L$300&lt;&gt;1),--($C$6:$C$300=$C154),$E$6:$E$300)/N154))</f>
        <v>187.73196054161087</v>
      </c>
      <c r="Q154" s="2">
        <f t="shared" si="15"/>
        <v>301.36671124922771</v>
      </c>
      <c r="R154" s="2">
        <f t="shared" si="15"/>
        <v>782.54308711894498</v>
      </c>
      <c r="S154" s="2">
        <f t="shared" si="22"/>
        <v>383.28033062668067</v>
      </c>
    </row>
    <row r="155" spans="2:19" x14ac:dyDescent="0.3">
      <c r="B155">
        <v>604</v>
      </c>
      <c r="C155" s="25">
        <v>7</v>
      </c>
      <c r="D155" s="32" t="s">
        <v>187</v>
      </c>
      <c r="E155" s="125">
        <f>INDEX('Revised 2019 Lockdown'!H$5:H$257,MATCH(B155,'Revised 2019 Lockdown'!B$5:B$257,0))</f>
        <v>515.3006777165001</v>
      </c>
      <c r="F155" s="7">
        <f>INDEX('Revised 2019 Lockdown'!E$5:E$257,MATCH(B155,'Revised 2019 Lockdown'!B$5:B$257,0))</f>
        <v>227300.68</v>
      </c>
      <c r="G155" s="7">
        <f>INDEX('Revised 2019 Lockdown'!F$5:F$257,MATCH(B155,'Revised 2019 Lockdown'!B$5:B$257,0))</f>
        <v>4684.6499999999996</v>
      </c>
      <c r="H155" s="7">
        <f t="shared" si="17"/>
        <v>222616.03</v>
      </c>
      <c r="I155" s="6">
        <f t="shared" si="18"/>
        <v>432.01190999107388</v>
      </c>
      <c r="J155" s="6">
        <f t="shared" si="19"/>
        <v>432.01190999107388</v>
      </c>
      <c r="K155" s="5">
        <f t="shared" si="20"/>
        <v>222616.03</v>
      </c>
      <c r="L155" s="4">
        <f t="shared" si="16"/>
        <v>0</v>
      </c>
      <c r="M155" s="2" cm="1">
        <f t="array" ref="M155">SUMPRODUCT(--($L$6:$L$300&lt;&gt;1),--($C$6:$C$300=$C155),$H$6:$H$300)/SUMPRODUCT(--($L$6:$L$300&lt;&gt;1),--($C$6:$C$300=$C155),$E$6:$E$300)</f>
        <v>541.95489918408634</v>
      </c>
      <c r="N155" s="1" cm="1">
        <f t="array" ref="N155">SUMPRODUCT(--($L$6:$L$300&lt;&gt;1),--($C$6:$C$300=$C155))</f>
        <v>69</v>
      </c>
      <c r="O155" s="3">
        <f t="shared" si="21"/>
        <v>12087.460872694855</v>
      </c>
      <c r="P155" s="2" cm="1">
        <f t="array" ref="P155">SQRT(SUMPRODUCT(--($L$6:$L$300&lt;&gt;1),--($C$6:$C$300=$C155),$E$6:$E$300,$O$6:$O$300)/((N155-1)*SUMPRODUCT(--($L$6:$L$300&lt;&gt;1),--($C$6:$C$300=$C155),$E$6:$E$300)/N155))</f>
        <v>187.73196054161087</v>
      </c>
      <c r="Q155" s="2">
        <f t="shared" si="15"/>
        <v>301.36671124922771</v>
      </c>
      <c r="R155" s="2">
        <f t="shared" si="15"/>
        <v>782.54308711894498</v>
      </c>
      <c r="S155" s="2">
        <f t="shared" si="22"/>
        <v>432.01190999107388</v>
      </c>
    </row>
    <row r="156" spans="2:19" x14ac:dyDescent="0.3">
      <c r="B156">
        <v>612</v>
      </c>
      <c r="C156" s="25">
        <v>7</v>
      </c>
      <c r="D156" s="32" t="s">
        <v>188</v>
      </c>
      <c r="E156" s="125">
        <f>INDEX('Revised 2019 Lockdown'!H$5:H$257,MATCH(B156,'Revised 2019 Lockdown'!B$5:B$257,0))</f>
        <v>465.46763838354235</v>
      </c>
      <c r="F156" s="7">
        <f>INDEX('Revised 2019 Lockdown'!E$5:E$257,MATCH(B156,'Revised 2019 Lockdown'!B$5:B$257,0))</f>
        <v>309970.14</v>
      </c>
      <c r="G156" s="7">
        <f>INDEX('Revised 2019 Lockdown'!F$5:F$257,MATCH(B156,'Revised 2019 Lockdown'!B$5:B$257,0))</f>
        <v>6701.21</v>
      </c>
      <c r="H156" s="7">
        <f t="shared" si="17"/>
        <v>303268.93</v>
      </c>
      <c r="I156" s="6">
        <f t="shared" si="18"/>
        <v>651.53601451903376</v>
      </c>
      <c r="J156" s="6">
        <f t="shared" si="19"/>
        <v>651.53601451903376</v>
      </c>
      <c r="K156" s="5">
        <f t="shared" si="20"/>
        <v>303268.93</v>
      </c>
      <c r="L156" s="4">
        <f t="shared" si="16"/>
        <v>0</v>
      </c>
      <c r="M156" s="2" cm="1">
        <f t="array" ref="M156">SUMPRODUCT(--($L$6:$L$300&lt;&gt;1),--($C$6:$C$300=$C156),$H$6:$H$300)/SUMPRODUCT(--($L$6:$L$300&lt;&gt;1),--($C$6:$C$300=$C156),$E$6:$E$300)</f>
        <v>541.95489918408634</v>
      </c>
      <c r="N156" s="1" cm="1">
        <f t="array" ref="N156">SUMPRODUCT(--($L$6:$L$300&lt;&gt;1),--($C$6:$C$300=$C156))</f>
        <v>69</v>
      </c>
      <c r="O156" s="3">
        <f t="shared" si="21"/>
        <v>12008.020838051047</v>
      </c>
      <c r="P156" s="2" cm="1">
        <f t="array" ref="P156">SQRT(SUMPRODUCT(--($L$6:$L$300&lt;&gt;1),--($C$6:$C$300=$C156),$E$6:$E$300,$O$6:$O$300)/((N156-1)*SUMPRODUCT(--($L$6:$L$300&lt;&gt;1),--($C$6:$C$300=$C156),$E$6:$E$300)/N156))</f>
        <v>187.73196054161087</v>
      </c>
      <c r="Q156" s="2">
        <f t="shared" si="15"/>
        <v>301.36671124922771</v>
      </c>
      <c r="R156" s="2">
        <f t="shared" si="15"/>
        <v>782.54308711894498</v>
      </c>
      <c r="S156" s="2">
        <f t="shared" si="22"/>
        <v>651.53601451903376</v>
      </c>
    </row>
    <row r="157" spans="2:19" x14ac:dyDescent="0.3">
      <c r="B157">
        <v>635</v>
      </c>
      <c r="C157" s="25">
        <v>7</v>
      </c>
      <c r="D157" s="32" t="s">
        <v>293</v>
      </c>
      <c r="E157" s="125">
        <f>INDEX('Revised 2019 Lockdown'!H$5:H$257,MATCH(B157,'Revised 2019 Lockdown'!B$5:B$257,0))</f>
        <v>58.100000000000016</v>
      </c>
      <c r="F157" s="7">
        <f>INDEX('Revised 2019 Lockdown'!E$5:E$257,MATCH(B157,'Revised 2019 Lockdown'!B$5:B$257,0))</f>
        <v>38338.959999999999</v>
      </c>
      <c r="G157" s="7">
        <f>INDEX('Revised 2019 Lockdown'!F$5:F$257,MATCH(B157,'Revised 2019 Lockdown'!B$5:B$257,0))</f>
        <v>0</v>
      </c>
      <c r="H157" s="7">
        <f t="shared" si="17"/>
        <v>38338.959999999999</v>
      </c>
      <c r="I157" s="6">
        <f t="shared" si="18"/>
        <v>659.8788296041306</v>
      </c>
      <c r="J157" s="6">
        <f t="shared" si="19"/>
        <v>659.8788296041306</v>
      </c>
      <c r="K157" s="5">
        <f t="shared" si="20"/>
        <v>38338.959999999999</v>
      </c>
      <c r="L157" s="4">
        <f t="shared" si="16"/>
        <v>0</v>
      </c>
      <c r="M157" s="2" cm="1">
        <f t="array" ref="M157">SUMPRODUCT(--($L$6:$L$300&lt;&gt;1),--($C$6:$C$300=$C157),$H$6:$H$300)/SUMPRODUCT(--($L$6:$L$300&lt;&gt;1),--($C$6:$C$300=$C157),$E$6:$E$300)</f>
        <v>541.95489918408634</v>
      </c>
      <c r="N157" s="1" cm="1">
        <f t="array" ref="N157">SUMPRODUCT(--($L$6:$L$300&lt;&gt;1),--($C$6:$C$300=$C157))</f>
        <v>69</v>
      </c>
      <c r="O157" s="3">
        <f t="shared" si="21"/>
        <v>13906.053365711439</v>
      </c>
      <c r="P157" s="2" cm="1">
        <f t="array" ref="P157">SQRT(SUMPRODUCT(--($L$6:$L$300&lt;&gt;1),--($C$6:$C$300=$C157),$E$6:$E$300,$O$6:$O$300)/((N157-1)*SUMPRODUCT(--($L$6:$L$300&lt;&gt;1),--($C$6:$C$300=$C157),$E$6:$E$300)/N157))</f>
        <v>187.73196054161087</v>
      </c>
      <c r="Q157" s="2">
        <f t="shared" si="15"/>
        <v>301.36671124922771</v>
      </c>
      <c r="R157" s="2">
        <f t="shared" si="15"/>
        <v>782.54308711894498</v>
      </c>
      <c r="S157" s="2">
        <f t="shared" si="22"/>
        <v>659.8788296041306</v>
      </c>
    </row>
    <row r="158" spans="2:19" x14ac:dyDescent="0.3">
      <c r="B158">
        <v>642</v>
      </c>
      <c r="C158" s="25">
        <v>7</v>
      </c>
      <c r="D158" s="32" t="s">
        <v>310</v>
      </c>
      <c r="E158" s="125">
        <f>INDEX('Revised 2019 Lockdown'!H$5:H$257,MATCH(B158,'Revised 2019 Lockdown'!B$5:B$257,0))</f>
        <v>131.41386363582231</v>
      </c>
      <c r="F158" s="7">
        <f>INDEX('Revised 2019 Lockdown'!E$5:E$257,MATCH(B158,'Revised 2019 Lockdown'!B$5:B$257,0))</f>
        <v>68196.52</v>
      </c>
      <c r="G158" s="7">
        <f>INDEX('Revised 2019 Lockdown'!F$5:F$257,MATCH(B158,'Revised 2019 Lockdown'!B$5:B$257,0))</f>
        <v>0</v>
      </c>
      <c r="H158" s="7">
        <f t="shared" si="17"/>
        <v>68196.52</v>
      </c>
      <c r="I158" s="6">
        <f t="shared" si="18"/>
        <v>518.94463881670856</v>
      </c>
      <c r="J158" s="6">
        <f t="shared" si="19"/>
        <v>518.94463881670856</v>
      </c>
      <c r="K158" s="5">
        <f t="shared" si="20"/>
        <v>68196.52</v>
      </c>
      <c r="L158" s="4">
        <f t="shared" si="16"/>
        <v>0</v>
      </c>
      <c r="M158" s="2" cm="1">
        <f t="array" ref="M158">SUMPRODUCT(--($L$6:$L$300&lt;&gt;1),--($C$6:$C$300=$C158),$H$6:$H$300)/SUMPRODUCT(--($L$6:$L$300&lt;&gt;1),--($C$6:$C$300=$C158),$E$6:$E$300)</f>
        <v>541.95489918408634</v>
      </c>
      <c r="N158" s="1" cm="1">
        <f t="array" ref="N158">SUMPRODUCT(--($L$6:$L$300&lt;&gt;1),--($C$6:$C$300=$C158))</f>
        <v>69</v>
      </c>
      <c r="O158" s="3">
        <f t="shared" si="21"/>
        <v>529.47208217451669</v>
      </c>
      <c r="P158" s="2" cm="1">
        <f t="array" ref="P158">SQRT(SUMPRODUCT(--($L$6:$L$300&lt;&gt;1),--($C$6:$C$300=$C158),$E$6:$E$300,$O$6:$O$300)/((N158-1)*SUMPRODUCT(--($L$6:$L$300&lt;&gt;1),--($C$6:$C$300=$C158),$E$6:$E$300)/N158))</f>
        <v>187.73196054161087</v>
      </c>
      <c r="Q158" s="2">
        <f t="shared" si="15"/>
        <v>301.36671124922771</v>
      </c>
      <c r="R158" s="2">
        <f t="shared" si="15"/>
        <v>782.54308711894498</v>
      </c>
      <c r="S158" s="2">
        <f t="shared" si="22"/>
        <v>518.94463881670856</v>
      </c>
    </row>
    <row r="159" spans="2:19" x14ac:dyDescent="0.3">
      <c r="B159">
        <v>643</v>
      </c>
      <c r="C159" s="25">
        <v>7</v>
      </c>
      <c r="D159" s="32" t="s">
        <v>311</v>
      </c>
      <c r="E159" s="125">
        <f>INDEX('Revised 2019 Lockdown'!H$5:H$257,MATCH(B159,'Revised 2019 Lockdown'!B$5:B$257,0))</f>
        <v>8.1079758961533877</v>
      </c>
      <c r="F159" s="7">
        <f>INDEX('Revised 2019 Lockdown'!E$5:E$257,MATCH(B159,'Revised 2019 Lockdown'!B$5:B$257,0))</f>
        <v>25324.71</v>
      </c>
      <c r="G159" s="7">
        <f>INDEX('Revised 2019 Lockdown'!F$5:F$257,MATCH(B159,'Revised 2019 Lockdown'!B$5:B$257,0))</f>
        <v>0</v>
      </c>
      <c r="H159" s="7">
        <f t="shared" si="17"/>
        <v>25324.71</v>
      </c>
      <c r="I159" s="6">
        <f t="shared" si="18"/>
        <v>3123.4318311200986</v>
      </c>
      <c r="J159" s="6">
        <f t="shared" si="19"/>
        <v>782.54308711894498</v>
      </c>
      <c r="K159" s="5">
        <f t="shared" si="20"/>
        <v>6344.8404880618664</v>
      </c>
      <c r="L159" s="4">
        <f t="shared" si="16"/>
        <v>0</v>
      </c>
      <c r="M159" s="2" cm="1">
        <f t="array" ref="M159">SUMPRODUCT(--($L$6:$L$300&lt;&gt;1),--($C$6:$C$300=$C159),$H$6:$H$300)/SUMPRODUCT(--($L$6:$L$300&lt;&gt;1),--($C$6:$C$300=$C159),$E$6:$E$300)</f>
        <v>541.95489918408634</v>
      </c>
      <c r="N159" s="1" cm="1">
        <f t="array" ref="N159">SUMPRODUCT(--($L$6:$L$300&lt;&gt;1),--($C$6:$C$300=$C159))</f>
        <v>69</v>
      </c>
      <c r="O159" s="3">
        <f t="shared" si="21"/>
        <v>6664023.1501177661</v>
      </c>
      <c r="P159" s="2" cm="1">
        <f t="array" ref="P159">SQRT(SUMPRODUCT(--($L$6:$L$300&lt;&gt;1),--($C$6:$C$300=$C159),$E$6:$E$300,$O$6:$O$300)/((N159-1)*SUMPRODUCT(--($L$6:$L$300&lt;&gt;1),--($C$6:$C$300=$C159),$E$6:$E$300)/N159))</f>
        <v>187.73196054161087</v>
      </c>
      <c r="Q159" s="2">
        <f t="shared" si="15"/>
        <v>301.36671124922771</v>
      </c>
      <c r="R159" s="2">
        <f t="shared" si="15"/>
        <v>782.54308711894498</v>
      </c>
      <c r="S159" s="2">
        <f t="shared" si="22"/>
        <v>782.54308711894498</v>
      </c>
    </row>
    <row r="160" spans="2:19" x14ac:dyDescent="0.3">
      <c r="B160">
        <v>711</v>
      </c>
      <c r="C160" s="25">
        <v>7</v>
      </c>
      <c r="D160" s="32" t="s">
        <v>189</v>
      </c>
      <c r="E160" s="125">
        <f>INDEX('Revised 2019 Lockdown'!H$5:H$257,MATCH(B160,'Revised 2019 Lockdown'!B$5:B$257,0))</f>
        <v>456.7</v>
      </c>
      <c r="F160" s="7">
        <f>INDEX('Revised 2019 Lockdown'!E$5:E$257,MATCH(B160,'Revised 2019 Lockdown'!B$5:B$257,0))</f>
        <v>239906.51</v>
      </c>
      <c r="G160" s="7">
        <f>INDEX('Revised 2019 Lockdown'!F$5:F$257,MATCH(B160,'Revised 2019 Lockdown'!B$5:B$257,0))</f>
        <v>6079.57</v>
      </c>
      <c r="H160" s="7">
        <f t="shared" si="17"/>
        <v>233826.94</v>
      </c>
      <c r="I160" s="6">
        <f t="shared" si="18"/>
        <v>511.99242391066349</v>
      </c>
      <c r="J160" s="6">
        <f t="shared" si="19"/>
        <v>511.99242391066349</v>
      </c>
      <c r="K160" s="5">
        <f t="shared" si="20"/>
        <v>233826.94</v>
      </c>
      <c r="L160" s="4">
        <f t="shared" si="16"/>
        <v>0</v>
      </c>
      <c r="M160" s="2" cm="1">
        <f t="array" ref="M160">SUMPRODUCT(--($L$6:$L$300&lt;&gt;1),--($C$6:$C$300=$C160),$H$6:$H$300)/SUMPRODUCT(--($L$6:$L$300&lt;&gt;1),--($C$6:$C$300=$C160),$E$6:$E$300)</f>
        <v>541.95489918408634</v>
      </c>
      <c r="N160" s="1" cm="1">
        <f t="array" ref="N160">SUMPRODUCT(--($L$6:$L$300&lt;&gt;1),--($C$6:$C$300=$C160))</f>
        <v>69</v>
      </c>
      <c r="O160" s="3">
        <f t="shared" si="21"/>
        <v>897.74992451047592</v>
      </c>
      <c r="P160" s="2" cm="1">
        <f t="array" ref="P160">SQRT(SUMPRODUCT(--($L$6:$L$300&lt;&gt;1),--($C$6:$C$300=$C160),$E$6:$E$300,$O$6:$O$300)/((N160-1)*SUMPRODUCT(--($L$6:$L$300&lt;&gt;1),--($C$6:$C$300=$C160),$E$6:$E$300)/N160))</f>
        <v>187.73196054161087</v>
      </c>
      <c r="Q160" s="2">
        <f t="shared" si="15"/>
        <v>301.36671124922771</v>
      </c>
      <c r="R160" s="2">
        <f t="shared" si="15"/>
        <v>782.54308711894498</v>
      </c>
      <c r="S160" s="2">
        <f t="shared" si="22"/>
        <v>511.99242391066349</v>
      </c>
    </row>
    <row r="161" spans="2:19" x14ac:dyDescent="0.3">
      <c r="B161">
        <v>712</v>
      </c>
      <c r="C161" s="25">
        <v>7</v>
      </c>
      <c r="D161" s="32" t="s">
        <v>190</v>
      </c>
      <c r="E161" s="125">
        <f>INDEX('Revised 2019 Lockdown'!H$5:H$257,MATCH(B161,'Revised 2019 Lockdown'!B$5:B$257,0))</f>
        <v>732.75000000000011</v>
      </c>
      <c r="F161" s="7">
        <f>INDEX('Revised 2019 Lockdown'!E$5:E$257,MATCH(B161,'Revised 2019 Lockdown'!B$5:B$257,0))</f>
        <v>294954.17</v>
      </c>
      <c r="G161" s="7">
        <f>INDEX('Revised 2019 Lockdown'!F$5:F$257,MATCH(B161,'Revised 2019 Lockdown'!B$5:B$257,0))</f>
        <v>0</v>
      </c>
      <c r="H161" s="7">
        <f t="shared" si="17"/>
        <v>294954.17</v>
      </c>
      <c r="I161" s="6">
        <f t="shared" si="18"/>
        <v>402.53042647560551</v>
      </c>
      <c r="J161" s="6">
        <f t="shared" si="19"/>
        <v>402.53042647560551</v>
      </c>
      <c r="K161" s="5">
        <f t="shared" si="20"/>
        <v>294954.17</v>
      </c>
      <c r="L161" s="4">
        <f t="shared" si="16"/>
        <v>0</v>
      </c>
      <c r="M161" s="2" cm="1">
        <f t="array" ref="M161">SUMPRODUCT(--($L$6:$L$300&lt;&gt;1),--($C$6:$C$300=$C161),$H$6:$H$300)/SUMPRODUCT(--($L$6:$L$300&lt;&gt;1),--($C$6:$C$300=$C161),$E$6:$E$300)</f>
        <v>541.95489918408634</v>
      </c>
      <c r="N161" s="1" cm="1">
        <f t="array" ref="N161">SUMPRODUCT(--($L$6:$L$300&lt;&gt;1),--($C$6:$C$300=$C161))</f>
        <v>69</v>
      </c>
      <c r="O161" s="3">
        <f t="shared" si="21"/>
        <v>19439.183590037916</v>
      </c>
      <c r="P161" s="2" cm="1">
        <f t="array" ref="P161">SQRT(SUMPRODUCT(--($L$6:$L$300&lt;&gt;1),--($C$6:$C$300=$C161),$E$6:$E$300,$O$6:$O$300)/((N161-1)*SUMPRODUCT(--($L$6:$L$300&lt;&gt;1),--($C$6:$C$300=$C161),$E$6:$E$300)/N161))</f>
        <v>187.73196054161087</v>
      </c>
      <c r="Q161" s="2">
        <f t="shared" si="15"/>
        <v>301.36671124922771</v>
      </c>
      <c r="R161" s="2">
        <f t="shared" si="15"/>
        <v>782.54308711894498</v>
      </c>
      <c r="S161" s="2">
        <f t="shared" si="22"/>
        <v>402.53042647560551</v>
      </c>
    </row>
    <row r="162" spans="2:19" x14ac:dyDescent="0.3">
      <c r="B162">
        <v>718</v>
      </c>
      <c r="C162" s="25">
        <v>7</v>
      </c>
      <c r="D162" s="32" t="s">
        <v>191</v>
      </c>
      <c r="E162" s="125">
        <f>INDEX('Revised 2019 Lockdown'!H$5:H$257,MATCH(B162,'Revised 2019 Lockdown'!B$5:B$257,0))</f>
        <v>33.193848082682578</v>
      </c>
      <c r="F162" s="7">
        <f>INDEX('Revised 2019 Lockdown'!E$5:E$257,MATCH(B162,'Revised 2019 Lockdown'!B$5:B$257,0))</f>
        <v>24351.48</v>
      </c>
      <c r="G162" s="7">
        <f>INDEX('Revised 2019 Lockdown'!F$5:F$257,MATCH(B162,'Revised 2019 Lockdown'!B$5:B$257,0))</f>
        <v>0</v>
      </c>
      <c r="H162" s="7">
        <f t="shared" si="17"/>
        <v>24351.48</v>
      </c>
      <c r="I162" s="6">
        <f t="shared" si="18"/>
        <v>733.614251030579</v>
      </c>
      <c r="J162" s="6">
        <f t="shared" si="19"/>
        <v>733.614251030579</v>
      </c>
      <c r="K162" s="5">
        <f t="shared" si="20"/>
        <v>24351.48</v>
      </c>
      <c r="L162" s="4">
        <f t="shared" si="16"/>
        <v>0</v>
      </c>
      <c r="M162" s="2" cm="1">
        <f t="array" ref="M162">SUMPRODUCT(--($L$6:$L$300&lt;&gt;1),--($C$6:$C$300=$C162),$H$6:$H$300)/SUMPRODUCT(--($L$6:$L$300&lt;&gt;1),--($C$6:$C$300=$C162),$E$6:$E$300)</f>
        <v>541.95489918408634</v>
      </c>
      <c r="N162" s="1" cm="1">
        <f t="array" ref="N162">SUMPRODUCT(--($L$6:$L$300&lt;&gt;1),--($C$6:$C$300=$C162))</f>
        <v>69</v>
      </c>
      <c r="O162" s="3">
        <f t="shared" si="21"/>
        <v>36733.307150217668</v>
      </c>
      <c r="P162" s="2" cm="1">
        <f t="array" ref="P162">SQRT(SUMPRODUCT(--($L$6:$L$300&lt;&gt;1),--($C$6:$C$300=$C162),$E$6:$E$300,$O$6:$O$300)/((N162-1)*SUMPRODUCT(--($L$6:$L$300&lt;&gt;1),--($C$6:$C$300=$C162),$E$6:$E$300)/N162))</f>
        <v>187.73196054161087</v>
      </c>
      <c r="Q162" s="2">
        <f t="shared" si="15"/>
        <v>301.36671124922771</v>
      </c>
      <c r="R162" s="2">
        <f t="shared" si="15"/>
        <v>782.54308711894498</v>
      </c>
      <c r="S162" s="2">
        <f t="shared" si="22"/>
        <v>733.614251030579</v>
      </c>
    </row>
    <row r="163" spans="2:19" x14ac:dyDescent="0.3">
      <c r="B163">
        <v>736</v>
      </c>
      <c r="C163" s="25">
        <v>7</v>
      </c>
      <c r="D163" s="32" t="s">
        <v>192</v>
      </c>
      <c r="E163" s="125">
        <f>INDEX('Revised 2019 Lockdown'!H$5:H$257,MATCH(B163,'Revised 2019 Lockdown'!B$5:B$257,0))</f>
        <v>122.59818725735381</v>
      </c>
      <c r="F163" s="7">
        <f>INDEX('Revised 2019 Lockdown'!E$5:E$257,MATCH(B163,'Revised 2019 Lockdown'!B$5:B$257,0))</f>
        <v>112946.17</v>
      </c>
      <c r="G163" s="7">
        <f>INDEX('Revised 2019 Lockdown'!F$5:F$257,MATCH(B163,'Revised 2019 Lockdown'!B$5:B$257,0))</f>
        <v>198</v>
      </c>
      <c r="H163" s="7">
        <f t="shared" si="17"/>
        <v>112748.17</v>
      </c>
      <c r="I163" s="6">
        <f t="shared" si="18"/>
        <v>919.65609379951923</v>
      </c>
      <c r="J163" s="6">
        <f t="shared" si="19"/>
        <v>782.54308711894498</v>
      </c>
      <c r="K163" s="5">
        <f t="shared" si="20"/>
        <v>95938.36393155616</v>
      </c>
      <c r="L163" s="4">
        <f t="shared" si="16"/>
        <v>0</v>
      </c>
      <c r="M163" s="2" cm="1">
        <f t="array" ref="M163">SUMPRODUCT(--($L$6:$L$300&lt;&gt;1),--($C$6:$C$300=$C163),$H$6:$H$300)/SUMPRODUCT(--($L$6:$L$300&lt;&gt;1),--($C$6:$C$300=$C163),$E$6:$E$300)</f>
        <v>541.95489918408634</v>
      </c>
      <c r="N163" s="1" cm="1">
        <f t="array" ref="N163">SUMPRODUCT(--($L$6:$L$300&lt;&gt;1),--($C$6:$C$300=$C163))</f>
        <v>69</v>
      </c>
      <c r="O163" s="3">
        <f t="shared" si="21"/>
        <v>142658.19241392511</v>
      </c>
      <c r="P163" s="2" cm="1">
        <f t="array" ref="P163">SQRT(SUMPRODUCT(--($L$6:$L$300&lt;&gt;1),--($C$6:$C$300=$C163),$E$6:$E$300,$O$6:$O$300)/((N163-1)*SUMPRODUCT(--($L$6:$L$300&lt;&gt;1),--($C$6:$C$300=$C163),$E$6:$E$300)/N163))</f>
        <v>187.73196054161087</v>
      </c>
      <c r="Q163" s="2">
        <f t="shared" si="15"/>
        <v>301.36671124922771</v>
      </c>
      <c r="R163" s="2">
        <f t="shared" si="15"/>
        <v>782.54308711894498</v>
      </c>
      <c r="S163" s="2">
        <f t="shared" si="22"/>
        <v>782.54308711894498</v>
      </c>
    </row>
    <row r="164" spans="2:19" x14ac:dyDescent="0.3">
      <c r="B164">
        <v>757</v>
      </c>
      <c r="C164" s="25">
        <v>7</v>
      </c>
      <c r="D164" s="32" t="s">
        <v>193</v>
      </c>
      <c r="E164" s="125">
        <f>INDEX('Revised 2019 Lockdown'!H$5:H$257,MATCH(B164,'Revised 2019 Lockdown'!B$5:B$257,0))</f>
        <v>525.4</v>
      </c>
      <c r="F164" s="7">
        <f>INDEX('Revised 2019 Lockdown'!E$5:E$257,MATCH(B164,'Revised 2019 Lockdown'!B$5:B$257,0))</f>
        <v>282725.34000000003</v>
      </c>
      <c r="G164" s="7">
        <f>INDEX('Revised 2019 Lockdown'!F$5:F$257,MATCH(B164,'Revised 2019 Lockdown'!B$5:B$257,0))</f>
        <v>29075.73</v>
      </c>
      <c r="H164" s="7">
        <f t="shared" si="17"/>
        <v>253649.61000000002</v>
      </c>
      <c r="I164" s="6">
        <f t="shared" si="18"/>
        <v>482.77428625808915</v>
      </c>
      <c r="J164" s="6">
        <f t="shared" si="19"/>
        <v>482.77428625808915</v>
      </c>
      <c r="K164" s="5">
        <f t="shared" si="20"/>
        <v>253649.61000000002</v>
      </c>
      <c r="L164" s="4">
        <f t="shared" si="16"/>
        <v>0</v>
      </c>
      <c r="M164" s="2" cm="1">
        <f t="array" ref="M164">SUMPRODUCT(--($L$6:$L$300&lt;&gt;1),--($C$6:$C$300=$C164),$H$6:$H$300)/SUMPRODUCT(--($L$6:$L$300&lt;&gt;1),--($C$6:$C$300=$C164),$E$6:$E$300)</f>
        <v>541.95489918408634</v>
      </c>
      <c r="N164" s="1" cm="1">
        <f t="array" ref="N164">SUMPRODUCT(--($L$6:$L$300&lt;&gt;1),--($C$6:$C$300=$C164))</f>
        <v>69</v>
      </c>
      <c r="O164" s="3">
        <f t="shared" si="21"/>
        <v>3502.3449462967064</v>
      </c>
      <c r="P164" s="2" cm="1">
        <f t="array" ref="P164">SQRT(SUMPRODUCT(--($L$6:$L$300&lt;&gt;1),--($C$6:$C$300=$C164),$E$6:$E$300,$O$6:$O$300)/((N164-1)*SUMPRODUCT(--($L$6:$L$300&lt;&gt;1),--($C$6:$C$300=$C164),$E$6:$E$300)/N164))</f>
        <v>187.73196054161087</v>
      </c>
      <c r="Q164" s="2">
        <f t="shared" si="15"/>
        <v>301.36671124922771</v>
      </c>
      <c r="R164" s="2">
        <f t="shared" si="15"/>
        <v>782.54308711894498</v>
      </c>
      <c r="S164" s="2">
        <f t="shared" si="22"/>
        <v>482.77428625808915</v>
      </c>
    </row>
    <row r="165" spans="2:19" x14ac:dyDescent="0.3">
      <c r="B165">
        <v>786</v>
      </c>
      <c r="C165" s="25">
        <v>7</v>
      </c>
      <c r="D165" s="32" t="s">
        <v>194</v>
      </c>
      <c r="E165" s="125">
        <f>INDEX('Revised 2019 Lockdown'!H$5:H$257,MATCH(B165,'Revised 2019 Lockdown'!B$5:B$257,0))</f>
        <v>3077.6600000000003</v>
      </c>
      <c r="F165" s="7">
        <f>INDEX('Revised 2019 Lockdown'!E$5:E$257,MATCH(B165,'Revised 2019 Lockdown'!B$5:B$257,0))</f>
        <v>1688120.75</v>
      </c>
      <c r="G165" s="7">
        <f>INDEX('Revised 2019 Lockdown'!F$5:F$257,MATCH(B165,'Revised 2019 Lockdown'!B$5:B$257,0))</f>
        <v>214655.14</v>
      </c>
      <c r="H165" s="7">
        <f t="shared" si="17"/>
        <v>1473465.6099999999</v>
      </c>
      <c r="I165" s="6">
        <f t="shared" si="18"/>
        <v>478.76165983247006</v>
      </c>
      <c r="J165" s="6">
        <f t="shared" si="19"/>
        <v>478.76165983247006</v>
      </c>
      <c r="K165" s="5">
        <f t="shared" si="20"/>
        <v>1473465.6099999999</v>
      </c>
      <c r="L165" s="4">
        <f t="shared" si="16"/>
        <v>0</v>
      </c>
      <c r="M165" s="2" cm="1">
        <f t="array" ref="M165">SUMPRODUCT(--($L$6:$L$300&lt;&gt;1),--($C$6:$C$300=$C165),$H$6:$H$300)/SUMPRODUCT(--($L$6:$L$300&lt;&gt;1),--($C$6:$C$300=$C165),$E$6:$E$300)</f>
        <v>541.95489918408634</v>
      </c>
      <c r="N165" s="1" cm="1">
        <f t="array" ref="N165">SUMPRODUCT(--($L$6:$L$300&lt;&gt;1),--($C$6:$C$300=$C165))</f>
        <v>69</v>
      </c>
      <c r="O165" s="3">
        <f t="shared" si="21"/>
        <v>3993.3854997506651</v>
      </c>
      <c r="P165" s="2" cm="1">
        <f t="array" ref="P165">SQRT(SUMPRODUCT(--($L$6:$L$300&lt;&gt;1),--($C$6:$C$300=$C165),$E$6:$E$300,$O$6:$O$300)/((N165-1)*SUMPRODUCT(--($L$6:$L$300&lt;&gt;1),--($C$6:$C$300=$C165),$E$6:$E$300)/N165))</f>
        <v>187.73196054161087</v>
      </c>
      <c r="Q165" s="2">
        <f t="shared" si="15"/>
        <v>301.36671124922771</v>
      </c>
      <c r="R165" s="2">
        <f t="shared" si="15"/>
        <v>782.54308711894498</v>
      </c>
      <c r="S165" s="2">
        <f t="shared" si="22"/>
        <v>478.76165983247006</v>
      </c>
    </row>
    <row r="166" spans="2:19" x14ac:dyDescent="0.3">
      <c r="B166">
        <v>854</v>
      </c>
      <c r="C166" s="25">
        <v>7</v>
      </c>
      <c r="D166" s="32" t="s">
        <v>195</v>
      </c>
      <c r="E166" s="125">
        <f>INDEX('Revised 2019 Lockdown'!H$5:H$257,MATCH(B166,'Revised 2019 Lockdown'!B$5:B$257,0))</f>
        <v>929.24</v>
      </c>
      <c r="F166" s="7">
        <f>INDEX('Revised 2019 Lockdown'!E$5:E$257,MATCH(B166,'Revised 2019 Lockdown'!B$5:B$257,0))</f>
        <v>538668.79</v>
      </c>
      <c r="G166" s="7">
        <f>INDEX('Revised 2019 Lockdown'!F$5:F$257,MATCH(B166,'Revised 2019 Lockdown'!B$5:B$257,0))</f>
        <v>37955.19</v>
      </c>
      <c r="H166" s="7">
        <f t="shared" si="17"/>
        <v>500713.60000000003</v>
      </c>
      <c r="I166" s="6">
        <f t="shared" si="18"/>
        <v>538.84206448280315</v>
      </c>
      <c r="J166" s="6">
        <f t="shared" si="19"/>
        <v>538.84206448280315</v>
      </c>
      <c r="K166" s="5">
        <f t="shared" si="20"/>
        <v>500713.60000000003</v>
      </c>
      <c r="L166" s="4">
        <f t="shared" si="16"/>
        <v>0</v>
      </c>
      <c r="M166" s="2" cm="1">
        <f t="array" ref="M166">SUMPRODUCT(--($L$6:$L$300&lt;&gt;1),--($C$6:$C$300=$C166),$H$6:$H$300)/SUMPRODUCT(--($L$6:$L$300&lt;&gt;1),--($C$6:$C$300=$C166),$E$6:$E$300)</f>
        <v>541.95489918408634</v>
      </c>
      <c r="N166" s="1" cm="1">
        <f t="array" ref="N166">SUMPRODUCT(--($L$6:$L$300&lt;&gt;1),--($C$6:$C$300=$C166))</f>
        <v>69</v>
      </c>
      <c r="O166" s="3">
        <f t="shared" si="21"/>
        <v>9.6897398775128121</v>
      </c>
      <c r="P166" s="2" cm="1">
        <f t="array" ref="P166">SQRT(SUMPRODUCT(--($L$6:$L$300&lt;&gt;1),--($C$6:$C$300=$C166),$E$6:$E$300,$O$6:$O$300)/((N166-1)*SUMPRODUCT(--($L$6:$L$300&lt;&gt;1),--($C$6:$C$300=$C166),$E$6:$E$300)/N166))</f>
        <v>187.73196054161087</v>
      </c>
      <c r="Q166" s="2">
        <f t="shared" si="15"/>
        <v>301.36671124922771</v>
      </c>
      <c r="R166" s="2">
        <f t="shared" si="15"/>
        <v>782.54308711894498</v>
      </c>
      <c r="S166" s="2">
        <f t="shared" si="22"/>
        <v>538.84206448280315</v>
      </c>
    </row>
    <row r="167" spans="2:19" x14ac:dyDescent="0.3">
      <c r="B167">
        <v>855</v>
      </c>
      <c r="C167" s="25">
        <v>7</v>
      </c>
      <c r="D167" s="32" t="s">
        <v>196</v>
      </c>
      <c r="E167" s="125">
        <f>INDEX('Revised 2019 Lockdown'!H$5:H$257,MATCH(B167,'Revised 2019 Lockdown'!B$5:B$257,0))</f>
        <v>155.11361225224698</v>
      </c>
      <c r="F167" s="7">
        <f>INDEX('Revised 2019 Lockdown'!E$5:E$257,MATCH(B167,'Revised 2019 Lockdown'!B$5:B$257,0))</f>
        <v>140023.82</v>
      </c>
      <c r="G167" s="7">
        <f>INDEX('Revised 2019 Lockdown'!F$5:F$257,MATCH(B167,'Revised 2019 Lockdown'!B$5:B$257,0))</f>
        <v>7037</v>
      </c>
      <c r="H167" s="7">
        <f t="shared" si="17"/>
        <v>132986.82</v>
      </c>
      <c r="I167" s="6">
        <f t="shared" si="18"/>
        <v>857.35106074208238</v>
      </c>
      <c r="J167" s="6">
        <f t="shared" si="19"/>
        <v>782.54308711894498</v>
      </c>
      <c r="K167" s="5">
        <f t="shared" si="20"/>
        <v>121383.08498604436</v>
      </c>
      <c r="L167" s="4">
        <f t="shared" si="16"/>
        <v>0</v>
      </c>
      <c r="M167" s="2" cm="1">
        <f t="array" ref="M167">SUMPRODUCT(--($L$6:$L$300&lt;&gt;1),--($C$6:$C$300=$C167),$H$6:$H$300)/SUMPRODUCT(--($L$6:$L$300&lt;&gt;1),--($C$6:$C$300=$C167),$E$6:$E$300)</f>
        <v>541.95489918408634</v>
      </c>
      <c r="N167" s="1" cm="1">
        <f t="array" ref="N167">SUMPRODUCT(--($L$6:$L$300&lt;&gt;1),--($C$6:$C$300=$C167))</f>
        <v>69</v>
      </c>
      <c r="O167" s="3">
        <f t="shared" si="21"/>
        <v>99474.738725517542</v>
      </c>
      <c r="P167" s="2" cm="1">
        <f t="array" ref="P167">SQRT(SUMPRODUCT(--($L$6:$L$300&lt;&gt;1),--($C$6:$C$300=$C167),$E$6:$E$300,$O$6:$O$300)/((N167-1)*SUMPRODUCT(--($L$6:$L$300&lt;&gt;1),--($C$6:$C$300=$C167),$E$6:$E$300)/N167))</f>
        <v>187.73196054161087</v>
      </c>
      <c r="Q167" s="2">
        <f t="shared" si="15"/>
        <v>301.36671124922771</v>
      </c>
      <c r="R167" s="2">
        <f t="shared" si="15"/>
        <v>782.54308711894498</v>
      </c>
      <c r="S167" s="2">
        <f t="shared" si="22"/>
        <v>782.54308711894498</v>
      </c>
    </row>
    <row r="168" spans="2:19" x14ac:dyDescent="0.3">
      <c r="B168">
        <v>862</v>
      </c>
      <c r="C168" s="25">
        <v>7</v>
      </c>
      <c r="D168" s="32" t="s">
        <v>197</v>
      </c>
      <c r="E168" s="125">
        <f>INDEX('Revised 2019 Lockdown'!H$5:H$257,MATCH(B168,'Revised 2019 Lockdown'!B$5:B$257,0))</f>
        <v>12.345441747052517</v>
      </c>
      <c r="F168" s="7">
        <f>INDEX('Revised 2019 Lockdown'!E$5:E$257,MATCH(B168,'Revised 2019 Lockdown'!B$5:B$257,0))</f>
        <v>11467.29</v>
      </c>
      <c r="G168" s="7">
        <f>INDEX('Revised 2019 Lockdown'!F$5:F$257,MATCH(B168,'Revised 2019 Lockdown'!B$5:B$257,0))</f>
        <v>8232.5</v>
      </c>
      <c r="H168" s="7">
        <f t="shared" si="17"/>
        <v>3234.7900000000009</v>
      </c>
      <c r="I168" s="6">
        <f t="shared" si="18"/>
        <v>262.02302568657046</v>
      </c>
      <c r="J168" s="6">
        <f t="shared" si="19"/>
        <v>262.02302568657046</v>
      </c>
      <c r="K168" s="5">
        <f t="shared" si="20"/>
        <v>3234.7900000000009</v>
      </c>
      <c r="L168" s="4">
        <f t="shared" si="16"/>
        <v>0</v>
      </c>
      <c r="M168" s="2" cm="1">
        <f t="array" ref="M168">SUMPRODUCT(--($L$6:$L$300&lt;&gt;1),--($C$6:$C$300=$C168),$H$6:$H$300)/SUMPRODUCT(--($L$6:$L$300&lt;&gt;1),--($C$6:$C$300=$C168),$E$6:$E$300)</f>
        <v>541.95489918408634</v>
      </c>
      <c r="N168" s="1" cm="1">
        <f t="array" ref="N168">SUMPRODUCT(--($L$6:$L$300&lt;&gt;1),--($C$6:$C$300=$C168))</f>
        <v>69</v>
      </c>
      <c r="O168" s="3">
        <f t="shared" si="21"/>
        <v>78361.85379982923</v>
      </c>
      <c r="P168" s="2" cm="1">
        <f t="array" ref="P168">SQRT(SUMPRODUCT(--($L$6:$L$300&lt;&gt;1),--($C$6:$C$300=$C168),$E$6:$E$300,$O$6:$O$300)/((N168-1)*SUMPRODUCT(--($L$6:$L$300&lt;&gt;1),--($C$6:$C$300=$C168),$E$6:$E$300)/N168))</f>
        <v>187.73196054161087</v>
      </c>
      <c r="Q168" s="2">
        <f t="shared" si="15"/>
        <v>301.36671124922771</v>
      </c>
      <c r="R168" s="2">
        <f t="shared" si="15"/>
        <v>782.54308711894498</v>
      </c>
      <c r="S168" s="2">
        <f t="shared" si="22"/>
        <v>262.02302568657046</v>
      </c>
    </row>
    <row r="169" spans="2:19" x14ac:dyDescent="0.3">
      <c r="B169">
        <v>958</v>
      </c>
      <c r="C169" s="25">
        <v>7</v>
      </c>
      <c r="D169" s="32" t="s">
        <v>198</v>
      </c>
      <c r="E169" s="125">
        <f>INDEX('Revised 2019 Lockdown'!H$5:H$257,MATCH(B169,'Revised 2019 Lockdown'!B$5:B$257,0))</f>
        <v>508.60074662379418</v>
      </c>
      <c r="F169" s="7">
        <f>INDEX('Revised 2019 Lockdown'!E$5:E$257,MATCH(B169,'Revised 2019 Lockdown'!B$5:B$257,0))</f>
        <v>99405.3</v>
      </c>
      <c r="G169" s="7">
        <f>INDEX('Revised 2019 Lockdown'!F$5:F$257,MATCH(B169,'Revised 2019 Lockdown'!B$5:B$257,0))</f>
        <v>311.52</v>
      </c>
      <c r="H169" s="7">
        <f t="shared" si="17"/>
        <v>99093.78</v>
      </c>
      <c r="I169" s="6">
        <f t="shared" si="18"/>
        <v>194.83608834199859</v>
      </c>
      <c r="J169" s="6">
        <f t="shared" si="19"/>
        <v>194.83608834199859</v>
      </c>
      <c r="K169" s="5">
        <f t="shared" si="20"/>
        <v>99093.78</v>
      </c>
      <c r="L169" s="4">
        <f t="shared" si="16"/>
        <v>0</v>
      </c>
      <c r="M169" s="2" cm="1">
        <f t="array" ref="M169">SUMPRODUCT(--($L$6:$L$300&lt;&gt;1),--($C$6:$C$300=$C169),$H$6:$H$300)/SUMPRODUCT(--($L$6:$L$300&lt;&gt;1),--($C$6:$C$300=$C169),$E$6:$E$300)</f>
        <v>541.95489918408634</v>
      </c>
      <c r="N169" s="1" cm="1">
        <f t="array" ref="N169">SUMPRODUCT(--($L$6:$L$300&lt;&gt;1),--($C$6:$C$300=$C169))</f>
        <v>69</v>
      </c>
      <c r="O169" s="3">
        <f t="shared" si="21"/>
        <v>120491.46884042512</v>
      </c>
      <c r="P169" s="2" cm="1">
        <f t="array" ref="P169">SQRT(SUMPRODUCT(--($L$6:$L$300&lt;&gt;1),--($C$6:$C$300=$C169),$E$6:$E$300,$O$6:$O$300)/((N169-1)*SUMPRODUCT(--($L$6:$L$300&lt;&gt;1),--($C$6:$C$300=$C169),$E$6:$E$300)/N169))</f>
        <v>187.73196054161087</v>
      </c>
      <c r="Q169" s="2">
        <f t="shared" si="15"/>
        <v>301.36671124922771</v>
      </c>
      <c r="R169" s="2">
        <f t="shared" si="15"/>
        <v>782.54308711894498</v>
      </c>
      <c r="S169" s="2">
        <f t="shared" si="22"/>
        <v>194.83608834199859</v>
      </c>
    </row>
    <row r="170" spans="2:19" x14ac:dyDescent="0.3">
      <c r="B170">
        <v>967</v>
      </c>
      <c r="C170" s="25">
        <v>7</v>
      </c>
      <c r="D170" s="32" t="s">
        <v>199</v>
      </c>
      <c r="E170" s="125">
        <f>INDEX('Revised 2019 Lockdown'!H$5:H$257,MATCH(B170,'Revised 2019 Lockdown'!B$5:B$257,0))</f>
        <v>155.99990261402883</v>
      </c>
      <c r="F170" s="7">
        <f>INDEX('Revised 2019 Lockdown'!E$5:E$257,MATCH(B170,'Revised 2019 Lockdown'!B$5:B$257,0))</f>
        <v>91606.77</v>
      </c>
      <c r="G170" s="7">
        <f>INDEX('Revised 2019 Lockdown'!F$5:F$257,MATCH(B170,'Revised 2019 Lockdown'!B$5:B$257,0))</f>
        <v>0</v>
      </c>
      <c r="H170" s="7">
        <f t="shared" si="17"/>
        <v>91606.77</v>
      </c>
      <c r="I170" s="6">
        <f t="shared" si="18"/>
        <v>587.22325120068342</v>
      </c>
      <c r="J170" s="6">
        <f t="shared" si="19"/>
        <v>587.22325120068342</v>
      </c>
      <c r="K170" s="5">
        <f t="shared" si="20"/>
        <v>91606.77</v>
      </c>
      <c r="L170" s="4">
        <f t="shared" si="16"/>
        <v>0</v>
      </c>
      <c r="M170" s="2" cm="1">
        <f t="array" ref="M170">SUMPRODUCT(--($L$6:$L$300&lt;&gt;1),--($C$6:$C$300=$C170),$H$6:$H$300)/SUMPRODUCT(--($L$6:$L$300&lt;&gt;1),--($C$6:$C$300=$C170),$E$6:$E$300)</f>
        <v>541.95489918408634</v>
      </c>
      <c r="N170" s="1" cm="1">
        <f t="array" ref="N170">SUMPRODUCT(--($L$6:$L$300&lt;&gt;1),--($C$6:$C$300=$C170))</f>
        <v>69</v>
      </c>
      <c r="O170" s="3">
        <f t="shared" si="21"/>
        <v>2049.2236942985487</v>
      </c>
      <c r="P170" s="2" cm="1">
        <f t="array" ref="P170">SQRT(SUMPRODUCT(--($L$6:$L$300&lt;&gt;1),--($C$6:$C$300=$C170),$E$6:$E$300,$O$6:$O$300)/((N170-1)*SUMPRODUCT(--($L$6:$L$300&lt;&gt;1),--($C$6:$C$300=$C170),$E$6:$E$300)/N170))</f>
        <v>187.73196054161087</v>
      </c>
      <c r="Q170" s="2">
        <f t="shared" si="15"/>
        <v>301.36671124922771</v>
      </c>
      <c r="R170" s="2">
        <f t="shared" si="15"/>
        <v>782.54308711894498</v>
      </c>
      <c r="S170" s="2">
        <f t="shared" si="22"/>
        <v>587.22325120068342</v>
      </c>
    </row>
    <row r="171" spans="2:19" x14ac:dyDescent="0.3">
      <c r="B171">
        <v>971</v>
      </c>
      <c r="C171" s="25">
        <v>7</v>
      </c>
      <c r="D171" s="32" t="s">
        <v>200</v>
      </c>
      <c r="E171" s="125">
        <f>INDEX('Revised 2019 Lockdown'!H$5:H$257,MATCH(B171,'Revised 2019 Lockdown'!B$5:B$257,0))</f>
        <v>888.33999999999992</v>
      </c>
      <c r="F171" s="7">
        <f>INDEX('Revised 2019 Lockdown'!E$5:E$257,MATCH(B171,'Revised 2019 Lockdown'!B$5:B$257,0))</f>
        <v>579439.27</v>
      </c>
      <c r="G171" s="7">
        <f>INDEX('Revised 2019 Lockdown'!F$5:F$257,MATCH(B171,'Revised 2019 Lockdown'!B$5:B$257,0))</f>
        <v>96935.22</v>
      </c>
      <c r="H171" s="7">
        <f t="shared" si="17"/>
        <v>482504.05000000005</v>
      </c>
      <c r="I171" s="6">
        <f t="shared" si="18"/>
        <v>543.15245288965946</v>
      </c>
      <c r="J171" s="6">
        <f t="shared" si="19"/>
        <v>543.15245288965946</v>
      </c>
      <c r="K171" s="5">
        <f t="shared" si="20"/>
        <v>482504.05000000005</v>
      </c>
      <c r="L171" s="4">
        <f t="shared" si="16"/>
        <v>0</v>
      </c>
      <c r="M171" s="2" cm="1">
        <f t="array" ref="M171">SUMPRODUCT(--($L$6:$L$300&lt;&gt;1),--($C$6:$C$300=$C171),$H$6:$H$300)/SUMPRODUCT(--($L$6:$L$300&lt;&gt;1),--($C$6:$C$300=$C171),$E$6:$E$300)</f>
        <v>541.95489918408634</v>
      </c>
      <c r="N171" s="1" cm="1">
        <f t="array" ref="N171">SUMPRODUCT(--($L$6:$L$300&lt;&gt;1),--($C$6:$C$300=$C171))</f>
        <v>69</v>
      </c>
      <c r="O171" s="3">
        <f t="shared" si="21"/>
        <v>1.4341348777318961</v>
      </c>
      <c r="P171" s="2" cm="1">
        <f t="array" ref="P171">SQRT(SUMPRODUCT(--($L$6:$L$300&lt;&gt;1),--($C$6:$C$300=$C171),$E$6:$E$300,$O$6:$O$300)/((N171-1)*SUMPRODUCT(--($L$6:$L$300&lt;&gt;1),--($C$6:$C$300=$C171),$E$6:$E$300)/N171))</f>
        <v>187.73196054161087</v>
      </c>
      <c r="Q171" s="2">
        <f t="shared" si="15"/>
        <v>301.36671124922771</v>
      </c>
      <c r="R171" s="2">
        <f t="shared" si="15"/>
        <v>782.54308711894498</v>
      </c>
      <c r="S171" s="2">
        <f t="shared" si="22"/>
        <v>543.15245288965946</v>
      </c>
    </row>
    <row r="172" spans="2:19" x14ac:dyDescent="0.3">
      <c r="B172">
        <v>975</v>
      </c>
      <c r="C172" s="25">
        <v>7</v>
      </c>
      <c r="D172" s="32" t="s">
        <v>201</v>
      </c>
      <c r="E172" s="125">
        <f>INDEX('Revised 2019 Lockdown'!H$5:H$257,MATCH(B172,'Revised 2019 Lockdown'!B$5:B$257,0))</f>
        <v>30.317539180659761</v>
      </c>
      <c r="F172" s="7">
        <f>INDEX('Revised 2019 Lockdown'!E$5:E$257,MATCH(B172,'Revised 2019 Lockdown'!B$5:B$257,0))</f>
        <v>76785.06</v>
      </c>
      <c r="G172" s="7">
        <f>INDEX('Revised 2019 Lockdown'!F$5:F$257,MATCH(B172,'Revised 2019 Lockdown'!B$5:B$257,0))</f>
        <v>0</v>
      </c>
      <c r="H172" s="7">
        <f t="shared" si="17"/>
        <v>76785.06</v>
      </c>
      <c r="I172" s="6">
        <f t="shared" si="18"/>
        <v>2532.694343773881</v>
      </c>
      <c r="J172" s="6">
        <f t="shared" si="19"/>
        <v>782.54308711894498</v>
      </c>
      <c r="K172" s="5">
        <f t="shared" si="20"/>
        <v>23724.780704283061</v>
      </c>
      <c r="L172" s="4">
        <f t="shared" si="16"/>
        <v>0</v>
      </c>
      <c r="M172" s="2" cm="1">
        <f t="array" ref="M172">SUMPRODUCT(--($L$6:$L$300&lt;&gt;1),--($C$6:$C$300=$C172),$H$6:$H$300)/SUMPRODUCT(--($L$6:$L$300&lt;&gt;1),--($C$6:$C$300=$C172),$E$6:$E$300)</f>
        <v>541.95489918408634</v>
      </c>
      <c r="N172" s="1" cm="1">
        <f t="array" ref="N172">SUMPRODUCT(--($L$6:$L$300&lt;&gt;1),--($C$6:$C$300=$C172))</f>
        <v>69</v>
      </c>
      <c r="O172" s="3">
        <f t="shared" si="21"/>
        <v>3963043.5362456841</v>
      </c>
      <c r="P172" s="2" cm="1">
        <f t="array" ref="P172">SQRT(SUMPRODUCT(--($L$6:$L$300&lt;&gt;1),--($C$6:$C$300=$C172),$E$6:$E$300,$O$6:$O$300)/((N172-1)*SUMPRODUCT(--($L$6:$L$300&lt;&gt;1),--($C$6:$C$300=$C172),$E$6:$E$300)/N172))</f>
        <v>187.73196054161087</v>
      </c>
      <c r="Q172" s="2">
        <f t="shared" si="15"/>
        <v>301.36671124922771</v>
      </c>
      <c r="R172" s="2">
        <f t="shared" si="15"/>
        <v>782.54308711894498</v>
      </c>
      <c r="S172" s="2">
        <f t="shared" si="22"/>
        <v>782.54308711894498</v>
      </c>
    </row>
    <row r="173" spans="2:19" x14ac:dyDescent="0.3">
      <c r="B173">
        <v>976</v>
      </c>
      <c r="C173" s="25">
        <v>7</v>
      </c>
      <c r="D173" s="32" t="s">
        <v>202</v>
      </c>
      <c r="E173" s="125">
        <f>INDEX('Revised 2019 Lockdown'!H$5:H$257,MATCH(B173,'Revised 2019 Lockdown'!B$5:B$257,0))</f>
        <v>31.32229912468739</v>
      </c>
      <c r="F173" s="7">
        <f>INDEX('Revised 2019 Lockdown'!E$5:E$257,MATCH(B173,'Revised 2019 Lockdown'!B$5:B$257,0))</f>
        <v>39297.230000000003</v>
      </c>
      <c r="G173" s="7">
        <f>INDEX('Revised 2019 Lockdown'!F$5:F$257,MATCH(B173,'Revised 2019 Lockdown'!B$5:B$257,0))</f>
        <v>0</v>
      </c>
      <c r="H173" s="7">
        <f t="shared" si="17"/>
        <v>39297.230000000003</v>
      </c>
      <c r="I173" s="6">
        <f t="shared" si="18"/>
        <v>1254.6087323783645</v>
      </c>
      <c r="J173" s="6">
        <f t="shared" si="19"/>
        <v>782.54308711894498</v>
      </c>
      <c r="K173" s="5">
        <f t="shared" si="20"/>
        <v>24511.048652695899</v>
      </c>
      <c r="L173" s="4">
        <f t="shared" si="16"/>
        <v>0</v>
      </c>
      <c r="M173" s="2" cm="1">
        <f t="array" ref="M173">SUMPRODUCT(--($L$6:$L$300&lt;&gt;1),--($C$6:$C$300=$C173),$H$6:$H$300)/SUMPRODUCT(--($L$6:$L$300&lt;&gt;1),--($C$6:$C$300=$C173),$E$6:$E$300)</f>
        <v>541.95489918408634</v>
      </c>
      <c r="N173" s="1" cm="1">
        <f t="array" ref="N173">SUMPRODUCT(--($L$6:$L$300&lt;&gt;1),--($C$6:$C$300=$C173))</f>
        <v>69</v>
      </c>
      <c r="O173" s="3">
        <f t="shared" si="21"/>
        <v>507875.48596649803</v>
      </c>
      <c r="P173" s="2" cm="1">
        <f t="array" ref="P173">SQRT(SUMPRODUCT(--($L$6:$L$300&lt;&gt;1),--($C$6:$C$300=$C173),$E$6:$E$300,$O$6:$O$300)/((N173-1)*SUMPRODUCT(--($L$6:$L$300&lt;&gt;1),--($C$6:$C$300=$C173),$E$6:$E$300)/N173))</f>
        <v>187.73196054161087</v>
      </c>
      <c r="Q173" s="2">
        <f t="shared" si="15"/>
        <v>301.36671124922771</v>
      </c>
      <c r="R173" s="2">
        <f t="shared" si="15"/>
        <v>782.54308711894498</v>
      </c>
      <c r="S173" s="2">
        <f t="shared" si="22"/>
        <v>782.54308711894498</v>
      </c>
    </row>
    <row r="174" spans="2:19" x14ac:dyDescent="0.3">
      <c r="B174">
        <v>977</v>
      </c>
      <c r="C174" s="25">
        <v>7</v>
      </c>
      <c r="D174" s="32" t="s">
        <v>203</v>
      </c>
      <c r="E174" s="125">
        <f>INDEX('Revised 2019 Lockdown'!H$5:H$257,MATCH(B174,'Revised 2019 Lockdown'!B$5:B$257,0))</f>
        <v>47.09266172442539</v>
      </c>
      <c r="F174" s="7">
        <f>INDEX('Revised 2019 Lockdown'!E$5:E$257,MATCH(B174,'Revised 2019 Lockdown'!B$5:B$257,0))</f>
        <v>60860.35</v>
      </c>
      <c r="G174" s="7">
        <f>INDEX('Revised 2019 Lockdown'!F$5:F$257,MATCH(B174,'Revised 2019 Lockdown'!B$5:B$257,0))</f>
        <v>0</v>
      </c>
      <c r="H174" s="7">
        <f t="shared" si="17"/>
        <v>60860.35</v>
      </c>
      <c r="I174" s="6">
        <f t="shared" si="18"/>
        <v>1292.3531559150281</v>
      </c>
      <c r="J174" s="6">
        <f t="shared" si="19"/>
        <v>782.54308711894498</v>
      </c>
      <c r="K174" s="5">
        <f t="shared" si="20"/>
        <v>36852.036886480026</v>
      </c>
      <c r="L174" s="4">
        <f t="shared" si="16"/>
        <v>0</v>
      </c>
      <c r="M174" s="2" cm="1">
        <f t="array" ref="M174">SUMPRODUCT(--($L$6:$L$300&lt;&gt;1),--($C$6:$C$300=$C174),$H$6:$H$300)/SUMPRODUCT(--($L$6:$L$300&lt;&gt;1),--($C$6:$C$300=$C174),$E$6:$E$300)</f>
        <v>541.95489918408634</v>
      </c>
      <c r="N174" s="1" cm="1">
        <f t="array" ref="N174">SUMPRODUCT(--($L$6:$L$300&lt;&gt;1),--($C$6:$C$300=$C174))</f>
        <v>69</v>
      </c>
      <c r="O174" s="3">
        <f t="shared" si="21"/>
        <v>563097.5437048364</v>
      </c>
      <c r="P174" s="2" cm="1">
        <f t="array" ref="P174">SQRT(SUMPRODUCT(--($L$6:$L$300&lt;&gt;1),--($C$6:$C$300=$C174),$E$6:$E$300,$O$6:$O$300)/((N174-1)*SUMPRODUCT(--($L$6:$L$300&lt;&gt;1),--($C$6:$C$300=$C174),$E$6:$E$300)/N174))</f>
        <v>187.73196054161087</v>
      </c>
      <c r="Q174" s="2">
        <f t="shared" si="15"/>
        <v>301.36671124922771</v>
      </c>
      <c r="R174" s="2">
        <f t="shared" si="15"/>
        <v>782.54308711894498</v>
      </c>
      <c r="S174" s="2">
        <f t="shared" si="22"/>
        <v>782.54308711894498</v>
      </c>
    </row>
    <row r="175" spans="2:19" x14ac:dyDescent="0.3">
      <c r="B175">
        <v>979</v>
      </c>
      <c r="C175" s="25">
        <v>7</v>
      </c>
      <c r="D175" s="32" t="s">
        <v>287</v>
      </c>
      <c r="E175" s="125">
        <f>INDEX('Revised 2019 Lockdown'!H$5:H$257,MATCH(B175,'Revised 2019 Lockdown'!B$5:B$257,0))</f>
        <v>251.06766740502562</v>
      </c>
      <c r="F175" s="7">
        <f>INDEX('Revised 2019 Lockdown'!E$5:E$257,MATCH(B175,'Revised 2019 Lockdown'!B$5:B$257,0))</f>
        <v>106200.78</v>
      </c>
      <c r="G175" s="7">
        <f>INDEX('Revised 2019 Lockdown'!F$5:F$257,MATCH(B175,'Revised 2019 Lockdown'!B$5:B$257,0))</f>
        <v>0</v>
      </c>
      <c r="H175" s="7">
        <f t="shared" si="17"/>
        <v>106200.78</v>
      </c>
      <c r="I175" s="6">
        <f t="shared" si="18"/>
        <v>422.99664109546819</v>
      </c>
      <c r="J175" s="6">
        <f t="shared" si="19"/>
        <v>422.99664109546819</v>
      </c>
      <c r="K175" s="5">
        <f t="shared" si="20"/>
        <v>106200.78</v>
      </c>
      <c r="L175" s="4">
        <f t="shared" si="16"/>
        <v>0</v>
      </c>
      <c r="M175" s="2" cm="1">
        <f t="array" ref="M175">SUMPRODUCT(--($L$6:$L$300&lt;&gt;1),--($C$6:$C$300=$C175),$H$6:$H$300)/SUMPRODUCT(--($L$6:$L$300&lt;&gt;1),--($C$6:$C$300=$C175),$E$6:$E$300)</f>
        <v>541.95489918408634</v>
      </c>
      <c r="N175" s="1" cm="1">
        <f t="array" ref="N175">SUMPRODUCT(--($L$6:$L$300&lt;&gt;1),--($C$6:$C$300=$C175))</f>
        <v>69</v>
      </c>
      <c r="O175" s="3">
        <f t="shared" si="21"/>
        <v>14151.067167478286</v>
      </c>
      <c r="P175" s="2" cm="1">
        <f t="array" ref="P175">SQRT(SUMPRODUCT(--($L$6:$L$300&lt;&gt;1),--($C$6:$C$300=$C175),$E$6:$E$300,$O$6:$O$300)/((N175-1)*SUMPRODUCT(--($L$6:$L$300&lt;&gt;1),--($C$6:$C$300=$C175),$E$6:$E$300)/N175))</f>
        <v>187.73196054161087</v>
      </c>
      <c r="Q175" s="2">
        <f t="shared" si="15"/>
        <v>301.36671124922771</v>
      </c>
      <c r="R175" s="2">
        <f t="shared" si="15"/>
        <v>782.54308711894498</v>
      </c>
      <c r="S175" s="2">
        <f t="shared" si="22"/>
        <v>422.99664109546819</v>
      </c>
    </row>
    <row r="176" spans="2:19" x14ac:dyDescent="0.3">
      <c r="B176">
        <v>981</v>
      </c>
      <c r="C176" s="25">
        <v>7</v>
      </c>
      <c r="D176" s="32" t="s">
        <v>204</v>
      </c>
      <c r="E176" s="125">
        <f>INDEX('Revised 2019 Lockdown'!H$5:H$257,MATCH(B176,'Revised 2019 Lockdown'!B$5:B$257,0))</f>
        <v>202.51591950101229</v>
      </c>
      <c r="F176" s="7">
        <f>INDEX('Revised 2019 Lockdown'!E$5:E$257,MATCH(B176,'Revised 2019 Lockdown'!B$5:B$257,0))</f>
        <v>116776.12</v>
      </c>
      <c r="G176" s="7">
        <f>INDEX('Revised 2019 Lockdown'!F$5:F$257,MATCH(B176,'Revised 2019 Lockdown'!B$5:B$257,0))</f>
        <v>26983</v>
      </c>
      <c r="H176" s="7">
        <f t="shared" si="17"/>
        <v>89793.12</v>
      </c>
      <c r="I176" s="6">
        <f t="shared" si="18"/>
        <v>443.38795795039294</v>
      </c>
      <c r="J176" s="6">
        <f t="shared" si="19"/>
        <v>443.38795795039294</v>
      </c>
      <c r="K176" s="5">
        <f t="shared" si="20"/>
        <v>89793.12</v>
      </c>
      <c r="L176" s="4">
        <f t="shared" si="16"/>
        <v>0</v>
      </c>
      <c r="M176" s="2" cm="1">
        <f t="array" ref="M176">SUMPRODUCT(--($L$6:$L$300&lt;&gt;1),--($C$6:$C$300=$C176),$H$6:$H$300)/SUMPRODUCT(--($L$6:$L$300&lt;&gt;1),--($C$6:$C$300=$C176),$E$6:$E$300)</f>
        <v>541.95489918408634</v>
      </c>
      <c r="N176" s="1" cm="1">
        <f t="array" ref="N176">SUMPRODUCT(--($L$6:$L$300&lt;&gt;1),--($C$6:$C$300=$C176))</f>
        <v>69</v>
      </c>
      <c r="O176" s="3">
        <f t="shared" si="21"/>
        <v>9715.4419041663677</v>
      </c>
      <c r="P176" s="2" cm="1">
        <f t="array" ref="P176">SQRT(SUMPRODUCT(--($L$6:$L$300&lt;&gt;1),--($C$6:$C$300=$C176),$E$6:$E$300,$O$6:$O$300)/((N176-1)*SUMPRODUCT(--($L$6:$L$300&lt;&gt;1),--($C$6:$C$300=$C176),$E$6:$E$300)/N176))</f>
        <v>187.73196054161087</v>
      </c>
      <c r="Q176" s="2">
        <f t="shared" si="15"/>
        <v>301.36671124922771</v>
      </c>
      <c r="R176" s="2">
        <f t="shared" si="15"/>
        <v>782.54308711894498</v>
      </c>
      <c r="S176" s="2">
        <f t="shared" si="22"/>
        <v>443.38795795039294</v>
      </c>
    </row>
    <row r="177" spans="2:19" x14ac:dyDescent="0.3">
      <c r="B177">
        <v>983</v>
      </c>
      <c r="C177" s="25">
        <v>7</v>
      </c>
      <c r="D177" s="32" t="s">
        <v>205</v>
      </c>
      <c r="E177" s="125">
        <f>INDEX('Revised 2019 Lockdown'!H$5:H$257,MATCH(B177,'Revised 2019 Lockdown'!B$5:B$257,0))</f>
        <v>75.897818175471599</v>
      </c>
      <c r="F177" s="7">
        <f>INDEX('Revised 2019 Lockdown'!E$5:E$257,MATCH(B177,'Revised 2019 Lockdown'!B$5:B$257,0))</f>
        <v>32152.06</v>
      </c>
      <c r="G177" s="7">
        <f>INDEX('Revised 2019 Lockdown'!F$5:F$257,MATCH(B177,'Revised 2019 Lockdown'!B$5:B$257,0))</f>
        <v>0</v>
      </c>
      <c r="H177" s="7">
        <f t="shared" si="17"/>
        <v>32152.06</v>
      </c>
      <c r="I177" s="6">
        <f t="shared" si="18"/>
        <v>423.62298117274202</v>
      </c>
      <c r="J177" s="6">
        <f t="shared" si="19"/>
        <v>423.62298117274202</v>
      </c>
      <c r="K177" s="5">
        <f t="shared" si="20"/>
        <v>32152.06</v>
      </c>
      <c r="L177" s="4">
        <f t="shared" si="16"/>
        <v>0</v>
      </c>
      <c r="M177" s="2" cm="1">
        <f t="array" ref="M177">SUMPRODUCT(--($L$6:$L$300&lt;&gt;1),--($C$6:$C$300=$C177),$H$6:$H$300)/SUMPRODUCT(--($L$6:$L$300&lt;&gt;1),--($C$6:$C$300=$C177),$E$6:$E$300)</f>
        <v>541.95489918408634</v>
      </c>
      <c r="N177" s="1" cm="1">
        <f t="array" ref="N177">SUMPRODUCT(--($L$6:$L$300&lt;&gt;1),--($C$6:$C$300=$C177))</f>
        <v>69</v>
      </c>
      <c r="O177" s="3">
        <f t="shared" si="21"/>
        <v>14002.442820243516</v>
      </c>
      <c r="P177" s="2" cm="1">
        <f t="array" ref="P177">SQRT(SUMPRODUCT(--($L$6:$L$300&lt;&gt;1),--($C$6:$C$300=$C177),$E$6:$E$300,$O$6:$O$300)/((N177-1)*SUMPRODUCT(--($L$6:$L$300&lt;&gt;1),--($C$6:$C$300=$C177),$E$6:$E$300)/N177))</f>
        <v>187.73196054161087</v>
      </c>
      <c r="Q177" s="2">
        <f t="shared" si="15"/>
        <v>301.36671124922771</v>
      </c>
      <c r="R177" s="2">
        <f t="shared" si="15"/>
        <v>782.54308711894498</v>
      </c>
      <c r="S177" s="2">
        <f t="shared" si="22"/>
        <v>423.62298117274202</v>
      </c>
    </row>
    <row r="178" spans="2:19" x14ac:dyDescent="0.3">
      <c r="B178">
        <v>984</v>
      </c>
      <c r="C178" s="33">
        <v>7</v>
      </c>
      <c r="D178" s="32" t="s">
        <v>312</v>
      </c>
      <c r="E178" s="125">
        <f>INDEX('Revised 2019 Lockdown'!H$5:H$257,MATCH(B178,'Revised 2019 Lockdown'!B$5:B$257,0))</f>
        <v>22.261985542455641</v>
      </c>
      <c r="F178" s="7">
        <f>INDEX('Revised 2019 Lockdown'!E$5:E$257,MATCH(B178,'Revised 2019 Lockdown'!B$5:B$257,0))</f>
        <v>9622.4</v>
      </c>
      <c r="G178" s="7">
        <f>INDEX('Revised 2019 Lockdown'!F$5:F$257,MATCH(B178,'Revised 2019 Lockdown'!B$5:B$257,0))</f>
        <v>2612</v>
      </c>
      <c r="H178" s="7">
        <f t="shared" si="17"/>
        <v>7010.4</v>
      </c>
      <c r="I178" s="6">
        <f t="shared" si="18"/>
        <v>314.90452577244406</v>
      </c>
      <c r="J178" s="6">
        <f t="shared" si="19"/>
        <v>314.90452577244406</v>
      </c>
      <c r="K178" s="5">
        <f t="shared" si="20"/>
        <v>7010.4</v>
      </c>
      <c r="L178" s="4">
        <f t="shared" si="16"/>
        <v>0</v>
      </c>
      <c r="M178" s="2" cm="1">
        <f t="array" ref="M178">SUMPRODUCT(--($L$6:$L$300&lt;&gt;1),--($C$6:$C$300=$C178),$H$6:$H$300)/SUMPRODUCT(--($L$6:$L$300&lt;&gt;1),--($C$6:$C$300=$C178),$E$6:$E$300)</f>
        <v>541.95489918408634</v>
      </c>
      <c r="N178" s="1" cm="1">
        <f t="array" ref="N178">SUMPRODUCT(--($L$6:$L$300&lt;&gt;1),--($C$6:$C$300=$C178))</f>
        <v>69</v>
      </c>
      <c r="O178" s="3">
        <f t="shared" si="21"/>
        <v>51551.872066366195</v>
      </c>
      <c r="P178" s="2" cm="1">
        <f t="array" ref="P178">SQRT(SUMPRODUCT(--($L$6:$L$300&lt;&gt;1),--($C$6:$C$300=$C178),$E$6:$E$300,$O$6:$O$300)/((N178-1)*SUMPRODUCT(--($L$6:$L$300&lt;&gt;1),--($C$6:$C$300=$C178),$E$6:$E$300)/N178))</f>
        <v>187.73196054161087</v>
      </c>
      <c r="Q178" s="2">
        <f t="shared" si="15"/>
        <v>301.36671124922771</v>
      </c>
      <c r="R178" s="2">
        <f t="shared" si="15"/>
        <v>782.54308711894498</v>
      </c>
      <c r="S178" s="2">
        <f t="shared" si="22"/>
        <v>314.90452577244406</v>
      </c>
    </row>
    <row r="179" spans="2:19" x14ac:dyDescent="0.3">
      <c r="B179">
        <v>188</v>
      </c>
      <c r="C179" s="25">
        <v>8</v>
      </c>
      <c r="D179" s="32" t="s">
        <v>206</v>
      </c>
      <c r="E179" s="125">
        <f>INDEX('Revised 2019 Lockdown'!H$5:H$257,MATCH(B179,'Revised 2019 Lockdown'!B$5:B$257,0))</f>
        <v>151.82</v>
      </c>
      <c r="F179" s="7">
        <f>INDEX('Revised 2019 Lockdown'!E$5:E$257,MATCH(B179,'Revised 2019 Lockdown'!B$5:B$257,0))</f>
        <v>136694.57999999999</v>
      </c>
      <c r="G179" s="7">
        <f>INDEX('Revised 2019 Lockdown'!F$5:F$257,MATCH(B179,'Revised 2019 Lockdown'!B$5:B$257,0))</f>
        <v>8053</v>
      </c>
      <c r="H179" s="7">
        <f t="shared" si="17"/>
        <v>128641.57999999999</v>
      </c>
      <c r="I179" s="6">
        <f t="shared" si="18"/>
        <v>847.32960084310366</v>
      </c>
      <c r="J179" s="6">
        <f t="shared" si="19"/>
        <v>847.32960084310366</v>
      </c>
      <c r="K179" s="5">
        <f t="shared" si="20"/>
        <v>128641.57999999999</v>
      </c>
      <c r="L179" s="4">
        <f t="shared" si="16"/>
        <v>0</v>
      </c>
      <c r="M179" s="2" cm="1">
        <f t="array" ref="M179">SUMPRODUCT(--($L$6:$L$300&lt;&gt;1),--($C$6:$C$300=$C179),$H$6:$H$300)/SUMPRODUCT(--($L$6:$L$300&lt;&gt;1),--($C$6:$C$300=$C179),$E$6:$E$300)</f>
        <v>1033.7096544658325</v>
      </c>
      <c r="N179" s="1" cm="1">
        <f t="array" ref="N179">SUMPRODUCT(--($L$6:$L$300&lt;&gt;1),--($C$6:$C$300=$C179))</f>
        <v>50</v>
      </c>
      <c r="O179" s="3">
        <f t="shared" si="21"/>
        <v>34737.524388411279</v>
      </c>
      <c r="P179" s="2" cm="1">
        <f t="array" ref="P179">SQRT(SUMPRODUCT(--($L$6:$L$300&lt;&gt;1),--($C$6:$C$300=$C179),$E$6:$E$300,$O$6:$O$300)/((N179-1)*SUMPRODUCT(--($L$6:$L$300&lt;&gt;1),--($C$6:$C$300=$C179),$E$6:$E$300)/N179))</f>
        <v>621.42795009031227</v>
      </c>
      <c r="Q179" s="2">
        <f t="shared" ref="Q179:R242" si="23">NORMINV(Q$4,$M179,$P179)</f>
        <v>237.31769215442091</v>
      </c>
      <c r="R179" s="2">
        <f t="shared" si="23"/>
        <v>1830.1016167772441</v>
      </c>
      <c r="S179" s="2">
        <f t="shared" si="22"/>
        <v>847.32960084310366</v>
      </c>
    </row>
    <row r="180" spans="2:19" x14ac:dyDescent="0.3">
      <c r="B180">
        <v>232</v>
      </c>
      <c r="C180" s="25">
        <v>8</v>
      </c>
      <c r="D180" s="32" t="s">
        <v>207</v>
      </c>
      <c r="E180" s="125">
        <f>INDEX('Revised 2019 Lockdown'!H$5:H$257,MATCH(B180,'Revised 2019 Lockdown'!B$5:B$257,0))</f>
        <v>99.943034780278666</v>
      </c>
      <c r="F180" s="7">
        <f>INDEX('Revised 2019 Lockdown'!E$5:E$257,MATCH(B180,'Revised 2019 Lockdown'!B$5:B$257,0))</f>
        <v>120790.9</v>
      </c>
      <c r="G180" s="7">
        <f>INDEX('Revised 2019 Lockdown'!F$5:F$257,MATCH(B180,'Revised 2019 Lockdown'!B$5:B$257,0))</f>
        <v>0</v>
      </c>
      <c r="H180" s="7">
        <f t="shared" si="17"/>
        <v>120790.9</v>
      </c>
      <c r="I180" s="6">
        <f t="shared" si="18"/>
        <v>1208.5974802101482</v>
      </c>
      <c r="J180" s="6">
        <f t="shared" si="19"/>
        <v>1208.5974802101482</v>
      </c>
      <c r="K180" s="5">
        <f t="shared" si="20"/>
        <v>120790.9</v>
      </c>
      <c r="L180" s="4">
        <f t="shared" si="16"/>
        <v>0</v>
      </c>
      <c r="M180" s="2" cm="1">
        <f t="array" ref="M180">SUMPRODUCT(--($L$6:$L$300&lt;&gt;1),--($C$6:$C$300=$C180),$H$6:$H$300)/SUMPRODUCT(--($L$6:$L$300&lt;&gt;1),--($C$6:$C$300=$C180),$E$6:$E$300)</f>
        <v>1033.7096544658325</v>
      </c>
      <c r="N180" s="1" cm="1">
        <f t="array" ref="N180">SUMPRODUCT(--($L$6:$L$300&lt;&gt;1),--($C$6:$C$300=$C180))</f>
        <v>50</v>
      </c>
      <c r="O180" s="3">
        <f t="shared" si="21"/>
        <v>30585.751593574136</v>
      </c>
      <c r="P180" s="2" cm="1">
        <f t="array" ref="P180">SQRT(SUMPRODUCT(--($L$6:$L$300&lt;&gt;1),--($C$6:$C$300=$C180),$E$6:$E$300,$O$6:$O$300)/((N180-1)*SUMPRODUCT(--($L$6:$L$300&lt;&gt;1),--($C$6:$C$300=$C180),$E$6:$E$300)/N180))</f>
        <v>621.42795009031227</v>
      </c>
      <c r="Q180" s="2">
        <f t="shared" si="23"/>
        <v>237.31769215442091</v>
      </c>
      <c r="R180" s="2">
        <f t="shared" si="23"/>
        <v>1830.1016167772441</v>
      </c>
      <c r="S180" s="2">
        <f t="shared" si="22"/>
        <v>1208.5974802101482</v>
      </c>
    </row>
    <row r="181" spans="2:19" x14ac:dyDescent="0.3">
      <c r="B181">
        <v>245</v>
      </c>
      <c r="C181" s="25">
        <v>8</v>
      </c>
      <c r="D181" s="32" t="s">
        <v>208</v>
      </c>
      <c r="E181" s="125">
        <f>INDEX('Revised 2019 Lockdown'!H$5:H$257,MATCH(B181,'Revised 2019 Lockdown'!B$5:B$257,0))</f>
        <v>237.74999999999997</v>
      </c>
      <c r="F181" s="7">
        <f>INDEX('Revised 2019 Lockdown'!E$5:E$257,MATCH(B181,'Revised 2019 Lockdown'!B$5:B$257,0))</f>
        <v>631790.16</v>
      </c>
      <c r="G181" s="7">
        <f>INDEX('Revised 2019 Lockdown'!F$5:F$257,MATCH(B181,'Revised 2019 Lockdown'!B$5:B$257,0))</f>
        <v>0</v>
      </c>
      <c r="H181" s="7">
        <f t="shared" si="17"/>
        <v>631790.16</v>
      </c>
      <c r="I181" s="6">
        <f t="shared" si="18"/>
        <v>2657.3718611987388</v>
      </c>
      <c r="J181" s="6">
        <f t="shared" si="19"/>
        <v>1830.1016167772441</v>
      </c>
      <c r="K181" s="5">
        <f t="shared" si="20"/>
        <v>435106.65938878973</v>
      </c>
      <c r="L181" s="4">
        <f t="shared" si="16"/>
        <v>0</v>
      </c>
      <c r="M181" s="2" cm="1">
        <f t="array" ref="M181">SUMPRODUCT(--($L$6:$L$300&lt;&gt;1),--($C$6:$C$300=$C181),$H$6:$H$300)/SUMPRODUCT(--($L$6:$L$300&lt;&gt;1),--($C$6:$C$300=$C181),$E$6:$E$300)</f>
        <v>1033.7096544658325</v>
      </c>
      <c r="N181" s="1" cm="1">
        <f t="array" ref="N181">SUMPRODUCT(--($L$6:$L$300&lt;&gt;1),--($C$6:$C$300=$C181))</f>
        <v>50</v>
      </c>
      <c r="O181" s="3">
        <f t="shared" si="21"/>
        <v>2636278.961572771</v>
      </c>
      <c r="P181" s="2" cm="1">
        <f t="array" ref="P181">SQRT(SUMPRODUCT(--($L$6:$L$300&lt;&gt;1),--($C$6:$C$300=$C181),$E$6:$E$300,$O$6:$O$300)/((N181-1)*SUMPRODUCT(--($L$6:$L$300&lt;&gt;1),--($C$6:$C$300=$C181),$E$6:$E$300)/N181))</f>
        <v>621.42795009031227</v>
      </c>
      <c r="Q181" s="2">
        <f t="shared" si="23"/>
        <v>237.31769215442091</v>
      </c>
      <c r="R181" s="2">
        <f t="shared" si="23"/>
        <v>1830.1016167772441</v>
      </c>
      <c r="S181" s="2">
        <f t="shared" si="22"/>
        <v>1830.1016167772441</v>
      </c>
    </row>
    <row r="182" spans="2:19" x14ac:dyDescent="0.3">
      <c r="B182">
        <v>372</v>
      </c>
      <c r="C182" s="25">
        <v>8</v>
      </c>
      <c r="D182" s="32" t="s">
        <v>209</v>
      </c>
      <c r="E182" s="125">
        <f>INDEX('Revised 2019 Lockdown'!H$5:H$257,MATCH(B182,'Revised 2019 Lockdown'!B$5:B$257,0))</f>
        <v>124.59</v>
      </c>
      <c r="F182" s="7">
        <f>INDEX('Revised 2019 Lockdown'!E$5:E$257,MATCH(B182,'Revised 2019 Lockdown'!B$5:B$257,0))</f>
        <v>86253.52</v>
      </c>
      <c r="G182" s="7">
        <f>INDEX('Revised 2019 Lockdown'!F$5:F$257,MATCH(B182,'Revised 2019 Lockdown'!B$5:B$257,0))</f>
        <v>0</v>
      </c>
      <c r="H182" s="7">
        <f t="shared" si="17"/>
        <v>86253.52</v>
      </c>
      <c r="I182" s="6">
        <f t="shared" si="18"/>
        <v>692.29890039328995</v>
      </c>
      <c r="J182" s="6">
        <f t="shared" si="19"/>
        <v>692.29890039328995</v>
      </c>
      <c r="K182" s="5">
        <f t="shared" si="20"/>
        <v>86253.52</v>
      </c>
      <c r="L182" s="4">
        <f t="shared" si="16"/>
        <v>0</v>
      </c>
      <c r="M182" s="2" cm="1">
        <f t="array" ref="M182">SUMPRODUCT(--($L$6:$L$300&lt;&gt;1),--($C$6:$C$300=$C182),$H$6:$H$300)/SUMPRODUCT(--($L$6:$L$300&lt;&gt;1),--($C$6:$C$300=$C182),$E$6:$E$300)</f>
        <v>1033.7096544658325</v>
      </c>
      <c r="N182" s="1" cm="1">
        <f t="array" ref="N182">SUMPRODUCT(--($L$6:$L$300&lt;&gt;1),--($C$6:$C$300=$C182))</f>
        <v>50</v>
      </c>
      <c r="O182" s="3">
        <f t="shared" si="21"/>
        <v>116561.30299638213</v>
      </c>
      <c r="P182" s="2" cm="1">
        <f t="array" ref="P182">SQRT(SUMPRODUCT(--($L$6:$L$300&lt;&gt;1),--($C$6:$C$300=$C182),$E$6:$E$300,$O$6:$O$300)/((N182-1)*SUMPRODUCT(--($L$6:$L$300&lt;&gt;1),--($C$6:$C$300=$C182),$E$6:$E$300)/N182))</f>
        <v>621.42795009031227</v>
      </c>
      <c r="Q182" s="2">
        <f t="shared" si="23"/>
        <v>237.31769215442091</v>
      </c>
      <c r="R182" s="2">
        <f t="shared" si="23"/>
        <v>1830.1016167772441</v>
      </c>
      <c r="S182" s="2">
        <f t="shared" si="22"/>
        <v>692.29890039328995</v>
      </c>
    </row>
    <row r="183" spans="2:19" x14ac:dyDescent="0.3">
      <c r="B183">
        <v>375</v>
      </c>
      <c r="C183" s="25">
        <v>8</v>
      </c>
      <c r="D183" s="32" t="s">
        <v>210</v>
      </c>
      <c r="E183" s="125">
        <f>INDEX('Revised 2019 Lockdown'!H$5:H$257,MATCH(B183,'Revised 2019 Lockdown'!B$5:B$257,0))</f>
        <v>162.62</v>
      </c>
      <c r="F183" s="7">
        <f>INDEX('Revised 2019 Lockdown'!E$5:E$257,MATCH(B183,'Revised 2019 Lockdown'!B$5:B$257,0))</f>
        <v>231561.51</v>
      </c>
      <c r="G183" s="7">
        <f>INDEX('Revised 2019 Lockdown'!F$5:F$257,MATCH(B183,'Revised 2019 Lockdown'!B$5:B$257,0))</f>
        <v>0</v>
      </c>
      <c r="H183" s="7">
        <f t="shared" si="17"/>
        <v>231561.51</v>
      </c>
      <c r="I183" s="6">
        <f t="shared" si="18"/>
        <v>1423.9423810109458</v>
      </c>
      <c r="J183" s="6">
        <f t="shared" si="19"/>
        <v>1423.9423810109458</v>
      </c>
      <c r="K183" s="5">
        <f t="shared" si="20"/>
        <v>231561.51</v>
      </c>
      <c r="L183" s="4">
        <f t="shared" si="16"/>
        <v>0</v>
      </c>
      <c r="M183" s="2" cm="1">
        <f t="array" ref="M183">SUMPRODUCT(--($L$6:$L$300&lt;&gt;1),--($C$6:$C$300=$C183),$H$6:$H$300)/SUMPRODUCT(--($L$6:$L$300&lt;&gt;1),--($C$6:$C$300=$C183),$E$6:$E$300)</f>
        <v>1033.7096544658325</v>
      </c>
      <c r="N183" s="1" cm="1">
        <f t="array" ref="N183">SUMPRODUCT(--($L$6:$L$300&lt;&gt;1),--($C$6:$C$300=$C183))</f>
        <v>50</v>
      </c>
      <c r="O183" s="3">
        <f t="shared" si="21"/>
        <v>152281.58086683322</v>
      </c>
      <c r="P183" s="2" cm="1">
        <f t="array" ref="P183">SQRT(SUMPRODUCT(--($L$6:$L$300&lt;&gt;1),--($C$6:$C$300=$C183),$E$6:$E$300,$O$6:$O$300)/((N183-1)*SUMPRODUCT(--($L$6:$L$300&lt;&gt;1),--($C$6:$C$300=$C183),$E$6:$E$300)/N183))</f>
        <v>621.42795009031227</v>
      </c>
      <c r="Q183" s="2">
        <f t="shared" si="23"/>
        <v>237.31769215442091</v>
      </c>
      <c r="R183" s="2">
        <f t="shared" si="23"/>
        <v>1830.1016167772441</v>
      </c>
      <c r="S183" s="2">
        <f t="shared" si="22"/>
        <v>1423.9423810109458</v>
      </c>
    </row>
    <row r="184" spans="2:19" x14ac:dyDescent="0.3">
      <c r="B184">
        <v>404</v>
      </c>
      <c r="C184" s="25">
        <v>8</v>
      </c>
      <c r="D184" s="32" t="s">
        <v>211</v>
      </c>
      <c r="E184" s="125">
        <f>INDEX('Revised 2019 Lockdown'!H$5:H$257,MATCH(B184,'Revised 2019 Lockdown'!B$5:B$257,0))</f>
        <v>459.07044990472792</v>
      </c>
      <c r="F184" s="7">
        <f>INDEX('Revised 2019 Lockdown'!E$5:E$257,MATCH(B184,'Revised 2019 Lockdown'!B$5:B$257,0))</f>
        <v>301241.45</v>
      </c>
      <c r="G184" s="7">
        <f>INDEX('Revised 2019 Lockdown'!F$5:F$257,MATCH(B184,'Revised 2019 Lockdown'!B$5:B$257,0))</f>
        <v>16226.76</v>
      </c>
      <c r="H184" s="7">
        <f t="shared" si="17"/>
        <v>285014.69</v>
      </c>
      <c r="I184" s="6">
        <f t="shared" si="18"/>
        <v>620.85174521503143</v>
      </c>
      <c r="J184" s="6">
        <f t="shared" si="19"/>
        <v>620.85174521503143</v>
      </c>
      <c r="K184" s="5">
        <f t="shared" si="20"/>
        <v>285014.69</v>
      </c>
      <c r="L184" s="4">
        <f t="shared" si="16"/>
        <v>0</v>
      </c>
      <c r="M184" s="2" cm="1">
        <f t="array" ref="M184">SUMPRODUCT(--($L$6:$L$300&lt;&gt;1),--($C$6:$C$300=$C184),$H$6:$H$300)/SUMPRODUCT(--($L$6:$L$300&lt;&gt;1),--($C$6:$C$300=$C184),$E$6:$E$300)</f>
        <v>1033.7096544658325</v>
      </c>
      <c r="N184" s="1" cm="1">
        <f t="array" ref="N184">SUMPRODUCT(--($L$6:$L$300&lt;&gt;1),--($C$6:$C$300=$C184))</f>
        <v>50</v>
      </c>
      <c r="O184" s="3">
        <f t="shared" si="21"/>
        <v>170451.6532309427</v>
      </c>
      <c r="P184" s="2" cm="1">
        <f t="array" ref="P184">SQRT(SUMPRODUCT(--($L$6:$L$300&lt;&gt;1),--($C$6:$C$300=$C184),$E$6:$E$300,$O$6:$O$300)/((N184-1)*SUMPRODUCT(--($L$6:$L$300&lt;&gt;1),--($C$6:$C$300=$C184),$E$6:$E$300)/N184))</f>
        <v>621.42795009031227</v>
      </c>
      <c r="Q184" s="2">
        <f t="shared" si="23"/>
        <v>237.31769215442091</v>
      </c>
      <c r="R184" s="2">
        <f t="shared" si="23"/>
        <v>1830.1016167772441</v>
      </c>
      <c r="S184" s="2">
        <f t="shared" si="22"/>
        <v>620.85174521503143</v>
      </c>
    </row>
    <row r="185" spans="2:19" x14ac:dyDescent="0.3">
      <c r="B185">
        <v>413</v>
      </c>
      <c r="C185" s="25">
        <v>8</v>
      </c>
      <c r="D185" s="32" t="s">
        <v>212</v>
      </c>
      <c r="E185" s="125">
        <f>INDEX('Revised 2019 Lockdown'!H$5:H$257,MATCH(B185,'Revised 2019 Lockdown'!B$5:B$257,0))</f>
        <v>76.8</v>
      </c>
      <c r="F185" s="7">
        <f>INDEX('Revised 2019 Lockdown'!E$5:E$257,MATCH(B185,'Revised 2019 Lockdown'!B$5:B$257,0))</f>
        <v>92788.2</v>
      </c>
      <c r="G185" s="7">
        <f>INDEX('Revised 2019 Lockdown'!F$5:F$257,MATCH(B185,'Revised 2019 Lockdown'!B$5:B$257,0))</f>
        <v>110</v>
      </c>
      <c r="H185" s="7">
        <f t="shared" si="17"/>
        <v>92678.2</v>
      </c>
      <c r="I185" s="6">
        <f t="shared" si="18"/>
        <v>1206.7473958333333</v>
      </c>
      <c r="J185" s="6">
        <f t="shared" si="19"/>
        <v>1206.7473958333333</v>
      </c>
      <c r="K185" s="5">
        <f t="shared" si="20"/>
        <v>92678.2</v>
      </c>
      <c r="L185" s="4">
        <f t="shared" si="16"/>
        <v>0</v>
      </c>
      <c r="M185" s="2" cm="1">
        <f t="array" ref="M185">SUMPRODUCT(--($L$6:$L$300&lt;&gt;1),--($C$6:$C$300=$C185),$H$6:$H$300)/SUMPRODUCT(--($L$6:$L$300&lt;&gt;1),--($C$6:$C$300=$C185),$E$6:$E$300)</f>
        <v>1033.7096544658325</v>
      </c>
      <c r="N185" s="1" cm="1">
        <f t="array" ref="N185">SUMPRODUCT(--($L$6:$L$300&lt;&gt;1),--($C$6:$C$300=$C185))</f>
        <v>50</v>
      </c>
      <c r="O185" s="3">
        <f t="shared" si="21"/>
        <v>29942.059937566082</v>
      </c>
      <c r="P185" s="2" cm="1">
        <f t="array" ref="P185">SQRT(SUMPRODUCT(--($L$6:$L$300&lt;&gt;1),--($C$6:$C$300=$C185),$E$6:$E$300,$O$6:$O$300)/((N185-1)*SUMPRODUCT(--($L$6:$L$300&lt;&gt;1),--($C$6:$C$300=$C185),$E$6:$E$300)/N185))</f>
        <v>621.42795009031227</v>
      </c>
      <c r="Q185" s="2">
        <f t="shared" si="23"/>
        <v>237.31769215442091</v>
      </c>
      <c r="R185" s="2">
        <f t="shared" si="23"/>
        <v>1830.1016167772441</v>
      </c>
      <c r="S185" s="2">
        <f t="shared" si="22"/>
        <v>1206.7473958333333</v>
      </c>
    </row>
    <row r="186" spans="2:19" x14ac:dyDescent="0.3">
      <c r="B186">
        <v>537</v>
      </c>
      <c r="C186" s="25">
        <v>8</v>
      </c>
      <c r="D186" s="32" t="s">
        <v>213</v>
      </c>
      <c r="E186" s="125">
        <f>INDEX('Revised 2019 Lockdown'!H$5:H$257,MATCH(B186,'Revised 2019 Lockdown'!B$5:B$257,0))</f>
        <v>9.7919034029984697</v>
      </c>
      <c r="F186" s="7">
        <f>INDEX('Revised 2019 Lockdown'!E$5:E$257,MATCH(B186,'Revised 2019 Lockdown'!B$5:B$257,0))</f>
        <v>8112.34</v>
      </c>
      <c r="G186" s="7">
        <f>INDEX('Revised 2019 Lockdown'!F$5:F$257,MATCH(B186,'Revised 2019 Lockdown'!B$5:B$257,0))</f>
        <v>0</v>
      </c>
      <c r="H186" s="7">
        <f t="shared" si="17"/>
        <v>8112.34</v>
      </c>
      <c r="I186" s="6">
        <f t="shared" si="18"/>
        <v>828.47426757864514</v>
      </c>
      <c r="J186" s="6">
        <f t="shared" si="19"/>
        <v>828.47426757864514</v>
      </c>
      <c r="K186" s="5">
        <f t="shared" si="20"/>
        <v>8112.34</v>
      </c>
      <c r="L186" s="4">
        <f t="shared" si="16"/>
        <v>0</v>
      </c>
      <c r="M186" s="2" cm="1">
        <f t="array" ref="M186">SUMPRODUCT(--($L$6:$L$300&lt;&gt;1),--($C$6:$C$300=$C186),$H$6:$H$300)/SUMPRODUCT(--($L$6:$L$300&lt;&gt;1),--($C$6:$C$300=$C186),$E$6:$E$300)</f>
        <v>1033.7096544658325</v>
      </c>
      <c r="N186" s="1" cm="1">
        <f t="array" ref="N186">SUMPRODUCT(--($L$6:$L$300&lt;&gt;1),--($C$6:$C$300=$C186))</f>
        <v>50</v>
      </c>
      <c r="O186" s="3">
        <f t="shared" si="21"/>
        <v>42121.564030733476</v>
      </c>
      <c r="P186" s="2" cm="1">
        <f t="array" ref="P186">SQRT(SUMPRODUCT(--($L$6:$L$300&lt;&gt;1),--($C$6:$C$300=$C186),$E$6:$E$300,$O$6:$O$300)/((N186-1)*SUMPRODUCT(--($L$6:$L$300&lt;&gt;1),--($C$6:$C$300=$C186),$E$6:$E$300)/N186))</f>
        <v>621.42795009031227</v>
      </c>
      <c r="Q186" s="2">
        <f t="shared" si="23"/>
        <v>237.31769215442091</v>
      </c>
      <c r="R186" s="2">
        <f t="shared" si="23"/>
        <v>1830.1016167772441</v>
      </c>
      <c r="S186" s="2">
        <f t="shared" si="22"/>
        <v>828.47426757864514</v>
      </c>
    </row>
    <row r="187" spans="2:19" x14ac:dyDescent="0.3">
      <c r="B187">
        <v>545</v>
      </c>
      <c r="C187" s="25">
        <v>8</v>
      </c>
      <c r="D187" s="32" t="s">
        <v>214</v>
      </c>
      <c r="E187" s="125">
        <f>INDEX('Revised 2019 Lockdown'!H$5:H$257,MATCH(B187,'Revised 2019 Lockdown'!B$5:B$257,0))</f>
        <v>14.800550827676549</v>
      </c>
      <c r="F187" s="7">
        <f>INDEX('Revised 2019 Lockdown'!E$5:E$257,MATCH(B187,'Revised 2019 Lockdown'!B$5:B$257,0))</f>
        <v>8088.84</v>
      </c>
      <c r="G187" s="7">
        <f>INDEX('Revised 2019 Lockdown'!F$5:F$257,MATCH(B187,'Revised 2019 Lockdown'!B$5:B$257,0))</f>
        <v>0</v>
      </c>
      <c r="H187" s="7">
        <f t="shared" si="17"/>
        <v>8088.84</v>
      </c>
      <c r="I187" s="6">
        <f t="shared" si="18"/>
        <v>546.52290270671085</v>
      </c>
      <c r="J187" s="6">
        <f t="shared" si="19"/>
        <v>546.52290270671085</v>
      </c>
      <c r="K187" s="5">
        <f t="shared" si="20"/>
        <v>8088.8399999999992</v>
      </c>
      <c r="L187" s="4">
        <f t="shared" si="16"/>
        <v>0</v>
      </c>
      <c r="M187" s="2" cm="1">
        <f t="array" ref="M187">SUMPRODUCT(--($L$6:$L$300&lt;&gt;1),--($C$6:$C$300=$C187),$H$6:$H$300)/SUMPRODUCT(--($L$6:$L$300&lt;&gt;1),--($C$6:$C$300=$C187),$E$6:$E$300)</f>
        <v>1033.7096544658325</v>
      </c>
      <c r="N187" s="1" cm="1">
        <f t="array" ref="N187">SUMPRODUCT(--($L$6:$L$300&lt;&gt;1),--($C$6:$C$300=$C187))</f>
        <v>50</v>
      </c>
      <c r="O187" s="3">
        <f t="shared" si="21"/>
        <v>237350.93108960401</v>
      </c>
      <c r="P187" s="2" cm="1">
        <f t="array" ref="P187">SQRT(SUMPRODUCT(--($L$6:$L$300&lt;&gt;1),--($C$6:$C$300=$C187),$E$6:$E$300,$O$6:$O$300)/((N187-1)*SUMPRODUCT(--($L$6:$L$300&lt;&gt;1),--($C$6:$C$300=$C187),$E$6:$E$300)/N187))</f>
        <v>621.42795009031227</v>
      </c>
      <c r="Q187" s="2">
        <f t="shared" si="23"/>
        <v>237.31769215442091</v>
      </c>
      <c r="R187" s="2">
        <f t="shared" si="23"/>
        <v>1830.1016167772441</v>
      </c>
      <c r="S187" s="2">
        <f t="shared" si="22"/>
        <v>546.52290270671085</v>
      </c>
    </row>
    <row r="188" spans="2:19" x14ac:dyDescent="0.3">
      <c r="B188">
        <v>602</v>
      </c>
      <c r="C188" s="25">
        <v>8</v>
      </c>
      <c r="D188" s="32" t="s">
        <v>215</v>
      </c>
      <c r="E188" s="125">
        <f>INDEX('Revised 2019 Lockdown'!H$5:H$257,MATCH(B188,'Revised 2019 Lockdown'!B$5:B$257,0))</f>
        <v>15.286640564393293</v>
      </c>
      <c r="F188" s="7">
        <f>INDEX('Revised 2019 Lockdown'!E$5:E$257,MATCH(B188,'Revised 2019 Lockdown'!B$5:B$257,0))</f>
        <v>26328.83</v>
      </c>
      <c r="G188" s="7">
        <f>INDEX('Revised 2019 Lockdown'!F$5:F$257,MATCH(B188,'Revised 2019 Lockdown'!B$5:B$257,0))</f>
        <v>0</v>
      </c>
      <c r="H188" s="7">
        <f t="shared" si="17"/>
        <v>26328.83</v>
      </c>
      <c r="I188" s="6">
        <f t="shared" si="18"/>
        <v>1722.3424524893287</v>
      </c>
      <c r="J188" s="6">
        <f t="shared" si="19"/>
        <v>1722.3424524893287</v>
      </c>
      <c r="K188" s="5">
        <f t="shared" si="20"/>
        <v>26328.83</v>
      </c>
      <c r="L188" s="4">
        <f t="shared" si="16"/>
        <v>0</v>
      </c>
      <c r="M188" s="2" cm="1">
        <f t="array" ref="M188">SUMPRODUCT(--($L$6:$L$300&lt;&gt;1),--($C$6:$C$300=$C188),$H$6:$H$300)/SUMPRODUCT(--($L$6:$L$300&lt;&gt;1),--($C$6:$C$300=$C188),$E$6:$E$300)</f>
        <v>1033.7096544658325</v>
      </c>
      <c r="N188" s="1" cm="1">
        <f t="array" ref="N188">SUMPRODUCT(--($L$6:$L$300&lt;&gt;1),--($C$6:$C$300=$C188))</f>
        <v>50</v>
      </c>
      <c r="O188" s="3">
        <f t="shared" si="21"/>
        <v>474215.13051366934</v>
      </c>
      <c r="P188" s="2" cm="1">
        <f t="array" ref="P188">SQRT(SUMPRODUCT(--($L$6:$L$300&lt;&gt;1),--($C$6:$C$300=$C188),$E$6:$E$300,$O$6:$O$300)/((N188-1)*SUMPRODUCT(--($L$6:$L$300&lt;&gt;1),--($C$6:$C$300=$C188),$E$6:$E$300)/N188))</f>
        <v>621.42795009031227</v>
      </c>
      <c r="Q188" s="2">
        <f t="shared" si="23"/>
        <v>237.31769215442091</v>
      </c>
      <c r="R188" s="2">
        <f t="shared" si="23"/>
        <v>1830.1016167772441</v>
      </c>
      <c r="S188" s="2">
        <f t="shared" si="22"/>
        <v>1722.3424524893287</v>
      </c>
    </row>
    <row r="189" spans="2:19" x14ac:dyDescent="0.3">
      <c r="B189">
        <v>605</v>
      </c>
      <c r="C189" s="33">
        <v>8</v>
      </c>
      <c r="D189" s="32" t="s">
        <v>216</v>
      </c>
      <c r="E189" s="125">
        <f>INDEX('Revised 2019 Lockdown'!H$5:H$257,MATCH(B189,'Revised 2019 Lockdown'!B$5:B$257,0))</f>
        <v>11.743239548775863</v>
      </c>
      <c r="F189" s="7">
        <f>INDEX('Revised 2019 Lockdown'!E$5:E$257,MATCH(B189,'Revised 2019 Lockdown'!B$5:B$257,0))</f>
        <v>8356.2900000000009</v>
      </c>
      <c r="G189" s="7">
        <f>INDEX('Revised 2019 Lockdown'!F$5:F$257,MATCH(B189,'Revised 2019 Lockdown'!B$5:B$257,0))</f>
        <v>0</v>
      </c>
      <c r="H189" s="7">
        <f t="shared" si="17"/>
        <v>8356.2900000000009</v>
      </c>
      <c r="I189" s="6">
        <f t="shared" si="18"/>
        <v>711.58303169171711</v>
      </c>
      <c r="J189" s="6">
        <f t="shared" si="19"/>
        <v>711.58303169171711</v>
      </c>
      <c r="K189" s="5">
        <f t="shared" si="20"/>
        <v>8356.2900000000009</v>
      </c>
      <c r="L189" s="4">
        <f t="shared" si="16"/>
        <v>0</v>
      </c>
      <c r="M189" s="2" cm="1">
        <f t="array" ref="M189">SUMPRODUCT(--($L$6:$L$300&lt;&gt;1),--($C$6:$C$300=$C189),$H$6:$H$300)/SUMPRODUCT(--($L$6:$L$300&lt;&gt;1),--($C$6:$C$300=$C189),$E$6:$E$300)</f>
        <v>1033.7096544658325</v>
      </c>
      <c r="N189" s="1" cm="1">
        <f t="array" ref="N189">SUMPRODUCT(--($L$6:$L$300&lt;&gt;1),--($C$6:$C$300=$C189))</f>
        <v>50</v>
      </c>
      <c r="O189" s="3">
        <f t="shared" si="21"/>
        <v>103765.56109985724</v>
      </c>
      <c r="P189" s="2" cm="1">
        <f t="array" ref="P189">SQRT(SUMPRODUCT(--($L$6:$L$300&lt;&gt;1),--($C$6:$C$300=$C189),$E$6:$E$300,$O$6:$O$300)/((N189-1)*SUMPRODUCT(--($L$6:$L$300&lt;&gt;1),--($C$6:$C$300=$C189),$E$6:$E$300)/N189))</f>
        <v>621.42795009031227</v>
      </c>
      <c r="Q189" s="2">
        <f t="shared" si="23"/>
        <v>237.31769215442091</v>
      </c>
      <c r="R189" s="2">
        <f t="shared" si="23"/>
        <v>1830.1016167772441</v>
      </c>
      <c r="S189" s="2">
        <f t="shared" si="22"/>
        <v>711.58303169171711</v>
      </c>
    </row>
    <row r="190" spans="2:19" x14ac:dyDescent="0.3">
      <c r="B190">
        <v>607</v>
      </c>
      <c r="C190" s="25">
        <v>8</v>
      </c>
      <c r="D190" s="32" t="s">
        <v>217</v>
      </c>
      <c r="E190" s="125">
        <f>INDEX('Revised 2019 Lockdown'!H$5:H$257,MATCH(B190,'Revised 2019 Lockdown'!B$5:B$257,0))</f>
        <v>17.618381590574945</v>
      </c>
      <c r="F190" s="7">
        <f>INDEX('Revised 2019 Lockdown'!E$5:E$257,MATCH(B190,'Revised 2019 Lockdown'!B$5:B$257,0))</f>
        <v>12544.93</v>
      </c>
      <c r="G190" s="7">
        <f>INDEX('Revised 2019 Lockdown'!F$5:F$257,MATCH(B190,'Revised 2019 Lockdown'!B$5:B$257,0))</f>
        <v>0</v>
      </c>
      <c r="H190" s="7">
        <f t="shared" si="17"/>
        <v>12544.93</v>
      </c>
      <c r="I190" s="6">
        <f t="shared" si="18"/>
        <v>712.03645666926548</v>
      </c>
      <c r="J190" s="6">
        <f t="shared" si="19"/>
        <v>712.03645666926548</v>
      </c>
      <c r="K190" s="5">
        <f t="shared" si="20"/>
        <v>12544.930000000002</v>
      </c>
      <c r="L190" s="4">
        <f t="shared" si="16"/>
        <v>0</v>
      </c>
      <c r="M190" s="2" cm="1">
        <f t="array" ref="M190">SUMPRODUCT(--($L$6:$L$300&lt;&gt;1),--($C$6:$C$300=$C190),$H$6:$H$300)/SUMPRODUCT(--($L$6:$L$300&lt;&gt;1),--($C$6:$C$300=$C190),$E$6:$E$300)</f>
        <v>1033.7096544658325</v>
      </c>
      <c r="N190" s="1" cm="1">
        <f t="array" ref="N190">SUMPRODUCT(--($L$6:$L$300&lt;&gt;1),--($C$6:$C$300=$C190))</f>
        <v>50</v>
      </c>
      <c r="O190" s="3">
        <f t="shared" si="21"/>
        <v>103473.64618066933</v>
      </c>
      <c r="P190" s="2" cm="1">
        <f t="array" ref="P190">SQRT(SUMPRODUCT(--($L$6:$L$300&lt;&gt;1),--($C$6:$C$300=$C190),$E$6:$E$300,$O$6:$O$300)/((N190-1)*SUMPRODUCT(--($L$6:$L$300&lt;&gt;1),--($C$6:$C$300=$C190),$E$6:$E$300)/N190))</f>
        <v>621.42795009031227</v>
      </c>
      <c r="Q190" s="2">
        <f t="shared" si="23"/>
        <v>237.31769215442091</v>
      </c>
      <c r="R190" s="2">
        <f t="shared" si="23"/>
        <v>1830.1016167772441</v>
      </c>
      <c r="S190" s="2">
        <f t="shared" si="22"/>
        <v>712.03645666926548</v>
      </c>
    </row>
    <row r="191" spans="2:19" x14ac:dyDescent="0.3">
      <c r="B191">
        <v>610</v>
      </c>
      <c r="C191" s="25">
        <v>8</v>
      </c>
      <c r="D191" s="32" t="s">
        <v>218</v>
      </c>
      <c r="E191" s="125">
        <f>INDEX('Revised 2019 Lockdown'!H$5:H$257,MATCH(B191,'Revised 2019 Lockdown'!B$5:B$257,0))</f>
        <v>75.671529349767766</v>
      </c>
      <c r="F191" s="7">
        <f>INDEX('Revised 2019 Lockdown'!E$5:E$257,MATCH(B191,'Revised 2019 Lockdown'!B$5:B$257,0))</f>
        <v>39395.15</v>
      </c>
      <c r="G191" s="7">
        <f>INDEX('Revised 2019 Lockdown'!F$5:F$257,MATCH(B191,'Revised 2019 Lockdown'!B$5:B$257,0))</f>
        <v>0</v>
      </c>
      <c r="H191" s="7">
        <f t="shared" si="17"/>
        <v>39395.15</v>
      </c>
      <c r="I191" s="6">
        <f t="shared" si="18"/>
        <v>520.60729231344533</v>
      </c>
      <c r="J191" s="6">
        <f t="shared" si="19"/>
        <v>520.60729231344533</v>
      </c>
      <c r="K191" s="5">
        <f t="shared" si="20"/>
        <v>39395.15</v>
      </c>
      <c r="L191" s="4">
        <f t="shared" si="16"/>
        <v>0</v>
      </c>
      <c r="M191" s="2" cm="1">
        <f t="array" ref="M191">SUMPRODUCT(--($L$6:$L$300&lt;&gt;1),--($C$6:$C$300=$C191),$H$6:$H$300)/SUMPRODUCT(--($L$6:$L$300&lt;&gt;1),--($C$6:$C$300=$C191),$E$6:$E$300)</f>
        <v>1033.7096544658325</v>
      </c>
      <c r="N191" s="1" cm="1">
        <f t="array" ref="N191">SUMPRODUCT(--($L$6:$L$300&lt;&gt;1),--($C$6:$C$300=$C191))</f>
        <v>50</v>
      </c>
      <c r="O191" s="3">
        <f t="shared" si="21"/>
        <v>263274.03404635948</v>
      </c>
      <c r="P191" s="2" cm="1">
        <f t="array" ref="P191">SQRT(SUMPRODUCT(--($L$6:$L$300&lt;&gt;1),--($C$6:$C$300=$C191),$E$6:$E$300,$O$6:$O$300)/((N191-1)*SUMPRODUCT(--($L$6:$L$300&lt;&gt;1),--($C$6:$C$300=$C191),$E$6:$E$300)/N191))</f>
        <v>621.42795009031227</v>
      </c>
      <c r="Q191" s="2">
        <f t="shared" si="23"/>
        <v>237.31769215442091</v>
      </c>
      <c r="R191" s="2">
        <f t="shared" si="23"/>
        <v>1830.1016167772441</v>
      </c>
      <c r="S191" s="2">
        <f t="shared" si="22"/>
        <v>520.60729231344533</v>
      </c>
    </row>
    <row r="192" spans="2:19" x14ac:dyDescent="0.3">
      <c r="B192">
        <v>611</v>
      </c>
      <c r="C192" s="25">
        <v>8</v>
      </c>
      <c r="D192" s="32" t="s">
        <v>219</v>
      </c>
      <c r="E192" s="125">
        <f>INDEX('Revised 2019 Lockdown'!H$5:H$257,MATCH(B192,'Revised 2019 Lockdown'!B$5:B$257,0))</f>
        <v>19.780665332856973</v>
      </c>
      <c r="F192" s="7">
        <f>INDEX('Revised 2019 Lockdown'!E$5:E$257,MATCH(B192,'Revised 2019 Lockdown'!B$5:B$257,0))</f>
        <v>37334.879999999997</v>
      </c>
      <c r="G192" s="7">
        <f>INDEX('Revised 2019 Lockdown'!F$5:F$257,MATCH(B192,'Revised 2019 Lockdown'!B$5:B$257,0))</f>
        <v>0</v>
      </c>
      <c r="H192" s="7">
        <f t="shared" si="17"/>
        <v>37334.879999999997</v>
      </c>
      <c r="I192" s="6">
        <f t="shared" si="18"/>
        <v>1887.4430850404374</v>
      </c>
      <c r="J192" s="6">
        <f t="shared" si="19"/>
        <v>1830.1016167772441</v>
      </c>
      <c r="K192" s="5">
        <f t="shared" si="20"/>
        <v>36200.62760659113</v>
      </c>
      <c r="L192" s="4">
        <f t="shared" si="16"/>
        <v>0</v>
      </c>
      <c r="M192" s="2" cm="1">
        <f t="array" ref="M192">SUMPRODUCT(--($L$6:$L$300&lt;&gt;1),--($C$6:$C$300=$C192),$H$6:$H$300)/SUMPRODUCT(--($L$6:$L$300&lt;&gt;1),--($C$6:$C$300=$C192),$E$6:$E$300)</f>
        <v>1033.7096544658325</v>
      </c>
      <c r="N192" s="1" cm="1">
        <f t="array" ref="N192">SUMPRODUCT(--($L$6:$L$300&lt;&gt;1),--($C$6:$C$300=$C192))</f>
        <v>50</v>
      </c>
      <c r="O192" s="3">
        <f t="shared" si="21"/>
        <v>728860.77048068366</v>
      </c>
      <c r="P192" s="2" cm="1">
        <f t="array" ref="P192">SQRT(SUMPRODUCT(--($L$6:$L$300&lt;&gt;1),--($C$6:$C$300=$C192),$E$6:$E$300,$O$6:$O$300)/((N192-1)*SUMPRODUCT(--($L$6:$L$300&lt;&gt;1),--($C$6:$C$300=$C192),$E$6:$E$300)/N192))</f>
        <v>621.42795009031227</v>
      </c>
      <c r="Q192" s="2">
        <f t="shared" si="23"/>
        <v>237.31769215442091</v>
      </c>
      <c r="R192" s="2">
        <f t="shared" si="23"/>
        <v>1830.1016167772441</v>
      </c>
      <c r="S192" s="2">
        <f t="shared" si="22"/>
        <v>1830.1016167772441</v>
      </c>
    </row>
    <row r="193" spans="2:19" x14ac:dyDescent="0.3">
      <c r="B193">
        <v>616</v>
      </c>
      <c r="C193" s="25">
        <v>8</v>
      </c>
      <c r="D193" s="32" t="s">
        <v>220</v>
      </c>
      <c r="E193" s="125">
        <f>INDEX('Revised 2019 Lockdown'!H$5:H$257,MATCH(B193,'Revised 2019 Lockdown'!B$5:B$257,0))</f>
        <v>164.92000000000002</v>
      </c>
      <c r="F193" s="7">
        <f>INDEX('Revised 2019 Lockdown'!E$5:E$257,MATCH(B193,'Revised 2019 Lockdown'!B$5:B$257,0))</f>
        <v>264029.39</v>
      </c>
      <c r="G193" s="7">
        <f>INDEX('Revised 2019 Lockdown'!F$5:F$257,MATCH(B193,'Revised 2019 Lockdown'!B$5:B$257,0))</f>
        <v>0</v>
      </c>
      <c r="H193" s="7">
        <f t="shared" si="17"/>
        <v>264029.39</v>
      </c>
      <c r="I193" s="6">
        <f t="shared" si="18"/>
        <v>1600.9543414989084</v>
      </c>
      <c r="J193" s="6">
        <f t="shared" si="19"/>
        <v>1600.9543414989084</v>
      </c>
      <c r="K193" s="5">
        <f t="shared" si="20"/>
        <v>264029.39</v>
      </c>
      <c r="L193" s="4">
        <f t="shared" si="16"/>
        <v>0</v>
      </c>
      <c r="M193" s="2" cm="1">
        <f t="array" ref="M193">SUMPRODUCT(--($L$6:$L$300&lt;&gt;1),--($C$6:$C$300=$C193),$H$6:$H$300)/SUMPRODUCT(--($L$6:$L$300&lt;&gt;1),--($C$6:$C$300=$C193),$E$6:$E$300)</f>
        <v>1033.7096544658325</v>
      </c>
      <c r="N193" s="1" cm="1">
        <f t="array" ref="N193">SUMPRODUCT(--($L$6:$L$300&lt;&gt;1),--($C$6:$C$300=$C193))</f>
        <v>50</v>
      </c>
      <c r="O193" s="3">
        <f t="shared" si="21"/>
        <v>321766.53496725229</v>
      </c>
      <c r="P193" s="2" cm="1">
        <f t="array" ref="P193">SQRT(SUMPRODUCT(--($L$6:$L$300&lt;&gt;1),--($C$6:$C$300=$C193),$E$6:$E$300,$O$6:$O$300)/((N193-1)*SUMPRODUCT(--($L$6:$L$300&lt;&gt;1),--($C$6:$C$300=$C193),$E$6:$E$300)/N193))</f>
        <v>621.42795009031227</v>
      </c>
      <c r="Q193" s="2">
        <f t="shared" si="23"/>
        <v>237.31769215442091</v>
      </c>
      <c r="R193" s="2">
        <f t="shared" si="23"/>
        <v>1830.1016167772441</v>
      </c>
      <c r="S193" s="2">
        <f t="shared" si="22"/>
        <v>1600.9543414989084</v>
      </c>
    </row>
    <row r="194" spans="2:19" x14ac:dyDescent="0.3">
      <c r="B194">
        <v>637</v>
      </c>
      <c r="C194" s="25">
        <v>8</v>
      </c>
      <c r="D194" s="32" t="s">
        <v>295</v>
      </c>
      <c r="E194" s="125">
        <f>INDEX('Revised 2019 Lockdown'!H$5:H$257,MATCH(B194,'Revised 2019 Lockdown'!B$5:B$257,0))</f>
        <v>11.1622</v>
      </c>
      <c r="F194" s="7">
        <f>INDEX('Revised 2019 Lockdown'!E$5:E$257,MATCH(B194,'Revised 2019 Lockdown'!B$5:B$257,0))</f>
        <v>24131.66</v>
      </c>
      <c r="G194" s="7">
        <f>INDEX('Revised 2019 Lockdown'!F$5:F$257,MATCH(B194,'Revised 2019 Lockdown'!B$5:B$257,0))</f>
        <v>0</v>
      </c>
      <c r="H194" s="7">
        <f t="shared" si="17"/>
        <v>24131.66</v>
      </c>
      <c r="I194" s="6">
        <f t="shared" si="18"/>
        <v>2161.9089426815503</v>
      </c>
      <c r="J194" s="6">
        <f t="shared" si="19"/>
        <v>1830.1016167772441</v>
      </c>
      <c r="K194" s="5">
        <f t="shared" si="20"/>
        <v>20427.960266790953</v>
      </c>
      <c r="L194" s="4">
        <f t="shared" si="16"/>
        <v>0</v>
      </c>
      <c r="M194" s="2" cm="1">
        <f t="array" ref="M194">SUMPRODUCT(--($L$6:$L$300&lt;&gt;1),--($C$6:$C$300=$C194),$H$6:$H$300)/SUMPRODUCT(--($L$6:$L$300&lt;&gt;1),--($C$6:$C$300=$C194),$E$6:$E$300)</f>
        <v>1033.7096544658325</v>
      </c>
      <c r="N194" s="1" cm="1">
        <f t="array" ref="N194">SUMPRODUCT(--($L$6:$L$300&lt;&gt;1),--($C$6:$C$300=$C194))</f>
        <v>50</v>
      </c>
      <c r="O194" s="3">
        <f t="shared" si="21"/>
        <v>1272833.6339304524</v>
      </c>
      <c r="P194" s="2" cm="1">
        <f t="array" ref="P194">SQRT(SUMPRODUCT(--($L$6:$L$300&lt;&gt;1),--($C$6:$C$300=$C194),$E$6:$E$300,$O$6:$O$300)/((N194-1)*SUMPRODUCT(--($L$6:$L$300&lt;&gt;1),--($C$6:$C$300=$C194),$E$6:$E$300)/N194))</f>
        <v>621.42795009031227</v>
      </c>
      <c r="Q194" s="2">
        <f t="shared" si="23"/>
        <v>237.31769215442091</v>
      </c>
      <c r="R194" s="2">
        <f t="shared" si="23"/>
        <v>1830.1016167772441</v>
      </c>
      <c r="S194" s="2">
        <f t="shared" si="22"/>
        <v>1830.1016167772441</v>
      </c>
    </row>
    <row r="195" spans="2:19" x14ac:dyDescent="0.3">
      <c r="B195">
        <v>638</v>
      </c>
      <c r="C195" s="25">
        <v>8</v>
      </c>
      <c r="D195" s="32" t="s">
        <v>296</v>
      </c>
      <c r="E195" s="125">
        <f>INDEX('Revised 2019 Lockdown'!H$5:H$257,MATCH(B195,'Revised 2019 Lockdown'!B$5:B$257,0))</f>
        <v>11.482591760350724</v>
      </c>
      <c r="F195" s="7">
        <f>INDEX('Revised 2019 Lockdown'!E$5:E$257,MATCH(B195,'Revised 2019 Lockdown'!B$5:B$257,0))</f>
        <v>19979.61</v>
      </c>
      <c r="G195" s="7">
        <f>INDEX('Revised 2019 Lockdown'!F$5:F$257,MATCH(B195,'Revised 2019 Lockdown'!B$5:B$257,0))</f>
        <v>0</v>
      </c>
      <c r="H195" s="7">
        <f t="shared" si="17"/>
        <v>19979.61</v>
      </c>
      <c r="I195" s="6">
        <f t="shared" si="18"/>
        <v>1739.9913205126213</v>
      </c>
      <c r="J195" s="6">
        <f t="shared" si="19"/>
        <v>1739.9913205126213</v>
      </c>
      <c r="K195" s="5">
        <f t="shared" si="20"/>
        <v>19979.61</v>
      </c>
      <c r="L195" s="4">
        <f t="shared" si="16"/>
        <v>0</v>
      </c>
      <c r="M195" s="2" cm="1">
        <f t="array" ref="M195">SUMPRODUCT(--($L$6:$L$300&lt;&gt;1),--($C$6:$C$300=$C195),$H$6:$H$300)/SUMPRODUCT(--($L$6:$L$300&lt;&gt;1),--($C$6:$C$300=$C195),$E$6:$E$300)</f>
        <v>1033.7096544658325</v>
      </c>
      <c r="N195" s="1" cm="1">
        <f t="array" ref="N195">SUMPRODUCT(--($L$6:$L$300&lt;&gt;1),--($C$6:$C$300=$C195))</f>
        <v>50</v>
      </c>
      <c r="O195" s="3">
        <f t="shared" si="21"/>
        <v>498833.79179382772</v>
      </c>
      <c r="P195" s="2" cm="1">
        <f t="array" ref="P195">SQRT(SUMPRODUCT(--($L$6:$L$300&lt;&gt;1),--($C$6:$C$300=$C195),$E$6:$E$300,$O$6:$O$300)/((N195-1)*SUMPRODUCT(--($L$6:$L$300&lt;&gt;1),--($C$6:$C$300=$C195),$E$6:$E$300)/N195))</f>
        <v>621.42795009031227</v>
      </c>
      <c r="Q195" s="2">
        <f t="shared" si="23"/>
        <v>237.31769215442091</v>
      </c>
      <c r="R195" s="2">
        <f t="shared" si="23"/>
        <v>1830.1016167772441</v>
      </c>
      <c r="S195" s="2">
        <f t="shared" si="22"/>
        <v>1739.9913205126213</v>
      </c>
    </row>
    <row r="196" spans="2:19" x14ac:dyDescent="0.3">
      <c r="B196">
        <v>639</v>
      </c>
      <c r="C196" s="25">
        <v>8</v>
      </c>
      <c r="D196" s="32" t="s">
        <v>297</v>
      </c>
      <c r="E196" s="125">
        <f>INDEX('Revised 2019 Lockdown'!H$5:H$257,MATCH(B196,'Revised 2019 Lockdown'!B$5:B$257,0))</f>
        <v>26.744088597118019</v>
      </c>
      <c r="F196" s="7">
        <f>INDEX('Revised 2019 Lockdown'!E$5:E$257,MATCH(B196,'Revised 2019 Lockdown'!B$5:B$257,0))</f>
        <v>19587.5</v>
      </c>
      <c r="G196" s="7">
        <f>INDEX('Revised 2019 Lockdown'!F$5:F$257,MATCH(B196,'Revised 2019 Lockdown'!B$5:B$257,0))</f>
        <v>0</v>
      </c>
      <c r="H196" s="7">
        <f t="shared" si="17"/>
        <v>19587.5</v>
      </c>
      <c r="I196" s="6">
        <f t="shared" si="18"/>
        <v>732.40484262046516</v>
      </c>
      <c r="J196" s="6">
        <f t="shared" si="19"/>
        <v>732.40484262046516</v>
      </c>
      <c r="K196" s="5">
        <f t="shared" si="20"/>
        <v>19587.5</v>
      </c>
      <c r="L196" s="4">
        <f t="shared" si="16"/>
        <v>0</v>
      </c>
      <c r="M196" s="2" cm="1">
        <f t="array" ref="M196">SUMPRODUCT(--($L$6:$L$300&lt;&gt;1),--($C$6:$C$300=$C196),$H$6:$H$300)/SUMPRODUCT(--($L$6:$L$300&lt;&gt;1),--($C$6:$C$300=$C196),$E$6:$E$300)</f>
        <v>1033.7096544658325</v>
      </c>
      <c r="N196" s="1" cm="1">
        <f t="array" ref="N196">SUMPRODUCT(--($L$6:$L$300&lt;&gt;1),--($C$6:$C$300=$C196))</f>
        <v>50</v>
      </c>
      <c r="O196" s="3">
        <f t="shared" si="21"/>
        <v>90784.589641172221</v>
      </c>
      <c r="P196" s="2" cm="1">
        <f t="array" ref="P196">SQRT(SUMPRODUCT(--($L$6:$L$300&lt;&gt;1),--($C$6:$C$300=$C196),$E$6:$E$300,$O$6:$O$300)/((N196-1)*SUMPRODUCT(--($L$6:$L$300&lt;&gt;1),--($C$6:$C$300=$C196),$E$6:$E$300)/N196))</f>
        <v>621.42795009031227</v>
      </c>
      <c r="Q196" s="2">
        <f t="shared" si="23"/>
        <v>237.31769215442091</v>
      </c>
      <c r="R196" s="2">
        <f t="shared" si="23"/>
        <v>1830.1016167772441</v>
      </c>
      <c r="S196" s="2">
        <f t="shared" si="22"/>
        <v>732.40484262046516</v>
      </c>
    </row>
    <row r="197" spans="2:19" x14ac:dyDescent="0.3">
      <c r="B197">
        <v>645</v>
      </c>
      <c r="C197" s="25">
        <v>8</v>
      </c>
      <c r="D197" s="32" t="s">
        <v>313</v>
      </c>
      <c r="E197" s="125">
        <f>INDEX('Revised 2019 Lockdown'!H$5:H$257,MATCH(B197,'Revised 2019 Lockdown'!B$5:B$257,0))</f>
        <v>4.4384178397046563</v>
      </c>
      <c r="F197" s="7">
        <f>INDEX('Revised 2019 Lockdown'!E$5:E$257,MATCH(B197,'Revised 2019 Lockdown'!B$5:B$257,0))</f>
        <v>14942.85</v>
      </c>
      <c r="G197" s="7">
        <f>INDEX('Revised 2019 Lockdown'!F$5:F$257,MATCH(B197,'Revised 2019 Lockdown'!B$5:B$257,0))</f>
        <v>0</v>
      </c>
      <c r="H197" s="7">
        <f t="shared" si="17"/>
        <v>14942.85</v>
      </c>
      <c r="I197" s="6">
        <f t="shared" si="18"/>
        <v>3366.7064570455891</v>
      </c>
      <c r="J197" s="6">
        <f t="shared" si="19"/>
        <v>1830.1016167772441</v>
      </c>
      <c r="K197" s="5">
        <f t="shared" si="20"/>
        <v>8122.7556643764547</v>
      </c>
      <c r="L197" s="4">
        <f t="shared" ref="L197:L240" si="24">IF(ISERROR(I197),1,0)</f>
        <v>0</v>
      </c>
      <c r="M197" s="2" cm="1">
        <f t="array" ref="M197">SUMPRODUCT(--($L$6:$L$300&lt;&gt;1),--($C$6:$C$300=$C197),$H$6:$H$300)/SUMPRODUCT(--($L$6:$L$300&lt;&gt;1),--($C$6:$C$300=$C197),$E$6:$E$300)</f>
        <v>1033.7096544658325</v>
      </c>
      <c r="N197" s="1" cm="1">
        <f t="array" ref="N197">SUMPRODUCT(--($L$6:$L$300&lt;&gt;1),--($C$6:$C$300=$C197))</f>
        <v>50</v>
      </c>
      <c r="O197" s="3">
        <f t="shared" si="21"/>
        <v>5442874.0808473676</v>
      </c>
      <c r="P197" s="2" cm="1">
        <f t="array" ref="P197">SQRT(SUMPRODUCT(--($L$6:$L$300&lt;&gt;1),--($C$6:$C$300=$C197),$E$6:$E$300,$O$6:$O$300)/((N197-1)*SUMPRODUCT(--($L$6:$L$300&lt;&gt;1),--($C$6:$C$300=$C197),$E$6:$E$300)/N197))</f>
        <v>621.42795009031227</v>
      </c>
      <c r="Q197" s="2">
        <f t="shared" si="23"/>
        <v>237.31769215442091</v>
      </c>
      <c r="R197" s="2">
        <f t="shared" si="23"/>
        <v>1830.1016167772441</v>
      </c>
      <c r="S197" s="2">
        <f t="shared" si="22"/>
        <v>1830.1016167772441</v>
      </c>
    </row>
    <row r="198" spans="2:19" x14ac:dyDescent="0.3">
      <c r="B198">
        <v>709</v>
      </c>
      <c r="C198" s="25">
        <v>8</v>
      </c>
      <c r="D198" s="32" t="s">
        <v>222</v>
      </c>
      <c r="E198" s="125">
        <f>INDEX('Revised 2019 Lockdown'!H$5:H$257,MATCH(B198,'Revised 2019 Lockdown'!B$5:B$257,0))</f>
        <v>69.808973502441347</v>
      </c>
      <c r="F198" s="7">
        <f>INDEX('Revised 2019 Lockdown'!E$5:E$257,MATCH(B198,'Revised 2019 Lockdown'!B$5:B$257,0))</f>
        <v>43632.11</v>
      </c>
      <c r="G198" s="7">
        <f>INDEX('Revised 2019 Lockdown'!F$5:F$257,MATCH(B198,'Revised 2019 Lockdown'!B$5:B$257,0))</f>
        <v>0</v>
      </c>
      <c r="H198" s="7">
        <f t="shared" ref="H198:H249" si="25">F198-G198</f>
        <v>43632.11</v>
      </c>
      <c r="I198" s="6">
        <f t="shared" ref="I198:I245" si="26">H198/E198</f>
        <v>625.02150956959861</v>
      </c>
      <c r="J198" s="6">
        <f t="shared" ref="J198:J245" si="27">IF(ISERROR(IF($J$2=1,MAX(MIN(I198,R198),Q198),MIN(I198,R198))),R198,IF($J$2=1,MAX(MIN(I198,R198),Q198),MIN(I198,R198)))</f>
        <v>625.02150956959861</v>
      </c>
      <c r="K198" s="5">
        <f t="shared" ref="K198:K245" si="28">J198*E198</f>
        <v>43632.11</v>
      </c>
      <c r="L198" s="4">
        <f t="shared" si="24"/>
        <v>0</v>
      </c>
      <c r="M198" s="2" cm="1">
        <f t="array" ref="M198">SUMPRODUCT(--($L$6:$L$300&lt;&gt;1),--($C$6:$C$300=$C198),$H$6:$H$300)/SUMPRODUCT(--($L$6:$L$300&lt;&gt;1),--($C$6:$C$300=$C198),$E$6:$E$300)</f>
        <v>1033.7096544658325</v>
      </c>
      <c r="N198" s="1" cm="1">
        <f t="array" ref="N198">SUMPRODUCT(--($L$6:$L$300&lt;&gt;1),--($C$6:$C$300=$C198))</f>
        <v>50</v>
      </c>
      <c r="O198" s="3">
        <f t="shared" si="21"/>
        <v>167025.99977872506</v>
      </c>
      <c r="P198" s="2" cm="1">
        <f t="array" ref="P198">SQRT(SUMPRODUCT(--($L$6:$L$300&lt;&gt;1),--($C$6:$C$300=$C198),$E$6:$E$300,$O$6:$O$300)/((N198-1)*SUMPRODUCT(--($L$6:$L$300&lt;&gt;1),--($C$6:$C$300=$C198),$E$6:$E$300)/N198))</f>
        <v>621.42795009031227</v>
      </c>
      <c r="Q198" s="2">
        <f t="shared" si="23"/>
        <v>237.31769215442091</v>
      </c>
      <c r="R198" s="2">
        <f t="shared" si="23"/>
        <v>1830.1016167772441</v>
      </c>
      <c r="S198" s="2">
        <f t="shared" si="22"/>
        <v>625.02150956959861</v>
      </c>
    </row>
    <row r="199" spans="2:19" x14ac:dyDescent="0.3">
      <c r="B199">
        <v>714</v>
      </c>
      <c r="C199" s="25">
        <v>8</v>
      </c>
      <c r="D199" s="32" t="s">
        <v>223</v>
      </c>
      <c r="E199" s="125">
        <f>INDEX('Revised 2019 Lockdown'!H$5:H$257,MATCH(B199,'Revised 2019 Lockdown'!B$5:B$257,0))</f>
        <v>55.79475654400381</v>
      </c>
      <c r="F199" s="7">
        <f>INDEX('Revised 2019 Lockdown'!E$5:E$257,MATCH(B199,'Revised 2019 Lockdown'!B$5:B$257,0))</f>
        <v>63101.23</v>
      </c>
      <c r="G199" s="7">
        <f>INDEX('Revised 2019 Lockdown'!F$5:F$257,MATCH(B199,'Revised 2019 Lockdown'!B$5:B$257,0))</f>
        <v>0</v>
      </c>
      <c r="H199" s="7">
        <f t="shared" si="25"/>
        <v>63101.23</v>
      </c>
      <c r="I199" s="6">
        <f t="shared" si="26"/>
        <v>1130.9526899760513</v>
      </c>
      <c r="J199" s="6">
        <f t="shared" si="27"/>
        <v>1130.9526899760513</v>
      </c>
      <c r="K199" s="5">
        <f t="shared" si="28"/>
        <v>63101.229999999996</v>
      </c>
      <c r="L199" s="4">
        <f t="shared" si="24"/>
        <v>0</v>
      </c>
      <c r="M199" s="2" cm="1">
        <f t="array" ref="M199">SUMPRODUCT(--($L$6:$L$300&lt;&gt;1),--($C$6:$C$300=$C199),$H$6:$H$300)/SUMPRODUCT(--($L$6:$L$300&lt;&gt;1),--($C$6:$C$300=$C199),$E$6:$E$300)</f>
        <v>1033.7096544658325</v>
      </c>
      <c r="N199" s="1" cm="1">
        <f t="array" ref="N199">SUMPRODUCT(--($L$6:$L$300&lt;&gt;1),--($C$6:$C$300=$C199))</f>
        <v>50</v>
      </c>
      <c r="O199" s="3">
        <f t="shared" ref="O199:O258" si="29">IF(ISERROR((I199-M199)^2),0,(I199-M199)^2)</f>
        <v>9456.2079552416672</v>
      </c>
      <c r="P199" s="2" cm="1">
        <f t="array" ref="P199">SQRT(SUMPRODUCT(--($L$6:$L$300&lt;&gt;1),--($C$6:$C$300=$C199),$E$6:$E$300,$O$6:$O$300)/((N199-1)*SUMPRODUCT(--($L$6:$L$300&lt;&gt;1),--($C$6:$C$300=$C199),$E$6:$E$300)/N199))</f>
        <v>621.42795009031227</v>
      </c>
      <c r="Q199" s="2">
        <f t="shared" si="23"/>
        <v>237.31769215442091</v>
      </c>
      <c r="R199" s="2">
        <f t="shared" si="23"/>
        <v>1830.1016167772441</v>
      </c>
      <c r="S199" s="2">
        <f t="shared" ref="S199:S258" si="30">IF($J$2=1,MAX(MIN(I199,R199),Q199),MIN(R199,I199))</f>
        <v>1130.9526899760513</v>
      </c>
    </row>
    <row r="200" spans="2:19" x14ac:dyDescent="0.3">
      <c r="B200">
        <v>749</v>
      </c>
      <c r="C200" s="25">
        <v>8</v>
      </c>
      <c r="D200" s="32" t="s">
        <v>224</v>
      </c>
      <c r="E200" s="125">
        <f>INDEX('Revised 2019 Lockdown'!H$5:H$257,MATCH(B200,'Revised 2019 Lockdown'!B$5:B$257,0))</f>
        <v>25.180157901631535</v>
      </c>
      <c r="F200" s="7">
        <f>INDEX('Revised 2019 Lockdown'!E$5:E$257,MATCH(B200,'Revised 2019 Lockdown'!B$5:B$257,0))</f>
        <v>4690.4399999999996</v>
      </c>
      <c r="G200" s="7">
        <f>INDEX('Revised 2019 Lockdown'!F$5:F$257,MATCH(B200,'Revised 2019 Lockdown'!B$5:B$257,0))</f>
        <v>0</v>
      </c>
      <c r="H200" s="7">
        <f t="shared" si="25"/>
        <v>4690.4399999999996</v>
      </c>
      <c r="I200" s="6">
        <f t="shared" si="26"/>
        <v>186.27524173293946</v>
      </c>
      <c r="J200" s="6">
        <f t="shared" si="27"/>
        <v>186.27524173293946</v>
      </c>
      <c r="K200" s="5">
        <f t="shared" si="28"/>
        <v>4690.4399999999996</v>
      </c>
      <c r="L200" s="4">
        <f t="shared" si="24"/>
        <v>0</v>
      </c>
      <c r="M200" s="2" cm="1">
        <f t="array" ref="M200">SUMPRODUCT(--($L$6:$L$300&lt;&gt;1),--($C$6:$C$300=$C200),$H$6:$H$300)/SUMPRODUCT(--($L$6:$L$300&lt;&gt;1),--($C$6:$C$300=$C200),$E$6:$E$300)</f>
        <v>1033.7096544658325</v>
      </c>
      <c r="N200" s="1" cm="1">
        <f t="array" ref="N200">SUMPRODUCT(--($L$6:$L$300&lt;&gt;1),--($C$6:$C$300=$C200))</f>
        <v>50</v>
      </c>
      <c r="O200" s="3">
        <f t="shared" si="29"/>
        <v>718145.08388394339</v>
      </c>
      <c r="P200" s="2" cm="1">
        <f t="array" ref="P200">SQRT(SUMPRODUCT(--($L$6:$L$300&lt;&gt;1),--($C$6:$C$300=$C200),$E$6:$E$300,$O$6:$O$300)/((N200-1)*SUMPRODUCT(--($L$6:$L$300&lt;&gt;1),--($C$6:$C$300=$C200),$E$6:$E$300)/N200))</f>
        <v>621.42795009031227</v>
      </c>
      <c r="Q200" s="2">
        <f t="shared" si="23"/>
        <v>237.31769215442091</v>
      </c>
      <c r="R200" s="2">
        <f t="shared" si="23"/>
        <v>1830.1016167772441</v>
      </c>
      <c r="S200" s="2">
        <f t="shared" si="30"/>
        <v>186.27524173293946</v>
      </c>
    </row>
    <row r="201" spans="2:19" x14ac:dyDescent="0.3">
      <c r="B201">
        <v>764</v>
      </c>
      <c r="C201" s="25">
        <v>8</v>
      </c>
      <c r="D201" s="32" t="s">
        <v>225</v>
      </c>
      <c r="E201" s="125">
        <f>INDEX('Revised 2019 Lockdown'!H$5:H$257,MATCH(B201,'Revised 2019 Lockdown'!B$5:B$257,0))</f>
        <v>15.2</v>
      </c>
      <c r="F201" s="7">
        <f>INDEX('Revised 2019 Lockdown'!E$5:E$257,MATCH(B201,'Revised 2019 Lockdown'!B$5:B$257,0))</f>
        <v>11682.68</v>
      </c>
      <c r="G201" s="7">
        <f>INDEX('Revised 2019 Lockdown'!F$5:F$257,MATCH(B201,'Revised 2019 Lockdown'!B$5:B$257,0))</f>
        <v>0</v>
      </c>
      <c r="H201" s="7">
        <f t="shared" si="25"/>
        <v>11682.68</v>
      </c>
      <c r="I201" s="6">
        <f t="shared" si="26"/>
        <v>768.59736842105269</v>
      </c>
      <c r="J201" s="6">
        <f t="shared" si="27"/>
        <v>768.59736842105269</v>
      </c>
      <c r="K201" s="5">
        <f t="shared" si="28"/>
        <v>11682.68</v>
      </c>
      <c r="L201" s="4">
        <f t="shared" si="24"/>
        <v>0</v>
      </c>
      <c r="M201" s="2" cm="1">
        <f t="array" ref="M201">SUMPRODUCT(--($L$6:$L$300&lt;&gt;1),--($C$6:$C$300=$C201),$H$6:$H$300)/SUMPRODUCT(--($L$6:$L$300&lt;&gt;1),--($C$6:$C$300=$C201),$E$6:$E$300)</f>
        <v>1033.7096544658325</v>
      </c>
      <c r="N201" s="1" cm="1">
        <f t="array" ref="N201">SUMPRODUCT(--($L$6:$L$300&lt;&gt;1),--($C$6:$C$300=$C201))</f>
        <v>50</v>
      </c>
      <c r="O201" s="3">
        <f t="shared" si="29"/>
        <v>70284.524211889147</v>
      </c>
      <c r="P201" s="2" cm="1">
        <f t="array" ref="P201">SQRT(SUMPRODUCT(--($L$6:$L$300&lt;&gt;1),--($C$6:$C$300=$C201),$E$6:$E$300,$O$6:$O$300)/((N201-1)*SUMPRODUCT(--($L$6:$L$300&lt;&gt;1),--($C$6:$C$300=$C201),$E$6:$E$300)/N201))</f>
        <v>621.42795009031227</v>
      </c>
      <c r="Q201" s="2">
        <f t="shared" si="23"/>
        <v>237.31769215442091</v>
      </c>
      <c r="R201" s="2">
        <f t="shared" si="23"/>
        <v>1830.1016167772441</v>
      </c>
      <c r="S201" s="2">
        <f t="shared" si="30"/>
        <v>768.59736842105269</v>
      </c>
    </row>
    <row r="202" spans="2:19" x14ac:dyDescent="0.3">
      <c r="B202">
        <v>775</v>
      </c>
      <c r="C202" s="25">
        <v>8</v>
      </c>
      <c r="D202" s="32" t="s">
        <v>226</v>
      </c>
      <c r="E202" s="125">
        <f>INDEX('Revised 2019 Lockdown'!H$5:H$257,MATCH(B202,'Revised 2019 Lockdown'!B$5:B$257,0))</f>
        <v>170.5270544434417</v>
      </c>
      <c r="F202" s="7">
        <f>INDEX('Revised 2019 Lockdown'!E$5:E$257,MATCH(B202,'Revised 2019 Lockdown'!B$5:B$257,0))</f>
        <v>118004.07</v>
      </c>
      <c r="G202" s="7">
        <f>INDEX('Revised 2019 Lockdown'!F$5:F$257,MATCH(B202,'Revised 2019 Lockdown'!B$5:B$257,0))</f>
        <v>0</v>
      </c>
      <c r="H202" s="7">
        <f t="shared" si="25"/>
        <v>118004.07</v>
      </c>
      <c r="I202" s="6">
        <f t="shared" si="26"/>
        <v>691.99617846643878</v>
      </c>
      <c r="J202" s="6">
        <f t="shared" si="27"/>
        <v>691.99617846643878</v>
      </c>
      <c r="K202" s="5">
        <f t="shared" si="28"/>
        <v>118004.07</v>
      </c>
      <c r="L202" s="4">
        <f t="shared" si="24"/>
        <v>0</v>
      </c>
      <c r="M202" s="2" cm="1">
        <f t="array" ref="M202">SUMPRODUCT(--($L$6:$L$300&lt;&gt;1),--($C$6:$C$300=$C202),$H$6:$H$300)/SUMPRODUCT(--($L$6:$L$300&lt;&gt;1),--($C$6:$C$300=$C202),$E$6:$E$300)</f>
        <v>1033.7096544658325</v>
      </c>
      <c r="N202" s="1" cm="1">
        <f t="array" ref="N202">SUMPRODUCT(--($L$6:$L$300&lt;&gt;1),--($C$6:$C$300=$C202))</f>
        <v>50</v>
      </c>
      <c r="O202" s="3">
        <f t="shared" si="29"/>
        <v>116768.09967958822</v>
      </c>
      <c r="P202" s="2" cm="1">
        <f t="array" ref="P202">SQRT(SUMPRODUCT(--($L$6:$L$300&lt;&gt;1),--($C$6:$C$300=$C202),$E$6:$E$300,$O$6:$O$300)/((N202-1)*SUMPRODUCT(--($L$6:$L$300&lt;&gt;1),--($C$6:$C$300=$C202),$E$6:$E$300)/N202))</f>
        <v>621.42795009031227</v>
      </c>
      <c r="Q202" s="2">
        <f t="shared" si="23"/>
        <v>237.31769215442091</v>
      </c>
      <c r="R202" s="2">
        <f t="shared" si="23"/>
        <v>1830.1016167772441</v>
      </c>
      <c r="S202" s="2">
        <f t="shared" si="30"/>
        <v>691.99617846643878</v>
      </c>
    </row>
    <row r="203" spans="2:19" x14ac:dyDescent="0.3">
      <c r="B203">
        <v>790</v>
      </c>
      <c r="C203" s="25">
        <v>8</v>
      </c>
      <c r="D203" s="32" t="s">
        <v>227</v>
      </c>
      <c r="E203" s="125">
        <f>INDEX('Revised 2019 Lockdown'!H$5:H$257,MATCH(B203,'Revised 2019 Lockdown'!B$5:B$257,0))</f>
        <v>9.7919034029984697</v>
      </c>
      <c r="F203" s="7">
        <f>INDEX('Revised 2019 Lockdown'!E$5:E$257,MATCH(B203,'Revised 2019 Lockdown'!B$5:B$257,0))</f>
        <v>8112.34</v>
      </c>
      <c r="G203" s="7">
        <f>INDEX('Revised 2019 Lockdown'!F$5:F$257,MATCH(B203,'Revised 2019 Lockdown'!B$5:B$257,0))</f>
        <v>0</v>
      </c>
      <c r="H203" s="7">
        <f t="shared" si="25"/>
        <v>8112.34</v>
      </c>
      <c r="I203" s="6">
        <f t="shared" si="26"/>
        <v>828.47426757864514</v>
      </c>
      <c r="J203" s="6">
        <f t="shared" si="27"/>
        <v>828.47426757864514</v>
      </c>
      <c r="K203" s="5">
        <f t="shared" si="28"/>
        <v>8112.34</v>
      </c>
      <c r="L203" s="4">
        <f t="shared" si="24"/>
        <v>0</v>
      </c>
      <c r="M203" s="2" cm="1">
        <f t="array" ref="M203">SUMPRODUCT(--($L$6:$L$300&lt;&gt;1),--($C$6:$C$300=$C203),$H$6:$H$300)/SUMPRODUCT(--($L$6:$L$300&lt;&gt;1),--($C$6:$C$300=$C203),$E$6:$E$300)</f>
        <v>1033.7096544658325</v>
      </c>
      <c r="N203" s="1" cm="1">
        <f t="array" ref="N203">SUMPRODUCT(--($L$6:$L$300&lt;&gt;1),--($C$6:$C$300=$C203))</f>
        <v>50</v>
      </c>
      <c r="O203" s="3">
        <f t="shared" si="29"/>
        <v>42121.564030733476</v>
      </c>
      <c r="P203" s="2" cm="1">
        <f t="array" ref="P203">SQRT(SUMPRODUCT(--($L$6:$L$300&lt;&gt;1),--($C$6:$C$300=$C203),$E$6:$E$300,$O$6:$O$300)/((N203-1)*SUMPRODUCT(--($L$6:$L$300&lt;&gt;1),--($C$6:$C$300=$C203),$E$6:$E$300)/N203))</f>
        <v>621.42795009031227</v>
      </c>
      <c r="Q203" s="2">
        <f t="shared" si="23"/>
        <v>237.31769215442091</v>
      </c>
      <c r="R203" s="2">
        <f t="shared" si="23"/>
        <v>1830.1016167772441</v>
      </c>
      <c r="S203" s="2">
        <f t="shared" si="30"/>
        <v>828.47426757864514</v>
      </c>
    </row>
    <row r="204" spans="2:19" x14ac:dyDescent="0.3">
      <c r="B204">
        <v>795</v>
      </c>
      <c r="C204" s="25">
        <v>8</v>
      </c>
      <c r="D204" s="32" t="s">
        <v>298</v>
      </c>
      <c r="E204" s="125">
        <f>INDEX('Revised 2019 Lockdown'!H$5:H$257,MATCH(B204,'Revised 2019 Lockdown'!B$5:B$257,0))</f>
        <v>254.70924556993933</v>
      </c>
      <c r="F204" s="7">
        <f>INDEX('Revised 2019 Lockdown'!E$5:E$257,MATCH(B204,'Revised 2019 Lockdown'!B$5:B$257,0))</f>
        <v>292287.77</v>
      </c>
      <c r="G204" s="7">
        <f>INDEX('Revised 2019 Lockdown'!F$5:F$257,MATCH(B204,'Revised 2019 Lockdown'!B$5:B$257,0))</f>
        <v>18326.8</v>
      </c>
      <c r="H204" s="7">
        <f t="shared" si="25"/>
        <v>273960.97000000003</v>
      </c>
      <c r="I204" s="6">
        <f t="shared" si="26"/>
        <v>1075.583139461557</v>
      </c>
      <c r="J204" s="6">
        <f t="shared" si="27"/>
        <v>1075.583139461557</v>
      </c>
      <c r="K204" s="5">
        <f t="shared" si="28"/>
        <v>273960.97000000003</v>
      </c>
      <c r="L204" s="4">
        <f t="shared" si="24"/>
        <v>0</v>
      </c>
      <c r="M204" s="2" cm="1">
        <f t="array" ref="M204">SUMPRODUCT(--($L$6:$L$300&lt;&gt;1),--($C$6:$C$300=$C204),$H$6:$H$300)/SUMPRODUCT(--($L$6:$L$300&lt;&gt;1),--($C$6:$C$300=$C204),$E$6:$E$300)</f>
        <v>1033.7096544658325</v>
      </c>
      <c r="N204" s="1" cm="1">
        <f t="array" ref="N204">SUMPRODUCT(--($L$6:$L$300&lt;&gt;1),--($C$6:$C$300=$C204))</f>
        <v>50</v>
      </c>
      <c r="O204" s="3">
        <f t="shared" si="29"/>
        <v>1753.388745687168</v>
      </c>
      <c r="P204" s="2" cm="1">
        <f t="array" ref="P204">SQRT(SUMPRODUCT(--($L$6:$L$300&lt;&gt;1),--($C$6:$C$300=$C204),$E$6:$E$300,$O$6:$O$300)/((N204-1)*SUMPRODUCT(--($L$6:$L$300&lt;&gt;1),--($C$6:$C$300=$C204),$E$6:$E$300)/N204))</f>
        <v>621.42795009031227</v>
      </c>
      <c r="Q204" s="2">
        <f t="shared" si="23"/>
        <v>237.31769215442091</v>
      </c>
      <c r="R204" s="2">
        <f t="shared" si="23"/>
        <v>1830.1016167772441</v>
      </c>
      <c r="S204" s="2">
        <f t="shared" si="30"/>
        <v>1075.583139461557</v>
      </c>
    </row>
    <row r="205" spans="2:19" x14ac:dyDescent="0.3">
      <c r="B205">
        <v>796</v>
      </c>
      <c r="C205" s="33">
        <v>8</v>
      </c>
      <c r="D205" s="32" t="s">
        <v>228</v>
      </c>
      <c r="E205" s="125">
        <f>INDEX('Revised 2019 Lockdown'!H$5:H$257,MATCH(B205,'Revised 2019 Lockdown'!B$5:B$257,0))</f>
        <v>32</v>
      </c>
      <c r="F205" s="7">
        <f>INDEX('Revised 2019 Lockdown'!E$5:E$257,MATCH(B205,'Revised 2019 Lockdown'!B$5:B$257,0))</f>
        <v>22596.76</v>
      </c>
      <c r="G205" s="7">
        <f>INDEX('Revised 2019 Lockdown'!F$5:F$257,MATCH(B205,'Revised 2019 Lockdown'!B$5:B$257,0))</f>
        <v>0</v>
      </c>
      <c r="H205" s="7">
        <f t="shared" si="25"/>
        <v>22596.76</v>
      </c>
      <c r="I205" s="6">
        <f t="shared" si="26"/>
        <v>706.14874999999995</v>
      </c>
      <c r="J205" s="6">
        <f t="shared" si="27"/>
        <v>706.14874999999995</v>
      </c>
      <c r="K205" s="5">
        <f t="shared" si="28"/>
        <v>22596.76</v>
      </c>
      <c r="L205" s="4">
        <f t="shared" si="24"/>
        <v>0</v>
      </c>
      <c r="M205" s="2" cm="1">
        <f t="array" ref="M205">SUMPRODUCT(--($L$6:$L$300&lt;&gt;1),--($C$6:$C$300=$C205),$H$6:$H$300)/SUMPRODUCT(--($L$6:$L$300&lt;&gt;1),--($C$6:$C$300=$C205),$E$6:$E$300)</f>
        <v>1033.7096544658325</v>
      </c>
      <c r="N205" s="1" cm="1">
        <f t="array" ref="N205">SUMPRODUCT(--($L$6:$L$300&lt;&gt;1),--($C$6:$C$300=$C205))</f>
        <v>50</v>
      </c>
      <c r="O205" s="3">
        <f t="shared" si="29"/>
        <v>107296.14613447429</v>
      </c>
      <c r="P205" s="2" cm="1">
        <f t="array" ref="P205">SQRT(SUMPRODUCT(--($L$6:$L$300&lt;&gt;1),--($C$6:$C$300=$C205),$E$6:$E$300,$O$6:$O$300)/((N205-1)*SUMPRODUCT(--($L$6:$L$300&lt;&gt;1),--($C$6:$C$300=$C205),$E$6:$E$300)/N205))</f>
        <v>621.42795009031227</v>
      </c>
      <c r="Q205" s="2">
        <f t="shared" si="23"/>
        <v>237.31769215442091</v>
      </c>
      <c r="R205" s="2">
        <f t="shared" si="23"/>
        <v>1830.1016167772441</v>
      </c>
      <c r="S205" s="2">
        <f t="shared" si="30"/>
        <v>706.14874999999995</v>
      </c>
    </row>
    <row r="206" spans="2:19" x14ac:dyDescent="0.3">
      <c r="B206">
        <v>797</v>
      </c>
      <c r="C206" s="25">
        <v>8</v>
      </c>
      <c r="D206" s="32" t="s">
        <v>229</v>
      </c>
      <c r="E206" s="125">
        <f>INDEX('Revised 2019 Lockdown'!H$5:H$257,MATCH(B206,'Revised 2019 Lockdown'!B$5:B$257,0))</f>
        <v>24.367612903417886</v>
      </c>
      <c r="F206" s="7">
        <f>INDEX('Revised 2019 Lockdown'!E$5:E$257,MATCH(B206,'Revised 2019 Lockdown'!B$5:B$257,0))</f>
        <v>39985.18</v>
      </c>
      <c r="G206" s="7">
        <f>INDEX('Revised 2019 Lockdown'!F$5:F$257,MATCH(B206,'Revised 2019 Lockdown'!B$5:B$257,0))</f>
        <v>1159</v>
      </c>
      <c r="H206" s="7">
        <f t="shared" si="25"/>
        <v>38826.18</v>
      </c>
      <c r="I206" s="6">
        <f t="shared" si="26"/>
        <v>1593.3518048685887</v>
      </c>
      <c r="J206" s="6">
        <f t="shared" si="27"/>
        <v>1593.3518048685887</v>
      </c>
      <c r="K206" s="5">
        <f t="shared" si="28"/>
        <v>38826.18</v>
      </c>
      <c r="L206" s="4">
        <f t="shared" si="24"/>
        <v>0</v>
      </c>
      <c r="M206" s="2" cm="1">
        <f t="array" ref="M206">SUMPRODUCT(--($L$6:$L$300&lt;&gt;1),--($C$6:$C$300=$C206),$H$6:$H$300)/SUMPRODUCT(--($L$6:$L$300&lt;&gt;1),--($C$6:$C$300=$C206),$E$6:$E$300)</f>
        <v>1033.7096544658325</v>
      </c>
      <c r="N206" s="1" cm="1">
        <f t="array" ref="N206">SUMPRODUCT(--($L$6:$L$300&lt;&gt;1),--($C$6:$C$300=$C206))</f>
        <v>50</v>
      </c>
      <c r="O206" s="3">
        <f t="shared" si="29"/>
        <v>313199.33650742122</v>
      </c>
      <c r="P206" s="2" cm="1">
        <f t="array" ref="P206">SQRT(SUMPRODUCT(--($L$6:$L$300&lt;&gt;1),--($C$6:$C$300=$C206),$E$6:$E$300,$O$6:$O$300)/((N206-1)*SUMPRODUCT(--($L$6:$L$300&lt;&gt;1),--($C$6:$C$300=$C206),$E$6:$E$300)/N206))</f>
        <v>621.42795009031227</v>
      </c>
      <c r="Q206" s="2">
        <f t="shared" si="23"/>
        <v>237.31769215442091</v>
      </c>
      <c r="R206" s="2">
        <f t="shared" si="23"/>
        <v>1830.1016167772441</v>
      </c>
      <c r="S206" s="2">
        <f t="shared" si="30"/>
        <v>1593.3518048685887</v>
      </c>
    </row>
    <row r="207" spans="2:19" x14ac:dyDescent="0.3">
      <c r="B207">
        <v>801</v>
      </c>
      <c r="C207" s="25">
        <v>8</v>
      </c>
      <c r="D207" s="32" t="s">
        <v>230</v>
      </c>
      <c r="E207" s="125">
        <f>INDEX('Revised 2019 Lockdown'!H$5:H$257,MATCH(B207,'Revised 2019 Lockdown'!B$5:B$257,0))</f>
        <v>135.0746846492795</v>
      </c>
      <c r="F207" s="7">
        <f>INDEX('Revised 2019 Lockdown'!E$5:E$257,MATCH(B207,'Revised 2019 Lockdown'!B$5:B$257,0))</f>
        <v>96738.85</v>
      </c>
      <c r="G207" s="7">
        <f>INDEX('Revised 2019 Lockdown'!F$5:F$257,MATCH(B207,'Revised 2019 Lockdown'!B$5:B$257,0))</f>
        <v>0</v>
      </c>
      <c r="H207" s="7">
        <f t="shared" si="25"/>
        <v>96738.85</v>
      </c>
      <c r="I207" s="6">
        <f t="shared" si="26"/>
        <v>716.18786489253534</v>
      </c>
      <c r="J207" s="6">
        <f t="shared" si="27"/>
        <v>716.18786489253534</v>
      </c>
      <c r="K207" s="5">
        <f t="shared" si="28"/>
        <v>96738.85</v>
      </c>
      <c r="L207" s="4">
        <f t="shared" si="24"/>
        <v>0</v>
      </c>
      <c r="M207" s="2" cm="1">
        <f t="array" ref="M207">SUMPRODUCT(--($L$6:$L$300&lt;&gt;1),--($C$6:$C$300=$C207),$H$6:$H$300)/SUMPRODUCT(--($L$6:$L$300&lt;&gt;1),--($C$6:$C$300=$C207),$E$6:$E$300)</f>
        <v>1033.7096544658325</v>
      </c>
      <c r="N207" s="1" cm="1">
        <f t="array" ref="N207">SUMPRODUCT(--($L$6:$L$300&lt;&gt;1),--($C$6:$C$300=$C207))</f>
        <v>50</v>
      </c>
      <c r="O207" s="3">
        <f t="shared" si="29"/>
        <v>100820.0868538292</v>
      </c>
      <c r="P207" s="2" cm="1">
        <f t="array" ref="P207">SQRT(SUMPRODUCT(--($L$6:$L$300&lt;&gt;1),--($C$6:$C$300=$C207),$E$6:$E$300,$O$6:$O$300)/((N207-1)*SUMPRODUCT(--($L$6:$L$300&lt;&gt;1),--($C$6:$C$300=$C207),$E$6:$E$300)/N207))</f>
        <v>621.42795009031227</v>
      </c>
      <c r="Q207" s="2">
        <f t="shared" si="23"/>
        <v>237.31769215442091</v>
      </c>
      <c r="R207" s="2">
        <f t="shared" si="23"/>
        <v>1830.1016167772441</v>
      </c>
      <c r="S207" s="2">
        <f t="shared" si="30"/>
        <v>716.18786489253534</v>
      </c>
    </row>
    <row r="208" spans="2:19" x14ac:dyDescent="0.3">
      <c r="B208">
        <v>810</v>
      </c>
      <c r="C208" s="25">
        <v>8</v>
      </c>
      <c r="D208" s="32" t="s">
        <v>231</v>
      </c>
      <c r="E208" s="125">
        <f>INDEX('Revised 2019 Lockdown'!H$5:H$257,MATCH(B208,'Revised 2019 Lockdown'!B$5:B$257,0))</f>
        <v>124.98999999999998</v>
      </c>
      <c r="F208" s="7">
        <f>INDEX('Revised 2019 Lockdown'!E$5:E$257,MATCH(B208,'Revised 2019 Lockdown'!B$5:B$257,0))</f>
        <v>140596.89000000001</v>
      </c>
      <c r="G208" s="7">
        <f>INDEX('Revised 2019 Lockdown'!F$5:F$257,MATCH(B208,'Revised 2019 Lockdown'!B$5:B$257,0))</f>
        <v>0</v>
      </c>
      <c r="H208" s="7">
        <f t="shared" si="25"/>
        <v>140596.89000000001</v>
      </c>
      <c r="I208" s="6">
        <f t="shared" si="26"/>
        <v>1124.8651092087371</v>
      </c>
      <c r="J208" s="6">
        <f t="shared" si="27"/>
        <v>1124.8651092087371</v>
      </c>
      <c r="K208" s="5">
        <f t="shared" si="28"/>
        <v>140596.89000000001</v>
      </c>
      <c r="L208" s="4">
        <f t="shared" si="24"/>
        <v>0</v>
      </c>
      <c r="M208" s="2" cm="1">
        <f t="array" ref="M208">SUMPRODUCT(--($L$6:$L$300&lt;&gt;1),--($C$6:$C$300=$C208),$H$6:$H$300)/SUMPRODUCT(--($L$6:$L$300&lt;&gt;1),--($C$6:$C$300=$C208),$E$6:$E$300)</f>
        <v>1033.7096544658325</v>
      </c>
      <c r="N208" s="1" cm="1">
        <f t="array" ref="N208">SUMPRODUCT(--($L$6:$L$300&lt;&gt;1),--($C$6:$C$300=$C208))</f>
        <v>50</v>
      </c>
      <c r="O208" s="3">
        <f t="shared" si="29"/>
        <v>8309.3169293857227</v>
      </c>
      <c r="P208" s="2" cm="1">
        <f t="array" ref="P208">SQRT(SUMPRODUCT(--($L$6:$L$300&lt;&gt;1),--($C$6:$C$300=$C208),$E$6:$E$300,$O$6:$O$300)/((N208-1)*SUMPRODUCT(--($L$6:$L$300&lt;&gt;1),--($C$6:$C$300=$C208),$E$6:$E$300)/N208))</f>
        <v>621.42795009031227</v>
      </c>
      <c r="Q208" s="2">
        <f t="shared" si="23"/>
        <v>237.31769215442091</v>
      </c>
      <c r="R208" s="2">
        <f t="shared" si="23"/>
        <v>1830.1016167772441</v>
      </c>
      <c r="S208" s="2">
        <f t="shared" si="30"/>
        <v>1124.8651092087371</v>
      </c>
    </row>
    <row r="209" spans="2:19" x14ac:dyDescent="0.3">
      <c r="B209">
        <v>812</v>
      </c>
      <c r="C209" s="25">
        <v>8</v>
      </c>
      <c r="D209" s="32" t="s">
        <v>232</v>
      </c>
      <c r="E209" s="125">
        <f>INDEX('Revised 2019 Lockdown'!H$5:H$257,MATCH(B209,'Revised 2019 Lockdown'!B$5:B$257,0))</f>
        <v>42.133362772182622</v>
      </c>
      <c r="F209" s="7">
        <f>INDEX('Revised 2019 Lockdown'!E$5:E$257,MATCH(B209,'Revised 2019 Lockdown'!B$5:B$257,0))</f>
        <v>81577.919999999998</v>
      </c>
      <c r="G209" s="7">
        <f>INDEX('Revised 2019 Lockdown'!F$5:F$257,MATCH(B209,'Revised 2019 Lockdown'!B$5:B$257,0))</f>
        <v>273</v>
      </c>
      <c r="H209" s="7">
        <f t="shared" si="25"/>
        <v>81304.92</v>
      </c>
      <c r="I209" s="6">
        <f t="shared" si="26"/>
        <v>1929.7040314493793</v>
      </c>
      <c r="J209" s="6">
        <f t="shared" si="27"/>
        <v>1830.1016167772441</v>
      </c>
      <c r="K209" s="5">
        <f t="shared" si="28"/>
        <v>77108.33532963357</v>
      </c>
      <c r="L209" s="4">
        <f t="shared" si="24"/>
        <v>0</v>
      </c>
      <c r="M209" s="2" cm="1">
        <f t="array" ref="M209">SUMPRODUCT(--($L$6:$L$300&lt;&gt;1),--($C$6:$C$300=$C209),$H$6:$H$300)/SUMPRODUCT(--($L$6:$L$300&lt;&gt;1),--($C$6:$C$300=$C209),$E$6:$E$300)</f>
        <v>1033.7096544658325</v>
      </c>
      <c r="N209" s="1" cm="1">
        <f t="array" ref="N209">SUMPRODUCT(--($L$6:$L$300&lt;&gt;1),--($C$6:$C$300=$C209))</f>
        <v>50</v>
      </c>
      <c r="O209" s="3">
        <f t="shared" si="29"/>
        <v>802805.9235861341</v>
      </c>
      <c r="P209" s="2" cm="1">
        <f t="array" ref="P209">SQRT(SUMPRODUCT(--($L$6:$L$300&lt;&gt;1),--($C$6:$C$300=$C209),$E$6:$E$300,$O$6:$O$300)/((N209-1)*SUMPRODUCT(--($L$6:$L$300&lt;&gt;1),--($C$6:$C$300=$C209),$E$6:$E$300)/N209))</f>
        <v>621.42795009031227</v>
      </c>
      <c r="Q209" s="2">
        <f t="shared" si="23"/>
        <v>237.31769215442091</v>
      </c>
      <c r="R209" s="2">
        <f t="shared" si="23"/>
        <v>1830.1016167772441</v>
      </c>
      <c r="S209" s="2">
        <f t="shared" si="30"/>
        <v>1830.1016167772441</v>
      </c>
    </row>
    <row r="210" spans="2:19" x14ac:dyDescent="0.3">
      <c r="B210">
        <v>818</v>
      </c>
      <c r="C210" s="25">
        <v>8</v>
      </c>
      <c r="D210" s="32" t="s">
        <v>233</v>
      </c>
      <c r="E210" s="125">
        <f>INDEX('Revised 2019 Lockdown'!H$5:H$257,MATCH(B210,'Revised 2019 Lockdown'!B$5:B$257,0))</f>
        <v>39.648701095629384</v>
      </c>
      <c r="F210" s="7">
        <f>INDEX('Revised 2019 Lockdown'!E$5:E$257,MATCH(B210,'Revised 2019 Lockdown'!B$5:B$257,0))</f>
        <v>15868.89</v>
      </c>
      <c r="G210" s="7">
        <f>INDEX('Revised 2019 Lockdown'!F$5:F$257,MATCH(B210,'Revised 2019 Lockdown'!B$5:B$257,0))</f>
        <v>0</v>
      </c>
      <c r="H210" s="7">
        <f t="shared" si="25"/>
        <v>15868.89</v>
      </c>
      <c r="I210" s="6">
        <f t="shared" si="26"/>
        <v>400.23732332934566</v>
      </c>
      <c r="J210" s="6">
        <f t="shared" si="27"/>
        <v>400.23732332934566</v>
      </c>
      <c r="K210" s="5">
        <f t="shared" si="28"/>
        <v>15868.89</v>
      </c>
      <c r="L210" s="4">
        <f t="shared" si="24"/>
        <v>0</v>
      </c>
      <c r="M210" s="2" cm="1">
        <f t="array" ref="M210">SUMPRODUCT(--($L$6:$L$300&lt;&gt;1),--($C$6:$C$300=$C210),$H$6:$H$300)/SUMPRODUCT(--($L$6:$L$300&lt;&gt;1),--($C$6:$C$300=$C210),$E$6:$E$300)</f>
        <v>1033.7096544658325</v>
      </c>
      <c r="N210" s="1" cm="1">
        <f t="array" ref="N210">SUMPRODUCT(--($L$6:$L$300&lt;&gt;1),--($C$6:$C$300=$C210))</f>
        <v>50</v>
      </c>
      <c r="O210" s="3">
        <f t="shared" si="29"/>
        <v>401287.19431549491</v>
      </c>
      <c r="P210" s="2" cm="1">
        <f t="array" ref="P210">SQRT(SUMPRODUCT(--($L$6:$L$300&lt;&gt;1),--($C$6:$C$300=$C210),$E$6:$E$300,$O$6:$O$300)/((N210-1)*SUMPRODUCT(--($L$6:$L$300&lt;&gt;1),--($C$6:$C$300=$C210),$E$6:$E$300)/N210))</f>
        <v>621.42795009031227</v>
      </c>
      <c r="Q210" s="2">
        <f t="shared" si="23"/>
        <v>237.31769215442091</v>
      </c>
      <c r="R210" s="2">
        <f t="shared" si="23"/>
        <v>1830.1016167772441</v>
      </c>
      <c r="S210" s="2">
        <f t="shared" si="30"/>
        <v>400.23732332934566</v>
      </c>
    </row>
    <row r="211" spans="2:19" x14ac:dyDescent="0.3">
      <c r="B211">
        <v>833</v>
      </c>
      <c r="C211" s="33">
        <v>8</v>
      </c>
      <c r="D211" s="32" t="s">
        <v>234</v>
      </c>
      <c r="E211" s="125">
        <f>INDEX('Revised 2019 Lockdown'!H$5:H$257,MATCH(B211,'Revised 2019 Lockdown'!B$5:B$257,0))</f>
        <v>61.805842122186505</v>
      </c>
      <c r="F211" s="7">
        <f>INDEX('Revised 2019 Lockdown'!E$5:E$257,MATCH(B211,'Revised 2019 Lockdown'!B$5:B$257,0))</f>
        <v>37349.99</v>
      </c>
      <c r="G211" s="7">
        <f>INDEX('Revised 2019 Lockdown'!F$5:F$257,MATCH(B211,'Revised 2019 Lockdown'!B$5:B$257,0))</f>
        <v>0</v>
      </c>
      <c r="H211" s="7">
        <f t="shared" si="25"/>
        <v>37349.99</v>
      </c>
      <c r="I211" s="6">
        <f t="shared" si="26"/>
        <v>604.31164300231148</v>
      </c>
      <c r="J211" s="6">
        <f t="shared" si="27"/>
        <v>604.31164300231148</v>
      </c>
      <c r="K211" s="5">
        <f t="shared" si="28"/>
        <v>37349.99</v>
      </c>
      <c r="L211" s="4">
        <f t="shared" si="24"/>
        <v>0</v>
      </c>
      <c r="M211" s="2" cm="1">
        <f t="array" ref="M211">SUMPRODUCT(--($L$6:$L$300&lt;&gt;1),--($C$6:$C$300=$C211),$H$6:$H$300)/SUMPRODUCT(--($L$6:$L$300&lt;&gt;1),--($C$6:$C$300=$C211),$E$6:$E$300)</f>
        <v>1033.7096544658325</v>
      </c>
      <c r="N211" s="1" cm="1">
        <f t="array" ref="N211">SUMPRODUCT(--($L$6:$L$300&lt;&gt;1),--($C$6:$C$300=$C211))</f>
        <v>50</v>
      </c>
      <c r="O211" s="3">
        <f t="shared" si="29"/>
        <v>184382.65224882614</v>
      </c>
      <c r="P211" s="2" cm="1">
        <f t="array" ref="P211">SQRT(SUMPRODUCT(--($L$6:$L$300&lt;&gt;1),--($C$6:$C$300=$C211),$E$6:$E$300,$O$6:$O$300)/((N211-1)*SUMPRODUCT(--($L$6:$L$300&lt;&gt;1),--($C$6:$C$300=$C211),$E$6:$E$300)/N211))</f>
        <v>621.42795009031227</v>
      </c>
      <c r="Q211" s="2">
        <f t="shared" si="23"/>
        <v>237.31769215442091</v>
      </c>
      <c r="R211" s="2">
        <f t="shared" si="23"/>
        <v>1830.1016167772441</v>
      </c>
      <c r="S211" s="2">
        <f t="shared" si="30"/>
        <v>604.31164300231148</v>
      </c>
    </row>
    <row r="212" spans="2:19" x14ac:dyDescent="0.3">
      <c r="B212">
        <v>834</v>
      </c>
      <c r="C212" s="33">
        <v>8</v>
      </c>
      <c r="D212" s="32" t="s">
        <v>235</v>
      </c>
      <c r="E212" s="125">
        <f>INDEX('Revised 2019 Lockdown'!H$5:H$257,MATCH(B212,'Revised 2019 Lockdown'!B$5:B$257,0))</f>
        <v>74.23</v>
      </c>
      <c r="F212" s="7">
        <f>INDEX('Revised 2019 Lockdown'!E$5:E$257,MATCH(B212,'Revised 2019 Lockdown'!B$5:B$257,0))</f>
        <v>55123.19</v>
      </c>
      <c r="G212" s="7">
        <f>INDEX('Revised 2019 Lockdown'!F$5:F$257,MATCH(B212,'Revised 2019 Lockdown'!B$5:B$257,0))</f>
        <v>3760.4799999999996</v>
      </c>
      <c r="H212" s="7">
        <f t="shared" si="25"/>
        <v>51362.710000000006</v>
      </c>
      <c r="I212" s="6">
        <f t="shared" si="26"/>
        <v>691.94005119224039</v>
      </c>
      <c r="J212" s="6">
        <f t="shared" si="27"/>
        <v>691.94005119224039</v>
      </c>
      <c r="K212" s="5">
        <f t="shared" si="28"/>
        <v>51362.710000000006</v>
      </c>
      <c r="L212" s="4">
        <f t="shared" si="24"/>
        <v>0</v>
      </c>
      <c r="M212" s="2" cm="1">
        <f t="array" ref="M212">SUMPRODUCT(--($L$6:$L$300&lt;&gt;1),--($C$6:$C$300=$C212),$H$6:$H$300)/SUMPRODUCT(--($L$6:$L$300&lt;&gt;1),--($C$6:$C$300=$C212),$E$6:$E$300)</f>
        <v>1033.7096544658325</v>
      </c>
      <c r="N212" s="1" cm="1">
        <f t="array" ref="N212">SUMPRODUCT(--($L$6:$L$300&lt;&gt;1),--($C$6:$C$300=$C212))</f>
        <v>50</v>
      </c>
      <c r="O212" s="3">
        <f t="shared" si="29"/>
        <v>116806.46172178854</v>
      </c>
      <c r="P212" s="2" cm="1">
        <f t="array" ref="P212">SQRT(SUMPRODUCT(--($L$6:$L$300&lt;&gt;1),--($C$6:$C$300=$C212),$E$6:$E$300,$O$6:$O$300)/((N212-1)*SUMPRODUCT(--($L$6:$L$300&lt;&gt;1),--($C$6:$C$300=$C212),$E$6:$E$300)/N212))</f>
        <v>621.42795009031227</v>
      </c>
      <c r="Q212" s="2">
        <f t="shared" si="23"/>
        <v>237.31769215442091</v>
      </c>
      <c r="R212" s="2">
        <f t="shared" si="23"/>
        <v>1830.1016167772441</v>
      </c>
      <c r="S212" s="2">
        <f t="shared" si="30"/>
        <v>691.94005119224039</v>
      </c>
    </row>
    <row r="213" spans="2:19" x14ac:dyDescent="0.3">
      <c r="B213">
        <v>837</v>
      </c>
      <c r="C213" s="25">
        <v>8</v>
      </c>
      <c r="D213" s="32" t="s">
        <v>236</v>
      </c>
      <c r="E213" s="125">
        <f>INDEX('Revised 2019 Lockdown'!H$5:H$257,MATCH(B213,'Revised 2019 Lockdown'!B$5:B$257,0))</f>
        <v>176.99</v>
      </c>
      <c r="F213" s="7">
        <f>INDEX('Revised 2019 Lockdown'!E$5:E$257,MATCH(B213,'Revised 2019 Lockdown'!B$5:B$257,0))</f>
        <v>142476.71</v>
      </c>
      <c r="G213" s="7">
        <f>INDEX('Revised 2019 Lockdown'!F$5:F$257,MATCH(B213,'Revised 2019 Lockdown'!B$5:B$257,0))</f>
        <v>0</v>
      </c>
      <c r="H213" s="7">
        <f t="shared" si="25"/>
        <v>142476.71</v>
      </c>
      <c r="I213" s="6">
        <f t="shared" si="26"/>
        <v>804.99864399118587</v>
      </c>
      <c r="J213" s="6">
        <f t="shared" si="27"/>
        <v>804.99864399118587</v>
      </c>
      <c r="K213" s="5">
        <f t="shared" si="28"/>
        <v>142476.71</v>
      </c>
      <c r="L213" s="4">
        <f t="shared" si="24"/>
        <v>0</v>
      </c>
      <c r="M213" s="2" cm="1">
        <f t="array" ref="M213">SUMPRODUCT(--($L$6:$L$300&lt;&gt;1),--($C$6:$C$300=$C213),$H$6:$H$300)/SUMPRODUCT(--($L$6:$L$300&lt;&gt;1),--($C$6:$C$300=$C213),$E$6:$E$300)</f>
        <v>1033.7096544658325</v>
      </c>
      <c r="N213" s="1" cm="1">
        <f t="array" ref="N213">SUMPRODUCT(--($L$6:$L$300&lt;&gt;1),--($C$6:$C$300=$C213))</f>
        <v>50</v>
      </c>
      <c r="O213" s="3">
        <f t="shared" si="29"/>
        <v>52308.726312333922</v>
      </c>
      <c r="P213" s="2" cm="1">
        <f t="array" ref="P213">SQRT(SUMPRODUCT(--($L$6:$L$300&lt;&gt;1),--($C$6:$C$300=$C213),$E$6:$E$300,$O$6:$O$300)/((N213-1)*SUMPRODUCT(--($L$6:$L$300&lt;&gt;1),--($C$6:$C$300=$C213),$E$6:$E$300)/N213))</f>
        <v>621.42795009031227</v>
      </c>
      <c r="Q213" s="2">
        <f t="shared" si="23"/>
        <v>237.31769215442091</v>
      </c>
      <c r="R213" s="2">
        <f t="shared" si="23"/>
        <v>1830.1016167772441</v>
      </c>
      <c r="S213" s="2">
        <f t="shared" si="30"/>
        <v>804.99864399118587</v>
      </c>
    </row>
    <row r="214" spans="2:19" x14ac:dyDescent="0.3">
      <c r="B214">
        <v>845</v>
      </c>
      <c r="C214" s="25">
        <v>8</v>
      </c>
      <c r="D214" s="32" t="s">
        <v>300</v>
      </c>
      <c r="E214" s="125">
        <f>INDEX('Revised 2019 Lockdown'!H$5:H$257,MATCH(B214,'Revised 2019 Lockdown'!B$5:B$257,0))</f>
        <v>4.1985427540914291</v>
      </c>
      <c r="F214" s="7">
        <f>INDEX('Revised 2019 Lockdown'!E$5:E$257,MATCH(B214,'Revised 2019 Lockdown'!B$5:B$257,0))</f>
        <v>8943.76</v>
      </c>
      <c r="G214" s="7">
        <f>INDEX('Revised 2019 Lockdown'!F$5:F$257,MATCH(B214,'Revised 2019 Lockdown'!B$5:B$257,0))</f>
        <v>0</v>
      </c>
      <c r="H214" s="7">
        <f t="shared" si="25"/>
        <v>8943.76</v>
      </c>
      <c r="I214" s="6">
        <f t="shared" si="26"/>
        <v>2130.2057699149104</v>
      </c>
      <c r="J214" s="6">
        <f t="shared" si="27"/>
        <v>1830.1016167772441</v>
      </c>
      <c r="K214" s="5">
        <f t="shared" si="28"/>
        <v>7683.7598823711078</v>
      </c>
      <c r="L214" s="4">
        <f t="shared" si="24"/>
        <v>0</v>
      </c>
      <c r="M214" s="2" cm="1">
        <f t="array" ref="M214">SUMPRODUCT(--($L$6:$L$300&lt;&gt;1),--($C$6:$C$300=$C214),$H$6:$H$300)/SUMPRODUCT(--($L$6:$L$300&lt;&gt;1),--($C$6:$C$300=$C214),$E$6:$E$300)</f>
        <v>1033.7096544658325</v>
      </c>
      <c r="N214" s="1" cm="1">
        <f t="array" ref="N214">SUMPRODUCT(--($L$6:$L$300&lt;&gt;1),--($C$6:$C$300=$C214))</f>
        <v>50</v>
      </c>
      <c r="O214" s="3">
        <f t="shared" si="29"/>
        <v>1202303.7311949176</v>
      </c>
      <c r="P214" s="2" cm="1">
        <f t="array" ref="P214">SQRT(SUMPRODUCT(--($L$6:$L$300&lt;&gt;1),--($C$6:$C$300=$C214),$E$6:$E$300,$O$6:$O$300)/((N214-1)*SUMPRODUCT(--($L$6:$L$300&lt;&gt;1),--($C$6:$C$300=$C214),$E$6:$E$300)/N214))</f>
        <v>621.42795009031227</v>
      </c>
      <c r="Q214" s="2">
        <f t="shared" si="23"/>
        <v>237.31769215442091</v>
      </c>
      <c r="R214" s="2">
        <f t="shared" si="23"/>
        <v>1830.1016167772441</v>
      </c>
      <c r="S214" s="2">
        <f t="shared" si="30"/>
        <v>1830.1016167772441</v>
      </c>
    </row>
    <row r="215" spans="2:19" x14ac:dyDescent="0.3">
      <c r="B215">
        <v>847</v>
      </c>
      <c r="C215" s="25">
        <v>8</v>
      </c>
      <c r="D215" s="32" t="s">
        <v>237</v>
      </c>
      <c r="E215" s="125">
        <f>INDEX('Revised 2019 Lockdown'!H$5:H$257,MATCH(B215,'Revised 2019 Lockdown'!B$5:B$257,0))</f>
        <v>66.183100660950345</v>
      </c>
      <c r="F215" s="7">
        <f>INDEX('Revised 2019 Lockdown'!E$5:E$257,MATCH(B215,'Revised 2019 Lockdown'!B$5:B$257,0))</f>
        <v>131761.98000000001</v>
      </c>
      <c r="G215" s="7">
        <f>INDEX('Revised 2019 Lockdown'!F$5:F$257,MATCH(B215,'Revised 2019 Lockdown'!B$5:B$257,0))</f>
        <v>0</v>
      </c>
      <c r="H215" s="7">
        <f t="shared" si="25"/>
        <v>131761.98000000001</v>
      </c>
      <c r="I215" s="6">
        <f t="shared" si="26"/>
        <v>1990.8704591373553</v>
      </c>
      <c r="J215" s="6">
        <f t="shared" si="27"/>
        <v>1830.1016167772441</v>
      </c>
      <c r="K215" s="5">
        <f t="shared" si="28"/>
        <v>121121.79952293632</v>
      </c>
      <c r="L215" s="4">
        <f t="shared" si="24"/>
        <v>0</v>
      </c>
      <c r="M215" s="2" cm="1">
        <f t="array" ref="M215">SUMPRODUCT(--($L$6:$L$300&lt;&gt;1),--($C$6:$C$300=$C215),$H$6:$H$300)/SUMPRODUCT(--($L$6:$L$300&lt;&gt;1),--($C$6:$C$300=$C215),$E$6:$E$300)</f>
        <v>1033.7096544658325</v>
      </c>
      <c r="N215" s="1" cm="1">
        <f t="array" ref="N215">SUMPRODUCT(--($L$6:$L$300&lt;&gt;1),--($C$6:$C$300=$C215))</f>
        <v>50</v>
      </c>
      <c r="O215" s="3">
        <f t="shared" si="29"/>
        <v>916156.805999437</v>
      </c>
      <c r="P215" s="2" cm="1">
        <f t="array" ref="P215">SQRT(SUMPRODUCT(--($L$6:$L$300&lt;&gt;1),--($C$6:$C$300=$C215),$E$6:$E$300,$O$6:$O$300)/((N215-1)*SUMPRODUCT(--($L$6:$L$300&lt;&gt;1),--($C$6:$C$300=$C215),$E$6:$E$300)/N215))</f>
        <v>621.42795009031227</v>
      </c>
      <c r="Q215" s="2">
        <f t="shared" si="23"/>
        <v>237.31769215442091</v>
      </c>
      <c r="R215" s="2">
        <f t="shared" si="23"/>
        <v>1830.1016167772441</v>
      </c>
      <c r="S215" s="2">
        <f t="shared" si="30"/>
        <v>1830.1016167772441</v>
      </c>
    </row>
    <row r="216" spans="2:19" x14ac:dyDescent="0.3">
      <c r="B216">
        <v>866</v>
      </c>
      <c r="C216" s="25">
        <v>8</v>
      </c>
      <c r="D216" s="32" t="s">
        <v>238</v>
      </c>
      <c r="E216" s="125">
        <f>INDEX('Revised 2019 Lockdown'!H$5:H$257,MATCH(B216,'Revised 2019 Lockdown'!B$5:B$257,0))</f>
        <v>147.75213403001072</v>
      </c>
      <c r="F216" s="7">
        <f>INDEX('Revised 2019 Lockdown'!E$5:E$257,MATCH(B216,'Revised 2019 Lockdown'!B$5:B$257,0))</f>
        <v>54975.040000000001</v>
      </c>
      <c r="G216" s="7">
        <f>INDEX('Revised 2019 Lockdown'!F$5:F$257,MATCH(B216,'Revised 2019 Lockdown'!B$5:B$257,0))</f>
        <v>0</v>
      </c>
      <c r="H216" s="7">
        <f t="shared" si="25"/>
        <v>54975.040000000001</v>
      </c>
      <c r="I216" s="6">
        <f t="shared" si="26"/>
        <v>372.07611491305926</v>
      </c>
      <c r="J216" s="6">
        <f t="shared" si="27"/>
        <v>372.07611491305926</v>
      </c>
      <c r="K216" s="5">
        <f t="shared" si="28"/>
        <v>54975.040000000001</v>
      </c>
      <c r="L216" s="4">
        <f t="shared" si="24"/>
        <v>0</v>
      </c>
      <c r="M216" s="2" cm="1">
        <f t="array" ref="M216">SUMPRODUCT(--($L$6:$L$300&lt;&gt;1),--($C$6:$C$300=$C216),$H$6:$H$300)/SUMPRODUCT(--($L$6:$L$300&lt;&gt;1),--($C$6:$C$300=$C216),$E$6:$E$300)</f>
        <v>1033.7096544658325</v>
      </c>
      <c r="N216" s="1" cm="1">
        <f t="array" ref="N216">SUMPRODUCT(--($L$6:$L$300&lt;&gt;1),--($C$6:$C$300=$C216))</f>
        <v>50</v>
      </c>
      <c r="O216" s="3">
        <f t="shared" si="29"/>
        <v>437758.94066113123</v>
      </c>
      <c r="P216" s="2" cm="1">
        <f t="array" ref="P216">SQRT(SUMPRODUCT(--($L$6:$L$300&lt;&gt;1),--($C$6:$C$300=$C216),$E$6:$E$300,$O$6:$O$300)/((N216-1)*SUMPRODUCT(--($L$6:$L$300&lt;&gt;1),--($C$6:$C$300=$C216),$E$6:$E$300)/N216))</f>
        <v>621.42795009031227</v>
      </c>
      <c r="Q216" s="2">
        <f t="shared" si="23"/>
        <v>237.31769215442091</v>
      </c>
      <c r="R216" s="2">
        <f t="shared" si="23"/>
        <v>1830.1016167772441</v>
      </c>
      <c r="S216" s="2">
        <f t="shared" si="30"/>
        <v>372.07611491305926</v>
      </c>
    </row>
    <row r="217" spans="2:19" x14ac:dyDescent="0.3">
      <c r="B217">
        <v>871</v>
      </c>
      <c r="C217" s="25">
        <v>8</v>
      </c>
      <c r="D217" s="32" t="s">
        <v>239</v>
      </c>
      <c r="E217" s="125">
        <f>INDEX('Revised 2019 Lockdown'!H$5:H$257,MATCH(B217,'Revised 2019 Lockdown'!B$5:B$257,0))</f>
        <v>12.214386102179351</v>
      </c>
      <c r="F217" s="7">
        <f>INDEX('Revised 2019 Lockdown'!E$5:E$257,MATCH(B217,'Revised 2019 Lockdown'!B$5:B$257,0))</f>
        <v>12724.9</v>
      </c>
      <c r="G217" s="7">
        <f>INDEX('Revised 2019 Lockdown'!F$5:F$257,MATCH(B217,'Revised 2019 Lockdown'!B$5:B$257,0))</f>
        <v>0</v>
      </c>
      <c r="H217" s="7">
        <f t="shared" si="25"/>
        <v>12724.9</v>
      </c>
      <c r="I217" s="6">
        <f t="shared" si="26"/>
        <v>1041.7961159529386</v>
      </c>
      <c r="J217" s="6">
        <f t="shared" si="27"/>
        <v>1041.7961159529386</v>
      </c>
      <c r="K217" s="5">
        <f t="shared" si="28"/>
        <v>12724.900000000001</v>
      </c>
      <c r="L217" s="4">
        <f t="shared" si="24"/>
        <v>0</v>
      </c>
      <c r="M217" s="2" cm="1">
        <f t="array" ref="M217">SUMPRODUCT(--($L$6:$L$300&lt;&gt;1),--($C$6:$C$300=$C217),$H$6:$H$300)/SUMPRODUCT(--($L$6:$L$300&lt;&gt;1),--($C$6:$C$300=$C217),$E$6:$E$300)</f>
        <v>1033.7096544658325</v>
      </c>
      <c r="N217" s="1" cm="1">
        <f t="array" ref="N217">SUMPRODUCT(--($L$6:$L$300&lt;&gt;1),--($C$6:$C$300=$C217))</f>
        <v>50</v>
      </c>
      <c r="O217" s="3">
        <f t="shared" si="29"/>
        <v>65.390859382450756</v>
      </c>
      <c r="P217" s="2" cm="1">
        <f t="array" ref="P217">SQRT(SUMPRODUCT(--($L$6:$L$300&lt;&gt;1),--($C$6:$C$300=$C217),$E$6:$E$300,$O$6:$O$300)/((N217-1)*SUMPRODUCT(--($L$6:$L$300&lt;&gt;1),--($C$6:$C$300=$C217),$E$6:$E$300)/N217))</f>
        <v>621.42795009031227</v>
      </c>
      <c r="Q217" s="2">
        <f t="shared" si="23"/>
        <v>237.31769215442091</v>
      </c>
      <c r="R217" s="2">
        <f t="shared" si="23"/>
        <v>1830.1016167772441</v>
      </c>
      <c r="S217" s="2">
        <f t="shared" si="30"/>
        <v>1041.7961159529386</v>
      </c>
    </row>
    <row r="218" spans="2:19" x14ac:dyDescent="0.3">
      <c r="B218">
        <v>873</v>
      </c>
      <c r="C218" s="25">
        <v>8</v>
      </c>
      <c r="D218" s="32" t="s">
        <v>240</v>
      </c>
      <c r="E218" s="125">
        <f>INDEX('Revised 2019 Lockdown'!H$5:H$257,MATCH(B218,'Revised 2019 Lockdown'!B$5:B$257,0))</f>
        <v>185.67000000000002</v>
      </c>
      <c r="F218" s="7">
        <f>INDEX('Revised 2019 Lockdown'!E$5:E$257,MATCH(B218,'Revised 2019 Lockdown'!B$5:B$257,0))</f>
        <v>74605.5</v>
      </c>
      <c r="G218" s="7">
        <f>INDEX('Revised 2019 Lockdown'!F$5:F$257,MATCH(B218,'Revised 2019 Lockdown'!B$5:B$257,0))</f>
        <v>0</v>
      </c>
      <c r="H218" s="7">
        <f t="shared" si="25"/>
        <v>74605.5</v>
      </c>
      <c r="I218" s="6">
        <f t="shared" si="26"/>
        <v>401.81774115365971</v>
      </c>
      <c r="J218" s="6">
        <f t="shared" si="27"/>
        <v>401.81774115365971</v>
      </c>
      <c r="K218" s="5">
        <f t="shared" si="28"/>
        <v>74605.5</v>
      </c>
      <c r="L218" s="4">
        <f t="shared" si="24"/>
        <v>0</v>
      </c>
      <c r="M218" s="2" cm="1">
        <f t="array" ref="M218">SUMPRODUCT(--($L$6:$L$300&lt;&gt;1),--($C$6:$C$300=$C218),$H$6:$H$300)/SUMPRODUCT(--($L$6:$L$300&lt;&gt;1),--($C$6:$C$300=$C218),$E$6:$E$300)</f>
        <v>1033.7096544658325</v>
      </c>
      <c r="N218" s="1" cm="1">
        <f t="array" ref="N218">SUMPRODUCT(--($L$6:$L$300&lt;&gt;1),--($C$6:$C$300=$C218))</f>
        <v>50</v>
      </c>
      <c r="O218" s="3">
        <f t="shared" si="29"/>
        <v>399287.39010931854</v>
      </c>
      <c r="P218" s="2" cm="1">
        <f t="array" ref="P218">SQRT(SUMPRODUCT(--($L$6:$L$300&lt;&gt;1),--($C$6:$C$300=$C218),$E$6:$E$300,$O$6:$O$300)/((N218-1)*SUMPRODUCT(--($L$6:$L$300&lt;&gt;1),--($C$6:$C$300=$C218),$E$6:$E$300)/N218))</f>
        <v>621.42795009031227</v>
      </c>
      <c r="Q218" s="2">
        <f t="shared" si="23"/>
        <v>237.31769215442091</v>
      </c>
      <c r="R218" s="2">
        <f t="shared" si="23"/>
        <v>1830.1016167772441</v>
      </c>
      <c r="S218" s="2">
        <f t="shared" si="30"/>
        <v>401.81774115365971</v>
      </c>
    </row>
    <row r="219" spans="2:19" x14ac:dyDescent="0.3">
      <c r="B219">
        <v>905</v>
      </c>
      <c r="C219" s="25">
        <v>8</v>
      </c>
      <c r="D219" s="32" t="s">
        <v>243</v>
      </c>
      <c r="E219" s="125">
        <f>INDEX('Revised 2019 Lockdown'!H$5:H$257,MATCH(B219,'Revised 2019 Lockdown'!B$5:B$257,0))</f>
        <v>93.093193074907703</v>
      </c>
      <c r="F219" s="7">
        <f>INDEX('Revised 2019 Lockdown'!E$5:E$257,MATCH(B219,'Revised 2019 Lockdown'!B$5:B$257,0))</f>
        <v>62186.54</v>
      </c>
      <c r="G219" s="7">
        <f>INDEX('Revised 2019 Lockdown'!F$5:F$257,MATCH(B219,'Revised 2019 Lockdown'!B$5:B$257,0))</f>
        <v>0</v>
      </c>
      <c r="H219" s="7">
        <f t="shared" si="25"/>
        <v>62186.54</v>
      </c>
      <c r="I219" s="6">
        <f t="shared" si="26"/>
        <v>668.00308321105092</v>
      </c>
      <c r="J219" s="6">
        <f t="shared" si="27"/>
        <v>668.00308321105092</v>
      </c>
      <c r="K219" s="5">
        <f t="shared" si="28"/>
        <v>62186.54</v>
      </c>
      <c r="L219" s="4">
        <f t="shared" si="24"/>
        <v>0</v>
      </c>
      <c r="M219" s="2" cm="1">
        <f t="array" ref="M219">SUMPRODUCT(--($L$6:$L$300&lt;&gt;1),--($C$6:$C$300=$C219),$H$6:$H$300)/SUMPRODUCT(--($L$6:$L$300&lt;&gt;1),--($C$6:$C$300=$C219),$E$6:$E$300)</f>
        <v>1033.7096544658325</v>
      </c>
      <c r="N219" s="1" cm="1">
        <f t="array" ref="N219">SUMPRODUCT(--($L$6:$L$300&lt;&gt;1),--($C$6:$C$300=$C219))</f>
        <v>50</v>
      </c>
      <c r="O219" s="3">
        <f t="shared" si="29"/>
        <v>133741.29625892863</v>
      </c>
      <c r="P219" s="2" cm="1">
        <f t="array" ref="P219">SQRT(SUMPRODUCT(--($L$6:$L$300&lt;&gt;1),--($C$6:$C$300=$C219),$E$6:$E$300,$O$6:$O$300)/((N219-1)*SUMPRODUCT(--($L$6:$L$300&lt;&gt;1),--($C$6:$C$300=$C219),$E$6:$E$300)/N219))</f>
        <v>621.42795009031227</v>
      </c>
      <c r="Q219" s="2">
        <f t="shared" si="23"/>
        <v>237.31769215442091</v>
      </c>
      <c r="R219" s="2">
        <f t="shared" si="23"/>
        <v>1830.1016167772441</v>
      </c>
      <c r="S219" s="2">
        <f t="shared" si="30"/>
        <v>668.00308321105092</v>
      </c>
    </row>
    <row r="220" spans="2:19" x14ac:dyDescent="0.3">
      <c r="B220">
        <v>907</v>
      </c>
      <c r="C220" s="25">
        <v>8</v>
      </c>
      <c r="D220" s="32" t="s">
        <v>244</v>
      </c>
      <c r="E220" s="125">
        <f>INDEX('Revised 2019 Lockdown'!H$5:H$257,MATCH(B220,'Revised 2019 Lockdown'!B$5:B$257,0))</f>
        <v>19.623398559009171</v>
      </c>
      <c r="F220" s="7">
        <f>INDEX('Revised 2019 Lockdown'!E$5:E$257,MATCH(B220,'Revised 2019 Lockdown'!B$5:B$257,0))</f>
        <v>20189.84</v>
      </c>
      <c r="G220" s="7">
        <f>INDEX('Revised 2019 Lockdown'!F$5:F$257,MATCH(B220,'Revised 2019 Lockdown'!B$5:B$257,0))</f>
        <v>0</v>
      </c>
      <c r="H220" s="7">
        <f t="shared" si="25"/>
        <v>20189.84</v>
      </c>
      <c r="I220" s="6">
        <f t="shared" si="26"/>
        <v>1028.8656136340244</v>
      </c>
      <c r="J220" s="6">
        <f t="shared" si="27"/>
        <v>1028.8656136340244</v>
      </c>
      <c r="K220" s="5">
        <f t="shared" si="28"/>
        <v>20189.84</v>
      </c>
      <c r="L220" s="4">
        <f t="shared" si="24"/>
        <v>0</v>
      </c>
      <c r="M220" s="2" cm="1">
        <f t="array" ref="M220">SUMPRODUCT(--($L$6:$L$300&lt;&gt;1),--($C$6:$C$300=$C220),$H$6:$H$300)/SUMPRODUCT(--($L$6:$L$300&lt;&gt;1),--($C$6:$C$300=$C220),$E$6:$E$300)</f>
        <v>1033.7096544658325</v>
      </c>
      <c r="N220" s="1" cm="1">
        <f t="array" ref="N220">SUMPRODUCT(--($L$6:$L$300&lt;&gt;1),--($C$6:$C$300=$C220))</f>
        <v>50</v>
      </c>
      <c r="O220" s="3">
        <f t="shared" si="29"/>
        <v>23.46473158022426</v>
      </c>
      <c r="P220" s="2" cm="1">
        <f t="array" ref="P220">SQRT(SUMPRODUCT(--($L$6:$L$300&lt;&gt;1),--($C$6:$C$300=$C220),$E$6:$E$300,$O$6:$O$300)/((N220-1)*SUMPRODUCT(--($L$6:$L$300&lt;&gt;1),--($C$6:$C$300=$C220),$E$6:$E$300)/N220))</f>
        <v>621.42795009031227</v>
      </c>
      <c r="Q220" s="2">
        <f t="shared" si="23"/>
        <v>237.31769215442091</v>
      </c>
      <c r="R220" s="2">
        <f t="shared" si="23"/>
        <v>1830.1016167772441</v>
      </c>
      <c r="S220" s="2">
        <f t="shared" si="30"/>
        <v>1028.8656136340244</v>
      </c>
    </row>
    <row r="221" spans="2:19" x14ac:dyDescent="0.3">
      <c r="B221">
        <v>918</v>
      </c>
      <c r="C221" s="25">
        <v>8</v>
      </c>
      <c r="D221" s="32" t="s">
        <v>245</v>
      </c>
      <c r="E221" s="125">
        <f>INDEX('Revised 2019 Lockdown'!H$5:H$257,MATCH(B221,'Revised 2019 Lockdown'!B$5:B$257,0))</f>
        <v>61.65731239133023</v>
      </c>
      <c r="F221" s="7">
        <f>INDEX('Revised 2019 Lockdown'!E$5:E$257,MATCH(B221,'Revised 2019 Lockdown'!B$5:B$257,0))</f>
        <v>92014.79</v>
      </c>
      <c r="G221" s="7">
        <f>INDEX('Revised 2019 Lockdown'!F$5:F$257,MATCH(B221,'Revised 2019 Lockdown'!B$5:B$257,0))</f>
        <v>0</v>
      </c>
      <c r="H221" s="7">
        <f t="shared" si="25"/>
        <v>92014.79</v>
      </c>
      <c r="I221" s="6">
        <f t="shared" si="26"/>
        <v>1492.358106950805</v>
      </c>
      <c r="J221" s="6">
        <f t="shared" si="27"/>
        <v>1492.358106950805</v>
      </c>
      <c r="K221" s="5">
        <f t="shared" si="28"/>
        <v>92014.79</v>
      </c>
      <c r="L221" s="4">
        <f t="shared" si="24"/>
        <v>0</v>
      </c>
      <c r="M221" s="2" cm="1">
        <f t="array" ref="M221">SUMPRODUCT(--($L$6:$L$300&lt;&gt;1),--($C$6:$C$300=$C221),$H$6:$H$300)/SUMPRODUCT(--($L$6:$L$300&lt;&gt;1),--($C$6:$C$300=$C221),$E$6:$E$300)</f>
        <v>1033.7096544658325</v>
      </c>
      <c r="N221" s="1" cm="1">
        <f t="array" ref="N221">SUMPRODUCT(--($L$6:$L$300&lt;&gt;1),--($C$6:$C$300=$C221))</f>
        <v>50</v>
      </c>
      <c r="O221" s="3">
        <f t="shared" si="29"/>
        <v>210358.40296686007</v>
      </c>
      <c r="P221" s="2" cm="1">
        <f t="array" ref="P221">SQRT(SUMPRODUCT(--($L$6:$L$300&lt;&gt;1),--($C$6:$C$300=$C221),$E$6:$E$300,$O$6:$O$300)/((N221-1)*SUMPRODUCT(--($L$6:$L$300&lt;&gt;1),--($C$6:$C$300=$C221),$E$6:$E$300)/N221))</f>
        <v>621.42795009031227</v>
      </c>
      <c r="Q221" s="2">
        <f t="shared" si="23"/>
        <v>237.31769215442091</v>
      </c>
      <c r="R221" s="2">
        <f t="shared" si="23"/>
        <v>1830.1016167772441</v>
      </c>
      <c r="S221" s="2">
        <f t="shared" si="30"/>
        <v>1492.358106950805</v>
      </c>
    </row>
    <row r="222" spans="2:19" x14ac:dyDescent="0.3">
      <c r="B222">
        <v>922</v>
      </c>
      <c r="C222" s="25">
        <v>8</v>
      </c>
      <c r="D222" s="32" t="s">
        <v>246</v>
      </c>
      <c r="E222" s="125">
        <f>INDEX('Revised 2019 Lockdown'!H$5:H$257,MATCH(B222,'Revised 2019 Lockdown'!B$5:B$257,0))</f>
        <v>48.13</v>
      </c>
      <c r="F222" s="7">
        <f>INDEX('Revised 2019 Lockdown'!E$5:E$257,MATCH(B222,'Revised 2019 Lockdown'!B$5:B$257,0))</f>
        <v>133724.62</v>
      </c>
      <c r="G222" s="7">
        <f>INDEX('Revised 2019 Lockdown'!F$5:F$257,MATCH(B222,'Revised 2019 Lockdown'!B$5:B$257,0))</f>
        <v>5755.5599999999995</v>
      </c>
      <c r="H222" s="7">
        <f t="shared" si="25"/>
        <v>127969.06</v>
      </c>
      <c r="I222" s="6">
        <f t="shared" si="26"/>
        <v>2658.8211094951171</v>
      </c>
      <c r="J222" s="6">
        <f t="shared" si="27"/>
        <v>1830.1016167772441</v>
      </c>
      <c r="K222" s="5">
        <f t="shared" si="28"/>
        <v>88082.790815488755</v>
      </c>
      <c r="L222" s="4">
        <f t="shared" si="24"/>
        <v>0</v>
      </c>
      <c r="M222" s="2" cm="1">
        <f t="array" ref="M222">SUMPRODUCT(--($L$6:$L$300&lt;&gt;1),--($C$6:$C$300=$C222),$H$6:$H$300)/SUMPRODUCT(--($L$6:$L$300&lt;&gt;1),--($C$6:$C$300=$C222),$E$6:$E$300)</f>
        <v>1033.7096544658325</v>
      </c>
      <c r="N222" s="1" cm="1">
        <f t="array" ref="N222">SUMPRODUCT(--($L$6:$L$300&lt;&gt;1),--($C$6:$C$300=$C222))</f>
        <v>50</v>
      </c>
      <c r="O222" s="3">
        <f t="shared" si="29"/>
        <v>2640987.2412673985</v>
      </c>
      <c r="P222" s="2" cm="1">
        <f t="array" ref="P222">SQRT(SUMPRODUCT(--($L$6:$L$300&lt;&gt;1),--($C$6:$C$300=$C222),$E$6:$E$300,$O$6:$O$300)/((N222-1)*SUMPRODUCT(--($L$6:$L$300&lt;&gt;1),--($C$6:$C$300=$C222),$E$6:$E$300)/N222))</f>
        <v>621.42795009031227</v>
      </c>
      <c r="Q222" s="2">
        <f t="shared" si="23"/>
        <v>237.31769215442091</v>
      </c>
      <c r="R222" s="2">
        <f t="shared" si="23"/>
        <v>1830.1016167772441</v>
      </c>
      <c r="S222" s="2">
        <f t="shared" si="30"/>
        <v>1830.1016167772441</v>
      </c>
    </row>
    <row r="223" spans="2:19" x14ac:dyDescent="0.3">
      <c r="B223">
        <v>924</v>
      </c>
      <c r="C223" s="25">
        <v>8</v>
      </c>
      <c r="D223" s="32" t="s">
        <v>247</v>
      </c>
      <c r="E223" s="125">
        <f>INDEX('Revised 2019 Lockdown'!H$5:H$257,MATCH(B223,'Revised 2019 Lockdown'!B$5:B$257,0))</f>
        <v>94.709546028343453</v>
      </c>
      <c r="F223" s="7">
        <f>INDEX('Revised 2019 Lockdown'!E$5:E$257,MATCH(B223,'Revised 2019 Lockdown'!B$5:B$257,0))</f>
        <v>60061.57</v>
      </c>
      <c r="G223" s="7">
        <f>INDEX('Revised 2019 Lockdown'!F$5:F$257,MATCH(B223,'Revised 2019 Lockdown'!B$5:B$257,0))</f>
        <v>0</v>
      </c>
      <c r="H223" s="7">
        <f t="shared" si="25"/>
        <v>60061.57</v>
      </c>
      <c r="I223" s="6">
        <f t="shared" si="26"/>
        <v>634.1659581181558</v>
      </c>
      <c r="J223" s="6">
        <f t="shared" si="27"/>
        <v>634.1659581181558</v>
      </c>
      <c r="K223" s="5">
        <f t="shared" si="28"/>
        <v>60061.570000000007</v>
      </c>
      <c r="L223" s="4">
        <f t="shared" si="24"/>
        <v>0</v>
      </c>
      <c r="M223" s="2" cm="1">
        <f t="array" ref="M223">SUMPRODUCT(--($L$6:$L$300&lt;&gt;1),--($C$6:$C$300=$C223),$H$6:$H$300)/SUMPRODUCT(--($L$6:$L$300&lt;&gt;1),--($C$6:$C$300=$C223),$E$6:$E$300)</f>
        <v>1033.7096544658325</v>
      </c>
      <c r="N223" s="1" cm="1">
        <f t="array" ref="N223">SUMPRODUCT(--($L$6:$L$300&lt;&gt;1),--($C$6:$C$300=$C223))</f>
        <v>50</v>
      </c>
      <c r="O223" s="3">
        <f t="shared" si="29"/>
        <v>159635.16529116448</v>
      </c>
      <c r="P223" s="2" cm="1">
        <f t="array" ref="P223">SQRT(SUMPRODUCT(--($L$6:$L$300&lt;&gt;1),--($C$6:$C$300=$C223),$E$6:$E$300,$O$6:$O$300)/((N223-1)*SUMPRODUCT(--($L$6:$L$300&lt;&gt;1),--($C$6:$C$300=$C223),$E$6:$E$300)/N223))</f>
        <v>621.42795009031227</v>
      </c>
      <c r="Q223" s="2">
        <f t="shared" si="23"/>
        <v>237.31769215442091</v>
      </c>
      <c r="R223" s="2">
        <f t="shared" si="23"/>
        <v>1830.1016167772441</v>
      </c>
      <c r="S223" s="2">
        <f t="shared" si="30"/>
        <v>634.1659581181558</v>
      </c>
    </row>
    <row r="224" spans="2:19" x14ac:dyDescent="0.3">
      <c r="B224">
        <v>929</v>
      </c>
      <c r="C224" s="25">
        <v>8</v>
      </c>
      <c r="D224" s="32" t="s">
        <v>248</v>
      </c>
      <c r="E224" s="125">
        <f>INDEX('Revised 2019 Lockdown'!H$5:H$257,MATCH(B224,'Revised 2019 Lockdown'!B$5:B$257,0))</f>
        <v>53.697866226033099</v>
      </c>
      <c r="F224" s="7">
        <f>INDEX('Revised 2019 Lockdown'!E$5:E$257,MATCH(B224,'Revised 2019 Lockdown'!B$5:B$257,0))</f>
        <v>45278.1</v>
      </c>
      <c r="G224" s="7">
        <f>INDEX('Revised 2019 Lockdown'!F$5:F$257,MATCH(B224,'Revised 2019 Lockdown'!B$5:B$257,0))</f>
        <v>0</v>
      </c>
      <c r="H224" s="7">
        <f t="shared" si="25"/>
        <v>45278.1</v>
      </c>
      <c r="I224" s="6">
        <f t="shared" si="26"/>
        <v>843.20110243130785</v>
      </c>
      <c r="J224" s="6">
        <f t="shared" si="27"/>
        <v>843.20110243130785</v>
      </c>
      <c r="K224" s="5">
        <f t="shared" si="28"/>
        <v>45278.1</v>
      </c>
      <c r="L224" s="4">
        <f t="shared" si="24"/>
        <v>0</v>
      </c>
      <c r="M224" s="2" cm="1">
        <f t="array" ref="M224">SUMPRODUCT(--($L$6:$L$300&lt;&gt;1),--($C$6:$C$300=$C224),$H$6:$H$300)/SUMPRODUCT(--($L$6:$L$300&lt;&gt;1),--($C$6:$C$300=$C224),$E$6:$E$300)</f>
        <v>1033.7096544658325</v>
      </c>
      <c r="N224" s="1" cm="1">
        <f t="array" ref="N224">SUMPRODUCT(--($L$6:$L$300&lt;&gt;1),--($C$6:$C$300=$C224))</f>
        <v>50</v>
      </c>
      <c r="O224" s="3">
        <f t="shared" si="29"/>
        <v>36293.508398291189</v>
      </c>
      <c r="P224" s="2" cm="1">
        <f t="array" ref="P224">SQRT(SUMPRODUCT(--($L$6:$L$300&lt;&gt;1),--($C$6:$C$300=$C224),$E$6:$E$300,$O$6:$O$300)/((N224-1)*SUMPRODUCT(--($L$6:$L$300&lt;&gt;1),--($C$6:$C$300=$C224),$E$6:$E$300)/N224))</f>
        <v>621.42795009031227</v>
      </c>
      <c r="Q224" s="2">
        <f t="shared" si="23"/>
        <v>237.31769215442091</v>
      </c>
      <c r="R224" s="2">
        <f t="shared" si="23"/>
        <v>1830.1016167772441</v>
      </c>
      <c r="S224" s="2">
        <f t="shared" si="30"/>
        <v>843.20110243130785</v>
      </c>
    </row>
    <row r="225" spans="2:19" x14ac:dyDescent="0.3">
      <c r="B225">
        <v>955</v>
      </c>
      <c r="C225" s="25">
        <v>8</v>
      </c>
      <c r="D225" s="32" t="s">
        <v>249</v>
      </c>
      <c r="E225" s="125">
        <f>INDEX('Revised 2019 Lockdown'!H$5:H$257,MATCH(B225,'Revised 2019 Lockdown'!B$5:B$257,0))</f>
        <v>50.276845026762651</v>
      </c>
      <c r="F225" s="7">
        <f>INDEX('Revised 2019 Lockdown'!E$5:E$257,MATCH(B225,'Revised 2019 Lockdown'!B$5:B$257,0))</f>
        <v>25073.62</v>
      </c>
      <c r="G225" s="7">
        <f>INDEX('Revised 2019 Lockdown'!F$5:F$257,MATCH(B225,'Revised 2019 Lockdown'!B$5:B$257,0))</f>
        <v>0</v>
      </c>
      <c r="H225" s="7">
        <f t="shared" si="25"/>
        <v>25073.62</v>
      </c>
      <c r="I225" s="6">
        <f t="shared" si="26"/>
        <v>498.71108631922249</v>
      </c>
      <c r="J225" s="6">
        <f t="shared" si="27"/>
        <v>498.71108631922249</v>
      </c>
      <c r="K225" s="5">
        <f t="shared" si="28"/>
        <v>25073.62</v>
      </c>
      <c r="L225" s="4">
        <f t="shared" si="24"/>
        <v>0</v>
      </c>
      <c r="M225" s="2" cm="1">
        <f t="array" ref="M225">SUMPRODUCT(--($L$6:$L$300&lt;&gt;1),--($C$6:$C$300=$C225),$H$6:$H$300)/SUMPRODUCT(--($L$6:$L$300&lt;&gt;1),--($C$6:$C$300=$C225),$E$6:$E$300)</f>
        <v>1033.7096544658325</v>
      </c>
      <c r="N225" s="1" cm="1">
        <f t="array" ref="N225">SUMPRODUCT(--($L$6:$L$300&lt;&gt;1),--($C$6:$C$300=$C225))</f>
        <v>50</v>
      </c>
      <c r="O225" s="3">
        <f t="shared" si="29"/>
        <v>286223.46791892295</v>
      </c>
      <c r="P225" s="2" cm="1">
        <f t="array" ref="P225">SQRT(SUMPRODUCT(--($L$6:$L$300&lt;&gt;1),--($C$6:$C$300=$C225),$E$6:$E$300,$O$6:$O$300)/((N225-1)*SUMPRODUCT(--($L$6:$L$300&lt;&gt;1),--($C$6:$C$300=$C225),$E$6:$E$300)/N225))</f>
        <v>621.42795009031227</v>
      </c>
      <c r="Q225" s="2">
        <f t="shared" si="23"/>
        <v>237.31769215442091</v>
      </c>
      <c r="R225" s="2">
        <f t="shared" si="23"/>
        <v>1830.1016167772441</v>
      </c>
      <c r="S225" s="2">
        <f t="shared" si="30"/>
        <v>498.71108631922249</v>
      </c>
    </row>
    <row r="226" spans="2:19" x14ac:dyDescent="0.3">
      <c r="B226">
        <v>973</v>
      </c>
      <c r="C226" s="25">
        <v>8</v>
      </c>
      <c r="D226" s="32" t="s">
        <v>250</v>
      </c>
      <c r="E226" s="125">
        <f>INDEX('Revised 2019 Lockdown'!H$5:H$257,MATCH(B226,'Revised 2019 Lockdown'!B$5:B$257,0))</f>
        <v>8.1012150456462155</v>
      </c>
      <c r="F226" s="7">
        <f>INDEX('Revised 2019 Lockdown'!E$5:E$257,MATCH(B226,'Revised 2019 Lockdown'!B$5:B$257,0))</f>
        <v>8741.84</v>
      </c>
      <c r="G226" s="7">
        <f>INDEX('Revised 2019 Lockdown'!F$5:F$257,MATCH(B226,'Revised 2019 Lockdown'!B$5:B$257,0))</f>
        <v>0</v>
      </c>
      <c r="H226" s="7">
        <f t="shared" si="25"/>
        <v>8741.84</v>
      </c>
      <c r="I226" s="6">
        <f t="shared" si="26"/>
        <v>1079.0776384461083</v>
      </c>
      <c r="J226" s="6">
        <f t="shared" si="27"/>
        <v>1079.0776384461083</v>
      </c>
      <c r="K226" s="5">
        <f t="shared" si="28"/>
        <v>8741.84</v>
      </c>
      <c r="L226" s="4">
        <f t="shared" si="24"/>
        <v>0</v>
      </c>
      <c r="M226" s="2" cm="1">
        <f t="array" ref="M226">SUMPRODUCT(--($L$6:$L$300&lt;&gt;1),--($C$6:$C$300=$C226),$H$6:$H$300)/SUMPRODUCT(--($L$6:$L$300&lt;&gt;1),--($C$6:$C$300=$C226),$E$6:$E$300)</f>
        <v>1033.7096544658325</v>
      </c>
      <c r="N226" s="1" cm="1">
        <f t="array" ref="N226">SUMPRODUCT(--($L$6:$L$300&lt;&gt;1),--($C$6:$C$300=$C226))</f>
        <v>50</v>
      </c>
      <c r="O226" s="3">
        <f t="shared" si="29"/>
        <v>2058.2539704345586</v>
      </c>
      <c r="P226" s="2" cm="1">
        <f t="array" ref="P226">SQRT(SUMPRODUCT(--($L$6:$L$300&lt;&gt;1),--($C$6:$C$300=$C226),$E$6:$E$300,$O$6:$O$300)/((N226-1)*SUMPRODUCT(--($L$6:$L$300&lt;&gt;1),--($C$6:$C$300=$C226),$E$6:$E$300)/N226))</f>
        <v>621.42795009031227</v>
      </c>
      <c r="Q226" s="2">
        <f t="shared" si="23"/>
        <v>237.31769215442091</v>
      </c>
      <c r="R226" s="2">
        <f t="shared" si="23"/>
        <v>1830.1016167772441</v>
      </c>
      <c r="S226" s="2">
        <f t="shared" si="30"/>
        <v>1079.0776384461083</v>
      </c>
    </row>
    <row r="227" spans="2:19" x14ac:dyDescent="0.3">
      <c r="B227">
        <v>974</v>
      </c>
      <c r="C227" s="25">
        <v>8</v>
      </c>
      <c r="D227" s="32" t="s">
        <v>251</v>
      </c>
      <c r="E227" s="125">
        <f>INDEX('Revised 2019 Lockdown'!H$5:H$257,MATCH(B227,'Revised 2019 Lockdown'!B$5:B$257,0))</f>
        <v>17.47</v>
      </c>
      <c r="F227" s="7">
        <f>INDEX('Revised 2019 Lockdown'!E$5:E$257,MATCH(B227,'Revised 2019 Lockdown'!B$5:B$257,0))</f>
        <v>15310.94</v>
      </c>
      <c r="G227" s="7">
        <f>INDEX('Revised 2019 Lockdown'!F$5:F$257,MATCH(B227,'Revised 2019 Lockdown'!B$5:B$257,0))</f>
        <v>0</v>
      </c>
      <c r="H227" s="7">
        <f t="shared" si="25"/>
        <v>15310.94</v>
      </c>
      <c r="I227" s="6">
        <f t="shared" si="26"/>
        <v>876.41327990841455</v>
      </c>
      <c r="J227" s="6">
        <f t="shared" si="27"/>
        <v>876.41327990841455</v>
      </c>
      <c r="K227" s="5">
        <f t="shared" si="28"/>
        <v>15310.94</v>
      </c>
      <c r="L227" s="4">
        <f t="shared" si="24"/>
        <v>0</v>
      </c>
      <c r="M227" s="2" cm="1">
        <f t="array" ref="M227">SUMPRODUCT(--($L$6:$L$300&lt;&gt;1),--($C$6:$C$300=$C227),$H$6:$H$300)/SUMPRODUCT(--($L$6:$L$300&lt;&gt;1),--($C$6:$C$300=$C227),$E$6:$E$300)</f>
        <v>1033.7096544658325</v>
      </c>
      <c r="N227" s="1" cm="1">
        <f t="array" ref="N227">SUMPRODUCT(--($L$6:$L$300&lt;&gt;1),--($C$6:$C$300=$C227))</f>
        <v>50</v>
      </c>
      <c r="O227" s="3">
        <f t="shared" si="29"/>
        <v>24742.149448907519</v>
      </c>
      <c r="P227" s="2" cm="1">
        <f t="array" ref="P227">SQRT(SUMPRODUCT(--($L$6:$L$300&lt;&gt;1),--($C$6:$C$300=$C227),$E$6:$E$300,$O$6:$O$300)/((N227-1)*SUMPRODUCT(--($L$6:$L$300&lt;&gt;1),--($C$6:$C$300=$C227),$E$6:$E$300)/N227))</f>
        <v>621.42795009031227</v>
      </c>
      <c r="Q227" s="2">
        <f t="shared" si="23"/>
        <v>237.31769215442091</v>
      </c>
      <c r="R227" s="2">
        <f t="shared" si="23"/>
        <v>1830.1016167772441</v>
      </c>
      <c r="S227" s="2">
        <f t="shared" si="30"/>
        <v>876.41327990841455</v>
      </c>
    </row>
    <row r="228" spans="2:19" x14ac:dyDescent="0.3">
      <c r="B228">
        <v>985</v>
      </c>
      <c r="C228" s="25">
        <v>8</v>
      </c>
      <c r="D228" s="32" t="s">
        <v>253</v>
      </c>
      <c r="E228" s="125">
        <f>INDEX('Revised 2019 Lockdown'!H$5:H$257,MATCH(B228,'Revised 2019 Lockdown'!B$5:B$257,0))</f>
        <v>65.667615124449199</v>
      </c>
      <c r="F228" s="7">
        <f>INDEX('Revised 2019 Lockdown'!E$5:E$257,MATCH(B228,'Revised 2019 Lockdown'!B$5:B$257,0))</f>
        <v>119730.94</v>
      </c>
      <c r="G228" s="7">
        <f>INDEX('Revised 2019 Lockdown'!F$5:F$257,MATCH(B228,'Revised 2019 Lockdown'!B$5:B$257,0))</f>
        <v>0</v>
      </c>
      <c r="H228" s="7">
        <f t="shared" si="25"/>
        <v>119730.94</v>
      </c>
      <c r="I228" s="6">
        <f t="shared" si="26"/>
        <v>1823.2874724183805</v>
      </c>
      <c r="J228" s="6">
        <f t="shared" si="27"/>
        <v>1823.2874724183805</v>
      </c>
      <c r="K228" s="5">
        <f t="shared" si="28"/>
        <v>119730.94</v>
      </c>
      <c r="L228" s="4">
        <f t="shared" si="24"/>
        <v>0</v>
      </c>
      <c r="M228" s="2" cm="1">
        <f t="array" ref="M228">SUMPRODUCT(--($L$6:$L$300&lt;&gt;1),--($C$6:$C$300=$C228),$H$6:$H$300)/SUMPRODUCT(--($L$6:$L$300&lt;&gt;1),--($C$6:$C$300=$C228),$E$6:$E$300)</f>
        <v>1033.7096544658325</v>
      </c>
      <c r="N228" s="1" cm="1">
        <f t="array" ref="N228">SUMPRODUCT(--($L$6:$L$300&lt;&gt;1),--($C$6:$C$300=$C228))</f>
        <v>50</v>
      </c>
      <c r="O228" s="3">
        <f t="shared" si="29"/>
        <v>623433.13060270704</v>
      </c>
      <c r="P228" s="2" cm="1">
        <f t="array" ref="P228">SQRT(SUMPRODUCT(--($L$6:$L$300&lt;&gt;1),--($C$6:$C$300=$C228),$E$6:$E$300,$O$6:$O$300)/((N228-1)*SUMPRODUCT(--($L$6:$L$300&lt;&gt;1),--($C$6:$C$300=$C228),$E$6:$E$300)/N228))</f>
        <v>621.42795009031227</v>
      </c>
      <c r="Q228" s="2">
        <f t="shared" si="23"/>
        <v>237.31769215442091</v>
      </c>
      <c r="R228" s="2">
        <f t="shared" si="23"/>
        <v>1830.1016167772441</v>
      </c>
      <c r="S228" s="2">
        <f t="shared" si="30"/>
        <v>1823.2874724183805</v>
      </c>
    </row>
    <row r="229" spans="2:19" x14ac:dyDescent="0.3">
      <c r="B229">
        <v>159</v>
      </c>
      <c r="C229" s="33">
        <v>9</v>
      </c>
      <c r="D229" s="32" t="s">
        <v>255</v>
      </c>
      <c r="E229" s="125">
        <f>INDEX('Revised 2019 Lockdown'!H$5:H$257,MATCH(B229,'Revised 2019 Lockdown'!B$5:B$257,0))</f>
        <v>721.93312534833865</v>
      </c>
      <c r="F229" s="7">
        <f>INDEX('Revised 2019 Lockdown'!E$5:E$257,MATCH(B229,'Revised 2019 Lockdown'!B$5:B$257,0))</f>
        <v>166217.32</v>
      </c>
      <c r="G229" s="7">
        <f>INDEX('Revised 2019 Lockdown'!F$5:F$257,MATCH(B229,'Revised 2019 Lockdown'!B$5:B$257,0))</f>
        <v>0</v>
      </c>
      <c r="H229" s="7">
        <f t="shared" si="25"/>
        <v>166217.32</v>
      </c>
      <c r="I229" s="6">
        <f t="shared" si="26"/>
        <v>230.2392204538319</v>
      </c>
      <c r="J229" s="6">
        <f t="shared" si="27"/>
        <v>230.2392204538319</v>
      </c>
      <c r="K229" s="5">
        <f t="shared" si="28"/>
        <v>166217.32</v>
      </c>
      <c r="L229" s="4">
        <f t="shared" si="24"/>
        <v>0</v>
      </c>
      <c r="M229" s="2" cm="1">
        <f t="array" ref="M229">SUMPRODUCT(--($L$6:$L$300&lt;&gt;1),--($C$6:$C$300=$C229),$H$6:$H$300)/SUMPRODUCT(--($L$6:$L$300&lt;&gt;1),--($C$6:$C$300=$C229),$E$6:$E$300)</f>
        <v>830.7675836462106</v>
      </c>
      <c r="N229" s="1" cm="1">
        <f t="array" ref="N229">SUMPRODUCT(--($L$6:$L$300&lt;&gt;1),--($C$6:$C$300=$C229))</f>
        <v>30</v>
      </c>
      <c r="O229" s="3">
        <f t="shared" si="29"/>
        <v>360634.31499851751</v>
      </c>
      <c r="P229" s="2" cm="1">
        <f t="array" ref="P229">SQRT(SUMPRODUCT(--($L$6:$L$300&lt;&gt;1),--($C$6:$C$300=$C229),$E$6:$E$300,$O$6:$O$300)/((N229-1)*SUMPRODUCT(--($L$6:$L$300&lt;&gt;1),--($C$6:$C$300=$C229),$E$6:$E$300)/N229))</f>
        <v>674.7030311525026</v>
      </c>
      <c r="Q229" s="2">
        <f t="shared" si="23"/>
        <v>-33.899142204966552</v>
      </c>
      <c r="R229" s="2">
        <f t="shared" si="23"/>
        <v>1695.4343094973879</v>
      </c>
      <c r="S229" s="2">
        <f t="shared" si="30"/>
        <v>230.2392204538319</v>
      </c>
    </row>
    <row r="230" spans="2:19" x14ac:dyDescent="0.3">
      <c r="B230">
        <v>173</v>
      </c>
      <c r="C230" s="25">
        <v>9</v>
      </c>
      <c r="D230" s="32" t="s">
        <v>256</v>
      </c>
      <c r="E230" s="125">
        <f>INDEX('Revised 2019 Lockdown'!H$5:H$257,MATCH(B230,'Revised 2019 Lockdown'!B$5:B$257,0))</f>
        <v>317.52000000000004</v>
      </c>
      <c r="F230" s="7">
        <f>INDEX('Revised 2019 Lockdown'!E$5:E$257,MATCH(B230,'Revised 2019 Lockdown'!B$5:B$257,0))</f>
        <v>188734.3</v>
      </c>
      <c r="G230" s="7">
        <f>INDEX('Revised 2019 Lockdown'!F$5:F$257,MATCH(B230,'Revised 2019 Lockdown'!B$5:B$257,0))</f>
        <v>0</v>
      </c>
      <c r="H230" s="7">
        <f t="shared" si="25"/>
        <v>188734.3</v>
      </c>
      <c r="I230" s="6">
        <f t="shared" si="26"/>
        <v>594.40129755605938</v>
      </c>
      <c r="J230" s="6">
        <f t="shared" si="27"/>
        <v>594.40129755605938</v>
      </c>
      <c r="K230" s="5">
        <f t="shared" si="28"/>
        <v>188734.3</v>
      </c>
      <c r="L230" s="4">
        <f t="shared" si="24"/>
        <v>0</v>
      </c>
      <c r="M230" s="2" cm="1">
        <f t="array" ref="M230">SUMPRODUCT(--($L$6:$L$300&lt;&gt;1),--($C$6:$C$300=$C230),$H$6:$H$300)/SUMPRODUCT(--($L$6:$L$300&lt;&gt;1),--($C$6:$C$300=$C230),$E$6:$E$300)</f>
        <v>830.7675836462106</v>
      </c>
      <c r="N230" s="1" cm="1">
        <f t="array" ref="N230">SUMPRODUCT(--($L$6:$L$300&lt;&gt;1),--($C$6:$C$300=$C230))</f>
        <v>30</v>
      </c>
      <c r="O230" s="3">
        <f t="shared" si="29"/>
        <v>55869.021200051211</v>
      </c>
      <c r="P230" s="2" cm="1">
        <f t="array" ref="P230">SQRT(SUMPRODUCT(--($L$6:$L$300&lt;&gt;1),--($C$6:$C$300=$C230),$E$6:$E$300,$O$6:$O$300)/((N230-1)*SUMPRODUCT(--($L$6:$L$300&lt;&gt;1),--($C$6:$C$300=$C230),$E$6:$E$300)/N230))</f>
        <v>674.7030311525026</v>
      </c>
      <c r="Q230" s="2">
        <f t="shared" si="23"/>
        <v>-33.899142204966552</v>
      </c>
      <c r="R230" s="2">
        <f t="shared" si="23"/>
        <v>1695.4343094973879</v>
      </c>
      <c r="S230" s="2">
        <f t="shared" si="30"/>
        <v>594.40129755605938</v>
      </c>
    </row>
    <row r="231" spans="2:19" x14ac:dyDescent="0.3">
      <c r="B231">
        <v>204</v>
      </c>
      <c r="C231" s="35">
        <v>9</v>
      </c>
      <c r="D231" s="32" t="s">
        <v>257</v>
      </c>
      <c r="E231" s="125">
        <f>INDEX('Revised 2019 Lockdown'!H$5:H$257,MATCH(B231,'Revised 2019 Lockdown'!B$5:B$257,0))</f>
        <v>445.31322425693912</v>
      </c>
      <c r="F231" s="7">
        <f>INDEX('Revised 2019 Lockdown'!E$5:E$257,MATCH(B231,'Revised 2019 Lockdown'!B$5:B$257,0))</f>
        <v>526325.63</v>
      </c>
      <c r="G231" s="7">
        <f>INDEX('Revised 2019 Lockdown'!F$5:F$257,MATCH(B231,'Revised 2019 Lockdown'!B$5:B$257,0))</f>
        <v>0</v>
      </c>
      <c r="H231" s="7">
        <f t="shared" si="25"/>
        <v>526325.63</v>
      </c>
      <c r="I231" s="6">
        <f t="shared" si="26"/>
        <v>1181.922299474129</v>
      </c>
      <c r="J231" s="6">
        <f t="shared" si="27"/>
        <v>1181.922299474129</v>
      </c>
      <c r="K231" s="5">
        <f t="shared" si="28"/>
        <v>526325.63</v>
      </c>
      <c r="L231" s="4">
        <f t="shared" si="24"/>
        <v>0</v>
      </c>
      <c r="M231" s="2" cm="1">
        <f t="array" ref="M231">SUMPRODUCT(--($L$6:$L$300&lt;&gt;1),--($C$6:$C$300=$C231),$H$6:$H$300)/SUMPRODUCT(--($L$6:$L$300&lt;&gt;1),--($C$6:$C$300=$C231),$E$6:$E$300)</f>
        <v>830.7675836462106</v>
      </c>
      <c r="N231" s="1" cm="1">
        <f t="array" ref="N231">SUMPRODUCT(--($L$6:$L$300&lt;&gt;1),--($C$6:$C$300=$C231))</f>
        <v>30</v>
      </c>
      <c r="O231" s="3">
        <f t="shared" si="29"/>
        <v>123309.63444818612</v>
      </c>
      <c r="P231" s="2" cm="1">
        <f t="array" ref="P231">SQRT(SUMPRODUCT(--($L$6:$L$300&lt;&gt;1),--($C$6:$C$300=$C231),$E$6:$E$300,$O$6:$O$300)/((N231-1)*SUMPRODUCT(--($L$6:$L$300&lt;&gt;1),--($C$6:$C$300=$C231),$E$6:$E$300)/N231))</f>
        <v>674.7030311525026</v>
      </c>
      <c r="Q231" s="2">
        <f t="shared" si="23"/>
        <v>-33.899142204966552</v>
      </c>
      <c r="R231" s="2">
        <f t="shared" si="23"/>
        <v>1695.4343094973879</v>
      </c>
      <c r="S231" s="2">
        <f t="shared" si="30"/>
        <v>1181.922299474129</v>
      </c>
    </row>
    <row r="232" spans="2:19" x14ac:dyDescent="0.3">
      <c r="B232">
        <v>230</v>
      </c>
      <c r="C232" s="35">
        <v>9</v>
      </c>
      <c r="D232" s="32" t="s">
        <v>259</v>
      </c>
      <c r="E232" s="125">
        <f>INDEX('Revised 2019 Lockdown'!H$5:H$257,MATCH(B232,'Revised 2019 Lockdown'!B$5:B$257,0))</f>
        <v>137.3463158270811</v>
      </c>
      <c r="F232" s="7">
        <f>INDEX('Revised 2019 Lockdown'!E$5:E$257,MATCH(B232,'Revised 2019 Lockdown'!B$5:B$257,0))</f>
        <v>102952.81</v>
      </c>
      <c r="G232" s="7">
        <f>INDEX('Revised 2019 Lockdown'!F$5:F$257,MATCH(B232,'Revised 2019 Lockdown'!B$5:B$257,0))</f>
        <v>1799.3000000000002</v>
      </c>
      <c r="H232" s="7">
        <f t="shared" si="25"/>
        <v>101153.51</v>
      </c>
      <c r="I232" s="6">
        <f t="shared" si="26"/>
        <v>736.48506252874074</v>
      </c>
      <c r="J232" s="6">
        <f t="shared" si="27"/>
        <v>736.48506252874074</v>
      </c>
      <c r="K232" s="5">
        <f t="shared" si="28"/>
        <v>101153.51</v>
      </c>
      <c r="L232" s="4">
        <f t="shared" si="24"/>
        <v>0</v>
      </c>
      <c r="M232" s="2" cm="1">
        <f t="array" ref="M232">SUMPRODUCT(--($L$6:$L$300&lt;&gt;1),--($C$6:$C$300=$C232),$H$6:$H$300)/SUMPRODUCT(--($L$6:$L$300&lt;&gt;1),--($C$6:$C$300=$C232),$E$6:$E$300)</f>
        <v>830.7675836462106</v>
      </c>
      <c r="N232" s="1" cm="1">
        <f t="array" ref="N232">SUMPRODUCT(--($L$6:$L$300&lt;&gt;1),--($C$6:$C$300=$C232))</f>
        <v>30</v>
      </c>
      <c r="O232" s="3">
        <f t="shared" si="29"/>
        <v>8889.1937882661496</v>
      </c>
      <c r="P232" s="2" cm="1">
        <f t="array" ref="P232">SQRT(SUMPRODUCT(--($L$6:$L$300&lt;&gt;1),--($C$6:$C$300=$C232),$E$6:$E$300,$O$6:$O$300)/((N232-1)*SUMPRODUCT(--($L$6:$L$300&lt;&gt;1),--($C$6:$C$300=$C232),$E$6:$E$300)/N232))</f>
        <v>674.7030311525026</v>
      </c>
      <c r="Q232" s="2">
        <f t="shared" si="23"/>
        <v>-33.899142204966552</v>
      </c>
      <c r="R232" s="2">
        <f t="shared" si="23"/>
        <v>1695.4343094973879</v>
      </c>
      <c r="S232" s="2">
        <f t="shared" si="30"/>
        <v>736.48506252874074</v>
      </c>
    </row>
    <row r="233" spans="2:19" x14ac:dyDescent="0.3">
      <c r="B233">
        <v>277</v>
      </c>
      <c r="C233" s="35">
        <v>9</v>
      </c>
      <c r="D233" s="32" t="s">
        <v>260</v>
      </c>
      <c r="E233" s="125">
        <f>INDEX('Revised 2019 Lockdown'!H$5:H$257,MATCH(B233,'Revised 2019 Lockdown'!B$5:B$257,0))</f>
        <v>77.20924891627962</v>
      </c>
      <c r="F233" s="7">
        <f>INDEX('Revised 2019 Lockdown'!E$5:E$257,MATCH(B233,'Revised 2019 Lockdown'!B$5:B$257,0))</f>
        <v>193093.73</v>
      </c>
      <c r="G233" s="7">
        <f>INDEX('Revised 2019 Lockdown'!F$5:F$257,MATCH(B233,'Revised 2019 Lockdown'!B$5:B$257,0))</f>
        <v>5454.62</v>
      </c>
      <c r="H233" s="7">
        <f t="shared" si="25"/>
        <v>187639.11000000002</v>
      </c>
      <c r="I233" s="6">
        <f t="shared" si="26"/>
        <v>2430.2672624553429</v>
      </c>
      <c r="J233" s="6">
        <f t="shared" si="27"/>
        <v>1695.4343094973879</v>
      </c>
      <c r="K233" s="5">
        <f t="shared" si="28"/>
        <v>130903.20962318448</v>
      </c>
      <c r="L233" s="4">
        <f t="shared" si="24"/>
        <v>0</v>
      </c>
      <c r="M233" s="2" cm="1">
        <f t="array" ref="M233">SUMPRODUCT(--($L$6:$L$300&lt;&gt;1),--($C$6:$C$300=$C233),$H$6:$H$300)/SUMPRODUCT(--($L$6:$L$300&lt;&gt;1),--($C$6:$C$300=$C233),$E$6:$E$300)</f>
        <v>830.7675836462106</v>
      </c>
      <c r="N233" s="1" cm="1">
        <f t="array" ref="N233">SUMPRODUCT(--($L$6:$L$300&lt;&gt;1),--($C$6:$C$300=$C233))</f>
        <v>30</v>
      </c>
      <c r="O233" s="3">
        <f t="shared" si="29"/>
        <v>2558399.2225105176</v>
      </c>
      <c r="P233" s="2" cm="1">
        <f t="array" ref="P233">SQRT(SUMPRODUCT(--($L$6:$L$300&lt;&gt;1),--($C$6:$C$300=$C233),$E$6:$E$300,$O$6:$O$300)/((N233-1)*SUMPRODUCT(--($L$6:$L$300&lt;&gt;1),--($C$6:$C$300=$C233),$E$6:$E$300)/N233))</f>
        <v>674.7030311525026</v>
      </c>
      <c r="Q233" s="2">
        <f t="shared" si="23"/>
        <v>-33.899142204966552</v>
      </c>
      <c r="R233" s="2">
        <f t="shared" si="23"/>
        <v>1695.4343094973879</v>
      </c>
      <c r="S233" s="2">
        <f t="shared" si="30"/>
        <v>1695.4343094973879</v>
      </c>
    </row>
    <row r="234" spans="2:19" x14ac:dyDescent="0.3">
      <c r="B234">
        <v>279</v>
      </c>
      <c r="C234" s="35">
        <v>9</v>
      </c>
      <c r="D234" s="32" t="s">
        <v>261</v>
      </c>
      <c r="E234" s="125">
        <f>INDEX('Revised 2019 Lockdown'!H$5:H$257,MATCH(B234,'Revised 2019 Lockdown'!B$5:B$257,0))</f>
        <v>281.14056938192209</v>
      </c>
      <c r="F234" s="7">
        <f>INDEX('Revised 2019 Lockdown'!E$5:E$257,MATCH(B234,'Revised 2019 Lockdown'!B$5:B$257,0))</f>
        <v>185521.99</v>
      </c>
      <c r="G234" s="7">
        <f>INDEX('Revised 2019 Lockdown'!F$5:F$257,MATCH(B234,'Revised 2019 Lockdown'!B$5:B$257,0))</f>
        <v>796</v>
      </c>
      <c r="H234" s="7">
        <f t="shared" si="25"/>
        <v>184725.99</v>
      </c>
      <c r="I234" s="6">
        <f t="shared" si="26"/>
        <v>657.05917294723326</v>
      </c>
      <c r="J234" s="6">
        <f t="shared" si="27"/>
        <v>657.05917294723326</v>
      </c>
      <c r="K234" s="5">
        <f t="shared" si="28"/>
        <v>184725.99</v>
      </c>
      <c r="L234" s="4">
        <f t="shared" si="24"/>
        <v>0</v>
      </c>
      <c r="M234" s="2" cm="1">
        <f t="array" ref="M234">SUMPRODUCT(--($L$6:$L$300&lt;&gt;1),--($C$6:$C$300=$C234),$H$6:$H$300)/SUMPRODUCT(--($L$6:$L$300&lt;&gt;1),--($C$6:$C$300=$C234),$E$6:$E$300)</f>
        <v>830.7675836462106</v>
      </c>
      <c r="N234" s="1" cm="1">
        <f t="array" ref="N234">SUMPRODUCT(--($L$6:$L$300&lt;&gt;1),--($C$6:$C$300=$C234))</f>
        <v>30</v>
      </c>
      <c r="O234" s="3">
        <f t="shared" si="29"/>
        <v>30174.611947564583</v>
      </c>
      <c r="P234" s="2" cm="1">
        <f t="array" ref="P234">SQRT(SUMPRODUCT(--($L$6:$L$300&lt;&gt;1),--($C$6:$C$300=$C234),$E$6:$E$300,$O$6:$O$300)/((N234-1)*SUMPRODUCT(--($L$6:$L$300&lt;&gt;1),--($C$6:$C$300=$C234),$E$6:$E$300)/N234))</f>
        <v>674.7030311525026</v>
      </c>
      <c r="Q234" s="2">
        <f t="shared" si="23"/>
        <v>-33.899142204966552</v>
      </c>
      <c r="R234" s="2">
        <f t="shared" si="23"/>
        <v>1695.4343094973879</v>
      </c>
      <c r="S234" s="2">
        <f t="shared" si="30"/>
        <v>657.05917294723326</v>
      </c>
    </row>
    <row r="235" spans="2:19" x14ac:dyDescent="0.3">
      <c r="B235">
        <v>331</v>
      </c>
      <c r="C235" s="35">
        <v>9</v>
      </c>
      <c r="D235" s="32" t="s">
        <v>262</v>
      </c>
      <c r="E235" s="125">
        <f>INDEX('Revised 2019 Lockdown'!H$5:H$257,MATCH(B235,'Revised 2019 Lockdown'!B$5:B$257,0))</f>
        <v>442.75839063951412</v>
      </c>
      <c r="F235" s="7">
        <f>INDEX('Revised 2019 Lockdown'!E$5:E$257,MATCH(B235,'Revised 2019 Lockdown'!B$5:B$257,0))</f>
        <v>160212.76999999999</v>
      </c>
      <c r="G235" s="7">
        <f>INDEX('Revised 2019 Lockdown'!F$5:F$257,MATCH(B235,'Revised 2019 Lockdown'!B$5:B$257,0))</f>
        <v>0</v>
      </c>
      <c r="H235" s="7">
        <f t="shared" si="25"/>
        <v>160212.76999999999</v>
      </c>
      <c r="I235" s="6">
        <f t="shared" si="26"/>
        <v>361.85145981895653</v>
      </c>
      <c r="J235" s="6">
        <f t="shared" si="27"/>
        <v>361.85145981895653</v>
      </c>
      <c r="K235" s="5">
        <f t="shared" si="28"/>
        <v>160212.76999999999</v>
      </c>
      <c r="L235" s="4">
        <f t="shared" si="24"/>
        <v>0</v>
      </c>
      <c r="M235" s="2" cm="1">
        <f t="array" ref="M235">SUMPRODUCT(--($L$6:$L$300&lt;&gt;1),--($C$6:$C$300=$C235),$H$6:$H$300)/SUMPRODUCT(--($L$6:$L$300&lt;&gt;1),--($C$6:$C$300=$C235),$E$6:$E$300)</f>
        <v>830.7675836462106</v>
      </c>
      <c r="N235" s="1" cm="1">
        <f t="array" ref="N235">SUMPRODUCT(--($L$6:$L$300&lt;&gt;1),--($C$6:$C$300=$C235))</f>
        <v>30</v>
      </c>
      <c r="O235" s="3">
        <f t="shared" si="29"/>
        <v>219882.33118517668</v>
      </c>
      <c r="P235" s="2" cm="1">
        <f t="array" ref="P235">SQRT(SUMPRODUCT(--($L$6:$L$300&lt;&gt;1),--($C$6:$C$300=$C235),$E$6:$E$300,$O$6:$O$300)/((N235-1)*SUMPRODUCT(--($L$6:$L$300&lt;&gt;1),--($C$6:$C$300=$C235),$E$6:$E$300)/N235))</f>
        <v>674.7030311525026</v>
      </c>
      <c r="Q235" s="2">
        <f t="shared" si="23"/>
        <v>-33.899142204966552</v>
      </c>
      <c r="R235" s="2">
        <f t="shared" si="23"/>
        <v>1695.4343094973879</v>
      </c>
      <c r="S235" s="2">
        <f t="shared" si="30"/>
        <v>361.85145981895653</v>
      </c>
    </row>
    <row r="236" spans="2:19" x14ac:dyDescent="0.3">
      <c r="B236">
        <v>369</v>
      </c>
      <c r="C236" s="35">
        <v>9</v>
      </c>
      <c r="D236" s="32" t="s">
        <v>263</v>
      </c>
      <c r="E236" s="125">
        <f>INDEX('Revised 2019 Lockdown'!H$5:H$257,MATCH(B236,'Revised 2019 Lockdown'!B$5:B$257,0))</f>
        <v>372.33</v>
      </c>
      <c r="F236" s="7">
        <f>INDEX('Revised 2019 Lockdown'!E$5:E$257,MATCH(B236,'Revised 2019 Lockdown'!B$5:B$257,0))</f>
        <v>439717.41</v>
      </c>
      <c r="G236" s="7">
        <f>INDEX('Revised 2019 Lockdown'!F$5:F$257,MATCH(B236,'Revised 2019 Lockdown'!B$5:B$257,0))</f>
        <v>0</v>
      </c>
      <c r="H236" s="7">
        <f t="shared" si="25"/>
        <v>439717.41</v>
      </c>
      <c r="I236" s="6">
        <f t="shared" si="26"/>
        <v>1180.9883973894125</v>
      </c>
      <c r="J236" s="6">
        <f t="shared" si="27"/>
        <v>1180.9883973894125</v>
      </c>
      <c r="K236" s="5">
        <f t="shared" si="28"/>
        <v>439717.40999999992</v>
      </c>
      <c r="L236" s="4">
        <f t="shared" si="24"/>
        <v>0</v>
      </c>
      <c r="M236" s="2" cm="1">
        <f t="array" ref="M236">SUMPRODUCT(--($L$6:$L$300&lt;&gt;1),--($C$6:$C$300=$C236),$H$6:$H$300)/SUMPRODUCT(--($L$6:$L$300&lt;&gt;1),--($C$6:$C$300=$C236),$E$6:$E$300)</f>
        <v>830.7675836462106</v>
      </c>
      <c r="N236" s="1" cm="1">
        <f t="array" ref="N236">SUMPRODUCT(--($L$6:$L$300&lt;&gt;1),--($C$6:$C$300=$C236))</f>
        <v>30</v>
      </c>
      <c r="O236" s="3">
        <f t="shared" si="29"/>
        <v>122654.61837895053</v>
      </c>
      <c r="P236" s="2" cm="1">
        <f t="array" ref="P236">SQRT(SUMPRODUCT(--($L$6:$L$300&lt;&gt;1),--($C$6:$C$300=$C236),$E$6:$E$300,$O$6:$O$300)/((N236-1)*SUMPRODUCT(--($L$6:$L$300&lt;&gt;1),--($C$6:$C$300=$C236),$E$6:$E$300)/N236))</f>
        <v>674.7030311525026</v>
      </c>
      <c r="Q236" s="2">
        <f t="shared" si="23"/>
        <v>-33.899142204966552</v>
      </c>
      <c r="R236" s="2">
        <f t="shared" si="23"/>
        <v>1695.4343094973879</v>
      </c>
      <c r="S236" s="2">
        <f t="shared" si="30"/>
        <v>1180.9883973894125</v>
      </c>
    </row>
    <row r="237" spans="2:19" x14ac:dyDescent="0.3">
      <c r="B237">
        <v>416</v>
      </c>
      <c r="C237" s="35">
        <v>9</v>
      </c>
      <c r="D237" s="32" t="s">
        <v>264</v>
      </c>
      <c r="E237" s="125">
        <f>INDEX('Revised 2019 Lockdown'!H$5:H$257,MATCH(B237,'Revised 2019 Lockdown'!B$5:B$257,0))</f>
        <v>63.282402387757521</v>
      </c>
      <c r="F237" s="7">
        <f>INDEX('Revised 2019 Lockdown'!E$5:E$257,MATCH(B237,'Revised 2019 Lockdown'!B$5:B$257,0))</f>
        <v>63073.1</v>
      </c>
      <c r="G237" s="7">
        <f>INDEX('Revised 2019 Lockdown'!F$5:F$257,MATCH(B237,'Revised 2019 Lockdown'!B$5:B$257,0))</f>
        <v>67.5</v>
      </c>
      <c r="H237" s="7">
        <f t="shared" si="25"/>
        <v>63005.599999999999</v>
      </c>
      <c r="I237" s="6">
        <f t="shared" si="26"/>
        <v>995.62591846527187</v>
      </c>
      <c r="J237" s="6">
        <f t="shared" si="27"/>
        <v>995.62591846527187</v>
      </c>
      <c r="K237" s="5">
        <f t="shared" si="28"/>
        <v>63005.599999999999</v>
      </c>
      <c r="L237" s="4">
        <f t="shared" si="24"/>
        <v>0</v>
      </c>
      <c r="M237" s="2" cm="1">
        <f t="array" ref="M237">SUMPRODUCT(--($L$6:$L$300&lt;&gt;1),--($C$6:$C$300=$C237),$H$6:$H$300)/SUMPRODUCT(--($L$6:$L$300&lt;&gt;1),--($C$6:$C$300=$C237),$E$6:$E$300)</f>
        <v>830.7675836462106</v>
      </c>
      <c r="N237" s="1" cm="1">
        <f t="array" ref="N237">SUMPRODUCT(--($L$6:$L$300&lt;&gt;1),--($C$6:$C$300=$C237))</f>
        <v>30</v>
      </c>
      <c r="O237" s="3">
        <f t="shared" si="29"/>
        <v>27178.270559313711</v>
      </c>
      <c r="P237" s="2" cm="1">
        <f t="array" ref="P237">SQRT(SUMPRODUCT(--($L$6:$L$300&lt;&gt;1),--($C$6:$C$300=$C237),$E$6:$E$300,$O$6:$O$300)/((N237-1)*SUMPRODUCT(--($L$6:$L$300&lt;&gt;1),--($C$6:$C$300=$C237),$E$6:$E$300)/N237))</f>
        <v>674.7030311525026</v>
      </c>
      <c r="Q237" s="2">
        <f t="shared" si="23"/>
        <v>-33.899142204966552</v>
      </c>
      <c r="R237" s="2">
        <f t="shared" si="23"/>
        <v>1695.4343094973879</v>
      </c>
      <c r="S237" s="2">
        <f t="shared" si="30"/>
        <v>995.62591846527187</v>
      </c>
    </row>
    <row r="238" spans="2:19" x14ac:dyDescent="0.3">
      <c r="B238">
        <v>508</v>
      </c>
      <c r="C238" s="35">
        <v>9</v>
      </c>
      <c r="D238" s="32" t="s">
        <v>266</v>
      </c>
      <c r="E238" s="125">
        <f>INDEX('Revised 2019 Lockdown'!H$5:H$257,MATCH(B238,'Revised 2019 Lockdown'!B$5:B$257,0))</f>
        <v>83.552342128140978</v>
      </c>
      <c r="F238" s="7">
        <f>INDEX('Revised 2019 Lockdown'!E$5:E$257,MATCH(B238,'Revised 2019 Lockdown'!B$5:B$257,0))</f>
        <v>78621.899999999994</v>
      </c>
      <c r="G238" s="7">
        <f>INDEX('Revised 2019 Lockdown'!F$5:F$257,MATCH(B238,'Revised 2019 Lockdown'!B$5:B$257,0))</f>
        <v>0</v>
      </c>
      <c r="H238" s="7">
        <f t="shared" si="25"/>
        <v>78621.899999999994</v>
      </c>
      <c r="I238" s="6">
        <f t="shared" si="26"/>
        <v>940.98977954945462</v>
      </c>
      <c r="J238" s="6">
        <f t="shared" si="27"/>
        <v>940.98977954945462</v>
      </c>
      <c r="K238" s="5">
        <f t="shared" si="28"/>
        <v>78621.899999999994</v>
      </c>
      <c r="L238" s="4">
        <f t="shared" si="24"/>
        <v>0</v>
      </c>
      <c r="M238" s="2" cm="1">
        <f t="array" ref="M238">SUMPRODUCT(--($L$6:$L$300&lt;&gt;1),--($C$6:$C$300=$C238),$H$6:$H$300)/SUMPRODUCT(--($L$6:$L$300&lt;&gt;1),--($C$6:$C$300=$C238),$E$6:$E$300)</f>
        <v>830.7675836462106</v>
      </c>
      <c r="N238" s="1" cm="1">
        <f t="array" ref="N238">SUMPRODUCT(--($L$6:$L$300&lt;&gt;1),--($C$6:$C$300=$C238))</f>
        <v>30</v>
      </c>
      <c r="O238" s="3">
        <f t="shared" si="29"/>
        <v>12148.932469733105</v>
      </c>
      <c r="P238" s="2" cm="1">
        <f t="array" ref="P238">SQRT(SUMPRODUCT(--($L$6:$L$300&lt;&gt;1),--($C$6:$C$300=$C238),$E$6:$E$300,$O$6:$O$300)/((N238-1)*SUMPRODUCT(--($L$6:$L$300&lt;&gt;1),--($C$6:$C$300=$C238),$E$6:$E$300)/N238))</f>
        <v>674.7030311525026</v>
      </c>
      <c r="Q238" s="2">
        <f t="shared" si="23"/>
        <v>-33.899142204966552</v>
      </c>
      <c r="R238" s="2">
        <f t="shared" si="23"/>
        <v>1695.4343094973879</v>
      </c>
      <c r="S238" s="2">
        <f t="shared" si="30"/>
        <v>940.98977954945462</v>
      </c>
    </row>
    <row r="239" spans="2:19" x14ac:dyDescent="0.3">
      <c r="B239">
        <v>512</v>
      </c>
      <c r="C239" s="35">
        <v>9</v>
      </c>
      <c r="D239" s="32" t="s">
        <v>267</v>
      </c>
      <c r="E239" s="125">
        <f>INDEX('Revised 2019 Lockdown'!H$5:H$257,MATCH(B239,'Revised 2019 Lockdown'!B$5:B$257,0))</f>
        <v>208.64932368107657</v>
      </c>
      <c r="F239" s="7">
        <f>INDEX('Revised 2019 Lockdown'!E$5:E$257,MATCH(B239,'Revised 2019 Lockdown'!B$5:B$257,0))</f>
        <v>275963.07</v>
      </c>
      <c r="G239" s="7">
        <f>INDEX('Revised 2019 Lockdown'!F$5:F$257,MATCH(B239,'Revised 2019 Lockdown'!B$5:B$257,0))</f>
        <v>3670.08</v>
      </c>
      <c r="H239" s="7">
        <f t="shared" si="25"/>
        <v>272292.99</v>
      </c>
      <c r="I239" s="6">
        <f t="shared" si="26"/>
        <v>1305.026947588882</v>
      </c>
      <c r="J239" s="6">
        <f t="shared" si="27"/>
        <v>1305.026947588882</v>
      </c>
      <c r="K239" s="5">
        <f t="shared" si="28"/>
        <v>272292.99</v>
      </c>
      <c r="L239" s="4">
        <f t="shared" si="24"/>
        <v>0</v>
      </c>
      <c r="M239" s="2" cm="1">
        <f t="array" ref="M239">SUMPRODUCT(--($L$6:$L$300&lt;&gt;1),--($C$6:$C$300=$C239),$H$6:$H$300)/SUMPRODUCT(--($L$6:$L$300&lt;&gt;1),--($C$6:$C$300=$C239),$E$6:$E$300)</f>
        <v>830.7675836462106</v>
      </c>
      <c r="N239" s="1" cm="1">
        <f t="array" ref="N239">SUMPRODUCT(--($L$6:$L$300&lt;&gt;1),--($C$6:$C$300=$C239))</f>
        <v>30</v>
      </c>
      <c r="O239" s="3">
        <f t="shared" si="29"/>
        <v>224921.94428730721</v>
      </c>
      <c r="P239" s="2" cm="1">
        <f t="array" ref="P239">SQRT(SUMPRODUCT(--($L$6:$L$300&lt;&gt;1),--($C$6:$C$300=$C239),$E$6:$E$300,$O$6:$O$300)/((N239-1)*SUMPRODUCT(--($L$6:$L$300&lt;&gt;1),--($C$6:$C$300=$C239),$E$6:$E$300)/N239))</f>
        <v>674.7030311525026</v>
      </c>
      <c r="Q239" s="2">
        <f t="shared" si="23"/>
        <v>-33.899142204966552</v>
      </c>
      <c r="R239" s="2">
        <f t="shared" si="23"/>
        <v>1695.4343094973879</v>
      </c>
      <c r="S239" s="2">
        <f t="shared" si="30"/>
        <v>1305.026947588882</v>
      </c>
    </row>
    <row r="240" spans="2:19" x14ac:dyDescent="0.3">
      <c r="B240">
        <v>516</v>
      </c>
      <c r="C240" s="35">
        <v>9</v>
      </c>
      <c r="D240" s="32" t="s">
        <v>268</v>
      </c>
      <c r="E240" s="125">
        <f>INDEX('Revised 2019 Lockdown'!H$5:H$257,MATCH(B240,'Revised 2019 Lockdown'!B$5:B$257,0))</f>
        <v>310.85525259616531</v>
      </c>
      <c r="F240" s="7">
        <f>INDEX('Revised 2019 Lockdown'!E$5:E$257,MATCH(B240,'Revised 2019 Lockdown'!B$5:B$257,0))</f>
        <v>161888.84</v>
      </c>
      <c r="G240" s="7">
        <f>INDEX('Revised 2019 Lockdown'!F$5:F$257,MATCH(B240,'Revised 2019 Lockdown'!B$5:B$257,0))</f>
        <v>144.16</v>
      </c>
      <c r="H240" s="7">
        <f t="shared" si="25"/>
        <v>161744.68</v>
      </c>
      <c r="I240" s="6">
        <f t="shared" si="26"/>
        <v>520.32152794318029</v>
      </c>
      <c r="J240" s="6">
        <f t="shared" si="27"/>
        <v>520.32152794318029</v>
      </c>
      <c r="K240" s="5">
        <f t="shared" si="28"/>
        <v>161744.68</v>
      </c>
      <c r="L240" s="4">
        <f t="shared" si="24"/>
        <v>0</v>
      </c>
      <c r="M240" s="2" cm="1">
        <f t="array" ref="M240">SUMPRODUCT(--($L$6:$L$300&lt;&gt;1),--($C$6:$C$300=$C240),$H$6:$H$300)/SUMPRODUCT(--($L$6:$L$300&lt;&gt;1),--($C$6:$C$300=$C240),$E$6:$E$300)</f>
        <v>830.7675836462106</v>
      </c>
      <c r="N240" s="1" cm="1">
        <f t="array" ref="N240">SUMPRODUCT(--($L$6:$L$300&lt;&gt;1),--($C$6:$C$300=$C240))</f>
        <v>30</v>
      </c>
      <c r="O240" s="3">
        <f t="shared" si="29"/>
        <v>96376.753501568994</v>
      </c>
      <c r="P240" s="2" cm="1">
        <f t="array" ref="P240">SQRT(SUMPRODUCT(--($L$6:$L$300&lt;&gt;1),--($C$6:$C$300=$C240),$E$6:$E$300,$O$6:$O$300)/((N240-1)*SUMPRODUCT(--($L$6:$L$300&lt;&gt;1),--($C$6:$C$300=$C240),$E$6:$E$300)/N240))</f>
        <v>674.7030311525026</v>
      </c>
      <c r="Q240" s="2">
        <f t="shared" si="23"/>
        <v>-33.899142204966552</v>
      </c>
      <c r="R240" s="2">
        <f t="shared" si="23"/>
        <v>1695.4343094973879</v>
      </c>
      <c r="S240" s="2">
        <f t="shared" si="30"/>
        <v>520.32152794318029</v>
      </c>
    </row>
    <row r="241" spans="2:26" x14ac:dyDescent="0.3">
      <c r="B241">
        <v>521</v>
      </c>
      <c r="C241" s="35">
        <v>9</v>
      </c>
      <c r="D241" s="32" t="s">
        <v>269</v>
      </c>
      <c r="E241" s="125">
        <f>INDEX('Revised 2019 Lockdown'!H$5:H$257,MATCH(B241,'Revised 2019 Lockdown'!B$5:B$257,0))</f>
        <v>125.15814085387638</v>
      </c>
      <c r="F241" s="7">
        <f>INDEX('Revised 2019 Lockdown'!E$5:E$257,MATCH(B241,'Revised 2019 Lockdown'!B$5:B$257,0))</f>
        <v>379162.42</v>
      </c>
      <c r="G241" s="7">
        <f>INDEX('Revised 2019 Lockdown'!F$5:F$257,MATCH(B241,'Revised 2019 Lockdown'!B$5:B$257,0))</f>
        <v>79.650000000000006</v>
      </c>
      <c r="H241" s="7">
        <f t="shared" si="25"/>
        <v>379082.76999999996</v>
      </c>
      <c r="I241" s="6">
        <f t="shared" si="26"/>
        <v>3028.8303055139149</v>
      </c>
      <c r="J241" s="6">
        <f t="shared" si="27"/>
        <v>1695.4343094973879</v>
      </c>
      <c r="K241" s="5">
        <f t="shared" si="28"/>
        <v>212197.40611656872</v>
      </c>
      <c r="L241" s="4">
        <f t="shared" ref="L241:L249" si="31">IF(ISERROR(I241),1,0)</f>
        <v>0</v>
      </c>
      <c r="M241" s="2" cm="1">
        <f t="array" ref="M241">SUMPRODUCT(--($L$6:$L$300&lt;&gt;1),--($C$6:$C$300=$C241),$H$6:$H$300)/SUMPRODUCT(--($L$6:$L$300&lt;&gt;1),--($C$6:$C$300=$C241),$E$6:$E$300)</f>
        <v>830.7675836462106</v>
      </c>
      <c r="N241" s="1" cm="1">
        <f t="array" ref="N241">SUMPRODUCT(--($L$6:$L$300&lt;&gt;1),--($C$6:$C$300=$C241))</f>
        <v>30</v>
      </c>
      <c r="O241" s="3">
        <f t="shared" si="29"/>
        <v>4831479.7292644624</v>
      </c>
      <c r="P241" s="2" cm="1">
        <f t="array" ref="P241">SQRT(SUMPRODUCT(--($L$6:$L$300&lt;&gt;1),--($C$6:$C$300=$C241),$E$6:$E$300,$O$6:$O$300)/((N241-1)*SUMPRODUCT(--($L$6:$L$300&lt;&gt;1),--($C$6:$C$300=$C241),$E$6:$E$300)/N241))</f>
        <v>674.7030311525026</v>
      </c>
      <c r="Q241" s="2">
        <f t="shared" si="23"/>
        <v>-33.899142204966552</v>
      </c>
      <c r="R241" s="2">
        <f t="shared" si="23"/>
        <v>1695.4343094973879</v>
      </c>
      <c r="S241" s="2">
        <f t="shared" si="30"/>
        <v>1695.4343094973879</v>
      </c>
    </row>
    <row r="242" spans="2:26" x14ac:dyDescent="0.3">
      <c r="B242">
        <v>522</v>
      </c>
      <c r="C242" s="35">
        <v>9</v>
      </c>
      <c r="D242" s="32" t="s">
        <v>270</v>
      </c>
      <c r="E242" s="125">
        <f>INDEX('Revised 2019 Lockdown'!H$5:H$257,MATCH(B242,'Revised 2019 Lockdown'!B$5:B$257,0))</f>
        <v>76.169540800285816</v>
      </c>
      <c r="F242" s="7">
        <f>INDEX('Revised 2019 Lockdown'!E$5:E$257,MATCH(B242,'Revised 2019 Lockdown'!B$5:B$257,0))</f>
        <v>123348.86</v>
      </c>
      <c r="G242" s="7">
        <f>INDEX('Revised 2019 Lockdown'!F$5:F$257,MATCH(B242,'Revised 2019 Lockdown'!B$5:B$257,0))</f>
        <v>84</v>
      </c>
      <c r="H242" s="7">
        <f t="shared" si="25"/>
        <v>123264.86</v>
      </c>
      <c r="I242" s="6">
        <f t="shared" si="26"/>
        <v>1618.2959580023812</v>
      </c>
      <c r="J242" s="6">
        <f t="shared" si="27"/>
        <v>1618.2959580023812</v>
      </c>
      <c r="K242" s="5">
        <f t="shared" si="28"/>
        <v>123264.86</v>
      </c>
      <c r="L242" s="4">
        <f t="shared" si="31"/>
        <v>0</v>
      </c>
      <c r="M242" s="2" cm="1">
        <f t="array" ref="M242">SUMPRODUCT(--($L$6:$L$300&lt;&gt;1),--($C$6:$C$300=$C242),$H$6:$H$300)/SUMPRODUCT(--($L$6:$L$300&lt;&gt;1),--($C$6:$C$300=$C242),$E$6:$E$300)</f>
        <v>830.7675836462106</v>
      </c>
      <c r="N242" s="1" cm="1">
        <f t="array" ref="N242">SUMPRODUCT(--($L$6:$L$300&lt;&gt;1),--($C$6:$C$300=$C242))</f>
        <v>30</v>
      </c>
      <c r="O242" s="3">
        <f t="shared" si="29"/>
        <v>620200.94041607284</v>
      </c>
      <c r="P242" s="2" cm="1">
        <f t="array" ref="P242">SQRT(SUMPRODUCT(--($L$6:$L$300&lt;&gt;1),--($C$6:$C$300=$C242),$E$6:$E$300,$O$6:$O$300)/((N242-1)*SUMPRODUCT(--($L$6:$L$300&lt;&gt;1),--($C$6:$C$300=$C242),$E$6:$E$300)/N242))</f>
        <v>674.7030311525026</v>
      </c>
      <c r="Q242" s="2">
        <f t="shared" si="23"/>
        <v>-33.899142204966552</v>
      </c>
      <c r="R242" s="2">
        <f t="shared" si="23"/>
        <v>1695.4343094973879</v>
      </c>
      <c r="S242" s="2">
        <f t="shared" si="30"/>
        <v>1618.2959580023812</v>
      </c>
    </row>
    <row r="243" spans="2:26" x14ac:dyDescent="0.3">
      <c r="B243">
        <v>523</v>
      </c>
      <c r="C243" s="35">
        <v>9</v>
      </c>
      <c r="D243" s="32" t="s">
        <v>271</v>
      </c>
      <c r="E243" s="125">
        <f>INDEX('Revised 2019 Lockdown'!H$5:H$257,MATCH(B243,'Revised 2019 Lockdown'!B$5:B$257,0))</f>
        <v>698.36058335715143</v>
      </c>
      <c r="F243" s="7">
        <f>INDEX('Revised 2019 Lockdown'!E$5:E$257,MATCH(B243,'Revised 2019 Lockdown'!B$5:B$257,0))</f>
        <v>315458.90999999997</v>
      </c>
      <c r="G243" s="7">
        <f>INDEX('Revised 2019 Lockdown'!F$5:F$257,MATCH(B243,'Revised 2019 Lockdown'!B$5:B$257,0))</f>
        <v>856.49</v>
      </c>
      <c r="H243" s="7">
        <f t="shared" si="25"/>
        <v>314602.42</v>
      </c>
      <c r="I243" s="6">
        <f t="shared" si="26"/>
        <v>450.48708002339799</v>
      </c>
      <c r="J243" s="6">
        <f t="shared" si="27"/>
        <v>450.48708002339799</v>
      </c>
      <c r="K243" s="5">
        <f t="shared" si="28"/>
        <v>314602.42</v>
      </c>
      <c r="L243" s="4">
        <f t="shared" si="31"/>
        <v>0</v>
      </c>
      <c r="M243" s="2" cm="1">
        <f t="array" ref="M243">SUMPRODUCT(--($L$6:$L$300&lt;&gt;1),--($C$6:$C$300=$C243),$H$6:$H$300)/SUMPRODUCT(--($L$6:$L$300&lt;&gt;1),--($C$6:$C$300=$C243),$E$6:$E$300)</f>
        <v>830.7675836462106</v>
      </c>
      <c r="N243" s="1" cm="1">
        <f t="array" ref="N243">SUMPRODUCT(--($L$6:$L$300&lt;&gt;1),--($C$6:$C$300=$C243))</f>
        <v>30</v>
      </c>
      <c r="O243" s="3">
        <f t="shared" si="29"/>
        <v>144613.26143561999</v>
      </c>
      <c r="P243" s="2" cm="1">
        <f t="array" ref="P243">SQRT(SUMPRODUCT(--($L$6:$L$300&lt;&gt;1),--($C$6:$C$300=$C243),$E$6:$E$300,$O$6:$O$300)/((N243-1)*SUMPRODUCT(--($L$6:$L$300&lt;&gt;1),--($C$6:$C$300=$C243),$E$6:$E$300)/N243))</f>
        <v>674.7030311525026</v>
      </c>
      <c r="Q243" s="2">
        <f t="shared" ref="Q243:R258" si="32">NORMINV(Q$4,$M243,$P243)</f>
        <v>-33.899142204966552</v>
      </c>
      <c r="R243" s="2">
        <f t="shared" si="32"/>
        <v>1695.4343094973879</v>
      </c>
      <c r="S243" s="2">
        <f t="shared" si="30"/>
        <v>450.48708002339799</v>
      </c>
    </row>
    <row r="244" spans="2:26" x14ac:dyDescent="0.3">
      <c r="B244" s="27">
        <v>527</v>
      </c>
      <c r="C244" s="27">
        <v>9</v>
      </c>
      <c r="D244" s="32" t="s">
        <v>272</v>
      </c>
      <c r="E244" s="125">
        <f>INDEX('Revised 2019 Lockdown'!H$5:H$257,MATCH(B244,'Revised 2019 Lockdown'!B$5:B$257,0))</f>
        <v>153.26520815767537</v>
      </c>
      <c r="F244" s="7">
        <f>INDEX('Revised 2019 Lockdown'!E$5:E$257,MATCH(B244,'Revised 2019 Lockdown'!B$5:B$257,0))</f>
        <v>133668.4</v>
      </c>
      <c r="G244" s="7">
        <f>INDEX('Revised 2019 Lockdown'!F$5:F$257,MATCH(B244,'Revised 2019 Lockdown'!B$5:B$257,0))</f>
        <v>150</v>
      </c>
      <c r="H244" s="7">
        <f t="shared" si="25"/>
        <v>133518.39999999999</v>
      </c>
      <c r="I244" s="6">
        <f t="shared" si="26"/>
        <v>871.15922527335522</v>
      </c>
      <c r="J244" s="6">
        <f t="shared" si="27"/>
        <v>871.15922527335522</v>
      </c>
      <c r="K244" s="5">
        <f t="shared" si="28"/>
        <v>133518.39999999999</v>
      </c>
      <c r="L244" s="4">
        <f t="shared" si="31"/>
        <v>0</v>
      </c>
      <c r="M244" s="2" cm="1">
        <f t="array" ref="M244">SUMPRODUCT(--($L$6:$L$300&lt;&gt;1),--($C$6:$C$300=$C244),$H$6:$H$300)/SUMPRODUCT(--($L$6:$L$300&lt;&gt;1),--($C$6:$C$300=$C244),$E$6:$E$300)</f>
        <v>830.7675836462106</v>
      </c>
      <c r="N244" s="1" cm="1">
        <f t="array" ref="N244">SUMPRODUCT(--($L$6:$L$300&lt;&gt;1),--($C$6:$C$300=$C244))</f>
        <v>30</v>
      </c>
      <c r="O244" s="3">
        <f t="shared" si="29"/>
        <v>1631.4847133356823</v>
      </c>
      <c r="P244" s="2" cm="1">
        <f t="array" ref="P244">SQRT(SUMPRODUCT(--($L$6:$L$300&lt;&gt;1),--($C$6:$C$300=$C244),$E$6:$E$300,$O$6:$O$300)/((N244-1)*SUMPRODUCT(--($L$6:$L$300&lt;&gt;1),--($C$6:$C$300=$C244),$E$6:$E$300)/N244))</f>
        <v>674.7030311525026</v>
      </c>
      <c r="Q244" s="2">
        <f t="shared" si="32"/>
        <v>-33.899142204966552</v>
      </c>
      <c r="R244" s="2">
        <f t="shared" si="32"/>
        <v>1695.4343094973879</v>
      </c>
      <c r="S244" s="2">
        <f t="shared" si="30"/>
        <v>871.15922527335522</v>
      </c>
    </row>
    <row r="245" spans="2:26" x14ac:dyDescent="0.3">
      <c r="B245" s="24">
        <v>543</v>
      </c>
      <c r="C245" s="35">
        <v>9</v>
      </c>
      <c r="D245" s="32" t="s">
        <v>273</v>
      </c>
      <c r="E245" s="125">
        <f>INDEX('Revised 2019 Lockdown'!H$5:H$257,MATCH(B245,'Revised 2019 Lockdown'!B$5:B$257,0))</f>
        <v>79.576987566988208</v>
      </c>
      <c r="F245" s="7">
        <f>INDEX('Revised 2019 Lockdown'!E$5:E$257,MATCH(B245,'Revised 2019 Lockdown'!B$5:B$257,0))</f>
        <v>46654.18</v>
      </c>
      <c r="G245" s="7">
        <f>INDEX('Revised 2019 Lockdown'!F$5:F$257,MATCH(B245,'Revised 2019 Lockdown'!B$5:B$257,0))</f>
        <v>0</v>
      </c>
      <c r="H245" s="7">
        <f t="shared" si="25"/>
        <v>46654.18</v>
      </c>
      <c r="I245" s="6">
        <f t="shared" si="26"/>
        <v>586.2772822447738</v>
      </c>
      <c r="J245" s="6">
        <f t="shared" si="27"/>
        <v>586.2772822447738</v>
      </c>
      <c r="K245" s="5">
        <f t="shared" si="28"/>
        <v>46654.18</v>
      </c>
      <c r="L245" s="4">
        <f t="shared" si="31"/>
        <v>0</v>
      </c>
      <c r="M245" s="2" cm="1">
        <f t="array" ref="M245">SUMPRODUCT(--($L$6:$L$300&lt;&gt;1),--($C$6:$C$300=$C245),$H$6:$H$300)/SUMPRODUCT(--($L$6:$L$300&lt;&gt;1),--($C$6:$C$300=$C245),$E$6:$E$300)</f>
        <v>830.7675836462106</v>
      </c>
      <c r="N245" s="1" cm="1">
        <f t="array" ref="N245">SUMPRODUCT(--($L$6:$L$300&lt;&gt;1),--($C$6:$C$300=$C245))</f>
        <v>30</v>
      </c>
      <c r="O245" s="3">
        <f t="shared" si="29"/>
        <v>59775.507479365406</v>
      </c>
      <c r="P245" s="2" cm="1">
        <f t="array" ref="P245">SQRT(SUMPRODUCT(--($L$6:$L$300&lt;&gt;1),--($C$6:$C$300=$C245),$E$6:$E$300,$O$6:$O$300)/((N245-1)*SUMPRODUCT(--($L$6:$L$300&lt;&gt;1),--($C$6:$C$300=$C245),$E$6:$E$300)/N245))</f>
        <v>674.7030311525026</v>
      </c>
      <c r="Q245" s="2">
        <f t="shared" si="32"/>
        <v>-33.899142204966552</v>
      </c>
      <c r="R245" s="2">
        <f t="shared" si="32"/>
        <v>1695.4343094973879</v>
      </c>
      <c r="S245" s="2">
        <f t="shared" si="30"/>
        <v>586.2772822447738</v>
      </c>
    </row>
    <row r="246" spans="2:26" x14ac:dyDescent="0.3">
      <c r="B246" s="24">
        <v>547</v>
      </c>
      <c r="C246" s="35">
        <v>9</v>
      </c>
      <c r="D246" s="32" t="s">
        <v>274</v>
      </c>
      <c r="E246" s="125">
        <f>INDEX('Revised 2019 Lockdown'!H$5:H$257,MATCH(B246,'Revised 2019 Lockdown'!B$5:B$257,0))</f>
        <v>219.72789419435514</v>
      </c>
      <c r="F246" s="7">
        <f>INDEX('Revised 2019 Lockdown'!E$5:E$257,MATCH(B246,'Revised 2019 Lockdown'!B$5:B$257,0))</f>
        <v>122138.68</v>
      </c>
      <c r="G246" s="7">
        <f>INDEX('Revised 2019 Lockdown'!F$5:F$257,MATCH(B246,'Revised 2019 Lockdown'!B$5:B$257,0))</f>
        <v>0</v>
      </c>
      <c r="H246" s="7">
        <f t="shared" si="25"/>
        <v>122138.68</v>
      </c>
      <c r="I246" s="6">
        <f t="shared" ref="I246:I254" si="33">H246/E246</f>
        <v>555.8633347296593</v>
      </c>
      <c r="J246" s="6">
        <f t="shared" ref="J246:J254" si="34">IF(ISERROR(IF($J$2=1,MAX(MIN(I246,R246),Q246),MIN(I246,R246))),R246,IF($J$2=1,MAX(MIN(I246,R246),Q246),MIN(I246,R246)))</f>
        <v>555.8633347296593</v>
      </c>
      <c r="K246" s="5">
        <f t="shared" ref="K246:K254" si="35">J246*E246</f>
        <v>122138.68</v>
      </c>
      <c r="L246" s="4">
        <f t="shared" si="31"/>
        <v>0</v>
      </c>
      <c r="M246" s="2" cm="1">
        <f t="array" ref="M246">SUMPRODUCT(--($L$6:$L$300&lt;&gt;1),--($C$6:$C$300=$C246),$H$6:$H$300)/SUMPRODUCT(--($L$6:$L$300&lt;&gt;1),--($C$6:$C$300=$C246),$E$6:$E$300)</f>
        <v>830.7675836462106</v>
      </c>
      <c r="N246" s="1" cm="1">
        <f t="array" ref="N246">SUMPRODUCT(--($L$6:$L$300&lt;&gt;1),--($C$6:$C$300=$C246))</f>
        <v>30</v>
      </c>
      <c r="O246" s="3">
        <f t="shared" si="29"/>
        <v>75572.346072373199</v>
      </c>
      <c r="P246" s="2" cm="1">
        <f t="array" ref="P246">SQRT(SUMPRODUCT(--($L$6:$L$300&lt;&gt;1),--($C$6:$C$300=$C246),$E$6:$E$300,$O$6:$O$300)/((N246-1)*SUMPRODUCT(--($L$6:$L$300&lt;&gt;1),--($C$6:$C$300=$C246),$E$6:$E$300)/N246))</f>
        <v>674.7030311525026</v>
      </c>
      <c r="Q246" s="2">
        <f t="shared" si="32"/>
        <v>-33.899142204966552</v>
      </c>
      <c r="R246" s="2">
        <f t="shared" si="32"/>
        <v>1695.4343094973879</v>
      </c>
      <c r="S246" s="2">
        <f t="shared" si="30"/>
        <v>555.8633347296593</v>
      </c>
    </row>
    <row r="247" spans="2:26" x14ac:dyDescent="0.3">
      <c r="B247" s="24">
        <v>550</v>
      </c>
      <c r="C247" s="35">
        <v>9</v>
      </c>
      <c r="D247" s="32" t="s">
        <v>181</v>
      </c>
      <c r="E247" s="125">
        <f>INDEX('Revised 2019 Lockdown'!H$5:H$257,MATCH(B247,'Revised 2019 Lockdown'!B$5:B$257,0))</f>
        <v>242.01</v>
      </c>
      <c r="F247" s="7">
        <f>INDEX('Revised 2019 Lockdown'!E$5:E$257,MATCH(B247,'Revised 2019 Lockdown'!B$5:B$257,0))</f>
        <v>463950.3</v>
      </c>
      <c r="G247" s="7">
        <f>INDEX('Revised 2019 Lockdown'!F$5:F$257,MATCH(B247,'Revised 2019 Lockdown'!B$5:B$257,0))</f>
        <v>1281.74</v>
      </c>
      <c r="H247" s="7">
        <f t="shared" si="25"/>
        <v>462668.56</v>
      </c>
      <c r="I247" s="6">
        <f t="shared" si="33"/>
        <v>1911.7745547704642</v>
      </c>
      <c r="J247" s="6">
        <f t="shared" si="34"/>
        <v>1695.4343094973879</v>
      </c>
      <c r="K247" s="5">
        <f t="shared" si="35"/>
        <v>410312.05724146281</v>
      </c>
      <c r="L247" s="4">
        <f t="shared" si="31"/>
        <v>0</v>
      </c>
      <c r="M247" s="2" cm="1">
        <f t="array" ref="M247">SUMPRODUCT(--($L$6:$L$300&lt;&gt;1),--($C$6:$C$300=$C247),$H$6:$H$300)/SUMPRODUCT(--($L$6:$L$300&lt;&gt;1),--($C$6:$C$300=$C247),$E$6:$E$300)</f>
        <v>830.7675836462106</v>
      </c>
      <c r="N247" s="1" cm="1">
        <f t="array" ref="N247">SUMPRODUCT(--($L$6:$L$300&lt;&gt;1),--($C$6:$C$300=$C247))</f>
        <v>30</v>
      </c>
      <c r="O247" s="3">
        <f t="shared" si="29"/>
        <v>1168576.0716192329</v>
      </c>
      <c r="P247" s="2" cm="1">
        <f t="array" ref="P247">SQRT(SUMPRODUCT(--($L$6:$L$300&lt;&gt;1),--($C$6:$C$300=$C247),$E$6:$E$300,$O$6:$O$300)/((N247-1)*SUMPRODUCT(--($L$6:$L$300&lt;&gt;1),--($C$6:$C$300=$C247),$E$6:$E$300)/N247))</f>
        <v>674.7030311525026</v>
      </c>
      <c r="Q247" s="2">
        <f t="shared" si="32"/>
        <v>-33.899142204966552</v>
      </c>
      <c r="R247" s="2">
        <f t="shared" si="32"/>
        <v>1695.4343094973879</v>
      </c>
      <c r="S247" s="2">
        <f t="shared" si="30"/>
        <v>1695.4343094973879</v>
      </c>
    </row>
    <row r="248" spans="2:26" x14ac:dyDescent="0.3">
      <c r="B248" s="24">
        <v>552</v>
      </c>
      <c r="C248" s="35">
        <v>9</v>
      </c>
      <c r="D248" s="32" t="s">
        <v>275</v>
      </c>
      <c r="E248" s="125">
        <f>INDEX('Revised 2019 Lockdown'!H$5:H$257,MATCH(B248,'Revised 2019 Lockdown'!B$5:B$257,0))</f>
        <v>122.80000000000001</v>
      </c>
      <c r="F248" s="7">
        <f>INDEX('Revised 2019 Lockdown'!E$5:E$257,MATCH(B248,'Revised 2019 Lockdown'!B$5:B$257,0))</f>
        <v>142363.06</v>
      </c>
      <c r="G248" s="7">
        <f>INDEX('Revised 2019 Lockdown'!F$5:F$257,MATCH(B248,'Revised 2019 Lockdown'!B$5:B$257,0))</f>
        <v>0</v>
      </c>
      <c r="H248" s="7">
        <f t="shared" si="25"/>
        <v>142363.06</v>
      </c>
      <c r="I248" s="6">
        <f t="shared" si="33"/>
        <v>1159.3083061889249</v>
      </c>
      <c r="J248" s="6">
        <f t="shared" si="34"/>
        <v>1159.3083061889249</v>
      </c>
      <c r="K248" s="5">
        <f t="shared" si="35"/>
        <v>142363.06</v>
      </c>
      <c r="L248" s="4">
        <f t="shared" si="31"/>
        <v>0</v>
      </c>
      <c r="M248" s="2" cm="1">
        <f t="array" ref="M248">SUMPRODUCT(--($L$6:$L$300&lt;&gt;1),--($C$6:$C$300=$C248),$H$6:$H$300)/SUMPRODUCT(--($L$6:$L$300&lt;&gt;1),--($C$6:$C$300=$C248),$E$6:$E$300)</f>
        <v>830.7675836462106</v>
      </c>
      <c r="N248" s="1" cm="1">
        <f t="array" ref="N248">SUMPRODUCT(--($L$6:$L$300&lt;&gt;1),--($C$6:$C$300=$C248))</f>
        <v>30</v>
      </c>
      <c r="O248" s="3">
        <f t="shared" si="29"/>
        <v>107939.00636888879</v>
      </c>
      <c r="P248" s="2" cm="1">
        <f t="array" ref="P248">SQRT(SUMPRODUCT(--($L$6:$L$300&lt;&gt;1),--($C$6:$C$300=$C248),$E$6:$E$300,$O$6:$O$300)/((N248-1)*SUMPRODUCT(--($L$6:$L$300&lt;&gt;1),--($C$6:$C$300=$C248),$E$6:$E$300)/N248))</f>
        <v>674.7030311525026</v>
      </c>
      <c r="Q248" s="2">
        <f t="shared" si="32"/>
        <v>-33.899142204966552</v>
      </c>
      <c r="R248" s="2">
        <f t="shared" si="32"/>
        <v>1695.4343094973879</v>
      </c>
      <c r="S248" s="2">
        <f t="shared" si="30"/>
        <v>1159.3083061889249</v>
      </c>
    </row>
    <row r="249" spans="2:26" x14ac:dyDescent="0.3">
      <c r="B249" s="24">
        <v>567</v>
      </c>
      <c r="C249" s="35">
        <v>9</v>
      </c>
      <c r="D249" s="32" t="s">
        <v>276</v>
      </c>
      <c r="E249" s="125">
        <f>INDEX('Revised 2019 Lockdown'!H$5:H$257,MATCH(B249,'Revised 2019 Lockdown'!B$5:B$257,0))</f>
        <v>359.29341894128856</v>
      </c>
      <c r="F249" s="7">
        <f>INDEX('Revised 2019 Lockdown'!E$5:E$257,MATCH(B249,'Revised 2019 Lockdown'!B$5:B$257,0))</f>
        <v>233157.95</v>
      </c>
      <c r="G249" s="7">
        <f>INDEX('Revised 2019 Lockdown'!F$5:F$257,MATCH(B249,'Revised 2019 Lockdown'!B$5:B$257,0))</f>
        <v>0</v>
      </c>
      <c r="H249" s="7">
        <f t="shared" si="25"/>
        <v>233157.95</v>
      </c>
      <c r="I249" s="6">
        <f t="shared" si="33"/>
        <v>648.93465259406798</v>
      </c>
      <c r="J249" s="6">
        <f t="shared" si="34"/>
        <v>648.93465259406798</v>
      </c>
      <c r="K249" s="5">
        <f t="shared" si="35"/>
        <v>233157.95</v>
      </c>
      <c r="L249" s="4">
        <f t="shared" si="31"/>
        <v>0</v>
      </c>
      <c r="M249" s="2" cm="1">
        <f t="array" ref="M249">SUMPRODUCT(--($L$6:$L$300&lt;&gt;1),--($C$6:$C$300=$C249),$H$6:$H$300)/SUMPRODUCT(--($L$6:$L$300&lt;&gt;1),--($C$6:$C$300=$C249),$E$6:$E$300)</f>
        <v>830.7675836462106</v>
      </c>
      <c r="N249" s="1" cm="1">
        <f t="array" ref="N249">SUMPRODUCT(--($L$6:$L$300&lt;&gt;1),--($C$6:$C$300=$C249))</f>
        <v>30</v>
      </c>
      <c r="O249" s="3">
        <f t="shared" si="29"/>
        <v>33063.214815013249</v>
      </c>
      <c r="P249" s="2" cm="1">
        <f t="array" ref="P249">SQRT(SUMPRODUCT(--($L$6:$L$300&lt;&gt;1),--($C$6:$C$300=$C249),$E$6:$E$300,$O$6:$O$300)/((N249-1)*SUMPRODUCT(--($L$6:$L$300&lt;&gt;1),--($C$6:$C$300=$C249),$E$6:$E$300)/N249))</f>
        <v>674.7030311525026</v>
      </c>
      <c r="Q249" s="2">
        <f t="shared" si="32"/>
        <v>-33.899142204966552</v>
      </c>
      <c r="R249" s="2">
        <f t="shared" si="32"/>
        <v>1695.4343094973879</v>
      </c>
      <c r="S249" s="2">
        <f t="shared" si="30"/>
        <v>648.93465259406798</v>
      </c>
    </row>
    <row r="250" spans="2:26" x14ac:dyDescent="0.3">
      <c r="B250" s="24">
        <v>629</v>
      </c>
      <c r="C250" s="35">
        <v>9</v>
      </c>
      <c r="D250" s="32" t="s">
        <v>277</v>
      </c>
      <c r="E250" s="125">
        <f>INDEX('Revised 2019 Lockdown'!H$5:H$257,MATCH(B250,'Revised 2019 Lockdown'!B$5:B$257,0))</f>
        <v>239.08999999999997</v>
      </c>
      <c r="F250" s="7">
        <f>INDEX('Revised 2019 Lockdown'!E$5:E$257,MATCH(B250,'Revised 2019 Lockdown'!B$5:B$257,0))</f>
        <v>172741.52</v>
      </c>
      <c r="G250" s="7">
        <f>INDEX('Revised 2019 Lockdown'!F$5:F$257,MATCH(B250,'Revised 2019 Lockdown'!B$5:B$257,0))</f>
        <v>3864.35</v>
      </c>
      <c r="H250" s="7">
        <f t="shared" ref="H250:H258" si="36">F250-G250</f>
        <v>168877.16999999998</v>
      </c>
      <c r="I250" s="6">
        <f t="shared" si="33"/>
        <v>706.33305449830607</v>
      </c>
      <c r="J250" s="6">
        <f t="shared" si="34"/>
        <v>706.33305449830607</v>
      </c>
      <c r="K250" s="5">
        <f t="shared" si="35"/>
        <v>168877.16999999998</v>
      </c>
      <c r="L250" s="4">
        <f t="shared" ref="L250:L258" si="37">IF(ISERROR(I250),1,0)</f>
        <v>0</v>
      </c>
      <c r="M250" s="2" cm="1">
        <f t="array" ref="M250">SUMPRODUCT(--($L$6:$L$300&lt;&gt;1),--($C$6:$C$300=$C250),$H$6:$H$300)/SUMPRODUCT(--($L$6:$L$300&lt;&gt;1),--($C$6:$C$300=$C250),$E$6:$E$300)</f>
        <v>830.7675836462106</v>
      </c>
      <c r="N250" s="1" cm="1">
        <f t="array" ref="N250">SUMPRODUCT(--($L$6:$L$300&lt;&gt;1),--($C$6:$C$300=$C250))</f>
        <v>30</v>
      </c>
      <c r="O250" s="3">
        <f t="shared" si="29"/>
        <v>15483.952044260701</v>
      </c>
      <c r="P250" s="2" cm="1">
        <f t="array" ref="P250">SQRT(SUMPRODUCT(--($L$6:$L$300&lt;&gt;1),--($C$6:$C$300=$C250),$E$6:$E$300,$O$6:$O$300)/((N250-1)*SUMPRODUCT(--($L$6:$L$300&lt;&gt;1),--($C$6:$C$300=$C250),$E$6:$E$300)/N250))</f>
        <v>674.7030311525026</v>
      </c>
      <c r="Q250" s="2">
        <f t="shared" si="32"/>
        <v>-33.899142204966552</v>
      </c>
      <c r="R250" s="2">
        <f t="shared" si="32"/>
        <v>1695.4343094973879</v>
      </c>
      <c r="S250" s="2">
        <f t="shared" si="30"/>
        <v>706.33305449830607</v>
      </c>
    </row>
    <row r="251" spans="2:26" x14ac:dyDescent="0.3">
      <c r="B251" s="24">
        <v>630</v>
      </c>
      <c r="C251" s="35">
        <v>9</v>
      </c>
      <c r="D251" s="32" t="s">
        <v>278</v>
      </c>
      <c r="E251" s="125">
        <f>INDEX('Revised 2019 Lockdown'!H$5:H$257,MATCH(B251,'Revised 2019 Lockdown'!B$5:B$257,0))</f>
        <v>168.82</v>
      </c>
      <c r="F251" s="7">
        <f>INDEX('Revised 2019 Lockdown'!E$5:E$257,MATCH(B251,'Revised 2019 Lockdown'!B$5:B$257,0))</f>
        <v>241664.73</v>
      </c>
      <c r="G251" s="7">
        <f>INDEX('Revised 2019 Lockdown'!F$5:F$257,MATCH(B251,'Revised 2019 Lockdown'!B$5:B$257,0))</f>
        <v>2804.11</v>
      </c>
      <c r="H251" s="7">
        <f t="shared" si="36"/>
        <v>238860.62000000002</v>
      </c>
      <c r="I251" s="6">
        <f t="shared" si="33"/>
        <v>1414.8834261343445</v>
      </c>
      <c r="J251" s="6">
        <f t="shared" si="34"/>
        <v>1414.8834261343445</v>
      </c>
      <c r="K251" s="5">
        <f t="shared" si="35"/>
        <v>238860.62000000002</v>
      </c>
      <c r="L251" s="4">
        <f t="shared" si="37"/>
        <v>0</v>
      </c>
      <c r="M251" s="2" cm="1">
        <f t="array" ref="M251">SUMPRODUCT(--($L$6:$L$300&lt;&gt;1),--($C$6:$C$300=$C251),$H$6:$H$300)/SUMPRODUCT(--($L$6:$L$300&lt;&gt;1),--($C$6:$C$300=$C251),$E$6:$E$300)</f>
        <v>830.7675836462106</v>
      </c>
      <c r="N251" s="1" cm="1">
        <f t="array" ref="N251">SUMPRODUCT(--($L$6:$L$300&lt;&gt;1),--($C$6:$C$300=$C251))</f>
        <v>30</v>
      </c>
      <c r="O251" s="3">
        <f t="shared" si="29"/>
        <v>341191.31744562247</v>
      </c>
      <c r="P251" s="2" cm="1">
        <f t="array" ref="P251">SQRT(SUMPRODUCT(--($L$6:$L$300&lt;&gt;1),--($C$6:$C$300=$C251),$E$6:$E$300,$O$6:$O$300)/((N251-1)*SUMPRODUCT(--($L$6:$L$300&lt;&gt;1),--($C$6:$C$300=$C251),$E$6:$E$300)/N251))</f>
        <v>674.7030311525026</v>
      </c>
      <c r="Q251" s="2">
        <f t="shared" si="32"/>
        <v>-33.899142204966552</v>
      </c>
      <c r="R251" s="2">
        <f t="shared" si="32"/>
        <v>1695.4343094973879</v>
      </c>
      <c r="S251" s="2">
        <f t="shared" si="30"/>
        <v>1414.8834261343445</v>
      </c>
    </row>
    <row r="252" spans="2:26" x14ac:dyDescent="0.3">
      <c r="B252" s="24">
        <v>771</v>
      </c>
      <c r="C252" s="35">
        <v>9</v>
      </c>
      <c r="D252" s="32" t="s">
        <v>280</v>
      </c>
      <c r="E252" s="125">
        <f>INDEX('Revised 2019 Lockdown'!H$5:H$257,MATCH(B252,'Revised 2019 Lockdown'!B$5:B$257,0))</f>
        <v>150.2159801536263</v>
      </c>
      <c r="F252" s="7">
        <f>INDEX('Revised 2019 Lockdown'!E$5:E$257,MATCH(B252,'Revised 2019 Lockdown'!B$5:B$257,0))</f>
        <v>70947.31</v>
      </c>
      <c r="G252" s="7">
        <f>INDEX('Revised 2019 Lockdown'!F$5:F$257,MATCH(B252,'Revised 2019 Lockdown'!B$5:B$257,0))</f>
        <v>0</v>
      </c>
      <c r="H252" s="7">
        <f t="shared" si="36"/>
        <v>70947.31</v>
      </c>
      <c r="I252" s="6">
        <f t="shared" si="33"/>
        <v>472.30201425601979</v>
      </c>
      <c r="J252" s="6">
        <f t="shared" si="34"/>
        <v>472.30201425601979</v>
      </c>
      <c r="K252" s="5">
        <f t="shared" si="35"/>
        <v>70947.31</v>
      </c>
      <c r="L252" s="4">
        <f t="shared" si="37"/>
        <v>0</v>
      </c>
      <c r="M252" s="2" cm="1">
        <f t="array" ref="M252">SUMPRODUCT(--($L$6:$L$300&lt;&gt;1),--($C$6:$C$300=$C252),$H$6:$H$300)/SUMPRODUCT(--($L$6:$L$300&lt;&gt;1),--($C$6:$C$300=$C252),$E$6:$E$300)</f>
        <v>830.7675836462106</v>
      </c>
      <c r="N252" s="1" cm="1">
        <f t="array" ref="N252">SUMPRODUCT(--($L$6:$L$300&lt;&gt;1),--($C$6:$C$300=$C252))</f>
        <v>30</v>
      </c>
      <c r="O252" s="3">
        <f t="shared" si="29"/>
        <v>128497.56443823371</v>
      </c>
      <c r="P252" s="2" cm="1">
        <f t="array" ref="P252">SQRT(SUMPRODUCT(--($L$6:$L$300&lt;&gt;1),--($C$6:$C$300=$C252),$E$6:$E$300,$O$6:$O$300)/((N252-1)*SUMPRODUCT(--($L$6:$L$300&lt;&gt;1),--($C$6:$C$300=$C252),$E$6:$E$300)/N252))</f>
        <v>674.7030311525026</v>
      </c>
      <c r="Q252" s="2">
        <f t="shared" si="32"/>
        <v>-33.899142204966552</v>
      </c>
      <c r="R252" s="2">
        <f t="shared" si="32"/>
        <v>1695.4343094973879</v>
      </c>
      <c r="S252" s="2">
        <f t="shared" si="30"/>
        <v>472.30201425601979</v>
      </c>
    </row>
    <row r="253" spans="2:26" x14ac:dyDescent="0.3">
      <c r="B253" s="24">
        <v>830</v>
      </c>
      <c r="C253" s="35">
        <v>9</v>
      </c>
      <c r="D253" s="32" t="s">
        <v>281</v>
      </c>
      <c r="E253" s="125">
        <f>INDEX('Revised 2019 Lockdown'!H$5:H$257,MATCH(B253,'Revised 2019 Lockdown'!B$5:B$257,0))</f>
        <v>16.12858136239133</v>
      </c>
      <c r="F253" s="7">
        <f>INDEX('Revised 2019 Lockdown'!E$5:E$257,MATCH(B253,'Revised 2019 Lockdown'!B$5:B$257,0))</f>
        <v>29445.96</v>
      </c>
      <c r="G253" s="7">
        <f>INDEX('Revised 2019 Lockdown'!F$5:F$257,MATCH(B253,'Revised 2019 Lockdown'!B$5:B$257,0))</f>
        <v>0</v>
      </c>
      <c r="H253" s="7">
        <f t="shared" si="36"/>
        <v>29445.96</v>
      </c>
      <c r="I253" s="6">
        <f t="shared" si="33"/>
        <v>1825.7005584299043</v>
      </c>
      <c r="J253" s="6">
        <f t="shared" si="34"/>
        <v>1695.4343094973879</v>
      </c>
      <c r="K253" s="5">
        <f t="shared" si="35"/>
        <v>27344.950205318382</v>
      </c>
      <c r="L253" s="4">
        <f t="shared" si="37"/>
        <v>0</v>
      </c>
      <c r="M253" s="2" cm="1">
        <f t="array" ref="M253">SUMPRODUCT(--($L$6:$L$300&lt;&gt;1),--($C$6:$C$300=$C253),$H$6:$H$300)/SUMPRODUCT(--($L$6:$L$300&lt;&gt;1),--($C$6:$C$300=$C253),$E$6:$E$300)</f>
        <v>830.7675836462106</v>
      </c>
      <c r="N253" s="1" cm="1">
        <f t="array" ref="N253">SUMPRODUCT(--($L$6:$L$300&lt;&gt;1),--($C$6:$C$300=$C253))</f>
        <v>30</v>
      </c>
      <c r="O253" s="3">
        <f t="shared" si="29"/>
        <v>989891.62431193003</v>
      </c>
      <c r="P253" s="2" cm="1">
        <f t="array" ref="P253">SQRT(SUMPRODUCT(--($L$6:$L$300&lt;&gt;1),--($C$6:$C$300=$C253),$E$6:$E$300,$O$6:$O$300)/((N253-1)*SUMPRODUCT(--($L$6:$L$300&lt;&gt;1),--($C$6:$C$300=$C253),$E$6:$E$300)/N253))</f>
        <v>674.7030311525026</v>
      </c>
      <c r="Q253" s="2">
        <f t="shared" si="32"/>
        <v>-33.899142204966552</v>
      </c>
      <c r="R253" s="2">
        <f t="shared" si="32"/>
        <v>1695.4343094973879</v>
      </c>
      <c r="S253" s="2">
        <f t="shared" si="30"/>
        <v>1695.4343094973879</v>
      </c>
    </row>
    <row r="254" spans="2:26" x14ac:dyDescent="0.3">
      <c r="B254" s="24">
        <v>936</v>
      </c>
      <c r="C254" s="35">
        <v>9</v>
      </c>
      <c r="D254" s="32" t="s">
        <v>282</v>
      </c>
      <c r="E254" s="125">
        <f>INDEX('Revised 2019 Lockdown'!H$5:H$257,MATCH(B254,'Revised 2019 Lockdown'!B$5:B$257,0))</f>
        <v>40.443772007859948</v>
      </c>
      <c r="F254" s="7">
        <f>INDEX('Revised 2019 Lockdown'!E$5:E$257,MATCH(B254,'Revised 2019 Lockdown'!B$5:B$257,0))</f>
        <v>72884.08</v>
      </c>
      <c r="G254" s="7">
        <f>INDEX('Revised 2019 Lockdown'!F$5:F$257,MATCH(B254,'Revised 2019 Lockdown'!B$5:B$257,0))</f>
        <v>0</v>
      </c>
      <c r="H254" s="7">
        <f t="shared" si="36"/>
        <v>72884.08</v>
      </c>
      <c r="I254" s="6">
        <f t="shared" si="33"/>
        <v>1802.1088632839567</v>
      </c>
      <c r="J254" s="6">
        <f t="shared" si="34"/>
        <v>1695.4343094973879</v>
      </c>
      <c r="K254" s="5">
        <f t="shared" si="35"/>
        <v>68569.75866761581</v>
      </c>
      <c r="L254" s="4">
        <f t="shared" si="37"/>
        <v>0</v>
      </c>
      <c r="M254" s="2" cm="1">
        <f t="array" ref="M254">SUMPRODUCT(--($L$6:$L$300&lt;&gt;1),--($C$6:$C$300=$C254),$H$6:$H$300)/SUMPRODUCT(--($L$6:$L$300&lt;&gt;1),--($C$6:$C$300=$C254),$E$6:$E$300)</f>
        <v>830.7675836462106</v>
      </c>
      <c r="N254" s="1" cm="1">
        <f t="array" ref="N254">SUMPRODUCT(--($L$6:$L$300&lt;&gt;1),--($C$6:$C$300=$C254))</f>
        <v>30</v>
      </c>
      <c r="O254" s="3">
        <f t="shared" si="29"/>
        <v>943503.88152829406</v>
      </c>
      <c r="P254" s="2" cm="1">
        <f t="array" ref="P254">SQRT(SUMPRODUCT(--($L$6:$L$300&lt;&gt;1),--($C$6:$C$300=$C254),$E$6:$E$300,$O$6:$O$300)/((N254-1)*SUMPRODUCT(--($L$6:$L$300&lt;&gt;1),--($C$6:$C$300=$C254),$E$6:$E$300)/N254))</f>
        <v>674.7030311525026</v>
      </c>
      <c r="Q254" s="2">
        <f t="shared" si="32"/>
        <v>-33.899142204966552</v>
      </c>
      <c r="R254" s="2">
        <f t="shared" si="32"/>
        <v>1695.4343094973879</v>
      </c>
      <c r="S254" s="2">
        <f t="shared" si="30"/>
        <v>1695.4343094973879</v>
      </c>
    </row>
    <row r="255" spans="2:26" x14ac:dyDescent="0.3">
      <c r="B255" s="24">
        <v>952</v>
      </c>
      <c r="C255" s="35">
        <v>9</v>
      </c>
      <c r="D255" s="32" t="s">
        <v>283</v>
      </c>
      <c r="E255" s="125">
        <f>INDEX('Revised 2019 Lockdown'!H$5:H$257,MATCH(B255,'Revised 2019 Lockdown'!B$5:B$257,0))</f>
        <v>54.32</v>
      </c>
      <c r="F255" s="7">
        <f>INDEX('Revised 2019 Lockdown'!E$5:E$257,MATCH(B255,'Revised 2019 Lockdown'!B$5:B$257,0))</f>
        <v>71284.66</v>
      </c>
      <c r="G255" s="7">
        <f>INDEX('Revised 2019 Lockdown'!F$5:F$257,MATCH(B255,'Revised 2019 Lockdown'!B$5:B$257,0))</f>
        <v>1518.3</v>
      </c>
      <c r="H255" s="7">
        <f t="shared" si="36"/>
        <v>69766.36</v>
      </c>
      <c r="I255" s="6">
        <f>H255/E255</f>
        <v>1284.358615611193</v>
      </c>
      <c r="J255" s="6">
        <f>IF(ISERROR(IF($J$2=1,MAX(MIN(I255,R255),Q255),MIN(I255,R255))),R255,IF($J$2=1,MAX(MIN(I255,R255),Q255),MIN(I255,R255)))</f>
        <v>1284.358615611193</v>
      </c>
      <c r="K255" s="5">
        <f>J255*E255</f>
        <v>69766.36</v>
      </c>
      <c r="L255" s="4">
        <f t="shared" si="37"/>
        <v>0</v>
      </c>
      <c r="M255" s="2" cm="1">
        <f t="array" ref="M255">SUMPRODUCT(--($L$6:$L$300&lt;&gt;1),--($C$6:$C$300=$C255),$H$6:$H$300)/SUMPRODUCT(--($L$6:$L$300&lt;&gt;1),--($C$6:$C$300=$C255),$E$6:$E$300)</f>
        <v>830.7675836462106</v>
      </c>
      <c r="N255" s="1" cm="1">
        <f t="array" ref="N255">SUMPRODUCT(--($L$6:$L$300&lt;&gt;1),--($C$6:$C$300=$C255))</f>
        <v>30</v>
      </c>
      <c r="O255" s="3">
        <f t="shared" si="29"/>
        <v>205744.82427905774</v>
      </c>
      <c r="P255" s="2" cm="1">
        <f t="array" ref="P255">SQRT(SUMPRODUCT(--($L$6:$L$300&lt;&gt;1),--($C$6:$C$300=$C255),$E$6:$E$300,$O$6:$O$300)/((N255-1)*SUMPRODUCT(--($L$6:$L$300&lt;&gt;1),--($C$6:$C$300=$C255),$E$6:$E$300)/N255))</f>
        <v>674.7030311525026</v>
      </c>
      <c r="Q255" s="2">
        <f t="shared" si="32"/>
        <v>-33.899142204966552</v>
      </c>
      <c r="R255" s="2">
        <f t="shared" si="32"/>
        <v>1695.4343094973879</v>
      </c>
      <c r="S255" s="2">
        <f t="shared" si="30"/>
        <v>1284.358615611193</v>
      </c>
      <c r="T255" s="17"/>
      <c r="U255" s="17"/>
      <c r="V255" s="17"/>
      <c r="W255" s="17"/>
      <c r="X255" s="17"/>
      <c r="Y255" s="17"/>
      <c r="Z255" s="17"/>
    </row>
    <row r="256" spans="2:26" x14ac:dyDescent="0.3">
      <c r="B256" s="24">
        <v>982</v>
      </c>
      <c r="C256" s="35">
        <v>9</v>
      </c>
      <c r="D256" s="32" t="s">
        <v>284</v>
      </c>
      <c r="E256" s="125">
        <f>INDEX('Revised 2019 Lockdown'!H$5:H$257,MATCH(B256,'Revised 2019 Lockdown'!B$5:B$257,0))</f>
        <v>106.72298014171729</v>
      </c>
      <c r="F256" s="7">
        <f>INDEX('Revised 2019 Lockdown'!E$5:E$257,MATCH(B256,'Revised 2019 Lockdown'!B$5:B$257,0))</f>
        <v>139517.66</v>
      </c>
      <c r="G256" s="7">
        <f>INDEX('Revised 2019 Lockdown'!F$5:F$257,MATCH(B256,'Revised 2019 Lockdown'!B$5:B$257,0))</f>
        <v>0</v>
      </c>
      <c r="H256" s="7">
        <f t="shared" si="36"/>
        <v>139517.66</v>
      </c>
      <c r="I256" s="6">
        <f>H256/E256</f>
        <v>1307.2878944603563</v>
      </c>
      <c r="J256" s="6">
        <f>IF(ISERROR(IF($J$2=1,MAX(MIN(I256,R256),Q256),MIN(I256,R256))),R256,IF($J$2=1,MAX(MIN(I256,R256),Q256),MIN(I256,R256)))</f>
        <v>1307.2878944603563</v>
      </c>
      <c r="K256" s="5">
        <f>J256*E256</f>
        <v>139517.66</v>
      </c>
      <c r="L256" s="4">
        <f t="shared" si="37"/>
        <v>0</v>
      </c>
      <c r="M256" s="2" cm="1">
        <f t="array" ref="M256">SUMPRODUCT(--($L$6:$L$300&lt;&gt;1),--($C$6:$C$300=$C256),$H$6:$H$300)/SUMPRODUCT(--($L$6:$L$300&lt;&gt;1),--($C$6:$C$300=$C256),$E$6:$E$300)</f>
        <v>830.7675836462106</v>
      </c>
      <c r="N256" s="1" cm="1">
        <f t="array" ref="N256">SUMPRODUCT(--($L$6:$L$300&lt;&gt;1),--($C$6:$C$300=$C256))</f>
        <v>30</v>
      </c>
      <c r="O256" s="3">
        <f t="shared" si="29"/>
        <v>227071.60661840998</v>
      </c>
      <c r="P256" s="2" cm="1">
        <f t="array" ref="P256">SQRT(SUMPRODUCT(--($L$6:$L$300&lt;&gt;1),--($C$6:$C$300=$C256),$E$6:$E$300,$O$6:$O$300)/((N256-1)*SUMPRODUCT(--($L$6:$L$300&lt;&gt;1),--($C$6:$C$300=$C256),$E$6:$E$300)/N256))</f>
        <v>674.7030311525026</v>
      </c>
      <c r="Q256" s="2">
        <f t="shared" si="32"/>
        <v>-33.899142204966552</v>
      </c>
      <c r="R256" s="2">
        <f t="shared" si="32"/>
        <v>1695.4343094973879</v>
      </c>
      <c r="S256" s="2">
        <f t="shared" si="30"/>
        <v>1307.2878944603563</v>
      </c>
      <c r="T256" s="17"/>
      <c r="U256" s="17"/>
      <c r="V256" s="17"/>
      <c r="W256" s="17"/>
      <c r="X256" s="17"/>
      <c r="Y256" s="17"/>
      <c r="Z256" s="17"/>
    </row>
    <row r="257" spans="2:26" x14ac:dyDescent="0.3">
      <c r="B257" s="24">
        <v>987</v>
      </c>
      <c r="C257" s="35">
        <v>9</v>
      </c>
      <c r="D257" s="32" t="s">
        <v>285</v>
      </c>
      <c r="E257" s="125">
        <f>INDEX('Revised 2019 Lockdown'!H$5:H$257,MATCH(B257,'Revised 2019 Lockdown'!B$5:B$257,0))</f>
        <v>399.24791654162198</v>
      </c>
      <c r="F257" s="7">
        <f>INDEX('Revised 2019 Lockdown'!E$5:E$257,MATCH(B257,'Revised 2019 Lockdown'!B$5:B$257,0))</f>
        <v>108258.73</v>
      </c>
      <c r="G257" s="7">
        <f>INDEX('Revised 2019 Lockdown'!F$5:F$257,MATCH(B257,'Revised 2019 Lockdown'!B$5:B$257,0))</f>
        <v>0</v>
      </c>
      <c r="H257" s="7">
        <f t="shared" si="36"/>
        <v>108258.73</v>
      </c>
      <c r="I257" s="6">
        <f>H257/E257</f>
        <v>271.15665608918442</v>
      </c>
      <c r="J257" s="6">
        <f>IF(ISERROR(IF($J$2=1,MAX(MIN(I257,R257),Q257),MIN(I257,R257))),R257,IF($J$2=1,MAX(MIN(I257,R257),Q257),MIN(I257,R257)))</f>
        <v>271.15665608918442</v>
      </c>
      <c r="K257" s="5">
        <f>J257*E257</f>
        <v>108258.73</v>
      </c>
      <c r="L257" s="4">
        <f t="shared" si="37"/>
        <v>0</v>
      </c>
      <c r="M257" s="2" cm="1">
        <f t="array" ref="M257">SUMPRODUCT(--($L$6:$L$300&lt;&gt;1),--($C$6:$C$300=$C257),$H$6:$H$300)/SUMPRODUCT(--($L$6:$L$300&lt;&gt;1),--($C$6:$C$300=$C257),$E$6:$E$300)</f>
        <v>830.7675836462106</v>
      </c>
      <c r="N257" s="1" cm="1">
        <f t="array" ref="N257">SUMPRODUCT(--($L$6:$L$300&lt;&gt;1),--($C$6:$C$300=$C257))</f>
        <v>30</v>
      </c>
      <c r="O257" s="3">
        <f t="shared" si="29"/>
        <v>313164.39024123515</v>
      </c>
      <c r="P257" s="2" cm="1">
        <f t="array" ref="P257">SQRT(SUMPRODUCT(--($L$6:$L$300&lt;&gt;1),--($C$6:$C$300=$C257),$E$6:$E$300,$O$6:$O$300)/((N257-1)*SUMPRODUCT(--($L$6:$L$300&lt;&gt;1),--($C$6:$C$300=$C257),$E$6:$E$300)/N257))</f>
        <v>674.7030311525026</v>
      </c>
      <c r="Q257" s="2">
        <f t="shared" si="32"/>
        <v>-33.899142204966552</v>
      </c>
      <c r="R257" s="2">
        <f t="shared" si="32"/>
        <v>1695.4343094973879</v>
      </c>
      <c r="S257" s="2">
        <f t="shared" si="30"/>
        <v>271.15665608918442</v>
      </c>
      <c r="T257" s="17"/>
      <c r="U257" s="17"/>
      <c r="V257" s="17"/>
      <c r="W257" s="17"/>
      <c r="X257" s="17"/>
      <c r="Y257" s="17"/>
      <c r="Z257" s="17"/>
    </row>
    <row r="258" spans="2:26" x14ac:dyDescent="0.3">
      <c r="B258" s="24">
        <v>998</v>
      </c>
      <c r="C258" s="35">
        <v>9</v>
      </c>
      <c r="D258" s="32" t="s">
        <v>286</v>
      </c>
      <c r="E258" s="125">
        <f>INDEX('Revised 2019 Lockdown'!H$5:H$257,MATCH(B258,'Revised 2019 Lockdown'!B$5:B$257,0))</f>
        <v>43.685214957722998</v>
      </c>
      <c r="F258" s="7">
        <f>INDEX('Revised 2019 Lockdown'!E$5:E$257,MATCH(B258,'Revised 2019 Lockdown'!B$5:B$257,0))</f>
        <v>227035.45</v>
      </c>
      <c r="G258" s="7">
        <f>INDEX('Revised 2019 Lockdown'!F$5:F$257,MATCH(B258,'Revised 2019 Lockdown'!B$5:B$257,0))</f>
        <v>0</v>
      </c>
      <c r="H258" s="7">
        <f t="shared" si="36"/>
        <v>227035.45</v>
      </c>
      <c r="I258" s="6">
        <f>H258/E258</f>
        <v>5197.0775517464399</v>
      </c>
      <c r="J258" s="6">
        <f>IF(ISERROR(IF($J$2=1,MAX(MIN(I258,R258),Q258),MIN(I258,R258))),R258,IF($J$2=1,MAX(MIN(I258,R258),Q258),MIN(I258,R258)))</f>
        <v>1695.4343094973879</v>
      </c>
      <c r="K258" s="5">
        <f>J258*E258</f>
        <v>74065.412257092044</v>
      </c>
      <c r="L258" s="4">
        <f t="shared" si="37"/>
        <v>0</v>
      </c>
      <c r="M258" s="2" cm="1">
        <f t="array" ref="M258">SUMPRODUCT(--($L$6:$L$300&lt;&gt;1),--($C$6:$C$300=$C258),$H$6:$H$300)/SUMPRODUCT(--($L$6:$L$300&lt;&gt;1),--($C$6:$C$300=$C258),$E$6:$E$300)</f>
        <v>830.7675836462106</v>
      </c>
      <c r="N258" s="1" cm="1">
        <f t="array" ref="N258">SUMPRODUCT(--($L$6:$L$300&lt;&gt;1),--($C$6:$C$300=$C258))</f>
        <v>30</v>
      </c>
      <c r="O258" s="3">
        <f t="shared" si="29"/>
        <v>19064662.737531427</v>
      </c>
      <c r="P258" s="2" cm="1">
        <f t="array" ref="P258">SQRT(SUMPRODUCT(--($L$6:$L$300&lt;&gt;1),--($C$6:$C$300=$C258),$E$6:$E$300,$O$6:$O$300)/((N258-1)*SUMPRODUCT(--($L$6:$L$300&lt;&gt;1),--($C$6:$C$300=$C258),$E$6:$E$300)/N258))</f>
        <v>674.7030311525026</v>
      </c>
      <c r="Q258" s="2">
        <f t="shared" si="32"/>
        <v>-33.899142204966552</v>
      </c>
      <c r="R258" s="2">
        <f t="shared" si="32"/>
        <v>1695.4343094973879</v>
      </c>
      <c r="S258" s="2">
        <f t="shared" si="30"/>
        <v>1695.4343094973879</v>
      </c>
      <c r="T258" s="17"/>
      <c r="U258" s="17"/>
      <c r="V258" s="17"/>
      <c r="W258" s="17"/>
      <c r="X258" s="17"/>
      <c r="Y258" s="17"/>
      <c r="Z258" s="17"/>
    </row>
  </sheetData>
  <conditionalFormatting sqref="H7:L76 B51:D77 E6:S6 H78:L258 E7:G258 M7:S258">
    <cfRule type="expression" dxfId="40" priority="26">
      <formula>$C6&lt;&gt;$C5</formula>
    </cfRule>
  </conditionalFormatting>
  <conditionalFormatting sqref="J6:J258">
    <cfRule type="expression" dxfId="39" priority="24">
      <formula>$J6&lt;$I6=TRUE</formula>
    </cfRule>
  </conditionalFormatting>
  <conditionalFormatting sqref="B151:D163 B165:D170 B214:D236 B83:D149 B78:D80 B172:D182 B184:D212 B6:D49">
    <cfRule type="expression" dxfId="38" priority="16">
      <formula>$C6&lt;&gt;$C5</formula>
    </cfRule>
  </conditionalFormatting>
  <conditionalFormatting sqref="B50:D50 B164:D164 B213:D213 B81:D81 B183:D183">
    <cfRule type="expression" dxfId="37" priority="17">
      <formula>$C50&lt;&gt;$C48</formula>
    </cfRule>
  </conditionalFormatting>
  <conditionalFormatting sqref="B82:D82">
    <cfRule type="expression" dxfId="36" priority="19">
      <formula>$C82&lt;&gt;$C79</formula>
    </cfRule>
  </conditionalFormatting>
  <conditionalFormatting sqref="B150:D150 B171:D171">
    <cfRule type="expression" dxfId="35" priority="18">
      <formula>$C150&lt;&gt;#REF!</formula>
    </cfRule>
  </conditionalFormatting>
  <conditionalFormatting sqref="S6:S258">
    <cfRule type="expression" dxfId="34" priority="14">
      <formula>$S6&lt;$I6=TRUE</formula>
    </cfRule>
    <cfRule type="expression" dxfId="33" priority="15">
      <formula>$S6&gt;$I6=TRUE</formula>
    </cfRule>
  </conditionalFormatting>
  <conditionalFormatting sqref="E4">
    <cfRule type="expression" dxfId="32" priority="7">
      <formula>$C4&lt;&gt;$C3</formula>
    </cfRule>
  </conditionalFormatting>
  <conditionalFormatting sqref="E4">
    <cfRule type="expression" dxfId="31" priority="6">
      <formula>$C4&lt;&gt;$C3</formula>
    </cfRule>
  </conditionalFormatting>
  <conditionalFormatting sqref="E4">
    <cfRule type="expression" dxfId="30" priority="5">
      <formula>$C4&lt;&gt;$C3</formula>
    </cfRule>
  </conditionalFormatting>
  <conditionalFormatting sqref="F4">
    <cfRule type="expression" dxfId="29" priority="4">
      <formula>$C4&lt;&gt;$C3</formula>
    </cfRule>
  </conditionalFormatting>
  <conditionalFormatting sqref="G4">
    <cfRule type="expression" dxfId="28" priority="3">
      <formula>$C4&lt;&gt;$C3</formula>
    </cfRule>
  </conditionalFormatting>
  <conditionalFormatting sqref="H4">
    <cfRule type="expression" dxfId="27" priority="2">
      <formula>$C4&lt;&gt;$C3</formula>
    </cfRule>
  </conditionalFormatting>
  <conditionalFormatting sqref="H77:L77">
    <cfRule type="expression" dxfId="26" priority="43">
      <formula>$C77&lt;&gt;#REF!</formula>
    </cfRule>
  </conditionalFormatting>
  <conditionalFormatting sqref="K4">
    <cfRule type="expression" dxfId="25" priority="1">
      <formula>$C4&lt;&gt;$C3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4414-4A91-4F01-9274-B69F71F3BAF0}">
  <sheetPr codeName="Sheet3">
    <tabColor theme="8" tint="0.59999389629810485"/>
  </sheetPr>
  <dimension ref="A1:I257"/>
  <sheetViews>
    <sheetView workbookViewId="0"/>
  </sheetViews>
  <sheetFormatPr defaultColWidth="8.88671875" defaultRowHeight="14.4" x14ac:dyDescent="0.3"/>
  <cols>
    <col min="1" max="1" width="4.88671875" style="31" customWidth="1"/>
    <col min="2" max="2" width="8.5546875" style="31" customWidth="1"/>
    <col min="3" max="3" width="8.88671875" style="31" customWidth="1"/>
    <col min="4" max="4" width="53" style="31" customWidth="1"/>
    <col min="5" max="8" width="13.88671875" style="31" customWidth="1"/>
    <col min="9" max="9" width="12.88671875" style="31" customWidth="1"/>
    <col min="10" max="16384" width="8.88671875" style="31"/>
  </cols>
  <sheetData>
    <row r="1" spans="1:9" x14ac:dyDescent="0.3">
      <c r="E1" s="31" t="s">
        <v>13</v>
      </c>
      <c r="F1" s="132">
        <v>1000</v>
      </c>
      <c r="H1" s="31" t="s">
        <v>14</v>
      </c>
      <c r="I1" s="133">
        <f t="array" ref="I1">AVERAGE(IF($I$5:$I$300&lt;&gt;0,IF($I$5:$I$300&lt;=F1,$I$5:$I$300)))</f>
        <v>545.79022348158776</v>
      </c>
    </row>
    <row r="2" spans="1:9" x14ac:dyDescent="0.3">
      <c r="B2" s="28" t="s">
        <v>326</v>
      </c>
      <c r="E2" s="29"/>
      <c r="H2" s="31" t="s">
        <v>15</v>
      </c>
      <c r="I2" s="133">
        <f t="array" ref="I2">STDEV(IF($I$5:$I$300&lt;&gt;0,IF($I$5:$I$300&lt;=F1,$I$5:$I$300)))</f>
        <v>202.2283085997102</v>
      </c>
    </row>
    <row r="3" spans="1:9" ht="15" thickBot="1" x14ac:dyDescent="0.35">
      <c r="E3" s="30">
        <f>SUM(E5:E300)</f>
        <v>384369297.02999997</v>
      </c>
      <c r="F3" s="30">
        <f>SUM(F5:F300)</f>
        <v>55058911.009999968</v>
      </c>
      <c r="G3" s="30">
        <f>SUM(G5:G300)</f>
        <v>329310386.01999998</v>
      </c>
      <c r="H3" s="126">
        <f>SUM(H5:H300)</f>
        <v>730841.88790520688</v>
      </c>
      <c r="I3" s="132">
        <f>G3/H3</f>
        <v>450.59046487318039</v>
      </c>
    </row>
    <row r="4" spans="1:9" ht="43.8" thickBot="1" x14ac:dyDescent="0.35">
      <c r="B4" s="134" t="s">
        <v>10</v>
      </c>
      <c r="C4" s="134" t="s">
        <v>9</v>
      </c>
      <c r="D4" s="134" t="s">
        <v>8</v>
      </c>
      <c r="E4" s="134" t="s">
        <v>16</v>
      </c>
      <c r="F4" s="134" t="s">
        <v>17</v>
      </c>
      <c r="G4" s="134" t="s">
        <v>18</v>
      </c>
      <c r="H4" s="135" t="s">
        <v>19</v>
      </c>
      <c r="I4" s="134" t="s">
        <v>20</v>
      </c>
    </row>
    <row r="5" spans="1:9" x14ac:dyDescent="0.3">
      <c r="A5" s="34">
        <v>1</v>
      </c>
      <c r="B5" s="136">
        <v>1</v>
      </c>
      <c r="C5" s="137">
        <v>1</v>
      </c>
      <c r="D5" s="138" t="s">
        <v>48</v>
      </c>
      <c r="E5" s="139">
        <v>9839512.9000000004</v>
      </c>
      <c r="F5" s="140">
        <v>303786.2</v>
      </c>
      <c r="G5" s="140">
        <v>9535726.7000000011</v>
      </c>
      <c r="H5" s="141">
        <v>28377.279999999999</v>
      </c>
      <c r="I5" s="142">
        <f t="shared" ref="I5:I68" si="0">IFERROR(G5/H5,0)</f>
        <v>336.03385172927079</v>
      </c>
    </row>
    <row r="6" spans="1:9" x14ac:dyDescent="0.3">
      <c r="A6" s="34">
        <v>1</v>
      </c>
      <c r="B6" s="136">
        <v>20</v>
      </c>
      <c r="C6" s="137">
        <v>1</v>
      </c>
      <c r="D6" s="138" t="s">
        <v>49</v>
      </c>
      <c r="E6" s="139">
        <v>71195179.849999994</v>
      </c>
      <c r="F6" s="140">
        <v>8915663.2400000002</v>
      </c>
      <c r="G6" s="140">
        <v>62279516.609999992</v>
      </c>
      <c r="H6" s="141">
        <v>99784.55</v>
      </c>
      <c r="I6" s="142">
        <f t="shared" si="0"/>
        <v>624.1398754616821</v>
      </c>
    </row>
    <row r="7" spans="1:9" x14ac:dyDescent="0.3">
      <c r="A7" s="34">
        <v>1</v>
      </c>
      <c r="B7" s="136">
        <v>50</v>
      </c>
      <c r="C7" s="137">
        <v>1</v>
      </c>
      <c r="D7" s="138" t="s">
        <v>50</v>
      </c>
      <c r="E7" s="139">
        <v>10769002.390000001</v>
      </c>
      <c r="F7" s="140">
        <v>1985825.52</v>
      </c>
      <c r="G7" s="140">
        <v>8783176.870000001</v>
      </c>
      <c r="H7" s="141">
        <v>21706.59</v>
      </c>
      <c r="I7" s="142">
        <f t="shared" si="0"/>
        <v>404.63181319590046</v>
      </c>
    </row>
    <row r="8" spans="1:9" x14ac:dyDescent="0.3">
      <c r="A8" s="34">
        <v>1</v>
      </c>
      <c r="B8" s="136">
        <v>97</v>
      </c>
      <c r="C8" s="137">
        <v>1</v>
      </c>
      <c r="D8" s="138" t="s">
        <v>51</v>
      </c>
      <c r="E8" s="139">
        <v>29964286.199999999</v>
      </c>
      <c r="F8" s="140">
        <v>4815316.72</v>
      </c>
      <c r="G8" s="140">
        <v>25148969.48</v>
      </c>
      <c r="H8" s="141">
        <v>53554.62000000001</v>
      </c>
      <c r="I8" s="142">
        <f t="shared" si="0"/>
        <v>469.59477034847777</v>
      </c>
    </row>
    <row r="9" spans="1:9" x14ac:dyDescent="0.3">
      <c r="A9" s="34">
        <v>1</v>
      </c>
      <c r="B9" s="136">
        <v>172</v>
      </c>
      <c r="C9" s="137">
        <v>1</v>
      </c>
      <c r="D9" s="138" t="s">
        <v>52</v>
      </c>
      <c r="E9" s="139">
        <v>15527274.060000001</v>
      </c>
      <c r="F9" s="140">
        <v>2705559.01</v>
      </c>
      <c r="G9" s="140">
        <v>12821715.050000001</v>
      </c>
      <c r="H9" s="141">
        <v>33148.810000000005</v>
      </c>
      <c r="I9" s="142">
        <f t="shared" si="0"/>
        <v>386.79261940323045</v>
      </c>
    </row>
    <row r="10" spans="1:9" x14ac:dyDescent="0.3">
      <c r="A10" s="34">
        <v>1</v>
      </c>
      <c r="B10" s="136">
        <v>270</v>
      </c>
      <c r="C10" s="137">
        <v>1</v>
      </c>
      <c r="D10" s="138" t="s">
        <v>53</v>
      </c>
      <c r="E10" s="139">
        <v>40203570.229999997</v>
      </c>
      <c r="F10" s="140">
        <v>2597373.92</v>
      </c>
      <c r="G10" s="140">
        <v>37606196.309999995</v>
      </c>
      <c r="H10" s="141">
        <v>74041.960000000006</v>
      </c>
      <c r="I10" s="142">
        <f t="shared" si="0"/>
        <v>507.90384681874968</v>
      </c>
    </row>
    <row r="11" spans="1:9" x14ac:dyDescent="0.3">
      <c r="A11" s="34">
        <v>2</v>
      </c>
      <c r="B11" s="136">
        <v>6</v>
      </c>
      <c r="C11" s="137">
        <v>2</v>
      </c>
      <c r="D11" s="138" t="s">
        <v>54</v>
      </c>
      <c r="E11" s="139">
        <v>19734526.949999999</v>
      </c>
      <c r="F11" s="140">
        <v>3742083.3</v>
      </c>
      <c r="G11" s="140">
        <v>15992443.649999999</v>
      </c>
      <c r="H11" s="141">
        <v>41206.969999999987</v>
      </c>
      <c r="I11" s="142">
        <f t="shared" si="0"/>
        <v>388.10045121007448</v>
      </c>
    </row>
    <row r="12" spans="1:9" x14ac:dyDescent="0.3">
      <c r="A12" s="34">
        <v>2</v>
      </c>
      <c r="B12" s="136">
        <v>18</v>
      </c>
      <c r="C12" s="137">
        <v>2</v>
      </c>
      <c r="D12" s="138" t="s">
        <v>55</v>
      </c>
      <c r="E12" s="139">
        <v>8785791</v>
      </c>
      <c r="F12" s="140">
        <v>2133782.4900000002</v>
      </c>
      <c r="G12" s="140">
        <v>6652008.5099999998</v>
      </c>
      <c r="H12" s="141">
        <v>19941.120000000003</v>
      </c>
      <c r="I12" s="142">
        <f t="shared" si="0"/>
        <v>333.58249235750043</v>
      </c>
    </row>
    <row r="13" spans="1:9" x14ac:dyDescent="0.3">
      <c r="A13" s="34">
        <v>2</v>
      </c>
      <c r="B13" s="136">
        <v>53</v>
      </c>
      <c r="C13" s="137">
        <v>2</v>
      </c>
      <c r="D13" s="138" t="s">
        <v>56</v>
      </c>
      <c r="E13" s="139">
        <v>10395927.890000001</v>
      </c>
      <c r="F13" s="140">
        <v>2947532.46</v>
      </c>
      <c r="G13" s="140">
        <v>7448395.4300000006</v>
      </c>
      <c r="H13" s="141">
        <v>34960.206400000003</v>
      </c>
      <c r="I13" s="142">
        <f t="shared" si="0"/>
        <v>213.05353134299574</v>
      </c>
    </row>
    <row r="14" spans="1:9" x14ac:dyDescent="0.3">
      <c r="A14" s="34">
        <v>2</v>
      </c>
      <c r="B14" s="136">
        <v>335</v>
      </c>
      <c r="C14" s="137">
        <v>2</v>
      </c>
      <c r="D14" s="138" t="s">
        <v>57</v>
      </c>
      <c r="E14" s="139">
        <v>15371539.85</v>
      </c>
      <c r="F14" s="140">
        <v>1961363.18</v>
      </c>
      <c r="G14" s="140">
        <v>13410176.67</v>
      </c>
      <c r="H14" s="141">
        <v>25689.83</v>
      </c>
      <c r="I14" s="142">
        <f t="shared" si="0"/>
        <v>522.00332466193822</v>
      </c>
    </row>
    <row r="15" spans="1:9" x14ac:dyDescent="0.3">
      <c r="A15" s="34">
        <v>2</v>
      </c>
      <c r="B15" s="136">
        <v>357</v>
      </c>
      <c r="C15" s="137">
        <v>2</v>
      </c>
      <c r="D15" s="138" t="s">
        <v>58</v>
      </c>
      <c r="E15" s="139">
        <v>13658152.119999999</v>
      </c>
      <c r="F15" s="140">
        <v>3498711.4300000006</v>
      </c>
      <c r="G15" s="140">
        <v>10159440.689999998</v>
      </c>
      <c r="H15" s="141">
        <v>34912.030000000006</v>
      </c>
      <c r="I15" s="142">
        <f t="shared" si="0"/>
        <v>291.00114459113365</v>
      </c>
    </row>
    <row r="16" spans="1:9" x14ac:dyDescent="0.3">
      <c r="A16" s="34">
        <v>2</v>
      </c>
      <c r="B16" s="136">
        <v>441</v>
      </c>
      <c r="C16" s="137">
        <v>2</v>
      </c>
      <c r="D16" s="138" t="s">
        <v>59</v>
      </c>
      <c r="E16" s="139">
        <v>19919415.420000002</v>
      </c>
      <c r="F16" s="140">
        <v>6656078.0499999989</v>
      </c>
      <c r="G16" s="140">
        <v>13263337.370000003</v>
      </c>
      <c r="H16" s="141">
        <v>55231.539999999986</v>
      </c>
      <c r="I16" s="142">
        <f t="shared" si="0"/>
        <v>240.14064011251554</v>
      </c>
    </row>
    <row r="17" spans="1:9" x14ac:dyDescent="0.3">
      <c r="A17" s="34">
        <v>3</v>
      </c>
      <c r="B17" s="136">
        <v>14</v>
      </c>
      <c r="C17" s="137">
        <v>3</v>
      </c>
      <c r="D17" s="138" t="s">
        <v>60</v>
      </c>
      <c r="E17" s="139">
        <v>2696626.28</v>
      </c>
      <c r="F17" s="140">
        <v>129351.95</v>
      </c>
      <c r="G17" s="140">
        <v>2567274.3299999996</v>
      </c>
      <c r="H17" s="141">
        <v>11108.29</v>
      </c>
      <c r="I17" s="142">
        <f t="shared" si="0"/>
        <v>231.11336938448667</v>
      </c>
    </row>
    <row r="18" spans="1:9" x14ac:dyDescent="0.3">
      <c r="A18" s="34">
        <v>3</v>
      </c>
      <c r="B18" s="136">
        <v>36</v>
      </c>
      <c r="C18" s="137">
        <v>3</v>
      </c>
      <c r="D18" s="138" t="s">
        <v>61</v>
      </c>
      <c r="E18" s="139">
        <v>6566433.6200000001</v>
      </c>
      <c r="F18" s="140">
        <v>622957</v>
      </c>
      <c r="G18" s="140">
        <v>5943476.6200000001</v>
      </c>
      <c r="H18" s="141">
        <v>5586.73</v>
      </c>
      <c r="I18" s="142">
        <f t="shared" si="0"/>
        <v>1063.8560696507618</v>
      </c>
    </row>
    <row r="19" spans="1:9" x14ac:dyDescent="0.3">
      <c r="A19" s="34">
        <v>3</v>
      </c>
      <c r="B19" s="136">
        <v>55</v>
      </c>
      <c r="C19" s="137">
        <v>3</v>
      </c>
      <c r="D19" s="138" t="s">
        <v>62</v>
      </c>
      <c r="E19" s="139">
        <v>1496659.65</v>
      </c>
      <c r="F19" s="140">
        <v>60217.409999999996</v>
      </c>
      <c r="G19" s="140">
        <v>1436442.24</v>
      </c>
      <c r="H19" s="141">
        <v>3486.1699999999992</v>
      </c>
      <c r="I19" s="142">
        <f t="shared" si="0"/>
        <v>412.04021605372094</v>
      </c>
    </row>
    <row r="20" spans="1:9" x14ac:dyDescent="0.3">
      <c r="A20" s="34">
        <v>3</v>
      </c>
      <c r="B20" s="136">
        <v>103</v>
      </c>
      <c r="C20" s="137">
        <v>3</v>
      </c>
      <c r="D20" s="138" t="s">
        <v>63</v>
      </c>
      <c r="E20" s="139">
        <v>1753178.73</v>
      </c>
      <c r="F20" s="140">
        <v>368978.78</v>
      </c>
      <c r="G20" s="140">
        <v>1384199.95</v>
      </c>
      <c r="H20" s="141">
        <v>4157.59</v>
      </c>
      <c r="I20" s="142">
        <f t="shared" si="0"/>
        <v>332.93324979134542</v>
      </c>
    </row>
    <row r="21" spans="1:9" x14ac:dyDescent="0.3">
      <c r="A21" s="34">
        <v>3</v>
      </c>
      <c r="B21" s="136">
        <v>123</v>
      </c>
      <c r="C21" s="137">
        <v>3</v>
      </c>
      <c r="D21" s="138" t="s">
        <v>64</v>
      </c>
      <c r="E21" s="139">
        <v>2566779.13</v>
      </c>
      <c r="F21" s="140">
        <v>0</v>
      </c>
      <c r="G21" s="140">
        <v>2566779.13</v>
      </c>
      <c r="H21" s="141">
        <v>6660.2900000000009</v>
      </c>
      <c r="I21" s="142">
        <f t="shared" si="0"/>
        <v>385.38549072187539</v>
      </c>
    </row>
    <row r="22" spans="1:9" x14ac:dyDescent="0.3">
      <c r="A22" s="34">
        <v>3</v>
      </c>
      <c r="B22" s="136">
        <v>179</v>
      </c>
      <c r="C22" s="137">
        <v>3</v>
      </c>
      <c r="D22" s="138" t="s">
        <v>65</v>
      </c>
      <c r="E22" s="139">
        <v>2969506.46</v>
      </c>
      <c r="F22" s="140">
        <v>514954.06</v>
      </c>
      <c r="G22" s="140">
        <v>2454552.4</v>
      </c>
      <c r="H22" s="141">
        <v>4763.5400000000009</v>
      </c>
      <c r="I22" s="142">
        <f t="shared" si="0"/>
        <v>515.27905717176714</v>
      </c>
    </row>
    <row r="23" spans="1:9" x14ac:dyDescent="0.3">
      <c r="A23" s="34">
        <v>3</v>
      </c>
      <c r="B23" s="136">
        <v>293</v>
      </c>
      <c r="C23" s="137">
        <v>3</v>
      </c>
      <c r="D23" s="138" t="s">
        <v>66</v>
      </c>
      <c r="E23" s="139">
        <v>2668555.6</v>
      </c>
      <c r="F23" s="140">
        <v>804269.87</v>
      </c>
      <c r="G23" s="140">
        <v>1864285.73</v>
      </c>
      <c r="H23" s="141">
        <v>7281.260000000002</v>
      </c>
      <c r="I23" s="142">
        <f t="shared" si="0"/>
        <v>256.0388902470176</v>
      </c>
    </row>
    <row r="24" spans="1:9" x14ac:dyDescent="0.3">
      <c r="A24" s="34">
        <v>4</v>
      </c>
      <c r="B24" s="136">
        <v>12</v>
      </c>
      <c r="C24" s="137">
        <v>4</v>
      </c>
      <c r="D24" s="138" t="s">
        <v>67</v>
      </c>
      <c r="E24" s="139">
        <v>3052966.7</v>
      </c>
      <c r="F24" s="140">
        <v>488646.3899999999</v>
      </c>
      <c r="G24" s="140">
        <v>2564320.3100000005</v>
      </c>
      <c r="H24" s="141">
        <v>4825.329999999999</v>
      </c>
      <c r="I24" s="142">
        <f t="shared" si="0"/>
        <v>531.42900278322952</v>
      </c>
    </row>
    <row r="25" spans="1:9" x14ac:dyDescent="0.3">
      <c r="A25" s="34">
        <v>4</v>
      </c>
      <c r="B25" s="136">
        <v>21</v>
      </c>
      <c r="C25" s="137">
        <v>4</v>
      </c>
      <c r="D25" s="138" t="s">
        <v>68</v>
      </c>
      <c r="E25" s="139">
        <v>3295191.2</v>
      </c>
      <c r="F25" s="140">
        <v>429434.07</v>
      </c>
      <c r="G25" s="140">
        <v>2865757.1300000004</v>
      </c>
      <c r="H25" s="141">
        <v>5084.4800000000014</v>
      </c>
      <c r="I25" s="142">
        <f t="shared" si="0"/>
        <v>563.6283612090125</v>
      </c>
    </row>
    <row r="26" spans="1:9" x14ac:dyDescent="0.3">
      <c r="A26" s="34">
        <v>4</v>
      </c>
      <c r="B26" s="136">
        <v>34</v>
      </c>
      <c r="C26" s="137">
        <v>4</v>
      </c>
      <c r="D26" s="138" t="s">
        <v>69</v>
      </c>
      <c r="E26" s="139">
        <v>2138130.23</v>
      </c>
      <c r="F26" s="140">
        <v>417619.64</v>
      </c>
      <c r="G26" s="140">
        <v>1720510.5899999999</v>
      </c>
      <c r="H26" s="141">
        <v>4463.82</v>
      </c>
      <c r="I26" s="142">
        <f t="shared" si="0"/>
        <v>385.43458069545812</v>
      </c>
    </row>
    <row r="27" spans="1:9" x14ac:dyDescent="0.3">
      <c r="A27" s="34">
        <v>4</v>
      </c>
      <c r="B27" s="136">
        <v>87</v>
      </c>
      <c r="C27" s="137">
        <v>4</v>
      </c>
      <c r="D27" s="138" t="s">
        <v>70</v>
      </c>
      <c r="E27" s="139">
        <v>4913017.38</v>
      </c>
      <c r="F27" s="140">
        <v>799960.04</v>
      </c>
      <c r="G27" s="140">
        <v>4113057.34</v>
      </c>
      <c r="H27" s="141">
        <v>10236.479999999998</v>
      </c>
      <c r="I27" s="142">
        <f t="shared" si="0"/>
        <v>401.80387594173004</v>
      </c>
    </row>
    <row r="28" spans="1:9" x14ac:dyDescent="0.3">
      <c r="A28" s="34">
        <v>4</v>
      </c>
      <c r="B28" s="136">
        <v>88</v>
      </c>
      <c r="C28" s="137">
        <v>4</v>
      </c>
      <c r="D28" s="138" t="s">
        <v>71</v>
      </c>
      <c r="E28" s="139">
        <v>2453153.67</v>
      </c>
      <c r="F28" s="140">
        <v>459020.94</v>
      </c>
      <c r="G28" s="140">
        <v>1994132.73</v>
      </c>
      <c r="H28" s="141">
        <v>4907.8008</v>
      </c>
      <c r="I28" s="142">
        <f t="shared" si="0"/>
        <v>406.31900341187441</v>
      </c>
    </row>
    <row r="29" spans="1:9" x14ac:dyDescent="0.3">
      <c r="A29" s="34">
        <v>4</v>
      </c>
      <c r="B29" s="136">
        <v>89</v>
      </c>
      <c r="C29" s="137">
        <v>4</v>
      </c>
      <c r="D29" s="138" t="s">
        <v>291</v>
      </c>
      <c r="E29" s="139">
        <v>4597416.66</v>
      </c>
      <c r="F29" s="140">
        <v>379921.47</v>
      </c>
      <c r="G29" s="140">
        <v>4217495.1900000004</v>
      </c>
      <c r="H29" s="141">
        <v>5289.19</v>
      </c>
      <c r="I29" s="142">
        <f t="shared" si="0"/>
        <v>797.38016407049111</v>
      </c>
    </row>
    <row r="30" spans="1:9" x14ac:dyDescent="0.3">
      <c r="A30" s="34">
        <v>4</v>
      </c>
      <c r="B30" s="136">
        <v>143</v>
      </c>
      <c r="C30" s="137">
        <v>4</v>
      </c>
      <c r="D30" s="138" t="s">
        <v>72</v>
      </c>
      <c r="E30" s="139">
        <v>871204.41</v>
      </c>
      <c r="F30" s="140">
        <v>280661.95</v>
      </c>
      <c r="G30" s="140">
        <v>590542.46</v>
      </c>
      <c r="H30" s="141">
        <v>2868.39</v>
      </c>
      <c r="I30" s="142">
        <f t="shared" si="0"/>
        <v>205.87941667625392</v>
      </c>
    </row>
    <row r="31" spans="1:9" x14ac:dyDescent="0.3">
      <c r="A31" s="34">
        <v>4</v>
      </c>
      <c r="B31" s="136">
        <v>183</v>
      </c>
      <c r="C31" s="137">
        <v>4</v>
      </c>
      <c r="D31" s="138" t="s">
        <v>73</v>
      </c>
      <c r="E31" s="139">
        <v>6984982.6799999997</v>
      </c>
      <c r="F31" s="140">
        <v>345255.24999999994</v>
      </c>
      <c r="G31" s="140">
        <v>6639727.4299999997</v>
      </c>
      <c r="H31" s="141">
        <v>10899.530000000002</v>
      </c>
      <c r="I31" s="142">
        <f t="shared" si="0"/>
        <v>609.17557270818088</v>
      </c>
    </row>
    <row r="32" spans="1:9" x14ac:dyDescent="0.3">
      <c r="A32" s="34">
        <v>4</v>
      </c>
      <c r="B32" s="136">
        <v>186</v>
      </c>
      <c r="C32" s="137">
        <v>4</v>
      </c>
      <c r="D32" s="138" t="s">
        <v>74</v>
      </c>
      <c r="E32" s="139">
        <v>8376518.0300000003</v>
      </c>
      <c r="F32" s="140">
        <v>1283505.8</v>
      </c>
      <c r="G32" s="140">
        <v>7093012.2300000004</v>
      </c>
      <c r="H32" s="141">
        <v>10708.64</v>
      </c>
      <c r="I32" s="142">
        <f t="shared" si="0"/>
        <v>662.36349620493365</v>
      </c>
    </row>
    <row r="33" spans="1:9" x14ac:dyDescent="0.3">
      <c r="A33" s="34">
        <v>4</v>
      </c>
      <c r="B33" s="136">
        <v>190</v>
      </c>
      <c r="C33" s="137">
        <v>4</v>
      </c>
      <c r="D33" s="138" t="s">
        <v>75</v>
      </c>
      <c r="E33" s="139">
        <v>2369996.16</v>
      </c>
      <c r="F33" s="140">
        <v>436295.02999999997</v>
      </c>
      <c r="G33" s="140">
        <v>1933701.1300000001</v>
      </c>
      <c r="H33" s="141">
        <v>3049.19</v>
      </c>
      <c r="I33" s="142">
        <f t="shared" si="0"/>
        <v>634.1687890882497</v>
      </c>
    </row>
    <row r="34" spans="1:9" x14ac:dyDescent="0.3">
      <c r="A34" s="34">
        <v>4</v>
      </c>
      <c r="B34" s="136">
        <v>324</v>
      </c>
      <c r="C34" s="137">
        <v>4</v>
      </c>
      <c r="D34" s="138" t="s">
        <v>76</v>
      </c>
      <c r="E34" s="139">
        <v>4455265.83</v>
      </c>
      <c r="F34" s="140">
        <v>744094.01</v>
      </c>
      <c r="G34" s="140">
        <v>3711171.8200000003</v>
      </c>
      <c r="H34" s="141">
        <v>7376.43</v>
      </c>
      <c r="I34" s="142">
        <f t="shared" si="0"/>
        <v>503.1121857050091</v>
      </c>
    </row>
    <row r="35" spans="1:9" x14ac:dyDescent="0.3">
      <c r="A35" s="34">
        <v>4</v>
      </c>
      <c r="B35" s="136">
        <v>429</v>
      </c>
      <c r="C35" s="137">
        <v>4</v>
      </c>
      <c r="D35" s="138" t="s">
        <v>77</v>
      </c>
      <c r="E35" s="139">
        <v>1615598.05</v>
      </c>
      <c r="F35" s="140">
        <v>324593.48</v>
      </c>
      <c r="G35" s="140">
        <v>1291004.57</v>
      </c>
      <c r="H35" s="141">
        <v>4180.4643999999998</v>
      </c>
      <c r="I35" s="142">
        <f t="shared" si="0"/>
        <v>308.81845806413281</v>
      </c>
    </row>
    <row r="36" spans="1:9" x14ac:dyDescent="0.3">
      <c r="A36" s="34">
        <v>4</v>
      </c>
      <c r="B36" s="136">
        <v>601</v>
      </c>
      <c r="C36" s="137">
        <v>4</v>
      </c>
      <c r="D36" s="138" t="s">
        <v>78</v>
      </c>
      <c r="E36" s="139">
        <v>3050653.27</v>
      </c>
      <c r="F36" s="140">
        <v>210627.25999999998</v>
      </c>
      <c r="G36" s="140">
        <v>2840026.0100000002</v>
      </c>
      <c r="H36" s="141">
        <v>5551.27</v>
      </c>
      <c r="I36" s="142">
        <f t="shared" si="0"/>
        <v>511.59932952279388</v>
      </c>
    </row>
    <row r="37" spans="1:9" x14ac:dyDescent="0.3">
      <c r="A37" s="34">
        <v>4</v>
      </c>
      <c r="B37" s="136">
        <v>760</v>
      </c>
      <c r="C37" s="137">
        <v>4</v>
      </c>
      <c r="D37" s="138" t="s">
        <v>79</v>
      </c>
      <c r="E37" s="139">
        <v>1509097.88</v>
      </c>
      <c r="F37" s="140">
        <v>554553.47</v>
      </c>
      <c r="G37" s="140">
        <v>954544.40999999992</v>
      </c>
      <c r="H37" s="141">
        <v>5012.8599999999997</v>
      </c>
      <c r="I37" s="142">
        <f t="shared" si="0"/>
        <v>190.41912401303847</v>
      </c>
    </row>
    <row r="38" spans="1:9" x14ac:dyDescent="0.3">
      <c r="A38" s="34">
        <v>4</v>
      </c>
      <c r="B38" s="136">
        <v>878</v>
      </c>
      <c r="C38" s="137">
        <v>4</v>
      </c>
      <c r="D38" s="138" t="s">
        <v>80</v>
      </c>
      <c r="E38" s="139">
        <v>3017896.76</v>
      </c>
      <c r="F38" s="140">
        <v>419431.65</v>
      </c>
      <c r="G38" s="140">
        <v>2598465.11</v>
      </c>
      <c r="H38" s="141">
        <v>7393.5</v>
      </c>
      <c r="I38" s="142">
        <f t="shared" si="0"/>
        <v>351.45264218570367</v>
      </c>
    </row>
    <row r="39" spans="1:9" x14ac:dyDescent="0.3">
      <c r="A39" s="34">
        <v>5</v>
      </c>
      <c r="B39" s="136">
        <v>8</v>
      </c>
      <c r="C39" s="137">
        <v>5</v>
      </c>
      <c r="D39" s="138" t="s">
        <v>81</v>
      </c>
      <c r="E39" s="139">
        <v>864369.87</v>
      </c>
      <c r="F39" s="140">
        <v>93052.72</v>
      </c>
      <c r="G39" s="140">
        <v>771317.15</v>
      </c>
      <c r="H39" s="141">
        <v>2075.63</v>
      </c>
      <c r="I39" s="142">
        <f t="shared" si="0"/>
        <v>371.60628339347574</v>
      </c>
    </row>
    <row r="40" spans="1:9" x14ac:dyDescent="0.3">
      <c r="A40" s="34">
        <v>5</v>
      </c>
      <c r="B40" s="136">
        <v>41</v>
      </c>
      <c r="C40" s="137">
        <v>5</v>
      </c>
      <c r="D40" s="138" t="s">
        <v>82</v>
      </c>
      <c r="E40" s="139">
        <v>598036.62</v>
      </c>
      <c r="F40" s="140">
        <v>171251.26000000004</v>
      </c>
      <c r="G40" s="140">
        <v>426785.36</v>
      </c>
      <c r="H40" s="141">
        <v>993.22</v>
      </c>
      <c r="I40" s="142">
        <f t="shared" si="0"/>
        <v>429.69871730331647</v>
      </c>
    </row>
    <row r="41" spans="1:9" x14ac:dyDescent="0.3">
      <c r="A41" s="34">
        <v>5</v>
      </c>
      <c r="B41" s="136">
        <v>56</v>
      </c>
      <c r="C41" s="137">
        <v>5</v>
      </c>
      <c r="D41" s="138" t="s">
        <v>83</v>
      </c>
      <c r="E41" s="139">
        <v>572395.97</v>
      </c>
      <c r="F41" s="140">
        <v>2299.3900000000003</v>
      </c>
      <c r="G41" s="140">
        <v>570096.57999999996</v>
      </c>
      <c r="H41" s="141">
        <v>2867.28</v>
      </c>
      <c r="I41" s="142">
        <f t="shared" si="0"/>
        <v>198.82835997879522</v>
      </c>
    </row>
    <row r="42" spans="1:9" x14ac:dyDescent="0.3">
      <c r="A42" s="34">
        <v>5</v>
      </c>
      <c r="B42" s="136">
        <v>67</v>
      </c>
      <c r="C42" s="137">
        <v>5</v>
      </c>
      <c r="D42" s="138" t="s">
        <v>84</v>
      </c>
      <c r="E42" s="139">
        <v>207963.68</v>
      </c>
      <c r="F42" s="140">
        <v>0</v>
      </c>
      <c r="G42" s="140">
        <v>207963.68</v>
      </c>
      <c r="H42" s="141">
        <v>1347.1733959092533</v>
      </c>
      <c r="I42" s="142">
        <f t="shared" si="0"/>
        <v>154.37038812634674</v>
      </c>
    </row>
    <row r="43" spans="1:9" x14ac:dyDescent="0.3">
      <c r="A43" s="34">
        <v>5</v>
      </c>
      <c r="B43" s="136">
        <v>157</v>
      </c>
      <c r="C43" s="137">
        <v>5</v>
      </c>
      <c r="D43" s="138" t="s">
        <v>85</v>
      </c>
      <c r="E43" s="139">
        <v>154392.98000000001</v>
      </c>
      <c r="F43" s="140">
        <v>250</v>
      </c>
      <c r="G43" s="140">
        <v>154142.98000000001</v>
      </c>
      <c r="H43" s="141">
        <v>391.46480007526981</v>
      </c>
      <c r="I43" s="142">
        <f t="shared" si="0"/>
        <v>393.7594899218571</v>
      </c>
    </row>
    <row r="44" spans="1:9" x14ac:dyDescent="0.3">
      <c r="A44" s="34">
        <v>5</v>
      </c>
      <c r="B44" s="136">
        <v>214</v>
      </c>
      <c r="C44" s="137">
        <v>5</v>
      </c>
      <c r="D44" s="138" t="s">
        <v>86</v>
      </c>
      <c r="E44" s="139">
        <v>1755275.05</v>
      </c>
      <c r="F44" s="140">
        <v>255085.94</v>
      </c>
      <c r="G44" s="140">
        <v>1500189.11</v>
      </c>
      <c r="H44" s="141">
        <v>2751.6000000000004</v>
      </c>
      <c r="I44" s="142">
        <f t="shared" si="0"/>
        <v>545.2061019043465</v>
      </c>
    </row>
    <row r="45" spans="1:9" x14ac:dyDescent="0.3">
      <c r="A45" s="34">
        <v>5</v>
      </c>
      <c r="B45" s="136">
        <v>223</v>
      </c>
      <c r="C45" s="137">
        <v>5</v>
      </c>
      <c r="D45" s="138" t="s">
        <v>87</v>
      </c>
      <c r="E45" s="139">
        <v>230639.28</v>
      </c>
      <c r="F45" s="140">
        <v>800.41</v>
      </c>
      <c r="G45" s="140">
        <v>229838.87</v>
      </c>
      <c r="H45" s="141">
        <v>273.99</v>
      </c>
      <c r="I45" s="142">
        <f t="shared" si="0"/>
        <v>838.85860797839337</v>
      </c>
    </row>
    <row r="46" spans="1:9" x14ac:dyDescent="0.3">
      <c r="A46" s="34">
        <v>5</v>
      </c>
      <c r="B46" s="136">
        <v>224</v>
      </c>
      <c r="C46" s="137">
        <v>5</v>
      </c>
      <c r="D46" s="138" t="s">
        <v>88</v>
      </c>
      <c r="E46" s="139">
        <v>77631.63</v>
      </c>
      <c r="F46" s="140">
        <v>210</v>
      </c>
      <c r="G46" s="140">
        <v>77421.63</v>
      </c>
      <c r="H46" s="141">
        <v>196.82810451351673</v>
      </c>
      <c r="I46" s="142">
        <f t="shared" si="0"/>
        <v>393.34641864969666</v>
      </c>
    </row>
    <row r="47" spans="1:9" x14ac:dyDescent="0.3">
      <c r="A47" s="34">
        <v>5</v>
      </c>
      <c r="B47" s="136">
        <v>233</v>
      </c>
      <c r="C47" s="137">
        <v>5</v>
      </c>
      <c r="D47" s="138" t="s">
        <v>89</v>
      </c>
      <c r="E47" s="139">
        <v>703293.56</v>
      </c>
      <c r="F47" s="140">
        <v>171134.77</v>
      </c>
      <c r="G47" s="140">
        <v>532158.79</v>
      </c>
      <c r="H47" s="141">
        <v>2130.7600000000002</v>
      </c>
      <c r="I47" s="142">
        <f t="shared" si="0"/>
        <v>249.7506945878466</v>
      </c>
    </row>
    <row r="48" spans="1:9" x14ac:dyDescent="0.3">
      <c r="A48" s="34">
        <v>5</v>
      </c>
      <c r="B48" s="136">
        <v>272</v>
      </c>
      <c r="C48" s="137">
        <v>5</v>
      </c>
      <c r="D48" s="138" t="s">
        <v>90</v>
      </c>
      <c r="E48" s="139">
        <v>96048.45</v>
      </c>
      <c r="F48" s="140">
        <v>0</v>
      </c>
      <c r="G48" s="140">
        <v>96048.45</v>
      </c>
      <c r="H48" s="141">
        <v>311.79011619626056</v>
      </c>
      <c r="I48" s="142">
        <f t="shared" si="0"/>
        <v>308.05482602130013</v>
      </c>
    </row>
    <row r="49" spans="1:9" x14ac:dyDescent="0.3">
      <c r="A49" s="34">
        <v>5</v>
      </c>
      <c r="B49" s="136">
        <v>427</v>
      </c>
      <c r="C49" s="137">
        <v>5</v>
      </c>
      <c r="D49" s="138" t="s">
        <v>91</v>
      </c>
      <c r="E49" s="139">
        <v>207168.59</v>
      </c>
      <c r="F49" s="140">
        <v>41727.25</v>
      </c>
      <c r="G49" s="140">
        <v>165441.34</v>
      </c>
      <c r="H49" s="141">
        <v>437.80999999999989</v>
      </c>
      <c r="I49" s="142">
        <f t="shared" si="0"/>
        <v>377.88387656746085</v>
      </c>
    </row>
    <row r="50" spans="1:9" x14ac:dyDescent="0.3">
      <c r="A50" s="34">
        <v>5</v>
      </c>
      <c r="B50" s="136">
        <v>524</v>
      </c>
      <c r="C50" s="137">
        <v>5</v>
      </c>
      <c r="D50" s="138" t="s">
        <v>92</v>
      </c>
      <c r="E50" s="139">
        <v>318123.49</v>
      </c>
      <c r="F50" s="140">
        <v>89207.8</v>
      </c>
      <c r="G50" s="140">
        <v>228915.69</v>
      </c>
      <c r="H50" s="141">
        <v>482.90286206873753</v>
      </c>
      <c r="I50" s="142">
        <f t="shared" si="0"/>
        <v>474.04086407633594</v>
      </c>
    </row>
    <row r="51" spans="1:9" x14ac:dyDescent="0.3">
      <c r="A51" s="34">
        <v>5</v>
      </c>
      <c r="B51" s="136">
        <v>565</v>
      </c>
      <c r="C51" s="137">
        <v>5</v>
      </c>
      <c r="D51" s="138" t="s">
        <v>93</v>
      </c>
      <c r="E51" s="139">
        <v>273760.90999999997</v>
      </c>
      <c r="F51" s="140">
        <v>88951.02</v>
      </c>
      <c r="G51" s="140">
        <v>184809.88999999996</v>
      </c>
      <c r="H51" s="141">
        <v>483.48174802310336</v>
      </c>
      <c r="I51" s="142">
        <f t="shared" si="0"/>
        <v>382.2479147468639</v>
      </c>
    </row>
    <row r="52" spans="1:9" x14ac:dyDescent="0.3">
      <c r="A52" s="34">
        <v>5</v>
      </c>
      <c r="B52" s="136">
        <v>613</v>
      </c>
      <c r="C52" s="137">
        <v>5</v>
      </c>
      <c r="D52" s="138" t="s">
        <v>94</v>
      </c>
      <c r="E52" s="139">
        <v>69874.64</v>
      </c>
      <c r="F52" s="140">
        <v>0</v>
      </c>
      <c r="G52" s="140">
        <v>69874.64</v>
      </c>
      <c r="H52" s="141">
        <v>131.44881180778847</v>
      </c>
      <c r="I52" s="142">
        <f t="shared" si="0"/>
        <v>531.57300578855336</v>
      </c>
    </row>
    <row r="53" spans="1:9" x14ac:dyDescent="0.3">
      <c r="A53" s="34">
        <v>5</v>
      </c>
      <c r="B53" s="136">
        <v>696</v>
      </c>
      <c r="C53" s="137">
        <v>5</v>
      </c>
      <c r="D53" s="138" t="s">
        <v>95</v>
      </c>
      <c r="E53" s="139">
        <v>129470.73</v>
      </c>
      <c r="F53" s="140">
        <v>201.75</v>
      </c>
      <c r="G53" s="140">
        <v>129268.98</v>
      </c>
      <c r="H53" s="141">
        <v>255.58276788790465</v>
      </c>
      <c r="I53" s="142">
        <f t="shared" si="0"/>
        <v>505.78128200214081</v>
      </c>
    </row>
    <row r="54" spans="1:9" x14ac:dyDescent="0.3">
      <c r="A54" s="34">
        <v>5</v>
      </c>
      <c r="B54" s="136">
        <v>731</v>
      </c>
      <c r="C54" s="137">
        <v>5</v>
      </c>
      <c r="D54" s="138" t="s">
        <v>96</v>
      </c>
      <c r="E54" s="139">
        <v>268966.73</v>
      </c>
      <c r="F54" s="140">
        <v>41367.85</v>
      </c>
      <c r="G54" s="140">
        <v>227598.87999999998</v>
      </c>
      <c r="H54" s="141">
        <v>1049.3999999999999</v>
      </c>
      <c r="I54" s="142">
        <f t="shared" si="0"/>
        <v>216.88477225080999</v>
      </c>
    </row>
    <row r="55" spans="1:9" x14ac:dyDescent="0.3">
      <c r="A55" s="34">
        <v>5</v>
      </c>
      <c r="B55" s="136">
        <v>732</v>
      </c>
      <c r="C55" s="137">
        <v>5</v>
      </c>
      <c r="D55" s="138" t="s">
        <v>97</v>
      </c>
      <c r="E55" s="139">
        <v>70626.64</v>
      </c>
      <c r="F55" s="140">
        <v>0</v>
      </c>
      <c r="G55" s="140">
        <v>70626.64</v>
      </c>
      <c r="H55" s="141">
        <v>190.20948473695086</v>
      </c>
      <c r="I55" s="142">
        <f t="shared" si="0"/>
        <v>371.30976984493026</v>
      </c>
    </row>
    <row r="56" spans="1:9" x14ac:dyDescent="0.3">
      <c r="A56" s="34">
        <v>5</v>
      </c>
      <c r="B56" s="136">
        <v>754</v>
      </c>
      <c r="C56" s="137">
        <v>5</v>
      </c>
      <c r="D56" s="138" t="s">
        <v>98</v>
      </c>
      <c r="E56" s="139">
        <v>35014.82</v>
      </c>
      <c r="F56" s="140">
        <v>0</v>
      </c>
      <c r="G56" s="140">
        <v>35014.82</v>
      </c>
      <c r="H56" s="141">
        <v>100.39736101583898</v>
      </c>
      <c r="I56" s="142">
        <f t="shared" si="0"/>
        <v>348.762354365828</v>
      </c>
    </row>
    <row r="57" spans="1:9" x14ac:dyDescent="0.3">
      <c r="A57" s="34">
        <v>5</v>
      </c>
      <c r="B57" s="136">
        <v>885</v>
      </c>
      <c r="C57" s="137">
        <v>5</v>
      </c>
      <c r="D57" s="138" t="s">
        <v>99</v>
      </c>
      <c r="E57" s="139">
        <v>146152.16</v>
      </c>
      <c r="F57" s="140">
        <v>0</v>
      </c>
      <c r="G57" s="140">
        <v>146152.16</v>
      </c>
      <c r="H57" s="141">
        <v>441.47999999999996</v>
      </c>
      <c r="I57" s="142">
        <f t="shared" si="0"/>
        <v>331.05046661230409</v>
      </c>
    </row>
    <row r="58" spans="1:9" x14ac:dyDescent="0.3">
      <c r="A58" s="34">
        <v>5</v>
      </c>
      <c r="B58" s="136">
        <v>909</v>
      </c>
      <c r="C58" s="137">
        <v>5</v>
      </c>
      <c r="D58" s="138" t="s">
        <v>100</v>
      </c>
      <c r="E58" s="139">
        <v>200038.02</v>
      </c>
      <c r="F58" s="140">
        <v>620.13</v>
      </c>
      <c r="G58" s="140">
        <v>199417.88999999998</v>
      </c>
      <c r="H58" s="141">
        <v>447.85999999999996</v>
      </c>
      <c r="I58" s="142">
        <f t="shared" si="0"/>
        <v>445.26836511409817</v>
      </c>
    </row>
    <row r="59" spans="1:9" x14ac:dyDescent="0.3">
      <c r="A59" s="34">
        <v>5</v>
      </c>
      <c r="B59" s="136">
        <v>923</v>
      </c>
      <c r="C59" s="137">
        <v>5</v>
      </c>
      <c r="D59" s="138" t="s">
        <v>101</v>
      </c>
      <c r="E59" s="139">
        <v>31192.39</v>
      </c>
      <c r="F59" s="140">
        <v>84</v>
      </c>
      <c r="G59" s="140">
        <v>31108.39</v>
      </c>
      <c r="H59" s="141">
        <v>44.943349148505419</v>
      </c>
      <c r="I59" s="142">
        <f t="shared" si="0"/>
        <v>692.16893243111815</v>
      </c>
    </row>
    <row r="60" spans="1:9" x14ac:dyDescent="0.3">
      <c r="A60" s="34">
        <v>6</v>
      </c>
      <c r="B60" s="136">
        <v>394</v>
      </c>
      <c r="C60" s="137">
        <v>6</v>
      </c>
      <c r="D60" s="138" t="s">
        <v>102</v>
      </c>
      <c r="E60" s="139">
        <v>421357.69</v>
      </c>
      <c r="F60" s="140">
        <v>25617.809999999998</v>
      </c>
      <c r="G60" s="140">
        <v>395739.88</v>
      </c>
      <c r="H60" s="141">
        <v>594.22</v>
      </c>
      <c r="I60" s="142">
        <f t="shared" si="0"/>
        <v>665.982094173875</v>
      </c>
    </row>
    <row r="61" spans="1:9" x14ac:dyDescent="0.3">
      <c r="A61" s="34">
        <v>6</v>
      </c>
      <c r="B61" s="136">
        <v>414</v>
      </c>
      <c r="C61" s="137">
        <v>6</v>
      </c>
      <c r="D61" s="138" t="s">
        <v>103</v>
      </c>
      <c r="E61" s="139">
        <v>222802.48</v>
      </c>
      <c r="F61" s="140">
        <v>11641.15</v>
      </c>
      <c r="G61" s="140">
        <v>211161.33000000002</v>
      </c>
      <c r="H61" s="141">
        <v>165.57474646336405</v>
      </c>
      <c r="I61" s="142">
        <f t="shared" si="0"/>
        <v>1275.3232875807103</v>
      </c>
    </row>
    <row r="62" spans="1:9" x14ac:dyDescent="0.3">
      <c r="A62" s="34">
        <v>6</v>
      </c>
      <c r="B62" s="136">
        <v>426</v>
      </c>
      <c r="C62" s="137">
        <v>6</v>
      </c>
      <c r="D62" s="138" t="s">
        <v>104</v>
      </c>
      <c r="E62" s="139">
        <v>170973.35</v>
      </c>
      <c r="F62" s="140">
        <v>420</v>
      </c>
      <c r="G62" s="140">
        <v>170553.35</v>
      </c>
      <c r="H62" s="141">
        <v>463.46518252947482</v>
      </c>
      <c r="I62" s="142">
        <f t="shared" si="0"/>
        <v>367.9960360110835</v>
      </c>
    </row>
    <row r="63" spans="1:9" x14ac:dyDescent="0.3">
      <c r="A63" s="34">
        <v>6</v>
      </c>
      <c r="B63" s="136">
        <v>430</v>
      </c>
      <c r="C63" s="137">
        <v>6</v>
      </c>
      <c r="D63" s="138" t="s">
        <v>105</v>
      </c>
      <c r="E63" s="139">
        <v>1748413.46</v>
      </c>
      <c r="F63" s="140">
        <v>480</v>
      </c>
      <c r="G63" s="140">
        <v>1747933.46</v>
      </c>
      <c r="H63" s="141">
        <v>2460.6207907556477</v>
      </c>
      <c r="I63" s="142">
        <f t="shared" si="0"/>
        <v>710.36279404239929</v>
      </c>
    </row>
    <row r="64" spans="1:9" x14ac:dyDescent="0.3">
      <c r="A64" s="34">
        <v>6</v>
      </c>
      <c r="B64" s="136">
        <v>443</v>
      </c>
      <c r="C64" s="137">
        <v>6</v>
      </c>
      <c r="D64" s="138" t="s">
        <v>106</v>
      </c>
      <c r="E64" s="139">
        <v>15830.2</v>
      </c>
      <c r="F64" s="140">
        <v>0</v>
      </c>
      <c r="G64" s="140">
        <v>15830.2</v>
      </c>
      <c r="H64" s="141">
        <v>15.06</v>
      </c>
      <c r="I64" s="142">
        <f t="shared" si="0"/>
        <v>1051.1420982735724</v>
      </c>
    </row>
    <row r="65" spans="1:9" x14ac:dyDescent="0.3">
      <c r="A65" s="34">
        <v>6</v>
      </c>
      <c r="B65" s="136">
        <v>562</v>
      </c>
      <c r="C65" s="137">
        <v>6</v>
      </c>
      <c r="D65" s="138" t="s">
        <v>107</v>
      </c>
      <c r="E65" s="139">
        <v>48863.76</v>
      </c>
      <c r="F65" s="140">
        <v>0</v>
      </c>
      <c r="G65" s="140">
        <v>48863.76</v>
      </c>
      <c r="H65" s="141">
        <v>81.472925896153384</v>
      </c>
      <c r="I65" s="142">
        <f t="shared" si="0"/>
        <v>599.75457444946176</v>
      </c>
    </row>
    <row r="66" spans="1:9" x14ac:dyDescent="0.3">
      <c r="A66" s="34">
        <v>6</v>
      </c>
      <c r="B66" s="136">
        <v>603</v>
      </c>
      <c r="C66" s="137">
        <v>6</v>
      </c>
      <c r="D66" s="138" t="s">
        <v>108</v>
      </c>
      <c r="E66" s="139">
        <v>86512.44</v>
      </c>
      <c r="F66" s="140">
        <v>0</v>
      </c>
      <c r="G66" s="140">
        <v>86512.44</v>
      </c>
      <c r="H66" s="141">
        <v>97.242758687043789</v>
      </c>
      <c r="I66" s="142">
        <f t="shared" si="0"/>
        <v>889.65431635298262</v>
      </c>
    </row>
    <row r="67" spans="1:9" x14ac:dyDescent="0.3">
      <c r="A67" s="34">
        <v>6</v>
      </c>
      <c r="B67" s="136">
        <v>618</v>
      </c>
      <c r="C67" s="137">
        <v>6</v>
      </c>
      <c r="D67" s="138" t="s">
        <v>109</v>
      </c>
      <c r="E67" s="139">
        <v>17288.669999999998</v>
      </c>
      <c r="F67" s="140">
        <v>0</v>
      </c>
      <c r="G67" s="140">
        <v>17288.669999999998</v>
      </c>
      <c r="H67" s="141">
        <v>17.611337055752642</v>
      </c>
      <c r="I67" s="142">
        <f t="shared" si="0"/>
        <v>981.6784464046558</v>
      </c>
    </row>
    <row r="68" spans="1:9" x14ac:dyDescent="0.3">
      <c r="A68" s="34">
        <v>6</v>
      </c>
      <c r="B68" s="136">
        <v>620</v>
      </c>
      <c r="C68" s="137">
        <v>6</v>
      </c>
      <c r="D68" s="138" t="s">
        <v>110</v>
      </c>
      <c r="E68" s="139">
        <v>122866.55</v>
      </c>
      <c r="F68" s="140">
        <v>0</v>
      </c>
      <c r="G68" s="140">
        <v>122866.55</v>
      </c>
      <c r="H68" s="141">
        <v>235.76910512683102</v>
      </c>
      <c r="I68" s="142">
        <f t="shared" si="0"/>
        <v>521.13083236204523</v>
      </c>
    </row>
    <row r="69" spans="1:9" x14ac:dyDescent="0.3">
      <c r="A69" s="34">
        <v>6</v>
      </c>
      <c r="B69" s="136">
        <v>622</v>
      </c>
      <c r="C69" s="137">
        <v>6</v>
      </c>
      <c r="D69" s="138" t="s">
        <v>111</v>
      </c>
      <c r="E69" s="139">
        <v>83536.710000000006</v>
      </c>
      <c r="F69" s="140">
        <v>396</v>
      </c>
      <c r="G69" s="140">
        <v>83140.710000000006</v>
      </c>
      <c r="H69" s="141">
        <v>122.59818725735381</v>
      </c>
      <c r="I69" s="142">
        <f t="shared" ref="I69:I132" si="1">IFERROR(G69/H69,0)</f>
        <v>678.15611192907727</v>
      </c>
    </row>
    <row r="70" spans="1:9" x14ac:dyDescent="0.3">
      <c r="A70" s="34">
        <v>6</v>
      </c>
      <c r="B70" s="136">
        <v>623</v>
      </c>
      <c r="C70" s="137">
        <v>6</v>
      </c>
      <c r="D70" s="138" t="s">
        <v>112</v>
      </c>
      <c r="E70" s="139">
        <v>79811.240000000005</v>
      </c>
      <c r="F70" s="140">
        <v>0</v>
      </c>
      <c r="G70" s="140">
        <v>79811.240000000005</v>
      </c>
      <c r="H70" s="141">
        <v>230.09002718232705</v>
      </c>
      <c r="I70" s="142">
        <f t="shared" si="1"/>
        <v>346.86961871996431</v>
      </c>
    </row>
    <row r="71" spans="1:9" x14ac:dyDescent="0.3">
      <c r="A71" s="34">
        <v>6</v>
      </c>
      <c r="B71" s="136">
        <v>626</v>
      </c>
      <c r="C71" s="137">
        <v>6</v>
      </c>
      <c r="D71" s="138" t="s">
        <v>113</v>
      </c>
      <c r="E71" s="139">
        <v>17900.14</v>
      </c>
      <c r="F71" s="140">
        <v>0</v>
      </c>
      <c r="G71" s="140">
        <v>17900.14</v>
      </c>
      <c r="H71" s="141">
        <v>21.510599845182803</v>
      </c>
      <c r="I71" s="142">
        <f t="shared" si="1"/>
        <v>832.15438569039497</v>
      </c>
    </row>
    <row r="72" spans="1:9" x14ac:dyDescent="0.3">
      <c r="A72" s="34">
        <v>6</v>
      </c>
      <c r="B72" s="136">
        <v>627</v>
      </c>
      <c r="C72" s="137">
        <v>6</v>
      </c>
      <c r="D72" s="138" t="s">
        <v>114</v>
      </c>
      <c r="E72" s="139">
        <v>81020.789999999994</v>
      </c>
      <c r="F72" s="140">
        <v>0</v>
      </c>
      <c r="G72" s="140">
        <v>81020.789999999994</v>
      </c>
      <c r="H72" s="141">
        <v>166.68530619268788</v>
      </c>
      <c r="I72" s="142">
        <f t="shared" si="1"/>
        <v>486.07037927110457</v>
      </c>
    </row>
    <row r="73" spans="1:9" x14ac:dyDescent="0.3">
      <c r="A73" s="34">
        <v>6</v>
      </c>
      <c r="B73" s="136">
        <v>634</v>
      </c>
      <c r="C73" s="137">
        <v>6</v>
      </c>
      <c r="D73" s="138" t="s">
        <v>115</v>
      </c>
      <c r="E73" s="139">
        <v>651840.68999999994</v>
      </c>
      <c r="F73" s="140">
        <v>0</v>
      </c>
      <c r="G73" s="140">
        <v>651840.68999999994</v>
      </c>
      <c r="H73" s="141">
        <v>627.63282999291278</v>
      </c>
      <c r="I73" s="142">
        <f t="shared" si="1"/>
        <v>1038.5700983923364</v>
      </c>
    </row>
    <row r="74" spans="1:9" x14ac:dyDescent="0.3">
      <c r="A74" s="34">
        <v>6</v>
      </c>
      <c r="B74" s="136">
        <v>636</v>
      </c>
      <c r="C74" s="137">
        <v>6</v>
      </c>
      <c r="D74" s="138" t="s">
        <v>294</v>
      </c>
      <c r="E74" s="139">
        <v>82605.94</v>
      </c>
      <c r="F74" s="140">
        <v>76356</v>
      </c>
      <c r="G74" s="140">
        <v>6249.9400000000023</v>
      </c>
      <c r="H74" s="141">
        <v>71.040896564249138</v>
      </c>
      <c r="I74" s="142">
        <f t="shared" si="1"/>
        <v>87.976648694848308</v>
      </c>
    </row>
    <row r="75" spans="1:9" x14ac:dyDescent="0.3">
      <c r="A75" s="34">
        <v>6</v>
      </c>
      <c r="B75" s="136">
        <v>641</v>
      </c>
      <c r="C75" s="137">
        <v>6</v>
      </c>
      <c r="D75" s="138" t="s">
        <v>309</v>
      </c>
      <c r="E75" s="139">
        <v>28951.200000000001</v>
      </c>
      <c r="F75" s="140">
        <v>0</v>
      </c>
      <c r="G75" s="140">
        <v>28951.200000000001</v>
      </c>
      <c r="H75" s="141">
        <v>7.6885978325592479</v>
      </c>
      <c r="I75" s="142">
        <f t="shared" si="1"/>
        <v>3765.4720184997923</v>
      </c>
    </row>
    <row r="76" spans="1:9" x14ac:dyDescent="0.3">
      <c r="A76" s="34">
        <v>6</v>
      </c>
      <c r="B76" s="136">
        <v>694</v>
      </c>
      <c r="C76" s="137">
        <v>6</v>
      </c>
      <c r="D76" s="138" t="s">
        <v>116</v>
      </c>
      <c r="E76" s="139">
        <v>89610.08</v>
      </c>
      <c r="F76" s="140">
        <v>0</v>
      </c>
      <c r="G76" s="140">
        <v>89610.08</v>
      </c>
      <c r="H76" s="141">
        <v>13.652308485619448</v>
      </c>
      <c r="I76" s="142">
        <f t="shared" si="1"/>
        <v>6563.7309686043263</v>
      </c>
    </row>
    <row r="77" spans="1:9" x14ac:dyDescent="0.3">
      <c r="A77" s="34">
        <v>6</v>
      </c>
      <c r="B77" s="136">
        <v>710</v>
      </c>
      <c r="C77" s="137">
        <v>6</v>
      </c>
      <c r="D77" s="138" t="s">
        <v>117</v>
      </c>
      <c r="E77" s="139">
        <v>68111.539999999994</v>
      </c>
      <c r="F77" s="140">
        <v>0</v>
      </c>
      <c r="G77" s="140">
        <v>68111.539999999994</v>
      </c>
      <c r="H77" s="141">
        <v>69.210000000000008</v>
      </c>
      <c r="I77" s="142">
        <f t="shared" si="1"/>
        <v>984.12859413379545</v>
      </c>
    </row>
    <row r="78" spans="1:9" x14ac:dyDescent="0.3">
      <c r="A78" s="34">
        <v>6</v>
      </c>
      <c r="B78" s="136">
        <v>743</v>
      </c>
      <c r="C78" s="137">
        <v>6</v>
      </c>
      <c r="D78" s="138" t="s">
        <v>118</v>
      </c>
      <c r="E78" s="139">
        <v>137831.6</v>
      </c>
      <c r="F78" s="140">
        <v>0</v>
      </c>
      <c r="G78" s="140">
        <v>137831.6</v>
      </c>
      <c r="H78" s="141">
        <v>71.12866810077378</v>
      </c>
      <c r="I78" s="142">
        <f t="shared" si="1"/>
        <v>1937.7784468664977</v>
      </c>
    </row>
    <row r="79" spans="1:9" x14ac:dyDescent="0.3">
      <c r="A79" s="34">
        <v>6</v>
      </c>
      <c r="B79" s="136">
        <v>747</v>
      </c>
      <c r="C79" s="137">
        <v>6</v>
      </c>
      <c r="D79" s="138" t="s">
        <v>119</v>
      </c>
      <c r="E79" s="139">
        <v>67182.81</v>
      </c>
      <c r="F79" s="140">
        <v>0</v>
      </c>
      <c r="G79" s="140">
        <v>67182.81</v>
      </c>
      <c r="H79" s="141">
        <v>38</v>
      </c>
      <c r="I79" s="142">
        <f t="shared" si="1"/>
        <v>1767.9686842105264</v>
      </c>
    </row>
    <row r="80" spans="1:9" x14ac:dyDescent="0.3">
      <c r="A80" s="34">
        <v>6</v>
      </c>
      <c r="B80" s="136">
        <v>758</v>
      </c>
      <c r="C80" s="137">
        <v>6</v>
      </c>
      <c r="D80" s="138" t="s">
        <v>120</v>
      </c>
      <c r="E80" s="139">
        <v>340319.42</v>
      </c>
      <c r="F80" s="140">
        <v>142.1</v>
      </c>
      <c r="G80" s="140">
        <v>340177.32</v>
      </c>
      <c r="H80" s="141">
        <v>242.43766590949087</v>
      </c>
      <c r="I80" s="142">
        <f t="shared" si="1"/>
        <v>1403.1537497436484</v>
      </c>
    </row>
    <row r="81" spans="1:9" x14ac:dyDescent="0.3">
      <c r="A81" s="34">
        <v>6</v>
      </c>
      <c r="B81" s="136">
        <v>765</v>
      </c>
      <c r="C81" s="137">
        <v>6</v>
      </c>
      <c r="D81" s="138" t="s">
        <v>121</v>
      </c>
      <c r="E81" s="139">
        <v>83939.95</v>
      </c>
      <c r="F81" s="140">
        <v>0</v>
      </c>
      <c r="G81" s="140">
        <v>83939.95</v>
      </c>
      <c r="H81" s="141">
        <v>86.906400000000005</v>
      </c>
      <c r="I81" s="142">
        <f t="shared" si="1"/>
        <v>965.86615024900345</v>
      </c>
    </row>
    <row r="82" spans="1:9" x14ac:dyDescent="0.3">
      <c r="A82" s="34">
        <v>6</v>
      </c>
      <c r="B82" s="136">
        <v>770</v>
      </c>
      <c r="C82" s="137">
        <v>6</v>
      </c>
      <c r="D82" s="138" t="s">
        <v>122</v>
      </c>
      <c r="E82" s="139">
        <v>30839.79</v>
      </c>
      <c r="F82" s="140">
        <v>0</v>
      </c>
      <c r="G82" s="140">
        <v>30839.79</v>
      </c>
      <c r="H82" s="141">
        <v>26.529718140785779</v>
      </c>
      <c r="I82" s="142">
        <f t="shared" si="1"/>
        <v>1162.4620298015184</v>
      </c>
    </row>
    <row r="83" spans="1:9" x14ac:dyDescent="0.3">
      <c r="A83" s="34">
        <v>6</v>
      </c>
      <c r="B83" s="136">
        <v>774</v>
      </c>
      <c r="C83" s="137">
        <v>6</v>
      </c>
      <c r="D83" s="138" t="s">
        <v>123</v>
      </c>
      <c r="E83" s="139">
        <v>291174.90000000002</v>
      </c>
      <c r="F83" s="140">
        <v>0</v>
      </c>
      <c r="G83" s="140">
        <v>291174.90000000002</v>
      </c>
      <c r="H83" s="141">
        <v>357.53127583624553</v>
      </c>
      <c r="I83" s="142">
        <f t="shared" si="1"/>
        <v>814.40399673835054</v>
      </c>
    </row>
    <row r="84" spans="1:9" x14ac:dyDescent="0.3">
      <c r="A84" s="34">
        <v>6</v>
      </c>
      <c r="B84" s="136">
        <v>794</v>
      </c>
      <c r="C84" s="137">
        <v>6</v>
      </c>
      <c r="D84" s="138" t="s">
        <v>124</v>
      </c>
      <c r="E84" s="139">
        <v>44067.08</v>
      </c>
      <c r="F84" s="140">
        <v>0</v>
      </c>
      <c r="G84" s="140">
        <v>44067.08</v>
      </c>
      <c r="H84" s="141">
        <v>19.658346730975349</v>
      </c>
      <c r="I84" s="142">
        <f t="shared" si="1"/>
        <v>2241.6473065135328</v>
      </c>
    </row>
    <row r="85" spans="1:9" x14ac:dyDescent="0.3">
      <c r="A85" s="34">
        <v>6</v>
      </c>
      <c r="B85" s="136">
        <v>806</v>
      </c>
      <c r="C85" s="137">
        <v>6</v>
      </c>
      <c r="D85" s="138" t="s">
        <v>125</v>
      </c>
      <c r="E85" s="139">
        <v>39624.269999999997</v>
      </c>
      <c r="F85" s="140">
        <v>0</v>
      </c>
      <c r="G85" s="140">
        <v>39624.269999999997</v>
      </c>
      <c r="H85" s="141">
        <v>28</v>
      </c>
      <c r="I85" s="142">
        <f t="shared" si="1"/>
        <v>1415.1524999999999</v>
      </c>
    </row>
    <row r="86" spans="1:9" x14ac:dyDescent="0.3">
      <c r="A86" s="34">
        <v>6</v>
      </c>
      <c r="B86" s="136">
        <v>811</v>
      </c>
      <c r="C86" s="137">
        <v>6</v>
      </c>
      <c r="D86" s="138" t="s">
        <v>126</v>
      </c>
      <c r="E86" s="139">
        <v>508959.18</v>
      </c>
      <c r="F86" s="140">
        <v>7228.6</v>
      </c>
      <c r="G86" s="140">
        <v>501730.58</v>
      </c>
      <c r="H86" s="141">
        <v>586.72521627981052</v>
      </c>
      <c r="I86" s="142">
        <f t="shared" si="1"/>
        <v>855.1372364414002</v>
      </c>
    </row>
    <row r="87" spans="1:9" x14ac:dyDescent="0.3">
      <c r="A87" s="34">
        <v>6</v>
      </c>
      <c r="B87" s="136">
        <v>824</v>
      </c>
      <c r="C87" s="137">
        <v>6</v>
      </c>
      <c r="D87" s="138" t="s">
        <v>127</v>
      </c>
      <c r="E87" s="139">
        <v>64105.83</v>
      </c>
      <c r="F87" s="140">
        <v>0</v>
      </c>
      <c r="G87" s="140">
        <v>64105.83</v>
      </c>
      <c r="H87" s="141">
        <v>33.61</v>
      </c>
      <c r="I87" s="142">
        <f t="shared" si="1"/>
        <v>1907.3439452543887</v>
      </c>
    </row>
    <row r="88" spans="1:9" x14ac:dyDescent="0.3">
      <c r="A88" s="34">
        <v>6</v>
      </c>
      <c r="B88" s="136">
        <v>826</v>
      </c>
      <c r="C88" s="137">
        <v>6</v>
      </c>
      <c r="D88" s="138" t="s">
        <v>128</v>
      </c>
      <c r="E88" s="139">
        <v>36328.44</v>
      </c>
      <c r="F88" s="140">
        <v>0</v>
      </c>
      <c r="G88" s="140">
        <v>36328.44</v>
      </c>
      <c r="H88" s="141">
        <v>39.180399999999999</v>
      </c>
      <c r="I88" s="142">
        <f t="shared" si="1"/>
        <v>927.20952312891143</v>
      </c>
    </row>
    <row r="89" spans="1:9" x14ac:dyDescent="0.3">
      <c r="A89" s="34">
        <v>6</v>
      </c>
      <c r="B89" s="136">
        <v>840</v>
      </c>
      <c r="C89" s="137">
        <v>6</v>
      </c>
      <c r="D89" s="138" t="s">
        <v>129</v>
      </c>
      <c r="E89" s="139">
        <v>115261.04</v>
      </c>
      <c r="F89" s="140">
        <v>0</v>
      </c>
      <c r="G89" s="140">
        <v>115261.04</v>
      </c>
      <c r="H89" s="141">
        <v>138.55202775991427</v>
      </c>
      <c r="I89" s="142">
        <f t="shared" si="1"/>
        <v>831.89717150676881</v>
      </c>
    </row>
    <row r="90" spans="1:9" x14ac:dyDescent="0.3">
      <c r="A90" s="34">
        <v>6</v>
      </c>
      <c r="B90" s="136">
        <v>843</v>
      </c>
      <c r="C90" s="137">
        <v>6</v>
      </c>
      <c r="D90" s="138" t="s">
        <v>130</v>
      </c>
      <c r="E90" s="139">
        <v>32653.86</v>
      </c>
      <c r="F90" s="140">
        <v>0</v>
      </c>
      <c r="G90" s="140">
        <v>32653.86</v>
      </c>
      <c r="H90" s="141">
        <v>24.72</v>
      </c>
      <c r="I90" s="142">
        <f t="shared" si="1"/>
        <v>1320.9490291262136</v>
      </c>
    </row>
    <row r="91" spans="1:9" x14ac:dyDescent="0.3">
      <c r="A91" s="34">
        <v>6</v>
      </c>
      <c r="B91" s="136">
        <v>846</v>
      </c>
      <c r="C91" s="137">
        <v>6</v>
      </c>
      <c r="D91" s="138" t="s">
        <v>131</v>
      </c>
      <c r="E91" s="139">
        <v>35434.99</v>
      </c>
      <c r="F91" s="140">
        <v>0</v>
      </c>
      <c r="G91" s="140">
        <v>35434.99</v>
      </c>
      <c r="H91" s="141">
        <v>24.695999999999998</v>
      </c>
      <c r="I91" s="142">
        <f t="shared" si="1"/>
        <v>1434.8473436993845</v>
      </c>
    </row>
    <row r="92" spans="1:9" x14ac:dyDescent="0.3">
      <c r="A92" s="34">
        <v>6</v>
      </c>
      <c r="B92" s="136">
        <v>888</v>
      </c>
      <c r="C92" s="137">
        <v>6</v>
      </c>
      <c r="D92" s="138" t="s">
        <v>132</v>
      </c>
      <c r="E92" s="139">
        <v>49302.5</v>
      </c>
      <c r="F92" s="140">
        <v>0</v>
      </c>
      <c r="G92" s="140">
        <v>49302.5</v>
      </c>
      <c r="H92" s="141">
        <v>103.64754100869358</v>
      </c>
      <c r="I92" s="142">
        <f t="shared" si="1"/>
        <v>475.67457481566964</v>
      </c>
    </row>
    <row r="93" spans="1:9" x14ac:dyDescent="0.3">
      <c r="A93" s="34">
        <v>6</v>
      </c>
      <c r="B93" s="136">
        <v>889</v>
      </c>
      <c r="C93" s="137">
        <v>6</v>
      </c>
      <c r="D93" s="138" t="s">
        <v>133</v>
      </c>
      <c r="E93" s="139">
        <v>52828.79</v>
      </c>
      <c r="F93" s="140">
        <v>0</v>
      </c>
      <c r="G93" s="140">
        <v>52828.79</v>
      </c>
      <c r="H93" s="141">
        <v>36.258728414910088</v>
      </c>
      <c r="I93" s="142">
        <f t="shared" si="1"/>
        <v>1456.9951101284644</v>
      </c>
    </row>
    <row r="94" spans="1:9" x14ac:dyDescent="0.3">
      <c r="A94" s="34">
        <v>6</v>
      </c>
      <c r="B94" s="136">
        <v>891</v>
      </c>
      <c r="C94" s="137">
        <v>6</v>
      </c>
      <c r="D94" s="138" t="s">
        <v>134</v>
      </c>
      <c r="E94" s="139">
        <v>101210.64</v>
      </c>
      <c r="F94" s="140">
        <v>0</v>
      </c>
      <c r="G94" s="140">
        <v>101210.64</v>
      </c>
      <c r="H94" s="141">
        <v>291.1435796708804</v>
      </c>
      <c r="I94" s="142">
        <f t="shared" si="1"/>
        <v>347.63136495887113</v>
      </c>
    </row>
    <row r="95" spans="1:9" x14ac:dyDescent="0.3">
      <c r="A95" s="34">
        <v>6</v>
      </c>
      <c r="B95" s="136">
        <v>904</v>
      </c>
      <c r="C95" s="137">
        <v>6</v>
      </c>
      <c r="D95" s="138" t="s">
        <v>135</v>
      </c>
      <c r="E95" s="139">
        <v>14117.02</v>
      </c>
      <c r="F95" s="140">
        <v>0</v>
      </c>
      <c r="G95" s="140">
        <v>14117.02</v>
      </c>
      <c r="H95" s="141">
        <v>23.641458863642349</v>
      </c>
      <c r="I95" s="142">
        <f t="shared" si="1"/>
        <v>597.12981679443806</v>
      </c>
    </row>
    <row r="96" spans="1:9" x14ac:dyDescent="0.3">
      <c r="A96" s="34">
        <v>6</v>
      </c>
      <c r="B96" s="136">
        <v>906</v>
      </c>
      <c r="C96" s="137">
        <v>6</v>
      </c>
      <c r="D96" s="138" t="s">
        <v>301</v>
      </c>
      <c r="E96" s="139">
        <v>141116.71</v>
      </c>
      <c r="F96" s="140">
        <v>58.4</v>
      </c>
      <c r="G96" s="140">
        <v>141058.31</v>
      </c>
      <c r="H96" s="141">
        <v>251.9</v>
      </c>
      <c r="I96" s="142">
        <f t="shared" si="1"/>
        <v>559.97741167129811</v>
      </c>
    </row>
    <row r="97" spans="1:9" x14ac:dyDescent="0.3">
      <c r="A97" s="34">
        <v>6</v>
      </c>
      <c r="B97" s="136">
        <v>917</v>
      </c>
      <c r="C97" s="137">
        <v>6</v>
      </c>
      <c r="D97" s="138" t="s">
        <v>136</v>
      </c>
      <c r="E97" s="139">
        <v>59201.33</v>
      </c>
      <c r="F97" s="140">
        <v>0</v>
      </c>
      <c r="G97" s="140">
        <v>59201.33</v>
      </c>
      <c r="H97" s="141">
        <v>188.10316882508283</v>
      </c>
      <c r="I97" s="142">
        <f t="shared" si="1"/>
        <v>314.72797810786125</v>
      </c>
    </row>
    <row r="98" spans="1:9" x14ac:dyDescent="0.3">
      <c r="A98" s="34">
        <v>6</v>
      </c>
      <c r="B98" s="136">
        <v>957</v>
      </c>
      <c r="C98" s="137">
        <v>6</v>
      </c>
      <c r="D98" s="138" t="s">
        <v>137</v>
      </c>
      <c r="E98" s="139">
        <v>40203.24</v>
      </c>
      <c r="F98" s="140">
        <v>0</v>
      </c>
      <c r="G98" s="140">
        <v>40203.24</v>
      </c>
      <c r="H98" s="141">
        <v>101.14874671311182</v>
      </c>
      <c r="I98" s="142">
        <f t="shared" si="1"/>
        <v>397.46651645648603</v>
      </c>
    </row>
    <row r="99" spans="1:9" x14ac:dyDescent="0.3">
      <c r="A99" s="34">
        <v>6</v>
      </c>
      <c r="B99" s="136">
        <v>959</v>
      </c>
      <c r="C99" s="137">
        <v>6</v>
      </c>
      <c r="D99" s="138" t="s">
        <v>138</v>
      </c>
      <c r="E99" s="139">
        <v>123075.62</v>
      </c>
      <c r="F99" s="140">
        <v>0</v>
      </c>
      <c r="G99" s="140">
        <v>123075.62</v>
      </c>
      <c r="H99" s="141">
        <v>330.53661839718791</v>
      </c>
      <c r="I99" s="142">
        <f t="shared" si="1"/>
        <v>372.35093829182551</v>
      </c>
    </row>
    <row r="100" spans="1:9" x14ac:dyDescent="0.3">
      <c r="A100" s="34">
        <v>6</v>
      </c>
      <c r="B100" s="136">
        <v>969</v>
      </c>
      <c r="C100" s="137">
        <v>6</v>
      </c>
      <c r="D100" s="138" t="s">
        <v>139</v>
      </c>
      <c r="E100" s="139">
        <v>87738.63</v>
      </c>
      <c r="F100" s="140">
        <v>0</v>
      </c>
      <c r="G100" s="140">
        <v>87738.63</v>
      </c>
      <c r="H100" s="141">
        <v>20.253037614115541</v>
      </c>
      <c r="I100" s="142">
        <f t="shared" si="1"/>
        <v>4332.1220091375208</v>
      </c>
    </row>
    <row r="101" spans="1:9" x14ac:dyDescent="0.3">
      <c r="A101" s="34">
        <v>6</v>
      </c>
      <c r="B101" s="136">
        <v>970</v>
      </c>
      <c r="C101" s="137">
        <v>6</v>
      </c>
      <c r="D101" s="138" t="s">
        <v>140</v>
      </c>
      <c r="E101" s="139">
        <v>73920.09</v>
      </c>
      <c r="F101" s="140">
        <v>161.72</v>
      </c>
      <c r="G101" s="140">
        <v>73758.37</v>
      </c>
      <c r="H101" s="141">
        <v>155.9519118961008</v>
      </c>
      <c r="I101" s="142">
        <f t="shared" si="1"/>
        <v>472.95585609197104</v>
      </c>
    </row>
    <row r="102" spans="1:9" x14ac:dyDescent="0.3">
      <c r="A102" s="34">
        <v>6</v>
      </c>
      <c r="B102" s="136">
        <v>986</v>
      </c>
      <c r="C102" s="137">
        <v>6</v>
      </c>
      <c r="D102" s="138" t="s">
        <v>142</v>
      </c>
      <c r="E102" s="139">
        <v>43562.55</v>
      </c>
      <c r="F102" s="140">
        <v>0</v>
      </c>
      <c r="G102" s="140">
        <v>43562.55</v>
      </c>
      <c r="H102" s="141">
        <v>7.8194336527541735</v>
      </c>
      <c r="I102" s="142">
        <f t="shared" si="1"/>
        <v>5571.0620403635412</v>
      </c>
    </row>
    <row r="103" spans="1:9" x14ac:dyDescent="0.3">
      <c r="A103" s="34">
        <v>6</v>
      </c>
      <c r="B103" s="136">
        <v>988</v>
      </c>
      <c r="C103" s="137">
        <v>6</v>
      </c>
      <c r="D103" s="138" t="s">
        <v>143</v>
      </c>
      <c r="E103" s="139">
        <v>132703.88</v>
      </c>
      <c r="F103" s="140">
        <v>91</v>
      </c>
      <c r="G103" s="140">
        <v>132612.88</v>
      </c>
      <c r="H103" s="141">
        <v>133.20495744908894</v>
      </c>
      <c r="I103" s="142">
        <f t="shared" si="1"/>
        <v>995.55513953513912</v>
      </c>
    </row>
    <row r="104" spans="1:9" x14ac:dyDescent="0.3">
      <c r="A104" s="34">
        <v>6</v>
      </c>
      <c r="B104" s="136">
        <v>989</v>
      </c>
      <c r="C104" s="137">
        <v>6</v>
      </c>
      <c r="D104" s="138" t="s">
        <v>144</v>
      </c>
      <c r="E104" s="139">
        <v>276934.09999999998</v>
      </c>
      <c r="F104" s="140">
        <v>36351.42</v>
      </c>
      <c r="G104" s="140">
        <v>240582.68</v>
      </c>
      <c r="H104" s="141">
        <v>311.67839867788797</v>
      </c>
      <c r="I104" s="142">
        <f t="shared" si="1"/>
        <v>771.89398116946927</v>
      </c>
    </row>
    <row r="105" spans="1:9" x14ac:dyDescent="0.3">
      <c r="A105" s="34">
        <v>6</v>
      </c>
      <c r="B105" s="136">
        <v>39</v>
      </c>
      <c r="C105" s="137">
        <v>7</v>
      </c>
      <c r="D105" s="138" t="s">
        <v>145</v>
      </c>
      <c r="E105" s="139">
        <v>131981.43</v>
      </c>
      <c r="F105" s="140">
        <v>1501.53</v>
      </c>
      <c r="G105" s="140">
        <v>130479.9</v>
      </c>
      <c r="H105" s="141">
        <v>314.39</v>
      </c>
      <c r="I105" s="142">
        <f t="shared" si="1"/>
        <v>415.02560514011259</v>
      </c>
    </row>
    <row r="106" spans="1:9" x14ac:dyDescent="0.3">
      <c r="A106" s="34">
        <v>7</v>
      </c>
      <c r="B106" s="136">
        <v>59</v>
      </c>
      <c r="C106" s="137">
        <v>7</v>
      </c>
      <c r="D106" s="138" t="s">
        <v>146</v>
      </c>
      <c r="E106" s="139">
        <v>176388.86</v>
      </c>
      <c r="F106" s="140">
        <v>0</v>
      </c>
      <c r="G106" s="140">
        <v>176388.86</v>
      </c>
      <c r="H106" s="141">
        <v>199.24762291396314</v>
      </c>
      <c r="I106" s="142">
        <f t="shared" si="1"/>
        <v>885.27460162556736</v>
      </c>
    </row>
    <row r="107" spans="1:9" x14ac:dyDescent="0.3">
      <c r="A107" s="34">
        <v>7</v>
      </c>
      <c r="B107" s="136">
        <v>128</v>
      </c>
      <c r="C107" s="137">
        <v>7</v>
      </c>
      <c r="D107" s="138" t="s">
        <v>147</v>
      </c>
      <c r="E107" s="139">
        <v>94207.63</v>
      </c>
      <c r="F107" s="140">
        <v>265.42</v>
      </c>
      <c r="G107" s="140">
        <v>93942.21</v>
      </c>
      <c r="H107" s="141">
        <v>124.30081693950216</v>
      </c>
      <c r="I107" s="142">
        <f t="shared" si="1"/>
        <v>755.76502482459273</v>
      </c>
    </row>
    <row r="108" spans="1:9" x14ac:dyDescent="0.3">
      <c r="A108" s="34">
        <v>7</v>
      </c>
      <c r="B108" s="136">
        <v>152</v>
      </c>
      <c r="C108" s="137">
        <v>7</v>
      </c>
      <c r="D108" s="138" t="s">
        <v>148</v>
      </c>
      <c r="E108" s="139">
        <v>201392.59</v>
      </c>
      <c r="F108" s="140">
        <v>0</v>
      </c>
      <c r="G108" s="140">
        <v>201392.59</v>
      </c>
      <c r="H108" s="141">
        <v>416.02</v>
      </c>
      <c r="I108" s="142">
        <f t="shared" si="1"/>
        <v>484.09352915725208</v>
      </c>
    </row>
    <row r="109" spans="1:9" x14ac:dyDescent="0.3">
      <c r="A109" s="34">
        <v>7</v>
      </c>
      <c r="B109" s="136">
        <v>162</v>
      </c>
      <c r="C109" s="137">
        <v>7</v>
      </c>
      <c r="D109" s="138" t="s">
        <v>149</v>
      </c>
      <c r="E109" s="139">
        <v>406976.46</v>
      </c>
      <c r="F109" s="140">
        <v>20849.919999999998</v>
      </c>
      <c r="G109" s="140">
        <v>386126.54000000004</v>
      </c>
      <c r="H109" s="141">
        <v>817.57999999999993</v>
      </c>
      <c r="I109" s="142">
        <f t="shared" si="1"/>
        <v>472.27982582744204</v>
      </c>
    </row>
    <row r="110" spans="1:9" x14ac:dyDescent="0.3">
      <c r="A110" s="34">
        <v>7</v>
      </c>
      <c r="B110" s="136">
        <v>166</v>
      </c>
      <c r="C110" s="137">
        <v>7</v>
      </c>
      <c r="D110" s="138" t="s">
        <v>150</v>
      </c>
      <c r="E110" s="139">
        <v>468737.5</v>
      </c>
      <c r="F110" s="140">
        <v>69372.91</v>
      </c>
      <c r="G110" s="140">
        <v>399364.58999999997</v>
      </c>
      <c r="H110" s="141">
        <v>812.39060000000006</v>
      </c>
      <c r="I110" s="142">
        <f t="shared" si="1"/>
        <v>491.59184018131174</v>
      </c>
    </row>
    <row r="111" spans="1:9" x14ac:dyDescent="0.3">
      <c r="A111" s="34">
        <v>7</v>
      </c>
      <c r="B111" s="136">
        <v>192</v>
      </c>
      <c r="C111" s="137">
        <v>7</v>
      </c>
      <c r="D111" s="138" t="s">
        <v>151</v>
      </c>
      <c r="E111" s="139">
        <v>131883.44</v>
      </c>
      <c r="F111" s="140">
        <v>15209.029999999999</v>
      </c>
      <c r="G111" s="140">
        <v>116674.41</v>
      </c>
      <c r="H111" s="141">
        <v>176.93</v>
      </c>
      <c r="I111" s="142">
        <f t="shared" si="1"/>
        <v>659.43825241620982</v>
      </c>
    </row>
    <row r="112" spans="1:9" x14ac:dyDescent="0.3">
      <c r="A112" s="34">
        <v>7</v>
      </c>
      <c r="B112" s="136">
        <v>205</v>
      </c>
      <c r="C112" s="137">
        <v>7</v>
      </c>
      <c r="D112" s="138" t="s">
        <v>152</v>
      </c>
      <c r="E112" s="139">
        <v>404989.35</v>
      </c>
      <c r="F112" s="140">
        <v>12086.56</v>
      </c>
      <c r="G112" s="140">
        <v>392902.79</v>
      </c>
      <c r="H112" s="141">
        <v>569.83868095153036</v>
      </c>
      <c r="I112" s="142">
        <f t="shared" si="1"/>
        <v>689.49827930936772</v>
      </c>
    </row>
    <row r="113" spans="1:9" x14ac:dyDescent="0.3">
      <c r="A113" s="34">
        <v>7</v>
      </c>
      <c r="B113" s="136">
        <v>212</v>
      </c>
      <c r="C113" s="137">
        <v>7</v>
      </c>
      <c r="D113" s="138" t="s">
        <v>153</v>
      </c>
      <c r="E113" s="139">
        <v>252953.60000000001</v>
      </c>
      <c r="F113" s="140">
        <v>851</v>
      </c>
      <c r="G113" s="140">
        <v>252102.6</v>
      </c>
      <c r="H113" s="141">
        <v>406.16674424941203</v>
      </c>
      <c r="I113" s="142">
        <f t="shared" si="1"/>
        <v>620.68744812153579</v>
      </c>
    </row>
    <row r="114" spans="1:9" x14ac:dyDescent="0.3">
      <c r="A114" s="34">
        <v>7</v>
      </c>
      <c r="B114" s="136">
        <v>216</v>
      </c>
      <c r="C114" s="137">
        <v>7</v>
      </c>
      <c r="D114" s="138" t="s">
        <v>154</v>
      </c>
      <c r="E114" s="139">
        <v>322813.15000000002</v>
      </c>
      <c r="F114" s="140">
        <v>665</v>
      </c>
      <c r="G114" s="140">
        <v>322148.15000000002</v>
      </c>
      <c r="H114" s="141">
        <v>734.36593752530666</v>
      </c>
      <c r="I114" s="142">
        <f t="shared" si="1"/>
        <v>438.6752347005455</v>
      </c>
    </row>
    <row r="115" spans="1:9" x14ac:dyDescent="0.3">
      <c r="A115" s="34">
        <v>7</v>
      </c>
      <c r="B115" s="136">
        <v>229</v>
      </c>
      <c r="C115" s="137">
        <v>7</v>
      </c>
      <c r="D115" s="138" t="s">
        <v>155</v>
      </c>
      <c r="E115" s="139">
        <v>520124.41</v>
      </c>
      <c r="F115" s="140">
        <v>81188.479999999996</v>
      </c>
      <c r="G115" s="140">
        <v>438935.93</v>
      </c>
      <c r="H115" s="141">
        <v>828.46</v>
      </c>
      <c r="I115" s="142">
        <f t="shared" si="1"/>
        <v>529.82151220336527</v>
      </c>
    </row>
    <row r="116" spans="1:9" x14ac:dyDescent="0.3">
      <c r="A116" s="34">
        <v>7</v>
      </c>
      <c r="B116" s="136">
        <v>236</v>
      </c>
      <c r="C116" s="137">
        <v>7</v>
      </c>
      <c r="D116" s="138" t="s">
        <v>156</v>
      </c>
      <c r="E116" s="139">
        <v>641009.56000000006</v>
      </c>
      <c r="F116" s="140">
        <v>131330.90000000002</v>
      </c>
      <c r="G116" s="140">
        <v>509678.66000000003</v>
      </c>
      <c r="H116" s="141">
        <v>1063.22</v>
      </c>
      <c r="I116" s="142">
        <f t="shared" si="1"/>
        <v>479.37271684129342</v>
      </c>
    </row>
    <row r="117" spans="1:9" x14ac:dyDescent="0.3">
      <c r="A117" s="34">
        <v>7</v>
      </c>
      <c r="B117" s="136">
        <v>238</v>
      </c>
      <c r="C117" s="137">
        <v>7</v>
      </c>
      <c r="D117" s="138" t="s">
        <v>292</v>
      </c>
      <c r="E117" s="139">
        <v>35866.36</v>
      </c>
      <c r="F117" s="140">
        <v>24</v>
      </c>
      <c r="G117" s="140">
        <v>35842.36</v>
      </c>
      <c r="H117" s="141">
        <v>59.944851964987492</v>
      </c>
      <c r="I117" s="142">
        <f t="shared" si="1"/>
        <v>597.92223727459964</v>
      </c>
    </row>
    <row r="118" spans="1:9" x14ac:dyDescent="0.3">
      <c r="A118" s="34">
        <v>7</v>
      </c>
      <c r="B118" s="136">
        <v>239</v>
      </c>
      <c r="C118" s="137">
        <v>7</v>
      </c>
      <c r="D118" s="138" t="s">
        <v>157</v>
      </c>
      <c r="E118" s="139">
        <v>1822993.26</v>
      </c>
      <c r="F118" s="140">
        <v>204609.35</v>
      </c>
      <c r="G118" s="140">
        <v>1618383.91</v>
      </c>
      <c r="H118" s="141">
        <v>2925.25</v>
      </c>
      <c r="I118" s="142">
        <f t="shared" si="1"/>
        <v>553.24635843090334</v>
      </c>
    </row>
    <row r="119" spans="1:9" x14ac:dyDescent="0.3">
      <c r="A119" s="34">
        <v>7</v>
      </c>
      <c r="B119" s="136">
        <v>249</v>
      </c>
      <c r="C119" s="137">
        <v>7</v>
      </c>
      <c r="D119" s="138" t="s">
        <v>158</v>
      </c>
      <c r="E119" s="139">
        <v>679586.79</v>
      </c>
      <c r="F119" s="140">
        <v>0</v>
      </c>
      <c r="G119" s="140">
        <v>679586.79</v>
      </c>
      <c r="H119" s="141">
        <v>1034.1306673789729</v>
      </c>
      <c r="I119" s="142">
        <f t="shared" si="1"/>
        <v>657.15756377521211</v>
      </c>
    </row>
    <row r="120" spans="1:9" x14ac:dyDescent="0.3">
      <c r="A120" s="34">
        <v>7</v>
      </c>
      <c r="B120" s="136">
        <v>271</v>
      </c>
      <c r="C120" s="137">
        <v>7</v>
      </c>
      <c r="D120" s="138" t="s">
        <v>159</v>
      </c>
      <c r="E120" s="139">
        <v>726125.85</v>
      </c>
      <c r="F120" s="140">
        <v>103587.01000000002</v>
      </c>
      <c r="G120" s="140">
        <v>622538.84</v>
      </c>
      <c r="H120" s="141">
        <v>759.30399999999997</v>
      </c>
      <c r="I120" s="142">
        <f t="shared" si="1"/>
        <v>819.88089092115933</v>
      </c>
    </row>
    <row r="121" spans="1:9" x14ac:dyDescent="0.3">
      <c r="A121" s="34">
        <v>7</v>
      </c>
      <c r="B121" s="136">
        <v>275</v>
      </c>
      <c r="C121" s="137">
        <v>7</v>
      </c>
      <c r="D121" s="138" t="s">
        <v>160</v>
      </c>
      <c r="E121" s="139">
        <v>403137.48</v>
      </c>
      <c r="F121" s="140">
        <v>66785.36</v>
      </c>
      <c r="G121" s="140">
        <v>336352.12</v>
      </c>
      <c r="H121" s="141">
        <v>689.9799999999999</v>
      </c>
      <c r="I121" s="142">
        <f t="shared" si="1"/>
        <v>487.48097046291201</v>
      </c>
    </row>
    <row r="122" spans="1:9" x14ac:dyDescent="0.3">
      <c r="A122" s="34">
        <v>7</v>
      </c>
      <c r="B122" s="136">
        <v>282</v>
      </c>
      <c r="C122" s="137">
        <v>7</v>
      </c>
      <c r="D122" s="138" t="s">
        <v>161</v>
      </c>
      <c r="E122" s="139">
        <v>58517.06</v>
      </c>
      <c r="F122" s="140">
        <v>0</v>
      </c>
      <c r="G122" s="140">
        <v>58517.06</v>
      </c>
      <c r="H122" s="141">
        <v>110.63441938423811</v>
      </c>
      <c r="I122" s="142">
        <f t="shared" si="1"/>
        <v>528.92273783954818</v>
      </c>
    </row>
    <row r="123" spans="1:9" x14ac:dyDescent="0.3">
      <c r="A123" s="34">
        <v>7</v>
      </c>
      <c r="B123" s="136">
        <v>287</v>
      </c>
      <c r="C123" s="137">
        <v>7</v>
      </c>
      <c r="D123" s="138" t="s">
        <v>162</v>
      </c>
      <c r="E123" s="139">
        <v>122709.58</v>
      </c>
      <c r="F123" s="140">
        <v>1002.5</v>
      </c>
      <c r="G123" s="140">
        <v>121707.08</v>
      </c>
      <c r="H123" s="141">
        <v>159.07264082238018</v>
      </c>
      <c r="I123" s="142">
        <f t="shared" si="1"/>
        <v>765.10378762050982</v>
      </c>
    </row>
    <row r="124" spans="1:9" x14ac:dyDescent="0.3">
      <c r="A124" s="34">
        <v>7</v>
      </c>
      <c r="B124" s="136">
        <v>290</v>
      </c>
      <c r="C124" s="137">
        <v>7</v>
      </c>
      <c r="D124" s="138" t="s">
        <v>163</v>
      </c>
      <c r="E124" s="139">
        <v>123807.44</v>
      </c>
      <c r="F124" s="140">
        <v>4228.57</v>
      </c>
      <c r="G124" s="140">
        <v>119578.87</v>
      </c>
      <c r="H124" s="141">
        <v>274.87774876618727</v>
      </c>
      <c r="I124" s="142">
        <f t="shared" si="1"/>
        <v>435.02564517040821</v>
      </c>
    </row>
    <row r="125" spans="1:9" x14ac:dyDescent="0.3">
      <c r="A125" s="34">
        <v>7</v>
      </c>
      <c r="B125" s="136">
        <v>294</v>
      </c>
      <c r="C125" s="137">
        <v>7</v>
      </c>
      <c r="D125" s="138" t="s">
        <v>164</v>
      </c>
      <c r="E125" s="139">
        <v>587423.01</v>
      </c>
      <c r="F125" s="140">
        <v>1414</v>
      </c>
      <c r="G125" s="140">
        <v>586009.01</v>
      </c>
      <c r="H125" s="141">
        <v>1039.1314711563653</v>
      </c>
      <c r="I125" s="142">
        <f t="shared" si="1"/>
        <v>563.94116265950265</v>
      </c>
    </row>
    <row r="126" spans="1:9" x14ac:dyDescent="0.3">
      <c r="A126" s="34">
        <v>7</v>
      </c>
      <c r="B126" s="136">
        <v>296</v>
      </c>
      <c r="C126" s="137">
        <v>7</v>
      </c>
      <c r="D126" s="138" t="s">
        <v>165</v>
      </c>
      <c r="E126" s="139">
        <v>880549.01</v>
      </c>
      <c r="F126" s="140">
        <v>140281.66999999998</v>
      </c>
      <c r="G126" s="140">
        <v>740267.34000000008</v>
      </c>
      <c r="H126" s="141">
        <v>799.83</v>
      </c>
      <c r="I126" s="142">
        <f t="shared" si="1"/>
        <v>925.53085030569002</v>
      </c>
    </row>
    <row r="127" spans="1:9" x14ac:dyDescent="0.3">
      <c r="A127" s="34">
        <v>7</v>
      </c>
      <c r="B127" s="136">
        <v>301</v>
      </c>
      <c r="C127" s="137">
        <v>7</v>
      </c>
      <c r="D127" s="138" t="s">
        <v>166</v>
      </c>
      <c r="E127" s="139">
        <v>272819.37</v>
      </c>
      <c r="F127" s="140">
        <v>512.72</v>
      </c>
      <c r="G127" s="140">
        <v>272306.65000000002</v>
      </c>
      <c r="H127" s="141">
        <v>570.30440560902662</v>
      </c>
      <c r="I127" s="142">
        <f t="shared" si="1"/>
        <v>477.47597129151484</v>
      </c>
    </row>
    <row r="128" spans="1:9" x14ac:dyDescent="0.3">
      <c r="A128" s="34">
        <v>7</v>
      </c>
      <c r="B128" s="136">
        <v>321</v>
      </c>
      <c r="C128" s="137">
        <v>7</v>
      </c>
      <c r="D128" s="138" t="s">
        <v>167</v>
      </c>
      <c r="E128" s="139">
        <v>499165.92</v>
      </c>
      <c r="F128" s="140">
        <v>29784.109999999997</v>
      </c>
      <c r="G128" s="140">
        <v>469381.81</v>
      </c>
      <c r="H128" s="141">
        <v>367.13</v>
      </c>
      <c r="I128" s="142">
        <f t="shared" si="1"/>
        <v>1278.5166289870074</v>
      </c>
    </row>
    <row r="129" spans="1:9" x14ac:dyDescent="0.3">
      <c r="A129" s="34">
        <v>7</v>
      </c>
      <c r="B129" s="136">
        <v>325</v>
      </c>
      <c r="C129" s="137">
        <v>7</v>
      </c>
      <c r="D129" s="138" t="s">
        <v>168</v>
      </c>
      <c r="E129" s="139">
        <v>167952.06</v>
      </c>
      <c r="F129" s="140">
        <v>0</v>
      </c>
      <c r="G129" s="140">
        <v>167952.06</v>
      </c>
      <c r="H129" s="141">
        <v>334.4714798023104</v>
      </c>
      <c r="I129" s="142">
        <f t="shared" si="1"/>
        <v>502.14164776999274</v>
      </c>
    </row>
    <row r="130" spans="1:9" x14ac:dyDescent="0.3">
      <c r="A130" s="34">
        <v>7</v>
      </c>
      <c r="B130" s="136">
        <v>346</v>
      </c>
      <c r="C130" s="137">
        <v>7</v>
      </c>
      <c r="D130" s="138" t="s">
        <v>169</v>
      </c>
      <c r="E130" s="139">
        <v>141740.18</v>
      </c>
      <c r="F130" s="140">
        <v>18678.990000000002</v>
      </c>
      <c r="G130" s="140">
        <v>123061.18999999999</v>
      </c>
      <c r="H130" s="141">
        <v>223.88000000000002</v>
      </c>
      <c r="I130" s="142">
        <f t="shared" si="1"/>
        <v>549.67478113274956</v>
      </c>
    </row>
    <row r="131" spans="1:9" x14ac:dyDescent="0.3">
      <c r="A131" s="34">
        <v>7</v>
      </c>
      <c r="B131" s="136">
        <v>358</v>
      </c>
      <c r="C131" s="137">
        <v>7</v>
      </c>
      <c r="D131" s="138" t="s">
        <v>170</v>
      </c>
      <c r="E131" s="139">
        <v>249358.72</v>
      </c>
      <c r="F131" s="140">
        <v>33885.050000000003</v>
      </c>
      <c r="G131" s="140">
        <v>215473.66999999998</v>
      </c>
      <c r="H131" s="141">
        <v>394.71</v>
      </c>
      <c r="I131" s="142">
        <f t="shared" si="1"/>
        <v>545.90375212181095</v>
      </c>
    </row>
    <row r="132" spans="1:9" x14ac:dyDescent="0.3">
      <c r="A132" s="34">
        <v>7</v>
      </c>
      <c r="B132" s="136">
        <v>361</v>
      </c>
      <c r="C132" s="137">
        <v>7</v>
      </c>
      <c r="D132" s="138" t="s">
        <v>171</v>
      </c>
      <c r="E132" s="139">
        <v>950847.24</v>
      </c>
      <c r="F132" s="140">
        <v>8401.06</v>
      </c>
      <c r="G132" s="140">
        <v>942446.17999999993</v>
      </c>
      <c r="H132" s="141">
        <v>1529.9173871204</v>
      </c>
      <c r="I132" s="142">
        <f t="shared" si="1"/>
        <v>616.01115716049583</v>
      </c>
    </row>
    <row r="133" spans="1:9" x14ac:dyDescent="0.3">
      <c r="A133" s="34">
        <v>7</v>
      </c>
      <c r="B133" s="136">
        <v>376</v>
      </c>
      <c r="C133" s="137">
        <v>7</v>
      </c>
      <c r="D133" s="138" t="s">
        <v>172</v>
      </c>
      <c r="E133" s="139">
        <v>292314.15999999997</v>
      </c>
      <c r="F133" s="140">
        <v>428</v>
      </c>
      <c r="G133" s="140">
        <v>291886.15999999997</v>
      </c>
      <c r="H133" s="141">
        <v>640.18619104625316</v>
      </c>
      <c r="I133" s="142">
        <f t="shared" ref="I133:I196" si="2">IFERROR(G133/H133,0)</f>
        <v>455.93948148580313</v>
      </c>
    </row>
    <row r="134" spans="1:9" x14ac:dyDescent="0.3">
      <c r="A134" s="34">
        <v>7</v>
      </c>
      <c r="B134" s="136">
        <v>382</v>
      </c>
      <c r="C134" s="137">
        <v>7</v>
      </c>
      <c r="D134" s="138" t="s">
        <v>173</v>
      </c>
      <c r="E134" s="139">
        <v>102492.26</v>
      </c>
      <c r="F134" s="140">
        <v>19148.469999999998</v>
      </c>
      <c r="G134" s="140">
        <v>83343.789999999994</v>
      </c>
      <c r="H134" s="141">
        <v>188.48</v>
      </c>
      <c r="I134" s="142">
        <f t="shared" si="2"/>
        <v>442.18903862478777</v>
      </c>
    </row>
    <row r="135" spans="1:9" x14ac:dyDescent="0.3">
      <c r="A135" s="34">
        <v>7</v>
      </c>
      <c r="B135" s="136">
        <v>389</v>
      </c>
      <c r="C135" s="137">
        <v>7</v>
      </c>
      <c r="D135" s="138" t="s">
        <v>174</v>
      </c>
      <c r="E135" s="139">
        <v>170757.02</v>
      </c>
      <c r="F135" s="140">
        <v>807.5</v>
      </c>
      <c r="G135" s="140">
        <v>169949.52</v>
      </c>
      <c r="H135" s="141">
        <v>867.99901008098129</v>
      </c>
      <c r="I135" s="142">
        <f t="shared" si="2"/>
        <v>195.79460117603622</v>
      </c>
    </row>
    <row r="136" spans="1:9" x14ac:dyDescent="0.3">
      <c r="A136" s="34">
        <v>7</v>
      </c>
      <c r="B136" s="136">
        <v>434</v>
      </c>
      <c r="C136" s="137">
        <v>7</v>
      </c>
      <c r="D136" s="138" t="s">
        <v>175</v>
      </c>
      <c r="E136" s="139">
        <v>134168.73000000001</v>
      </c>
      <c r="F136" s="140">
        <v>0</v>
      </c>
      <c r="G136" s="140">
        <v>134168.73000000001</v>
      </c>
      <c r="H136" s="141">
        <v>253.47645197603669</v>
      </c>
      <c r="I136" s="142">
        <f t="shared" si="2"/>
        <v>529.31437596690103</v>
      </c>
    </row>
    <row r="137" spans="1:9" x14ac:dyDescent="0.3">
      <c r="A137" s="34">
        <v>7</v>
      </c>
      <c r="B137" s="136">
        <v>437</v>
      </c>
      <c r="C137" s="137">
        <v>7</v>
      </c>
      <c r="D137" s="138" t="s">
        <v>176</v>
      </c>
      <c r="E137" s="139">
        <v>243556.24</v>
      </c>
      <c r="F137" s="140">
        <v>0</v>
      </c>
      <c r="G137" s="140">
        <v>243556.24</v>
      </c>
      <c r="H137" s="141">
        <v>305.36649547710624</v>
      </c>
      <c r="I137" s="142">
        <f t="shared" si="2"/>
        <v>797.58664950935895</v>
      </c>
    </row>
    <row r="138" spans="1:9" x14ac:dyDescent="0.3">
      <c r="A138" s="34">
        <v>7</v>
      </c>
      <c r="B138" s="136">
        <v>502</v>
      </c>
      <c r="C138" s="137">
        <v>7</v>
      </c>
      <c r="D138" s="138" t="s">
        <v>177</v>
      </c>
      <c r="E138" s="139">
        <v>294346.69</v>
      </c>
      <c r="F138" s="140">
        <v>0</v>
      </c>
      <c r="G138" s="140">
        <v>294346.69</v>
      </c>
      <c r="H138" s="141">
        <v>497.74569693932585</v>
      </c>
      <c r="I138" s="142">
        <f t="shared" si="2"/>
        <v>591.35958745592177</v>
      </c>
    </row>
    <row r="139" spans="1:9" x14ac:dyDescent="0.3">
      <c r="A139" s="34">
        <v>7</v>
      </c>
      <c r="B139" s="136">
        <v>503</v>
      </c>
      <c r="C139" s="137">
        <v>7</v>
      </c>
      <c r="D139" s="138" t="s">
        <v>178</v>
      </c>
      <c r="E139" s="139">
        <v>213000.07</v>
      </c>
      <c r="F139" s="140">
        <v>33972.22</v>
      </c>
      <c r="G139" s="140">
        <v>179027.85</v>
      </c>
      <c r="H139" s="141">
        <v>391.2185740323925</v>
      </c>
      <c r="I139" s="142">
        <f t="shared" si="2"/>
        <v>457.61592593805807</v>
      </c>
    </row>
    <row r="140" spans="1:9" x14ac:dyDescent="0.3">
      <c r="A140" s="34">
        <v>7</v>
      </c>
      <c r="B140" s="136">
        <v>510</v>
      </c>
      <c r="C140" s="137">
        <v>7</v>
      </c>
      <c r="D140" s="138" t="s">
        <v>179</v>
      </c>
      <c r="E140" s="139">
        <v>285919.75</v>
      </c>
      <c r="F140" s="140">
        <v>1071</v>
      </c>
      <c r="G140" s="140">
        <v>284848.75</v>
      </c>
      <c r="H140" s="141">
        <v>507.29892721805413</v>
      </c>
      <c r="I140" s="142">
        <f t="shared" si="2"/>
        <v>561.50079315575294</v>
      </c>
    </row>
    <row r="141" spans="1:9" x14ac:dyDescent="0.3">
      <c r="A141" s="34">
        <v>7</v>
      </c>
      <c r="B141" s="136">
        <v>531</v>
      </c>
      <c r="C141" s="137">
        <v>7</v>
      </c>
      <c r="D141" s="138" t="s">
        <v>180</v>
      </c>
      <c r="E141" s="139">
        <v>629818.71</v>
      </c>
      <c r="F141" s="140">
        <v>2609.7399999999998</v>
      </c>
      <c r="G141" s="140">
        <v>627208.97</v>
      </c>
      <c r="H141" s="141">
        <v>1984.57</v>
      </c>
      <c r="I141" s="142">
        <f t="shared" si="2"/>
        <v>316.04275485369624</v>
      </c>
    </row>
    <row r="142" spans="1:9" x14ac:dyDescent="0.3">
      <c r="A142" s="34">
        <v>7</v>
      </c>
      <c r="B142" s="136">
        <v>550</v>
      </c>
      <c r="C142" s="137">
        <v>7</v>
      </c>
      <c r="D142" s="138" t="s">
        <v>181</v>
      </c>
      <c r="E142" s="139">
        <v>463950.3</v>
      </c>
      <c r="F142" s="140">
        <v>1281.74</v>
      </c>
      <c r="G142" s="140">
        <v>462668.56</v>
      </c>
      <c r="H142" s="141">
        <v>242.01</v>
      </c>
      <c r="I142" s="142">
        <f t="shared" si="2"/>
        <v>1911.7745547704642</v>
      </c>
    </row>
    <row r="143" spans="1:9" x14ac:dyDescent="0.3">
      <c r="A143" s="34">
        <v>7</v>
      </c>
      <c r="B143" s="136">
        <v>551</v>
      </c>
      <c r="C143" s="137">
        <v>7</v>
      </c>
      <c r="D143" s="138" t="s">
        <v>182</v>
      </c>
      <c r="E143" s="139">
        <v>117853.72</v>
      </c>
      <c r="F143" s="140">
        <v>72</v>
      </c>
      <c r="G143" s="140">
        <v>117781.72</v>
      </c>
      <c r="H143" s="141">
        <v>153.38752675955698</v>
      </c>
      <c r="I143" s="142">
        <f t="shared" si="2"/>
        <v>767.87025965044108</v>
      </c>
    </row>
    <row r="144" spans="1:9" x14ac:dyDescent="0.3">
      <c r="A144" s="34">
        <v>7</v>
      </c>
      <c r="B144" s="136">
        <v>555</v>
      </c>
      <c r="C144" s="137">
        <v>7</v>
      </c>
      <c r="D144" s="138" t="s">
        <v>183</v>
      </c>
      <c r="E144" s="139">
        <v>492608.68</v>
      </c>
      <c r="F144" s="140">
        <v>497.7</v>
      </c>
      <c r="G144" s="140">
        <v>492110.98</v>
      </c>
      <c r="H144" s="141">
        <v>517.66764141679323</v>
      </c>
      <c r="I144" s="142">
        <f t="shared" si="2"/>
        <v>950.63113980459013</v>
      </c>
    </row>
    <row r="145" spans="1:9" x14ac:dyDescent="0.3">
      <c r="A145" s="34">
        <v>7</v>
      </c>
      <c r="B145" s="136">
        <v>556</v>
      </c>
      <c r="C145" s="137">
        <v>7</v>
      </c>
      <c r="D145" s="138" t="s">
        <v>184</v>
      </c>
      <c r="E145" s="139">
        <v>251644.37</v>
      </c>
      <c r="F145" s="140">
        <v>73939.33</v>
      </c>
      <c r="G145" s="140">
        <v>177705.03999999998</v>
      </c>
      <c r="H145" s="141">
        <v>429.57419276527332</v>
      </c>
      <c r="I145" s="142">
        <f t="shared" si="2"/>
        <v>413.67717845448192</v>
      </c>
    </row>
    <row r="146" spans="1:9" x14ac:dyDescent="0.3">
      <c r="A146" s="34">
        <v>7</v>
      </c>
      <c r="B146" s="136">
        <v>558</v>
      </c>
      <c r="C146" s="137">
        <v>7</v>
      </c>
      <c r="D146" s="138" t="s">
        <v>185</v>
      </c>
      <c r="E146" s="139">
        <v>237481.28</v>
      </c>
      <c r="F146" s="140">
        <v>9049.75</v>
      </c>
      <c r="G146" s="140">
        <v>228431.53</v>
      </c>
      <c r="H146" s="141">
        <v>390.35176357334609</v>
      </c>
      <c r="I146" s="142">
        <f t="shared" si="2"/>
        <v>585.19405140865547</v>
      </c>
    </row>
    <row r="147" spans="1:9" x14ac:dyDescent="0.3">
      <c r="A147" s="34">
        <v>7</v>
      </c>
      <c r="B147" s="136">
        <v>600</v>
      </c>
      <c r="C147" s="137">
        <v>7</v>
      </c>
      <c r="D147" s="138" t="s">
        <v>186</v>
      </c>
      <c r="E147" s="139">
        <v>289349.82</v>
      </c>
      <c r="F147" s="140">
        <v>0</v>
      </c>
      <c r="G147" s="140">
        <v>289349.82</v>
      </c>
      <c r="H147" s="141">
        <v>754.93</v>
      </c>
      <c r="I147" s="142">
        <f t="shared" si="2"/>
        <v>383.28033062668067</v>
      </c>
    </row>
    <row r="148" spans="1:9" x14ac:dyDescent="0.3">
      <c r="A148" s="34">
        <v>7</v>
      </c>
      <c r="B148" s="136">
        <v>604</v>
      </c>
      <c r="C148" s="137">
        <v>7</v>
      </c>
      <c r="D148" s="138" t="s">
        <v>187</v>
      </c>
      <c r="E148" s="139">
        <v>227300.68</v>
      </c>
      <c r="F148" s="140">
        <v>4684.6499999999996</v>
      </c>
      <c r="G148" s="140">
        <v>222616.03</v>
      </c>
      <c r="H148" s="141">
        <v>515.3006777165001</v>
      </c>
      <c r="I148" s="142">
        <f t="shared" si="2"/>
        <v>432.01190999107388</v>
      </c>
    </row>
    <row r="149" spans="1:9" x14ac:dyDescent="0.3">
      <c r="A149" s="34">
        <v>7</v>
      </c>
      <c r="B149" s="136">
        <v>612</v>
      </c>
      <c r="C149" s="137">
        <v>7</v>
      </c>
      <c r="D149" s="138" t="s">
        <v>188</v>
      </c>
      <c r="E149" s="139">
        <v>309970.14</v>
      </c>
      <c r="F149" s="140">
        <v>6701.21</v>
      </c>
      <c r="G149" s="140">
        <v>303268.93</v>
      </c>
      <c r="H149" s="141">
        <v>465.46763838354235</v>
      </c>
      <c r="I149" s="142">
        <f t="shared" si="2"/>
        <v>651.53601451903376</v>
      </c>
    </row>
    <row r="150" spans="1:9" x14ac:dyDescent="0.3">
      <c r="A150" s="34">
        <v>7</v>
      </c>
      <c r="B150" s="136">
        <v>635</v>
      </c>
      <c r="C150" s="137">
        <v>7</v>
      </c>
      <c r="D150" s="138" t="s">
        <v>293</v>
      </c>
      <c r="E150" s="139">
        <v>38338.959999999999</v>
      </c>
      <c r="F150" s="140">
        <v>0</v>
      </c>
      <c r="G150" s="140">
        <v>38338.959999999999</v>
      </c>
      <c r="H150" s="141">
        <v>58.100000000000016</v>
      </c>
      <c r="I150" s="142">
        <f t="shared" si="2"/>
        <v>659.8788296041306</v>
      </c>
    </row>
    <row r="151" spans="1:9" x14ac:dyDescent="0.3">
      <c r="A151" s="34">
        <v>7</v>
      </c>
      <c r="B151" s="136">
        <v>642</v>
      </c>
      <c r="C151" s="137">
        <v>7</v>
      </c>
      <c r="D151" s="138" t="s">
        <v>310</v>
      </c>
      <c r="E151" s="139">
        <v>68196.52</v>
      </c>
      <c r="F151" s="140">
        <v>0</v>
      </c>
      <c r="G151" s="140">
        <v>68196.52</v>
      </c>
      <c r="H151" s="141">
        <v>131.41386363582231</v>
      </c>
      <c r="I151" s="142">
        <f t="shared" si="2"/>
        <v>518.94463881670856</v>
      </c>
    </row>
    <row r="152" spans="1:9" x14ac:dyDescent="0.3">
      <c r="A152" s="34">
        <v>7</v>
      </c>
      <c r="B152" s="136">
        <v>643</v>
      </c>
      <c r="C152" s="137">
        <v>7</v>
      </c>
      <c r="D152" s="138" t="s">
        <v>311</v>
      </c>
      <c r="E152" s="139">
        <v>25324.71</v>
      </c>
      <c r="F152" s="140">
        <v>0</v>
      </c>
      <c r="G152" s="140">
        <v>25324.71</v>
      </c>
      <c r="H152" s="141">
        <v>8.1079758961533877</v>
      </c>
      <c r="I152" s="142">
        <f t="shared" si="2"/>
        <v>3123.4318311200986</v>
      </c>
    </row>
    <row r="153" spans="1:9" x14ac:dyDescent="0.3">
      <c r="A153" s="34">
        <v>7</v>
      </c>
      <c r="B153" s="136">
        <v>711</v>
      </c>
      <c r="C153" s="137">
        <v>7</v>
      </c>
      <c r="D153" s="138" t="s">
        <v>189</v>
      </c>
      <c r="E153" s="139">
        <v>239906.51</v>
      </c>
      <c r="F153" s="140">
        <v>6079.57</v>
      </c>
      <c r="G153" s="140">
        <v>233826.94</v>
      </c>
      <c r="H153" s="141">
        <v>456.7</v>
      </c>
      <c r="I153" s="142">
        <f t="shared" si="2"/>
        <v>511.99242391066349</v>
      </c>
    </row>
    <row r="154" spans="1:9" x14ac:dyDescent="0.3">
      <c r="A154" s="34">
        <v>7</v>
      </c>
      <c r="B154" s="136">
        <v>712</v>
      </c>
      <c r="C154" s="137">
        <v>7</v>
      </c>
      <c r="D154" s="138" t="s">
        <v>190</v>
      </c>
      <c r="E154" s="139">
        <v>294954.17</v>
      </c>
      <c r="F154" s="140">
        <v>0</v>
      </c>
      <c r="G154" s="140">
        <v>294954.17</v>
      </c>
      <c r="H154" s="141">
        <v>732.75000000000011</v>
      </c>
      <c r="I154" s="142">
        <f t="shared" si="2"/>
        <v>402.53042647560551</v>
      </c>
    </row>
    <row r="155" spans="1:9" x14ac:dyDescent="0.3">
      <c r="A155" s="34">
        <v>7</v>
      </c>
      <c r="B155" s="136">
        <v>718</v>
      </c>
      <c r="C155" s="137">
        <v>7</v>
      </c>
      <c r="D155" s="138" t="s">
        <v>191</v>
      </c>
      <c r="E155" s="139">
        <v>24351.48</v>
      </c>
      <c r="F155" s="140">
        <v>0</v>
      </c>
      <c r="G155" s="140">
        <v>24351.48</v>
      </c>
      <c r="H155" s="141">
        <v>33.193848082682578</v>
      </c>
      <c r="I155" s="142">
        <f t="shared" si="2"/>
        <v>733.614251030579</v>
      </c>
    </row>
    <row r="156" spans="1:9" x14ac:dyDescent="0.3">
      <c r="A156" s="34">
        <v>7</v>
      </c>
      <c r="B156" s="136">
        <v>736</v>
      </c>
      <c r="C156" s="137">
        <v>7</v>
      </c>
      <c r="D156" s="138" t="s">
        <v>192</v>
      </c>
      <c r="E156" s="139">
        <v>112946.17</v>
      </c>
      <c r="F156" s="140">
        <v>198</v>
      </c>
      <c r="G156" s="140">
        <v>112748.17</v>
      </c>
      <c r="H156" s="141">
        <v>122.59818725735381</v>
      </c>
      <c r="I156" s="142">
        <f t="shared" si="2"/>
        <v>919.65609379951923</v>
      </c>
    </row>
    <row r="157" spans="1:9" x14ac:dyDescent="0.3">
      <c r="A157" s="34">
        <v>7</v>
      </c>
      <c r="B157" s="136">
        <v>757</v>
      </c>
      <c r="C157" s="137">
        <v>7</v>
      </c>
      <c r="D157" s="138" t="s">
        <v>193</v>
      </c>
      <c r="E157" s="139">
        <v>282725.34000000003</v>
      </c>
      <c r="F157" s="140">
        <v>29075.73</v>
      </c>
      <c r="G157" s="140">
        <v>253649.61000000002</v>
      </c>
      <c r="H157" s="141">
        <v>525.4</v>
      </c>
      <c r="I157" s="142">
        <f t="shared" si="2"/>
        <v>482.77428625808915</v>
      </c>
    </row>
    <row r="158" spans="1:9" x14ac:dyDescent="0.3">
      <c r="A158" s="34">
        <v>7</v>
      </c>
      <c r="B158" s="136">
        <v>786</v>
      </c>
      <c r="C158" s="137">
        <v>7</v>
      </c>
      <c r="D158" s="138" t="s">
        <v>194</v>
      </c>
      <c r="E158" s="139">
        <v>1688120.75</v>
      </c>
      <c r="F158" s="140">
        <v>214655.14</v>
      </c>
      <c r="G158" s="140">
        <v>1473465.6099999999</v>
      </c>
      <c r="H158" s="141">
        <v>3077.6600000000003</v>
      </c>
      <c r="I158" s="142">
        <f t="shared" si="2"/>
        <v>478.76165983247006</v>
      </c>
    </row>
    <row r="159" spans="1:9" x14ac:dyDescent="0.3">
      <c r="A159" s="34">
        <v>7</v>
      </c>
      <c r="B159" s="136">
        <v>854</v>
      </c>
      <c r="C159" s="137">
        <v>7</v>
      </c>
      <c r="D159" s="138" t="s">
        <v>195</v>
      </c>
      <c r="E159" s="139">
        <v>538668.79</v>
      </c>
      <c r="F159" s="140">
        <v>37955.19</v>
      </c>
      <c r="G159" s="140">
        <v>500713.60000000003</v>
      </c>
      <c r="H159" s="141">
        <v>929.24</v>
      </c>
      <c r="I159" s="142">
        <f t="shared" si="2"/>
        <v>538.84206448280315</v>
      </c>
    </row>
    <row r="160" spans="1:9" x14ac:dyDescent="0.3">
      <c r="A160" s="34">
        <v>7</v>
      </c>
      <c r="B160" s="136">
        <v>855</v>
      </c>
      <c r="C160" s="137">
        <v>7</v>
      </c>
      <c r="D160" s="138" t="s">
        <v>196</v>
      </c>
      <c r="E160" s="139">
        <v>140023.82</v>
      </c>
      <c r="F160" s="140">
        <v>7037</v>
      </c>
      <c r="G160" s="140">
        <v>132986.82</v>
      </c>
      <c r="H160" s="141">
        <v>155.11361225224698</v>
      </c>
      <c r="I160" s="142">
        <f t="shared" si="2"/>
        <v>857.35106074208238</v>
      </c>
    </row>
    <row r="161" spans="1:9" x14ac:dyDescent="0.3">
      <c r="A161" s="34">
        <v>7</v>
      </c>
      <c r="B161" s="136">
        <v>862</v>
      </c>
      <c r="C161" s="137">
        <v>7</v>
      </c>
      <c r="D161" s="138" t="s">
        <v>197</v>
      </c>
      <c r="E161" s="139">
        <v>11467.29</v>
      </c>
      <c r="F161" s="140">
        <v>8232.5</v>
      </c>
      <c r="G161" s="140">
        <v>3234.7900000000009</v>
      </c>
      <c r="H161" s="141">
        <v>12.345441747052517</v>
      </c>
      <c r="I161" s="142">
        <f t="shared" si="2"/>
        <v>262.02302568657046</v>
      </c>
    </row>
    <row r="162" spans="1:9" x14ac:dyDescent="0.3">
      <c r="A162" s="34">
        <v>7</v>
      </c>
      <c r="B162" s="136">
        <v>958</v>
      </c>
      <c r="C162" s="137">
        <v>7</v>
      </c>
      <c r="D162" s="138" t="s">
        <v>198</v>
      </c>
      <c r="E162" s="139">
        <v>99405.3</v>
      </c>
      <c r="F162" s="140">
        <v>311.52</v>
      </c>
      <c r="G162" s="140">
        <v>99093.78</v>
      </c>
      <c r="H162" s="141">
        <v>508.60074662379418</v>
      </c>
      <c r="I162" s="142">
        <f t="shared" si="2"/>
        <v>194.83608834199859</v>
      </c>
    </row>
    <row r="163" spans="1:9" x14ac:dyDescent="0.3">
      <c r="A163" s="34">
        <v>7</v>
      </c>
      <c r="B163" s="136">
        <v>967</v>
      </c>
      <c r="C163" s="137">
        <v>7</v>
      </c>
      <c r="D163" s="138" t="s">
        <v>199</v>
      </c>
      <c r="E163" s="139">
        <v>91606.77</v>
      </c>
      <c r="F163" s="140">
        <v>0</v>
      </c>
      <c r="G163" s="140">
        <v>91606.77</v>
      </c>
      <c r="H163" s="141">
        <v>155.99990261402883</v>
      </c>
      <c r="I163" s="142">
        <f t="shared" si="2"/>
        <v>587.22325120068342</v>
      </c>
    </row>
    <row r="164" spans="1:9" x14ac:dyDescent="0.3">
      <c r="A164" s="34">
        <v>7</v>
      </c>
      <c r="B164" s="136">
        <v>971</v>
      </c>
      <c r="C164" s="137">
        <v>7</v>
      </c>
      <c r="D164" s="138" t="s">
        <v>200</v>
      </c>
      <c r="E164" s="139">
        <v>579439.27</v>
      </c>
      <c r="F164" s="140">
        <v>96935.22</v>
      </c>
      <c r="G164" s="140">
        <v>482504.05000000005</v>
      </c>
      <c r="H164" s="141">
        <v>888.33999999999992</v>
      </c>
      <c r="I164" s="142">
        <f t="shared" si="2"/>
        <v>543.15245288965946</v>
      </c>
    </row>
    <row r="165" spans="1:9" x14ac:dyDescent="0.3">
      <c r="A165" s="34">
        <v>7</v>
      </c>
      <c r="B165" s="136">
        <v>975</v>
      </c>
      <c r="C165" s="137">
        <v>7</v>
      </c>
      <c r="D165" s="138" t="s">
        <v>201</v>
      </c>
      <c r="E165" s="139">
        <v>76785.06</v>
      </c>
      <c r="F165" s="140">
        <v>0</v>
      </c>
      <c r="G165" s="140">
        <v>76785.06</v>
      </c>
      <c r="H165" s="141">
        <v>30.317539180659761</v>
      </c>
      <c r="I165" s="142">
        <f t="shared" si="2"/>
        <v>2532.694343773881</v>
      </c>
    </row>
    <row r="166" spans="1:9" x14ac:dyDescent="0.3">
      <c r="A166" s="34">
        <v>7</v>
      </c>
      <c r="B166" s="136">
        <v>976</v>
      </c>
      <c r="C166" s="137">
        <v>7</v>
      </c>
      <c r="D166" s="138" t="s">
        <v>202</v>
      </c>
      <c r="E166" s="139">
        <v>39297.230000000003</v>
      </c>
      <c r="F166" s="140">
        <v>0</v>
      </c>
      <c r="G166" s="140">
        <v>39297.230000000003</v>
      </c>
      <c r="H166" s="141">
        <v>31.32229912468739</v>
      </c>
      <c r="I166" s="142">
        <f t="shared" si="2"/>
        <v>1254.6087323783645</v>
      </c>
    </row>
    <row r="167" spans="1:9" x14ac:dyDescent="0.3">
      <c r="A167" s="34">
        <v>7</v>
      </c>
      <c r="B167" s="136">
        <v>977</v>
      </c>
      <c r="C167" s="137">
        <v>7</v>
      </c>
      <c r="D167" s="138" t="s">
        <v>203</v>
      </c>
      <c r="E167" s="139">
        <v>60860.35</v>
      </c>
      <c r="F167" s="140">
        <v>0</v>
      </c>
      <c r="G167" s="140">
        <v>60860.35</v>
      </c>
      <c r="H167" s="141">
        <v>47.09266172442539</v>
      </c>
      <c r="I167" s="142">
        <f t="shared" si="2"/>
        <v>1292.3531559150281</v>
      </c>
    </row>
    <row r="168" spans="1:9" x14ac:dyDescent="0.3">
      <c r="A168" s="34">
        <v>8</v>
      </c>
      <c r="B168" s="136">
        <v>979</v>
      </c>
      <c r="C168" s="137">
        <v>7</v>
      </c>
      <c r="D168" s="138" t="s">
        <v>287</v>
      </c>
      <c r="E168" s="139">
        <v>106200.78</v>
      </c>
      <c r="F168" s="140">
        <v>0</v>
      </c>
      <c r="G168" s="140">
        <v>106200.78</v>
      </c>
      <c r="H168" s="141">
        <v>251.06766740502562</v>
      </c>
      <c r="I168" s="142">
        <f t="shared" si="2"/>
        <v>422.99664109546819</v>
      </c>
    </row>
    <row r="169" spans="1:9" x14ac:dyDescent="0.3">
      <c r="A169" s="34">
        <v>8</v>
      </c>
      <c r="B169" s="136">
        <v>981</v>
      </c>
      <c r="C169" s="137">
        <v>7</v>
      </c>
      <c r="D169" s="138" t="s">
        <v>204</v>
      </c>
      <c r="E169" s="139">
        <v>116776.12</v>
      </c>
      <c r="F169" s="140">
        <v>26983</v>
      </c>
      <c r="G169" s="140">
        <v>89793.12</v>
      </c>
      <c r="H169" s="141">
        <v>202.51591950101229</v>
      </c>
      <c r="I169" s="142">
        <f t="shared" si="2"/>
        <v>443.38795795039294</v>
      </c>
    </row>
    <row r="170" spans="1:9" x14ac:dyDescent="0.3">
      <c r="A170" s="34">
        <v>8</v>
      </c>
      <c r="B170" s="136">
        <v>983</v>
      </c>
      <c r="C170" s="137">
        <v>7</v>
      </c>
      <c r="D170" s="138" t="s">
        <v>205</v>
      </c>
      <c r="E170" s="139">
        <v>32152.06</v>
      </c>
      <c r="F170" s="140">
        <v>0</v>
      </c>
      <c r="G170" s="140">
        <v>32152.06</v>
      </c>
      <c r="H170" s="141">
        <v>75.897818175471599</v>
      </c>
      <c r="I170" s="142">
        <f t="shared" si="2"/>
        <v>423.62298117274202</v>
      </c>
    </row>
    <row r="171" spans="1:9" x14ac:dyDescent="0.3">
      <c r="A171" s="34">
        <v>8</v>
      </c>
      <c r="B171" s="136">
        <v>984</v>
      </c>
      <c r="C171" s="137">
        <v>7</v>
      </c>
      <c r="D171" s="138" t="s">
        <v>312</v>
      </c>
      <c r="E171" s="139">
        <v>9622.4</v>
      </c>
      <c r="F171" s="140">
        <v>2612</v>
      </c>
      <c r="G171" s="140">
        <v>7010.4</v>
      </c>
      <c r="H171" s="141">
        <v>22.261985542455641</v>
      </c>
      <c r="I171" s="142">
        <f t="shared" si="2"/>
        <v>314.90452577244406</v>
      </c>
    </row>
    <row r="172" spans="1:9" x14ac:dyDescent="0.3">
      <c r="A172" s="34">
        <v>8</v>
      </c>
      <c r="B172" s="136">
        <v>188</v>
      </c>
      <c r="C172" s="137">
        <v>8</v>
      </c>
      <c r="D172" s="138" t="s">
        <v>206</v>
      </c>
      <c r="E172" s="139">
        <v>136694.57999999999</v>
      </c>
      <c r="F172" s="140">
        <v>8053</v>
      </c>
      <c r="G172" s="140">
        <v>128641.57999999999</v>
      </c>
      <c r="H172" s="141">
        <v>151.82</v>
      </c>
      <c r="I172" s="142">
        <f t="shared" si="2"/>
        <v>847.32960084310366</v>
      </c>
    </row>
    <row r="173" spans="1:9" x14ac:dyDescent="0.3">
      <c r="A173" s="34">
        <v>8</v>
      </c>
      <c r="B173" s="136">
        <v>232</v>
      </c>
      <c r="C173" s="137">
        <v>8</v>
      </c>
      <c r="D173" s="138" t="s">
        <v>207</v>
      </c>
      <c r="E173" s="139">
        <v>120790.9</v>
      </c>
      <c r="F173" s="140">
        <v>0</v>
      </c>
      <c r="G173" s="140">
        <v>120790.9</v>
      </c>
      <c r="H173" s="141">
        <v>99.943034780278666</v>
      </c>
      <c r="I173" s="142">
        <f t="shared" si="2"/>
        <v>1208.5974802101482</v>
      </c>
    </row>
    <row r="174" spans="1:9" x14ac:dyDescent="0.3">
      <c r="A174" s="34">
        <v>8</v>
      </c>
      <c r="B174" s="136">
        <v>245</v>
      </c>
      <c r="C174" s="137">
        <v>8</v>
      </c>
      <c r="D174" s="138" t="s">
        <v>208</v>
      </c>
      <c r="E174" s="139">
        <v>631790.16</v>
      </c>
      <c r="F174" s="140">
        <v>0</v>
      </c>
      <c r="G174" s="140">
        <v>631790.16</v>
      </c>
      <c r="H174" s="141">
        <v>237.74999999999997</v>
      </c>
      <c r="I174" s="142">
        <f t="shared" si="2"/>
        <v>2657.3718611987388</v>
      </c>
    </row>
    <row r="175" spans="1:9" x14ac:dyDescent="0.3">
      <c r="A175" s="34">
        <v>8</v>
      </c>
      <c r="B175" s="136">
        <v>372</v>
      </c>
      <c r="C175" s="137">
        <v>8</v>
      </c>
      <c r="D175" s="138" t="s">
        <v>209</v>
      </c>
      <c r="E175" s="139">
        <v>86253.52</v>
      </c>
      <c r="F175" s="140">
        <v>0</v>
      </c>
      <c r="G175" s="140">
        <v>86253.52</v>
      </c>
      <c r="H175" s="141">
        <v>124.59</v>
      </c>
      <c r="I175" s="142">
        <f t="shared" si="2"/>
        <v>692.29890039328995</v>
      </c>
    </row>
    <row r="176" spans="1:9" x14ac:dyDescent="0.3">
      <c r="A176" s="34">
        <v>8</v>
      </c>
      <c r="B176" s="136">
        <v>375</v>
      </c>
      <c r="C176" s="137">
        <v>8</v>
      </c>
      <c r="D176" s="138" t="s">
        <v>210</v>
      </c>
      <c r="E176" s="139">
        <v>231561.51</v>
      </c>
      <c r="F176" s="140">
        <v>0</v>
      </c>
      <c r="G176" s="140">
        <v>231561.51</v>
      </c>
      <c r="H176" s="141">
        <v>162.62</v>
      </c>
      <c r="I176" s="142">
        <f t="shared" si="2"/>
        <v>1423.9423810109458</v>
      </c>
    </row>
    <row r="177" spans="1:9" x14ac:dyDescent="0.3">
      <c r="A177" s="34">
        <v>8</v>
      </c>
      <c r="B177" s="136">
        <v>404</v>
      </c>
      <c r="C177" s="137">
        <v>8</v>
      </c>
      <c r="D177" s="138" t="s">
        <v>211</v>
      </c>
      <c r="E177" s="139">
        <v>301241.45</v>
      </c>
      <c r="F177" s="140">
        <v>16226.76</v>
      </c>
      <c r="G177" s="140">
        <v>285014.69</v>
      </c>
      <c r="H177" s="141">
        <v>459.07044990472792</v>
      </c>
      <c r="I177" s="142">
        <f t="shared" si="2"/>
        <v>620.85174521503143</v>
      </c>
    </row>
    <row r="178" spans="1:9" x14ac:dyDescent="0.3">
      <c r="A178" s="34">
        <v>8</v>
      </c>
      <c r="B178" s="136">
        <v>413</v>
      </c>
      <c r="C178" s="137">
        <v>8</v>
      </c>
      <c r="D178" s="138" t="s">
        <v>212</v>
      </c>
      <c r="E178" s="139">
        <v>92788.2</v>
      </c>
      <c r="F178" s="140">
        <v>110</v>
      </c>
      <c r="G178" s="140">
        <v>92678.2</v>
      </c>
      <c r="H178" s="141">
        <v>76.8</v>
      </c>
      <c r="I178" s="142">
        <f t="shared" si="2"/>
        <v>1206.7473958333333</v>
      </c>
    </row>
    <row r="179" spans="1:9" x14ac:dyDescent="0.3">
      <c r="A179" s="34">
        <v>8</v>
      </c>
      <c r="B179" s="136">
        <v>537</v>
      </c>
      <c r="C179" s="137">
        <v>8</v>
      </c>
      <c r="D179" s="138" t="s">
        <v>213</v>
      </c>
      <c r="E179" s="139">
        <v>8112.34</v>
      </c>
      <c r="F179" s="140">
        <v>0</v>
      </c>
      <c r="G179" s="140">
        <v>8112.34</v>
      </c>
      <c r="H179" s="141">
        <v>9.7919034029984697</v>
      </c>
      <c r="I179" s="142">
        <f t="shared" si="2"/>
        <v>828.47426757864514</v>
      </c>
    </row>
    <row r="180" spans="1:9" x14ac:dyDescent="0.3">
      <c r="A180" s="34">
        <v>8</v>
      </c>
      <c r="B180" s="136">
        <v>545</v>
      </c>
      <c r="C180" s="137">
        <v>8</v>
      </c>
      <c r="D180" s="138" t="s">
        <v>214</v>
      </c>
      <c r="E180" s="139">
        <v>8088.84</v>
      </c>
      <c r="F180" s="140">
        <v>0</v>
      </c>
      <c r="G180" s="140">
        <v>8088.84</v>
      </c>
      <c r="H180" s="141">
        <v>14.800550827676549</v>
      </c>
      <c r="I180" s="142">
        <f t="shared" si="2"/>
        <v>546.52290270671085</v>
      </c>
    </row>
    <row r="181" spans="1:9" x14ac:dyDescent="0.3">
      <c r="A181" s="34">
        <v>8</v>
      </c>
      <c r="B181" s="136">
        <v>602</v>
      </c>
      <c r="C181" s="137">
        <v>8</v>
      </c>
      <c r="D181" s="138" t="s">
        <v>215</v>
      </c>
      <c r="E181" s="139">
        <v>26328.83</v>
      </c>
      <c r="F181" s="140">
        <v>0</v>
      </c>
      <c r="G181" s="140">
        <v>26328.83</v>
      </c>
      <c r="H181" s="141">
        <v>15.286640564393293</v>
      </c>
      <c r="I181" s="142">
        <f t="shared" si="2"/>
        <v>1722.3424524893287</v>
      </c>
    </row>
    <row r="182" spans="1:9" x14ac:dyDescent="0.3">
      <c r="A182" s="34">
        <v>8</v>
      </c>
      <c r="B182" s="136">
        <v>605</v>
      </c>
      <c r="C182" s="137">
        <v>8</v>
      </c>
      <c r="D182" s="138" t="s">
        <v>216</v>
      </c>
      <c r="E182" s="139">
        <v>8356.2900000000009</v>
      </c>
      <c r="F182" s="140">
        <v>0</v>
      </c>
      <c r="G182" s="140">
        <v>8356.2900000000009</v>
      </c>
      <c r="H182" s="141">
        <v>11.743239548775863</v>
      </c>
      <c r="I182" s="142">
        <f t="shared" si="2"/>
        <v>711.58303169171711</v>
      </c>
    </row>
    <row r="183" spans="1:9" x14ac:dyDescent="0.3">
      <c r="A183" s="34">
        <v>8</v>
      </c>
      <c r="B183" s="136">
        <v>607</v>
      </c>
      <c r="C183" s="137">
        <v>8</v>
      </c>
      <c r="D183" s="138" t="s">
        <v>217</v>
      </c>
      <c r="E183" s="139">
        <v>12544.93</v>
      </c>
      <c r="F183" s="140">
        <v>0</v>
      </c>
      <c r="G183" s="140">
        <v>12544.93</v>
      </c>
      <c r="H183" s="141">
        <v>17.618381590574945</v>
      </c>
      <c r="I183" s="142">
        <f t="shared" si="2"/>
        <v>712.03645666926548</v>
      </c>
    </row>
    <row r="184" spans="1:9" x14ac:dyDescent="0.3">
      <c r="A184" s="34">
        <v>8</v>
      </c>
      <c r="B184" s="136">
        <v>610</v>
      </c>
      <c r="C184" s="137">
        <v>8</v>
      </c>
      <c r="D184" s="138" t="s">
        <v>218</v>
      </c>
      <c r="E184" s="139">
        <v>39395.15</v>
      </c>
      <c r="F184" s="140">
        <v>0</v>
      </c>
      <c r="G184" s="140">
        <v>39395.15</v>
      </c>
      <c r="H184" s="141">
        <v>75.671529349767766</v>
      </c>
      <c r="I184" s="142">
        <f t="shared" si="2"/>
        <v>520.60729231344533</v>
      </c>
    </row>
    <row r="185" spans="1:9" x14ac:dyDescent="0.3">
      <c r="A185" s="34">
        <v>8</v>
      </c>
      <c r="B185" s="136">
        <v>611</v>
      </c>
      <c r="C185" s="137">
        <v>8</v>
      </c>
      <c r="D185" s="138" t="s">
        <v>219</v>
      </c>
      <c r="E185" s="139">
        <v>37334.879999999997</v>
      </c>
      <c r="F185" s="140">
        <v>0</v>
      </c>
      <c r="G185" s="140">
        <v>37334.879999999997</v>
      </c>
      <c r="H185" s="141">
        <v>19.780665332856973</v>
      </c>
      <c r="I185" s="142">
        <f t="shared" si="2"/>
        <v>1887.4430850404374</v>
      </c>
    </row>
    <row r="186" spans="1:9" x14ac:dyDescent="0.3">
      <c r="A186" s="34">
        <v>8</v>
      </c>
      <c r="B186" s="136">
        <v>616</v>
      </c>
      <c r="C186" s="137">
        <v>8</v>
      </c>
      <c r="D186" s="138" t="s">
        <v>220</v>
      </c>
      <c r="E186" s="139">
        <v>264029.39</v>
      </c>
      <c r="F186" s="140">
        <v>0</v>
      </c>
      <c r="G186" s="140">
        <v>264029.39</v>
      </c>
      <c r="H186" s="141">
        <v>164.92000000000002</v>
      </c>
      <c r="I186" s="142">
        <f t="shared" si="2"/>
        <v>1600.9543414989084</v>
      </c>
    </row>
    <row r="187" spans="1:9" x14ac:dyDescent="0.3">
      <c r="A187" s="34">
        <v>8</v>
      </c>
      <c r="B187" s="136">
        <v>637</v>
      </c>
      <c r="C187" s="137">
        <v>8</v>
      </c>
      <c r="D187" s="138" t="s">
        <v>295</v>
      </c>
      <c r="E187" s="139">
        <v>24131.66</v>
      </c>
      <c r="F187" s="140">
        <v>0</v>
      </c>
      <c r="G187" s="140">
        <v>24131.66</v>
      </c>
      <c r="H187" s="141">
        <v>11.1622</v>
      </c>
      <c r="I187" s="142">
        <f t="shared" si="2"/>
        <v>2161.9089426815503</v>
      </c>
    </row>
    <row r="188" spans="1:9" x14ac:dyDescent="0.3">
      <c r="A188" s="34">
        <v>8</v>
      </c>
      <c r="B188" s="136">
        <v>638</v>
      </c>
      <c r="C188" s="137">
        <v>8</v>
      </c>
      <c r="D188" s="138" t="s">
        <v>296</v>
      </c>
      <c r="E188" s="139">
        <v>19979.61</v>
      </c>
      <c r="F188" s="140">
        <v>0</v>
      </c>
      <c r="G188" s="140">
        <v>19979.61</v>
      </c>
      <c r="H188" s="141">
        <v>11.482591760350724</v>
      </c>
      <c r="I188" s="142">
        <f t="shared" si="2"/>
        <v>1739.9913205126213</v>
      </c>
    </row>
    <row r="189" spans="1:9" x14ac:dyDescent="0.3">
      <c r="A189" s="34">
        <v>8</v>
      </c>
      <c r="B189" s="136">
        <v>639</v>
      </c>
      <c r="C189" s="137">
        <v>8</v>
      </c>
      <c r="D189" s="138" t="s">
        <v>297</v>
      </c>
      <c r="E189" s="139">
        <v>19587.5</v>
      </c>
      <c r="F189" s="140">
        <v>0</v>
      </c>
      <c r="G189" s="140">
        <v>19587.5</v>
      </c>
      <c r="H189" s="141">
        <v>26.744088597118019</v>
      </c>
      <c r="I189" s="142">
        <f t="shared" si="2"/>
        <v>732.40484262046516</v>
      </c>
    </row>
    <row r="190" spans="1:9" x14ac:dyDescent="0.3">
      <c r="A190" s="34">
        <v>8</v>
      </c>
      <c r="B190" s="136">
        <v>645</v>
      </c>
      <c r="C190" s="137">
        <v>8</v>
      </c>
      <c r="D190" s="138" t="s">
        <v>313</v>
      </c>
      <c r="E190" s="139">
        <v>14942.85</v>
      </c>
      <c r="F190" s="140">
        <v>0</v>
      </c>
      <c r="G190" s="140">
        <v>14942.85</v>
      </c>
      <c r="H190" s="141">
        <v>4.4384178397046563</v>
      </c>
      <c r="I190" s="142">
        <f t="shared" si="2"/>
        <v>3366.7064570455891</v>
      </c>
    </row>
    <row r="191" spans="1:9" x14ac:dyDescent="0.3">
      <c r="A191" s="34">
        <v>8</v>
      </c>
      <c r="B191" s="136">
        <v>706</v>
      </c>
      <c r="C191" s="137">
        <v>8</v>
      </c>
      <c r="D191" s="138" t="s">
        <v>221</v>
      </c>
      <c r="E191" s="139">
        <v>63477.03</v>
      </c>
      <c r="F191" s="140">
        <v>0</v>
      </c>
      <c r="G191" s="140">
        <v>63477.03</v>
      </c>
      <c r="H191" s="141">
        <v>56.018140906938008</v>
      </c>
      <c r="I191" s="142">
        <f t="shared" si="2"/>
        <v>1133.1513144189007</v>
      </c>
    </row>
    <row r="192" spans="1:9" x14ac:dyDescent="0.3">
      <c r="A192" s="34">
        <v>8</v>
      </c>
      <c r="B192" s="136">
        <v>709</v>
      </c>
      <c r="C192" s="137">
        <v>8</v>
      </c>
      <c r="D192" s="138" t="s">
        <v>222</v>
      </c>
      <c r="E192" s="139">
        <v>43632.11</v>
      </c>
      <c r="F192" s="140">
        <v>0</v>
      </c>
      <c r="G192" s="140">
        <v>43632.11</v>
      </c>
      <c r="H192" s="141">
        <v>69.808973502441347</v>
      </c>
      <c r="I192" s="142">
        <f t="shared" si="2"/>
        <v>625.02150956959861</v>
      </c>
    </row>
    <row r="193" spans="1:9" x14ac:dyDescent="0.3">
      <c r="A193" s="34"/>
      <c r="B193" s="136">
        <v>714</v>
      </c>
      <c r="C193" s="137">
        <v>8</v>
      </c>
      <c r="D193" s="138" t="s">
        <v>223</v>
      </c>
      <c r="E193" s="139">
        <v>63101.23</v>
      </c>
      <c r="F193" s="140">
        <v>0</v>
      </c>
      <c r="G193" s="140">
        <v>63101.23</v>
      </c>
      <c r="H193" s="141">
        <v>55.79475654400381</v>
      </c>
      <c r="I193" s="142">
        <f t="shared" si="2"/>
        <v>1130.9526899760513</v>
      </c>
    </row>
    <row r="194" spans="1:9" x14ac:dyDescent="0.3">
      <c r="A194" s="34">
        <v>8</v>
      </c>
      <c r="B194" s="136">
        <v>749</v>
      </c>
      <c r="C194" s="137">
        <v>8</v>
      </c>
      <c r="D194" s="138" t="s">
        <v>224</v>
      </c>
      <c r="E194" s="139">
        <v>4690.4399999999996</v>
      </c>
      <c r="F194" s="140">
        <v>0</v>
      </c>
      <c r="G194" s="140">
        <v>4690.4399999999996</v>
      </c>
      <c r="H194" s="141">
        <v>25.180157901631535</v>
      </c>
      <c r="I194" s="142">
        <f t="shared" si="2"/>
        <v>186.27524173293946</v>
      </c>
    </row>
    <row r="195" spans="1:9" x14ac:dyDescent="0.3">
      <c r="A195" s="34">
        <v>8</v>
      </c>
      <c r="B195" s="136">
        <v>764</v>
      </c>
      <c r="C195" s="137">
        <v>8</v>
      </c>
      <c r="D195" s="138" t="s">
        <v>225</v>
      </c>
      <c r="E195" s="139">
        <v>11682.68</v>
      </c>
      <c r="F195" s="140">
        <v>0</v>
      </c>
      <c r="G195" s="140">
        <v>11682.68</v>
      </c>
      <c r="H195" s="141">
        <v>15.2</v>
      </c>
      <c r="I195" s="142">
        <f t="shared" si="2"/>
        <v>768.59736842105269</v>
      </c>
    </row>
    <row r="196" spans="1:9" x14ac:dyDescent="0.3">
      <c r="A196" s="34">
        <v>8</v>
      </c>
      <c r="B196" s="136">
        <v>775</v>
      </c>
      <c r="C196" s="137">
        <v>8</v>
      </c>
      <c r="D196" s="138" t="s">
        <v>226</v>
      </c>
      <c r="E196" s="139">
        <v>118004.07</v>
      </c>
      <c r="F196" s="140">
        <v>0</v>
      </c>
      <c r="G196" s="140">
        <v>118004.07</v>
      </c>
      <c r="H196" s="141">
        <v>170.5270544434417</v>
      </c>
      <c r="I196" s="142">
        <f t="shared" si="2"/>
        <v>691.99617846643878</v>
      </c>
    </row>
    <row r="197" spans="1:9" x14ac:dyDescent="0.3">
      <c r="A197" s="34">
        <v>8</v>
      </c>
      <c r="B197" s="136">
        <v>790</v>
      </c>
      <c r="C197" s="137">
        <v>8</v>
      </c>
      <c r="D197" s="138" t="s">
        <v>227</v>
      </c>
      <c r="E197" s="139">
        <v>8112.34</v>
      </c>
      <c r="F197" s="140">
        <v>0</v>
      </c>
      <c r="G197" s="140">
        <v>8112.34</v>
      </c>
      <c r="H197" s="141">
        <v>9.7919034029984697</v>
      </c>
      <c r="I197" s="142">
        <f t="shared" ref="I197:I257" si="3">IFERROR(G197/H197,0)</f>
        <v>828.47426757864514</v>
      </c>
    </row>
    <row r="198" spans="1:9" x14ac:dyDescent="0.3">
      <c r="A198" s="34">
        <v>8</v>
      </c>
      <c r="B198" s="136">
        <v>795</v>
      </c>
      <c r="C198" s="137">
        <v>8</v>
      </c>
      <c r="D198" s="138" t="s">
        <v>298</v>
      </c>
      <c r="E198" s="139">
        <v>292287.77</v>
      </c>
      <c r="F198" s="140">
        <v>18326.8</v>
      </c>
      <c r="G198" s="140">
        <v>273960.97000000003</v>
      </c>
      <c r="H198" s="141">
        <v>254.70924556993933</v>
      </c>
      <c r="I198" s="142">
        <f t="shared" si="3"/>
        <v>1075.583139461557</v>
      </c>
    </row>
    <row r="199" spans="1:9" x14ac:dyDescent="0.3">
      <c r="A199" s="34">
        <v>8</v>
      </c>
      <c r="B199" s="136">
        <v>796</v>
      </c>
      <c r="C199" s="137">
        <v>8</v>
      </c>
      <c r="D199" s="138" t="s">
        <v>228</v>
      </c>
      <c r="E199" s="139">
        <v>22596.76</v>
      </c>
      <c r="F199" s="140">
        <v>0</v>
      </c>
      <c r="G199" s="140">
        <v>22596.76</v>
      </c>
      <c r="H199" s="141">
        <v>32</v>
      </c>
      <c r="I199" s="142">
        <f t="shared" si="3"/>
        <v>706.14874999999995</v>
      </c>
    </row>
    <row r="200" spans="1:9" x14ac:dyDescent="0.3">
      <c r="A200" s="34">
        <v>8</v>
      </c>
      <c r="B200" s="136">
        <v>797</v>
      </c>
      <c r="C200" s="137">
        <v>8</v>
      </c>
      <c r="D200" s="138" t="s">
        <v>229</v>
      </c>
      <c r="E200" s="139">
        <v>39985.18</v>
      </c>
      <c r="F200" s="140">
        <v>1159</v>
      </c>
      <c r="G200" s="140">
        <v>38826.18</v>
      </c>
      <c r="H200" s="141">
        <v>24.367612903417886</v>
      </c>
      <c r="I200" s="142">
        <f t="shared" si="3"/>
        <v>1593.3518048685887</v>
      </c>
    </row>
    <row r="201" spans="1:9" x14ac:dyDescent="0.3">
      <c r="A201" s="34">
        <v>8</v>
      </c>
      <c r="B201" s="136">
        <v>801</v>
      </c>
      <c r="C201" s="137">
        <v>8</v>
      </c>
      <c r="D201" s="138" t="s">
        <v>230</v>
      </c>
      <c r="E201" s="139">
        <v>96738.85</v>
      </c>
      <c r="F201" s="140">
        <v>0</v>
      </c>
      <c r="G201" s="140">
        <v>96738.85</v>
      </c>
      <c r="H201" s="141">
        <v>135.0746846492795</v>
      </c>
      <c r="I201" s="142">
        <f t="shared" si="3"/>
        <v>716.18786489253534</v>
      </c>
    </row>
    <row r="202" spans="1:9" x14ac:dyDescent="0.3">
      <c r="A202" s="34">
        <v>8</v>
      </c>
      <c r="B202" s="136">
        <v>809</v>
      </c>
      <c r="C202" s="137">
        <v>8</v>
      </c>
      <c r="D202" s="138" t="s">
        <v>299</v>
      </c>
      <c r="E202" s="139">
        <v>495521.19</v>
      </c>
      <c r="F202" s="140">
        <v>0</v>
      </c>
      <c r="G202" s="140">
        <v>495521.19</v>
      </c>
      <c r="H202" s="141">
        <v>348.4649595199441</v>
      </c>
      <c r="I202" s="142">
        <f t="shared" si="3"/>
        <v>1422.0115293160179</v>
      </c>
    </row>
    <row r="203" spans="1:9" x14ac:dyDescent="0.3">
      <c r="A203" s="34">
        <v>8</v>
      </c>
      <c r="B203" s="136">
        <v>810</v>
      </c>
      <c r="C203" s="137">
        <v>8</v>
      </c>
      <c r="D203" s="138" t="s">
        <v>231</v>
      </c>
      <c r="E203" s="139">
        <v>140596.89000000001</v>
      </c>
      <c r="F203" s="140">
        <v>0</v>
      </c>
      <c r="G203" s="140">
        <v>140596.89000000001</v>
      </c>
      <c r="H203" s="141">
        <v>124.98999999999998</v>
      </c>
      <c r="I203" s="142">
        <f t="shared" si="3"/>
        <v>1124.8651092087371</v>
      </c>
    </row>
    <row r="204" spans="1:9" x14ac:dyDescent="0.3">
      <c r="A204" s="34">
        <v>8</v>
      </c>
      <c r="B204" s="136">
        <v>812</v>
      </c>
      <c r="C204" s="137">
        <v>8</v>
      </c>
      <c r="D204" s="138" t="s">
        <v>232</v>
      </c>
      <c r="E204" s="139">
        <v>81577.919999999998</v>
      </c>
      <c r="F204" s="140">
        <v>273</v>
      </c>
      <c r="G204" s="140">
        <v>81304.92</v>
      </c>
      <c r="H204" s="141">
        <v>42.133362772182622</v>
      </c>
      <c r="I204" s="142">
        <f t="shared" si="3"/>
        <v>1929.7040314493793</v>
      </c>
    </row>
    <row r="205" spans="1:9" x14ac:dyDescent="0.3">
      <c r="A205" s="34">
        <v>8</v>
      </c>
      <c r="B205" s="136">
        <v>818</v>
      </c>
      <c r="C205" s="137">
        <v>8</v>
      </c>
      <c r="D205" s="138" t="s">
        <v>233</v>
      </c>
      <c r="E205" s="139">
        <v>15868.89</v>
      </c>
      <c r="F205" s="140">
        <v>0</v>
      </c>
      <c r="G205" s="140">
        <v>15868.89</v>
      </c>
      <c r="H205" s="141">
        <v>39.648701095629384</v>
      </c>
      <c r="I205" s="142">
        <f t="shared" si="3"/>
        <v>400.23732332934566</v>
      </c>
    </row>
    <row r="206" spans="1:9" x14ac:dyDescent="0.3">
      <c r="A206" s="34">
        <v>8</v>
      </c>
      <c r="B206" s="136">
        <v>833</v>
      </c>
      <c r="C206" s="137">
        <v>8</v>
      </c>
      <c r="D206" s="138" t="s">
        <v>234</v>
      </c>
      <c r="E206" s="139">
        <v>37349.99</v>
      </c>
      <c r="F206" s="140">
        <v>0</v>
      </c>
      <c r="G206" s="140">
        <v>37349.99</v>
      </c>
      <c r="H206" s="141">
        <v>61.805842122186505</v>
      </c>
      <c r="I206" s="142">
        <f t="shared" si="3"/>
        <v>604.31164300231148</v>
      </c>
    </row>
    <row r="207" spans="1:9" x14ac:dyDescent="0.3">
      <c r="A207" s="34">
        <v>8</v>
      </c>
      <c r="B207" s="136">
        <v>834</v>
      </c>
      <c r="C207" s="137">
        <v>8</v>
      </c>
      <c r="D207" s="138" t="s">
        <v>235</v>
      </c>
      <c r="E207" s="139">
        <v>55123.19</v>
      </c>
      <c r="F207" s="140">
        <v>3760.4799999999996</v>
      </c>
      <c r="G207" s="140">
        <v>51362.710000000006</v>
      </c>
      <c r="H207" s="141">
        <v>74.23</v>
      </c>
      <c r="I207" s="142">
        <f t="shared" si="3"/>
        <v>691.94005119224039</v>
      </c>
    </row>
    <row r="208" spans="1:9" x14ac:dyDescent="0.3">
      <c r="A208" s="34">
        <v>8</v>
      </c>
      <c r="B208" s="136">
        <v>837</v>
      </c>
      <c r="C208" s="137">
        <v>8</v>
      </c>
      <c r="D208" s="138" t="s">
        <v>236</v>
      </c>
      <c r="E208" s="139">
        <v>142476.71</v>
      </c>
      <c r="F208" s="140">
        <v>0</v>
      </c>
      <c r="G208" s="140">
        <v>142476.71</v>
      </c>
      <c r="H208" s="141">
        <v>176.99</v>
      </c>
      <c r="I208" s="142">
        <f t="shared" si="3"/>
        <v>804.99864399118587</v>
      </c>
    </row>
    <row r="209" spans="1:9" x14ac:dyDescent="0.3">
      <c r="A209" s="34">
        <v>8</v>
      </c>
      <c r="B209" s="136">
        <v>845</v>
      </c>
      <c r="C209" s="137">
        <v>8</v>
      </c>
      <c r="D209" s="138" t="s">
        <v>300</v>
      </c>
      <c r="E209" s="139">
        <v>8943.76</v>
      </c>
      <c r="F209" s="140">
        <v>0</v>
      </c>
      <c r="G209" s="140">
        <v>8943.76</v>
      </c>
      <c r="H209" s="141">
        <v>4.1985427540914291</v>
      </c>
      <c r="I209" s="142">
        <f t="shared" si="3"/>
        <v>2130.2057699149104</v>
      </c>
    </row>
    <row r="210" spans="1:9" x14ac:dyDescent="0.3">
      <c r="A210" s="34">
        <v>8</v>
      </c>
      <c r="B210" s="136">
        <v>847</v>
      </c>
      <c r="C210" s="137">
        <v>8</v>
      </c>
      <c r="D210" s="138" t="s">
        <v>237</v>
      </c>
      <c r="E210" s="139">
        <v>131761.98000000001</v>
      </c>
      <c r="F210" s="140">
        <v>0</v>
      </c>
      <c r="G210" s="140">
        <v>131761.98000000001</v>
      </c>
      <c r="H210" s="141">
        <v>66.183100660950345</v>
      </c>
      <c r="I210" s="142">
        <f t="shared" si="3"/>
        <v>1990.8704591373553</v>
      </c>
    </row>
    <row r="211" spans="1:9" x14ac:dyDescent="0.3">
      <c r="A211" s="34">
        <v>8</v>
      </c>
      <c r="B211" s="136">
        <v>866</v>
      </c>
      <c r="C211" s="137">
        <v>8</v>
      </c>
      <c r="D211" s="138" t="s">
        <v>238</v>
      </c>
      <c r="E211" s="139">
        <v>54975.040000000001</v>
      </c>
      <c r="F211" s="140">
        <v>0</v>
      </c>
      <c r="G211" s="140">
        <v>54975.040000000001</v>
      </c>
      <c r="H211" s="141">
        <v>147.75213403001072</v>
      </c>
      <c r="I211" s="142">
        <f t="shared" si="3"/>
        <v>372.07611491305926</v>
      </c>
    </row>
    <row r="212" spans="1:9" x14ac:dyDescent="0.3">
      <c r="A212" s="34">
        <v>8</v>
      </c>
      <c r="B212" s="136">
        <v>871</v>
      </c>
      <c r="C212" s="137">
        <v>8</v>
      </c>
      <c r="D212" s="138" t="s">
        <v>239</v>
      </c>
      <c r="E212" s="139">
        <v>12724.9</v>
      </c>
      <c r="F212" s="140">
        <v>0</v>
      </c>
      <c r="G212" s="140">
        <v>12724.9</v>
      </c>
      <c r="H212" s="141">
        <v>12.214386102179351</v>
      </c>
      <c r="I212" s="142">
        <f t="shared" si="3"/>
        <v>1041.7961159529386</v>
      </c>
    </row>
    <row r="213" spans="1:9" x14ac:dyDescent="0.3">
      <c r="A213" s="34">
        <v>8</v>
      </c>
      <c r="B213" s="136">
        <v>873</v>
      </c>
      <c r="C213" s="137">
        <v>8</v>
      </c>
      <c r="D213" s="138" t="s">
        <v>240</v>
      </c>
      <c r="E213" s="139">
        <v>74605.5</v>
      </c>
      <c r="F213" s="140">
        <v>0</v>
      </c>
      <c r="G213" s="140">
        <v>74605.5</v>
      </c>
      <c r="H213" s="141">
        <v>185.67000000000002</v>
      </c>
      <c r="I213" s="142">
        <f t="shared" si="3"/>
        <v>401.81774115365971</v>
      </c>
    </row>
    <row r="214" spans="1:9" x14ac:dyDescent="0.3">
      <c r="A214" s="34">
        <v>8</v>
      </c>
      <c r="B214" s="136">
        <v>897</v>
      </c>
      <c r="C214" s="137">
        <v>8</v>
      </c>
      <c r="D214" s="138" t="s">
        <v>242</v>
      </c>
      <c r="E214" s="139">
        <v>311526.77</v>
      </c>
      <c r="F214" s="140">
        <v>84</v>
      </c>
      <c r="G214" s="140">
        <v>311442.77</v>
      </c>
      <c r="H214" s="141">
        <v>72.361461694676464</v>
      </c>
      <c r="I214" s="142">
        <f t="shared" si="3"/>
        <v>4303.9867175998797</v>
      </c>
    </row>
    <row r="215" spans="1:9" x14ac:dyDescent="0.3">
      <c r="A215" s="34">
        <v>8</v>
      </c>
      <c r="B215" s="136">
        <v>905</v>
      </c>
      <c r="C215" s="137">
        <v>8</v>
      </c>
      <c r="D215" s="138" t="s">
        <v>243</v>
      </c>
      <c r="E215" s="139">
        <v>62186.54</v>
      </c>
      <c r="F215" s="140">
        <v>0</v>
      </c>
      <c r="G215" s="140">
        <v>62186.54</v>
      </c>
      <c r="H215" s="141">
        <v>93.093193074907703</v>
      </c>
      <c r="I215" s="142">
        <f t="shared" si="3"/>
        <v>668.00308321105092</v>
      </c>
    </row>
    <row r="216" spans="1:9" x14ac:dyDescent="0.3">
      <c r="A216" s="34">
        <v>8</v>
      </c>
      <c r="B216" s="136">
        <v>907</v>
      </c>
      <c r="C216" s="137">
        <v>8</v>
      </c>
      <c r="D216" s="138" t="s">
        <v>244</v>
      </c>
      <c r="E216" s="139">
        <v>20189.84</v>
      </c>
      <c r="F216" s="140">
        <v>0</v>
      </c>
      <c r="G216" s="140">
        <v>20189.84</v>
      </c>
      <c r="H216" s="141">
        <v>19.623398559009171</v>
      </c>
      <c r="I216" s="142">
        <f t="shared" si="3"/>
        <v>1028.8656136340244</v>
      </c>
    </row>
    <row r="217" spans="1:9" x14ac:dyDescent="0.3">
      <c r="A217" s="34">
        <v>8</v>
      </c>
      <c r="B217" s="136">
        <v>918</v>
      </c>
      <c r="C217" s="137">
        <v>8</v>
      </c>
      <c r="D217" s="138" t="s">
        <v>245</v>
      </c>
      <c r="E217" s="139">
        <v>92014.79</v>
      </c>
      <c r="F217" s="140">
        <v>0</v>
      </c>
      <c r="G217" s="140">
        <v>92014.79</v>
      </c>
      <c r="H217" s="141">
        <v>61.65731239133023</v>
      </c>
      <c r="I217" s="142">
        <f t="shared" si="3"/>
        <v>1492.358106950805</v>
      </c>
    </row>
    <row r="218" spans="1:9" x14ac:dyDescent="0.3">
      <c r="A218" s="34">
        <v>8</v>
      </c>
      <c r="B218" s="136">
        <v>922</v>
      </c>
      <c r="C218" s="137">
        <v>8</v>
      </c>
      <c r="D218" s="138" t="s">
        <v>246</v>
      </c>
      <c r="E218" s="139">
        <v>133724.62</v>
      </c>
      <c r="F218" s="140">
        <v>5755.5599999999995</v>
      </c>
      <c r="G218" s="140">
        <v>127969.06</v>
      </c>
      <c r="H218" s="141">
        <v>48.13</v>
      </c>
      <c r="I218" s="142">
        <f t="shared" si="3"/>
        <v>2658.8211094951171</v>
      </c>
    </row>
    <row r="219" spans="1:9" x14ac:dyDescent="0.3">
      <c r="A219" s="34">
        <v>8</v>
      </c>
      <c r="B219" s="136">
        <v>924</v>
      </c>
      <c r="C219" s="137">
        <v>8</v>
      </c>
      <c r="D219" s="138" t="s">
        <v>247</v>
      </c>
      <c r="E219" s="139">
        <v>60061.57</v>
      </c>
      <c r="F219" s="140">
        <v>0</v>
      </c>
      <c r="G219" s="140">
        <v>60061.57</v>
      </c>
      <c r="H219" s="141">
        <v>94.709546028343453</v>
      </c>
      <c r="I219" s="142">
        <f t="shared" si="3"/>
        <v>634.1659581181558</v>
      </c>
    </row>
    <row r="220" spans="1:9" x14ac:dyDescent="0.3">
      <c r="A220" s="34">
        <v>9</v>
      </c>
      <c r="B220" s="136">
        <v>929</v>
      </c>
      <c r="C220" s="137">
        <v>8</v>
      </c>
      <c r="D220" s="138" t="s">
        <v>248</v>
      </c>
      <c r="E220" s="139">
        <v>45278.1</v>
      </c>
      <c r="F220" s="140">
        <v>0</v>
      </c>
      <c r="G220" s="140">
        <v>45278.1</v>
      </c>
      <c r="H220" s="141">
        <v>53.697866226033099</v>
      </c>
      <c r="I220" s="142">
        <f t="shared" si="3"/>
        <v>843.20110243130785</v>
      </c>
    </row>
    <row r="221" spans="1:9" x14ac:dyDescent="0.3">
      <c r="A221" s="34">
        <v>9</v>
      </c>
      <c r="B221" s="136">
        <v>955</v>
      </c>
      <c r="C221" s="137">
        <v>8</v>
      </c>
      <c r="D221" s="138" t="s">
        <v>249</v>
      </c>
      <c r="E221" s="139">
        <v>25073.62</v>
      </c>
      <c r="F221" s="140">
        <v>0</v>
      </c>
      <c r="G221" s="140">
        <v>25073.62</v>
      </c>
      <c r="H221" s="141">
        <v>50.276845026762651</v>
      </c>
      <c r="I221" s="142">
        <f t="shared" si="3"/>
        <v>498.71108631922249</v>
      </c>
    </row>
    <row r="222" spans="1:9" x14ac:dyDescent="0.3">
      <c r="A222" s="34">
        <v>9</v>
      </c>
      <c r="B222" s="136">
        <v>973</v>
      </c>
      <c r="C222" s="137">
        <v>8</v>
      </c>
      <c r="D222" s="138" t="s">
        <v>250</v>
      </c>
      <c r="E222" s="139">
        <v>8741.84</v>
      </c>
      <c r="F222" s="140">
        <v>0</v>
      </c>
      <c r="G222" s="140">
        <v>8741.84</v>
      </c>
      <c r="H222" s="141">
        <v>8.1012150456462155</v>
      </c>
      <c r="I222" s="142">
        <f t="shared" si="3"/>
        <v>1079.0776384461083</v>
      </c>
    </row>
    <row r="223" spans="1:9" x14ac:dyDescent="0.3">
      <c r="A223" s="34">
        <v>9</v>
      </c>
      <c r="B223" s="136">
        <v>974</v>
      </c>
      <c r="C223" s="137">
        <v>8</v>
      </c>
      <c r="D223" s="138" t="s">
        <v>251</v>
      </c>
      <c r="E223" s="139">
        <v>15310.94</v>
      </c>
      <c r="F223" s="140">
        <v>0</v>
      </c>
      <c r="G223" s="140">
        <v>15310.94</v>
      </c>
      <c r="H223" s="141">
        <v>17.47</v>
      </c>
      <c r="I223" s="142">
        <f t="shared" si="3"/>
        <v>876.41327990841455</v>
      </c>
    </row>
    <row r="224" spans="1:9" x14ac:dyDescent="0.3">
      <c r="A224" s="34">
        <v>9</v>
      </c>
      <c r="B224" s="136">
        <v>978</v>
      </c>
      <c r="C224" s="137">
        <v>8</v>
      </c>
      <c r="D224" s="138" t="s">
        <v>252</v>
      </c>
      <c r="E224" s="139">
        <v>28052.51</v>
      </c>
      <c r="F224" s="140">
        <v>0</v>
      </c>
      <c r="G224" s="140">
        <v>28052.51</v>
      </c>
      <c r="H224" s="141">
        <v>25.008098619168752</v>
      </c>
      <c r="I224" s="142">
        <f t="shared" si="3"/>
        <v>1121.7370191629723</v>
      </c>
    </row>
    <row r="225" spans="1:9" x14ac:dyDescent="0.3">
      <c r="A225" s="34">
        <v>9</v>
      </c>
      <c r="B225" s="136">
        <v>985</v>
      </c>
      <c r="C225" s="137">
        <v>8</v>
      </c>
      <c r="D225" s="138" t="s">
        <v>253</v>
      </c>
      <c r="E225" s="139">
        <v>119730.94</v>
      </c>
      <c r="F225" s="140">
        <v>0</v>
      </c>
      <c r="G225" s="140">
        <v>119730.94</v>
      </c>
      <c r="H225" s="141">
        <v>65.667615124449199</v>
      </c>
      <c r="I225" s="142">
        <f t="shared" si="3"/>
        <v>1823.2874724183805</v>
      </c>
    </row>
    <row r="226" spans="1:9" x14ac:dyDescent="0.3">
      <c r="A226" s="34">
        <v>9</v>
      </c>
      <c r="B226" s="136">
        <v>100</v>
      </c>
      <c r="C226" s="137">
        <v>9</v>
      </c>
      <c r="D226" s="138" t="s">
        <v>254</v>
      </c>
      <c r="E226" s="139">
        <v>31057.59</v>
      </c>
      <c r="F226" s="140">
        <v>0</v>
      </c>
      <c r="G226" s="140">
        <v>31057.59</v>
      </c>
      <c r="H226" s="141">
        <v>28.459920682096275</v>
      </c>
      <c r="I226" s="142">
        <f t="shared" si="3"/>
        <v>1091.27465065417</v>
      </c>
    </row>
    <row r="227" spans="1:9" x14ac:dyDescent="0.3">
      <c r="A227" s="34">
        <v>9</v>
      </c>
      <c r="B227" s="136">
        <v>159</v>
      </c>
      <c r="C227" s="137">
        <v>9</v>
      </c>
      <c r="D227" s="138" t="s">
        <v>255</v>
      </c>
      <c r="E227" s="139">
        <v>166217.32</v>
      </c>
      <c r="F227" s="140">
        <v>0</v>
      </c>
      <c r="G227" s="140">
        <v>166217.32</v>
      </c>
      <c r="H227" s="141">
        <v>721.93312534833865</v>
      </c>
      <c r="I227" s="142">
        <f t="shared" si="3"/>
        <v>230.2392204538319</v>
      </c>
    </row>
    <row r="228" spans="1:9" x14ac:dyDescent="0.3">
      <c r="A228" s="34">
        <v>9</v>
      </c>
      <c r="B228" s="136">
        <v>173</v>
      </c>
      <c r="C228" s="137">
        <v>9</v>
      </c>
      <c r="D228" s="138" t="s">
        <v>256</v>
      </c>
      <c r="E228" s="139">
        <v>188734.3</v>
      </c>
      <c r="F228" s="140">
        <v>0</v>
      </c>
      <c r="G228" s="140">
        <v>188734.3</v>
      </c>
      <c r="H228" s="141">
        <v>317.52000000000004</v>
      </c>
      <c r="I228" s="142">
        <f t="shared" si="3"/>
        <v>594.40129755605938</v>
      </c>
    </row>
    <row r="229" spans="1:9" x14ac:dyDescent="0.3">
      <c r="A229" s="34">
        <v>9</v>
      </c>
      <c r="B229" s="136">
        <v>204</v>
      </c>
      <c r="C229" s="137">
        <v>9</v>
      </c>
      <c r="D229" s="138" t="s">
        <v>257</v>
      </c>
      <c r="E229" s="139">
        <v>526325.63</v>
      </c>
      <c r="F229" s="140">
        <v>0</v>
      </c>
      <c r="G229" s="140">
        <v>526325.63</v>
      </c>
      <c r="H229" s="141">
        <v>445.31322425693912</v>
      </c>
      <c r="I229" s="142">
        <f t="shared" si="3"/>
        <v>1181.922299474129</v>
      </c>
    </row>
    <row r="230" spans="1:9" x14ac:dyDescent="0.3">
      <c r="A230" s="34">
        <v>9</v>
      </c>
      <c r="B230" s="136">
        <v>218</v>
      </c>
      <c r="C230" s="137">
        <v>9</v>
      </c>
      <c r="D230" s="138" t="s">
        <v>258</v>
      </c>
      <c r="E230" s="139">
        <v>202407.39</v>
      </c>
      <c r="F230" s="140">
        <v>240</v>
      </c>
      <c r="G230" s="140">
        <v>202167.39</v>
      </c>
      <c r="H230" s="141">
        <v>234.26633373228532</v>
      </c>
      <c r="I230" s="142">
        <f t="shared" si="3"/>
        <v>862.98097886755124</v>
      </c>
    </row>
    <row r="231" spans="1:9" x14ac:dyDescent="0.3">
      <c r="A231" s="34">
        <v>9</v>
      </c>
      <c r="B231" s="136">
        <v>230</v>
      </c>
      <c r="C231" s="137">
        <v>9</v>
      </c>
      <c r="D231" s="138" t="s">
        <v>259</v>
      </c>
      <c r="E231" s="139">
        <v>102952.81</v>
      </c>
      <c r="F231" s="140">
        <v>1799.3000000000002</v>
      </c>
      <c r="G231" s="140">
        <v>101153.51</v>
      </c>
      <c r="H231" s="141">
        <v>137.3463158270811</v>
      </c>
      <c r="I231" s="142">
        <f t="shared" si="3"/>
        <v>736.48506252874074</v>
      </c>
    </row>
    <row r="232" spans="1:9" x14ac:dyDescent="0.3">
      <c r="A232" s="34">
        <v>9</v>
      </c>
      <c r="B232" s="136">
        <v>277</v>
      </c>
      <c r="C232" s="137">
        <v>9</v>
      </c>
      <c r="D232" s="138" t="s">
        <v>260</v>
      </c>
      <c r="E232" s="139">
        <v>193093.73</v>
      </c>
      <c r="F232" s="140">
        <v>5454.62</v>
      </c>
      <c r="G232" s="140">
        <v>187639.11000000002</v>
      </c>
      <c r="H232" s="141">
        <v>77.20924891627962</v>
      </c>
      <c r="I232" s="142">
        <f t="shared" si="3"/>
        <v>2430.2672624553429</v>
      </c>
    </row>
    <row r="233" spans="1:9" x14ac:dyDescent="0.3">
      <c r="A233" s="34">
        <v>9</v>
      </c>
      <c r="B233" s="136">
        <v>279</v>
      </c>
      <c r="C233" s="137">
        <v>9</v>
      </c>
      <c r="D233" s="138" t="s">
        <v>261</v>
      </c>
      <c r="E233" s="139">
        <v>185521.99</v>
      </c>
      <c r="F233" s="140">
        <v>796</v>
      </c>
      <c r="G233" s="140">
        <v>184725.99</v>
      </c>
      <c r="H233" s="141">
        <v>281.14056938192209</v>
      </c>
      <c r="I233" s="142">
        <f t="shared" si="3"/>
        <v>657.05917294723326</v>
      </c>
    </row>
    <row r="234" spans="1:9" x14ac:dyDescent="0.3">
      <c r="A234" s="34">
        <v>9</v>
      </c>
      <c r="B234" s="136">
        <v>331</v>
      </c>
      <c r="C234" s="137">
        <v>9</v>
      </c>
      <c r="D234" s="138" t="s">
        <v>262</v>
      </c>
      <c r="E234" s="139">
        <v>160212.76999999999</v>
      </c>
      <c r="F234" s="140">
        <v>0</v>
      </c>
      <c r="G234" s="140">
        <v>160212.76999999999</v>
      </c>
      <c r="H234" s="141">
        <v>442.75839063951412</v>
      </c>
      <c r="I234" s="142">
        <f t="shared" si="3"/>
        <v>361.85145981895653</v>
      </c>
    </row>
    <row r="235" spans="1:9" x14ac:dyDescent="0.3">
      <c r="A235" s="34">
        <v>9</v>
      </c>
      <c r="B235" s="136">
        <v>369</v>
      </c>
      <c r="C235" s="137">
        <v>9</v>
      </c>
      <c r="D235" s="138" t="s">
        <v>263</v>
      </c>
      <c r="E235" s="139">
        <v>439717.41</v>
      </c>
      <c r="F235" s="140">
        <v>0</v>
      </c>
      <c r="G235" s="140">
        <v>439717.41</v>
      </c>
      <c r="H235" s="141">
        <v>372.33</v>
      </c>
      <c r="I235" s="142">
        <f t="shared" si="3"/>
        <v>1180.9883973894125</v>
      </c>
    </row>
    <row r="236" spans="1:9" x14ac:dyDescent="0.3">
      <c r="A236" s="34">
        <v>9</v>
      </c>
      <c r="B236" s="136">
        <v>416</v>
      </c>
      <c r="C236" s="137">
        <v>9</v>
      </c>
      <c r="D236" s="138" t="s">
        <v>264</v>
      </c>
      <c r="E236" s="139">
        <v>63073.1</v>
      </c>
      <c r="F236" s="140">
        <v>67.5</v>
      </c>
      <c r="G236" s="140">
        <v>63005.599999999999</v>
      </c>
      <c r="H236" s="141">
        <v>63.282402387757521</v>
      </c>
      <c r="I236" s="142">
        <f t="shared" si="3"/>
        <v>995.62591846527187</v>
      </c>
    </row>
    <row r="237" spans="1:9" x14ac:dyDescent="0.3">
      <c r="A237" s="34">
        <v>9</v>
      </c>
      <c r="B237" s="136">
        <v>420</v>
      </c>
      <c r="C237" s="137">
        <v>9</v>
      </c>
      <c r="D237" s="138" t="s">
        <v>265</v>
      </c>
      <c r="E237" s="139">
        <v>176959.11</v>
      </c>
      <c r="F237" s="140">
        <v>167</v>
      </c>
      <c r="G237" s="140">
        <v>176792.11</v>
      </c>
      <c r="H237" s="141">
        <v>342.99840049783847</v>
      </c>
      <c r="I237" s="142">
        <f t="shared" si="3"/>
        <v>515.43129572440705</v>
      </c>
    </row>
    <row r="238" spans="1:9" x14ac:dyDescent="0.3">
      <c r="A238" s="34"/>
      <c r="B238" s="136">
        <v>508</v>
      </c>
      <c r="C238" s="137">
        <v>9</v>
      </c>
      <c r="D238" s="138" t="s">
        <v>266</v>
      </c>
      <c r="E238" s="139">
        <v>78621.899999999994</v>
      </c>
      <c r="F238" s="140">
        <v>0</v>
      </c>
      <c r="G238" s="140">
        <v>78621.899999999994</v>
      </c>
      <c r="H238" s="141">
        <v>83.552342128140978</v>
      </c>
      <c r="I238" s="142">
        <f t="shared" si="3"/>
        <v>940.98977954945462</v>
      </c>
    </row>
    <row r="239" spans="1:9" x14ac:dyDescent="0.3">
      <c r="A239" s="34"/>
      <c r="B239" s="136">
        <v>512</v>
      </c>
      <c r="C239" s="137">
        <v>9</v>
      </c>
      <c r="D239" s="138" t="s">
        <v>267</v>
      </c>
      <c r="E239" s="139">
        <v>275963.07</v>
      </c>
      <c r="F239" s="140">
        <v>3670.08</v>
      </c>
      <c r="G239" s="140">
        <v>272292.99</v>
      </c>
      <c r="H239" s="141">
        <v>208.64932368107657</v>
      </c>
      <c r="I239" s="142">
        <f t="shared" si="3"/>
        <v>1305.026947588882</v>
      </c>
    </row>
    <row r="240" spans="1:9" x14ac:dyDescent="0.3">
      <c r="A240" s="34"/>
      <c r="B240" s="136">
        <v>516</v>
      </c>
      <c r="C240" s="137">
        <v>9</v>
      </c>
      <c r="D240" s="138" t="s">
        <v>268</v>
      </c>
      <c r="E240" s="139">
        <v>161888.84</v>
      </c>
      <c r="F240" s="140">
        <v>144.16</v>
      </c>
      <c r="G240" s="140">
        <v>161744.68</v>
      </c>
      <c r="H240" s="141">
        <v>310.85525259616531</v>
      </c>
      <c r="I240" s="142">
        <f t="shared" si="3"/>
        <v>520.32152794318029</v>
      </c>
    </row>
    <row r="241" spans="1:9" x14ac:dyDescent="0.3">
      <c r="A241" s="34"/>
      <c r="B241" s="136">
        <v>521</v>
      </c>
      <c r="C241" s="137">
        <v>9</v>
      </c>
      <c r="D241" s="138" t="s">
        <v>269</v>
      </c>
      <c r="E241" s="139">
        <v>379162.42</v>
      </c>
      <c r="F241" s="140">
        <v>79.650000000000006</v>
      </c>
      <c r="G241" s="140">
        <v>379082.76999999996</v>
      </c>
      <c r="H241" s="141">
        <v>125.15814085387638</v>
      </c>
      <c r="I241" s="142">
        <f t="shared" si="3"/>
        <v>3028.8303055139149</v>
      </c>
    </row>
    <row r="242" spans="1:9" x14ac:dyDescent="0.3">
      <c r="A242" s="34"/>
      <c r="B242" s="136">
        <v>522</v>
      </c>
      <c r="C242" s="137">
        <v>9</v>
      </c>
      <c r="D242" s="138" t="s">
        <v>270</v>
      </c>
      <c r="E242" s="139">
        <v>123348.86</v>
      </c>
      <c r="F242" s="140">
        <v>84</v>
      </c>
      <c r="G242" s="140">
        <v>123264.86</v>
      </c>
      <c r="H242" s="141">
        <v>76.169540800285816</v>
      </c>
      <c r="I242" s="142">
        <f t="shared" si="3"/>
        <v>1618.2959580023812</v>
      </c>
    </row>
    <row r="243" spans="1:9" x14ac:dyDescent="0.3">
      <c r="B243" s="136">
        <v>523</v>
      </c>
      <c r="C243" s="137">
        <v>9</v>
      </c>
      <c r="D243" s="138" t="s">
        <v>271</v>
      </c>
      <c r="E243" s="139">
        <v>315458.90999999997</v>
      </c>
      <c r="F243" s="140">
        <v>856.49</v>
      </c>
      <c r="G243" s="140">
        <v>314602.42</v>
      </c>
      <c r="H243" s="141">
        <v>698.36058335715143</v>
      </c>
      <c r="I243" s="142">
        <f t="shared" si="3"/>
        <v>450.48708002339799</v>
      </c>
    </row>
    <row r="244" spans="1:9" x14ac:dyDescent="0.3">
      <c r="B244" s="136">
        <v>527</v>
      </c>
      <c r="C244" s="137">
        <v>9</v>
      </c>
      <c r="D244" s="138" t="s">
        <v>272</v>
      </c>
      <c r="E244" s="139">
        <v>133668.4</v>
      </c>
      <c r="F244" s="140">
        <v>150</v>
      </c>
      <c r="G244" s="140">
        <v>133518.39999999999</v>
      </c>
      <c r="H244" s="141">
        <v>153.26520815767537</v>
      </c>
      <c r="I244" s="142">
        <f t="shared" si="3"/>
        <v>871.15922527335522</v>
      </c>
    </row>
    <row r="245" spans="1:9" x14ac:dyDescent="0.3">
      <c r="B245" s="136">
        <v>543</v>
      </c>
      <c r="C245" s="137">
        <v>9</v>
      </c>
      <c r="D245" s="138" t="s">
        <v>273</v>
      </c>
      <c r="E245" s="139">
        <v>46654.18</v>
      </c>
      <c r="F245" s="140">
        <v>0</v>
      </c>
      <c r="G245" s="140">
        <v>46654.18</v>
      </c>
      <c r="H245" s="141">
        <v>79.576987566988208</v>
      </c>
      <c r="I245" s="142">
        <f t="shared" si="3"/>
        <v>586.2772822447738</v>
      </c>
    </row>
    <row r="246" spans="1:9" x14ac:dyDescent="0.3">
      <c r="B246" s="136">
        <v>547</v>
      </c>
      <c r="C246" s="137">
        <v>9</v>
      </c>
      <c r="D246" s="138" t="s">
        <v>274</v>
      </c>
      <c r="E246" s="139">
        <v>122138.68</v>
      </c>
      <c r="F246" s="140">
        <v>0</v>
      </c>
      <c r="G246" s="140">
        <v>122138.68</v>
      </c>
      <c r="H246" s="141">
        <v>219.72789419435514</v>
      </c>
      <c r="I246" s="142">
        <f t="shared" si="3"/>
        <v>555.8633347296593</v>
      </c>
    </row>
    <row r="247" spans="1:9" x14ac:dyDescent="0.3">
      <c r="B247" s="136">
        <v>552</v>
      </c>
      <c r="C247" s="137">
        <v>9</v>
      </c>
      <c r="D247" s="138" t="s">
        <v>275</v>
      </c>
      <c r="E247" s="139">
        <v>142363.06</v>
      </c>
      <c r="F247" s="140">
        <v>0</v>
      </c>
      <c r="G247" s="140">
        <v>142363.06</v>
      </c>
      <c r="H247" s="141">
        <v>122.80000000000001</v>
      </c>
      <c r="I247" s="142">
        <f t="shared" si="3"/>
        <v>1159.3083061889249</v>
      </c>
    </row>
    <row r="248" spans="1:9" x14ac:dyDescent="0.3">
      <c r="B248" s="136">
        <v>567</v>
      </c>
      <c r="C248" s="137">
        <v>9</v>
      </c>
      <c r="D248" s="138" t="s">
        <v>276</v>
      </c>
      <c r="E248" s="139">
        <v>233157.95</v>
      </c>
      <c r="F248" s="140">
        <v>0</v>
      </c>
      <c r="G248" s="140">
        <v>233157.95</v>
      </c>
      <c r="H248" s="141">
        <v>359.29341894128856</v>
      </c>
      <c r="I248" s="142">
        <f t="shared" si="3"/>
        <v>648.93465259406798</v>
      </c>
    </row>
    <row r="249" spans="1:9" x14ac:dyDescent="0.3">
      <c r="B249" s="136">
        <v>629</v>
      </c>
      <c r="C249" s="137">
        <v>9</v>
      </c>
      <c r="D249" s="138" t="s">
        <v>277</v>
      </c>
      <c r="E249" s="139">
        <v>172741.52</v>
      </c>
      <c r="F249" s="140">
        <v>3864.35</v>
      </c>
      <c r="G249" s="140">
        <v>168877.16999999998</v>
      </c>
      <c r="H249" s="141">
        <v>239.08999999999997</v>
      </c>
      <c r="I249" s="142">
        <f t="shared" si="3"/>
        <v>706.33305449830607</v>
      </c>
    </row>
    <row r="250" spans="1:9" x14ac:dyDescent="0.3">
      <c r="B250" s="136">
        <v>630</v>
      </c>
      <c r="C250" s="137">
        <v>9</v>
      </c>
      <c r="D250" s="138" t="s">
        <v>278</v>
      </c>
      <c r="E250" s="139">
        <v>241664.73</v>
      </c>
      <c r="F250" s="140">
        <v>2804.11</v>
      </c>
      <c r="G250" s="140">
        <v>238860.62000000002</v>
      </c>
      <c r="H250" s="141">
        <v>168.82</v>
      </c>
      <c r="I250" s="142">
        <f t="shared" si="3"/>
        <v>1414.8834261343445</v>
      </c>
    </row>
    <row r="251" spans="1:9" x14ac:dyDescent="0.3">
      <c r="B251" s="136">
        <v>771</v>
      </c>
      <c r="C251" s="137">
        <v>9</v>
      </c>
      <c r="D251" s="138" t="s">
        <v>280</v>
      </c>
      <c r="E251" s="139">
        <v>70947.31</v>
      </c>
      <c r="F251" s="140">
        <v>0</v>
      </c>
      <c r="G251" s="140">
        <v>70947.31</v>
      </c>
      <c r="H251" s="141">
        <v>150.2159801536263</v>
      </c>
      <c r="I251" s="142">
        <f t="shared" si="3"/>
        <v>472.30201425601979</v>
      </c>
    </row>
    <row r="252" spans="1:9" x14ac:dyDescent="0.3">
      <c r="B252" s="136">
        <v>830</v>
      </c>
      <c r="C252" s="137">
        <v>9</v>
      </c>
      <c r="D252" s="138" t="s">
        <v>281</v>
      </c>
      <c r="E252" s="139">
        <v>29445.96</v>
      </c>
      <c r="F252" s="140">
        <v>0</v>
      </c>
      <c r="G252" s="140">
        <v>29445.96</v>
      </c>
      <c r="H252" s="141">
        <v>16.12858136239133</v>
      </c>
      <c r="I252" s="142">
        <f t="shared" si="3"/>
        <v>1825.7005584299043</v>
      </c>
    </row>
    <row r="253" spans="1:9" x14ac:dyDescent="0.3">
      <c r="B253" s="136">
        <v>936</v>
      </c>
      <c r="C253" s="137">
        <v>9</v>
      </c>
      <c r="D253" s="138" t="s">
        <v>282</v>
      </c>
      <c r="E253" s="139">
        <v>72884.08</v>
      </c>
      <c r="F253" s="140">
        <v>0</v>
      </c>
      <c r="G253" s="140">
        <v>72884.08</v>
      </c>
      <c r="H253" s="141">
        <v>40.443772007859948</v>
      </c>
      <c r="I253" s="142">
        <f t="shared" si="3"/>
        <v>1802.1088632839567</v>
      </c>
    </row>
    <row r="254" spans="1:9" x14ac:dyDescent="0.3">
      <c r="B254" s="136">
        <v>952</v>
      </c>
      <c r="C254" s="137">
        <v>9</v>
      </c>
      <c r="D254" s="138" t="s">
        <v>283</v>
      </c>
      <c r="E254" s="139">
        <v>71284.66</v>
      </c>
      <c r="F254" s="140">
        <v>1518.3</v>
      </c>
      <c r="G254" s="140">
        <v>69766.36</v>
      </c>
      <c r="H254" s="141">
        <v>54.32</v>
      </c>
      <c r="I254" s="142">
        <f t="shared" si="3"/>
        <v>1284.358615611193</v>
      </c>
    </row>
    <row r="255" spans="1:9" x14ac:dyDescent="0.3">
      <c r="B255" s="136">
        <v>982</v>
      </c>
      <c r="C255" s="137">
        <v>9</v>
      </c>
      <c r="D255" s="138" t="s">
        <v>284</v>
      </c>
      <c r="E255" s="139">
        <v>139517.66</v>
      </c>
      <c r="F255" s="140">
        <v>0</v>
      </c>
      <c r="G255" s="140">
        <v>139517.66</v>
      </c>
      <c r="H255" s="141">
        <v>106.72298014171729</v>
      </c>
      <c r="I255" s="142">
        <f t="shared" si="3"/>
        <v>1307.2878944603563</v>
      </c>
    </row>
    <row r="256" spans="1:9" x14ac:dyDescent="0.3">
      <c r="B256" s="136">
        <v>987</v>
      </c>
      <c r="C256" s="137">
        <v>9</v>
      </c>
      <c r="D256" s="138" t="s">
        <v>285</v>
      </c>
      <c r="E256" s="139">
        <v>108258.73</v>
      </c>
      <c r="F256" s="140">
        <v>0</v>
      </c>
      <c r="G256" s="140">
        <v>108258.73</v>
      </c>
      <c r="H256" s="141">
        <v>399.24791654162198</v>
      </c>
      <c r="I256" s="142">
        <f t="shared" si="3"/>
        <v>271.15665608918442</v>
      </c>
    </row>
    <row r="257" spans="2:9" x14ac:dyDescent="0.3">
      <c r="B257" s="136">
        <v>998</v>
      </c>
      <c r="C257" s="137">
        <v>9</v>
      </c>
      <c r="D257" s="138" t="s">
        <v>286</v>
      </c>
      <c r="E257" s="139">
        <v>227035.45</v>
      </c>
      <c r="F257" s="140">
        <v>0</v>
      </c>
      <c r="G257" s="140">
        <v>227035.45</v>
      </c>
      <c r="H257" s="141">
        <v>43.685214957722998</v>
      </c>
      <c r="I257" s="142">
        <f t="shared" si="3"/>
        <v>5197.0775517464399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FBEA-ACAB-4312-B805-486515686B68}">
  <sheetPr codeName="Sheet7">
    <tabColor rgb="FFFFCCFF"/>
  </sheetPr>
  <dimension ref="B1:AG274"/>
  <sheetViews>
    <sheetView workbookViewId="0">
      <selection activeCell="D18" sqref="D18"/>
    </sheetView>
  </sheetViews>
  <sheetFormatPr defaultRowHeight="14.4" x14ac:dyDescent="0.3"/>
  <cols>
    <col min="1" max="1" width="5.6640625" customWidth="1"/>
    <col min="2" max="2" width="11.44140625" style="1" customWidth="1"/>
    <col min="3" max="3" width="13.88671875" style="1" customWidth="1"/>
    <col min="4" max="4" width="47.109375" customWidth="1"/>
    <col min="5" max="7" width="16.33203125" customWidth="1"/>
    <col min="8" max="24" width="14.6640625" customWidth="1"/>
    <col min="25" max="25" width="17.44140625" customWidth="1"/>
    <col min="26" max="26" width="20.6640625" customWidth="1"/>
    <col min="27" max="27" width="22.88671875" customWidth="1"/>
    <col min="28" max="28" width="5.6640625" style="26" customWidth="1"/>
    <col min="29" max="30" width="21" style="17" customWidth="1"/>
    <col min="31" max="32" width="21" customWidth="1"/>
    <col min="33" max="33" width="7.88671875" customWidth="1"/>
    <col min="34" max="36" width="12.6640625" customWidth="1"/>
  </cols>
  <sheetData>
    <row r="1" spans="2:30" ht="58.5" customHeight="1" thickBot="1" x14ac:dyDescent="0.35">
      <c r="D1" s="40"/>
      <c r="M1" s="17"/>
      <c r="Y1" s="26"/>
      <c r="Z1" s="17"/>
      <c r="AA1" s="17"/>
      <c r="AB1"/>
      <c r="AC1"/>
      <c r="AD1"/>
    </row>
    <row r="2" spans="2:30" ht="43.8" thickBot="1" x14ac:dyDescent="0.35">
      <c r="B2" s="170" t="s">
        <v>322</v>
      </c>
      <c r="C2" s="171"/>
      <c r="D2" s="171"/>
      <c r="E2" s="171"/>
      <c r="F2" s="171"/>
      <c r="G2" s="171"/>
      <c r="H2" s="171"/>
      <c r="I2" s="171"/>
      <c r="J2" s="171"/>
      <c r="K2" s="172"/>
      <c r="L2" s="116"/>
      <c r="M2" s="116"/>
      <c r="N2" s="42"/>
      <c r="O2" s="42"/>
      <c r="P2" s="42"/>
      <c r="R2" s="43" t="s">
        <v>21</v>
      </c>
      <c r="S2" s="14">
        <v>0.9</v>
      </c>
      <c r="T2" s="100" t="s">
        <v>22</v>
      </c>
      <c r="U2" s="100" t="s">
        <v>23</v>
      </c>
      <c r="V2" s="100" t="s">
        <v>24</v>
      </c>
      <c r="W2" s="41"/>
      <c r="Y2" s="26"/>
      <c r="Z2" s="17"/>
      <c r="AA2" s="17"/>
      <c r="AB2"/>
      <c r="AC2"/>
      <c r="AD2"/>
    </row>
    <row r="3" spans="2:30" ht="15" thickBot="1" x14ac:dyDescent="0.35">
      <c r="B3" s="22"/>
      <c r="N3" s="42"/>
      <c r="O3" s="42"/>
      <c r="P3" s="42"/>
      <c r="S3" s="44">
        <v>1</v>
      </c>
      <c r="T3" s="127" cm="1">
        <f t="array" ref="T3">SUMPRODUCT(--($C$26:$C$300=$S3),$F$26:$F$300)</f>
        <v>337633.368840279</v>
      </c>
      <c r="U3" s="45">
        <f>INDEX('Revised 2020 MFAM Cost Bands'!M$6:M$300,MATCH(S3,'Revised 2020 MFAM Cost Bands'!C$6:C$300,0))</f>
        <v>427.61516767704057</v>
      </c>
      <c r="V3" s="88">
        <f>INDEX('Revised 2020 MFAM Cost Bands'!R$6:R$300,MATCH(S3,'Revised 2020 MFAM Cost Bands'!C$6:C$300,0))</f>
        <v>628.5509919232984</v>
      </c>
      <c r="W3" s="114"/>
      <c r="Y3" s="26"/>
      <c r="Z3" s="17"/>
      <c r="AA3" s="17"/>
      <c r="AB3"/>
      <c r="AC3"/>
      <c r="AD3"/>
    </row>
    <row r="4" spans="2:30" x14ac:dyDescent="0.3">
      <c r="D4" s="184" t="s">
        <v>289</v>
      </c>
      <c r="E4" s="185"/>
      <c r="F4" s="185"/>
      <c r="G4" s="185"/>
      <c r="H4" s="185"/>
      <c r="I4" s="185"/>
      <c r="J4" s="185"/>
      <c r="K4" s="186"/>
      <c r="L4" s="95"/>
      <c r="M4" s="95"/>
      <c r="N4" s="42"/>
      <c r="O4" s="42"/>
      <c r="P4" s="42"/>
      <c r="S4" s="51">
        <v>2</v>
      </c>
      <c r="T4" s="125" cm="1">
        <f t="array" ref="T4">SUMPRODUCT(--($C$26:$C$300=$S4),$F$26:$F$300)</f>
        <v>219900.90000000002</v>
      </c>
      <c r="U4" s="52">
        <f>INDEX('Revised 2020 MFAM Cost Bands'!M$6:M$300,MATCH(S4,'Revised 2020 MFAM Cost Bands'!C$6:C$300,0))</f>
        <v>243.92516529036484</v>
      </c>
      <c r="V4" s="101">
        <f>INDEX('Revised 2020 MFAM Cost Bands'!R$6:R$300,MATCH(S4,'Revised 2020 MFAM Cost Bands'!C$6:C$300,0))</f>
        <v>320.70169543853194</v>
      </c>
      <c r="W4" s="114"/>
      <c r="Y4" s="26"/>
      <c r="Z4" s="17"/>
      <c r="AA4" s="17"/>
      <c r="AB4"/>
      <c r="AC4"/>
      <c r="AD4"/>
    </row>
    <row r="5" spans="2:30" x14ac:dyDescent="0.3">
      <c r="D5" s="53"/>
      <c r="E5" s="54"/>
      <c r="F5" s="54"/>
      <c r="G5" s="54"/>
      <c r="H5" s="54"/>
      <c r="I5" s="54"/>
      <c r="J5" s="54"/>
      <c r="K5" s="55"/>
      <c r="L5" s="54"/>
      <c r="M5" s="54"/>
      <c r="N5" s="56"/>
      <c r="O5" s="56"/>
      <c r="P5" s="56"/>
      <c r="Q5" s="57"/>
      <c r="S5" s="51">
        <v>3</v>
      </c>
      <c r="T5" s="125" cm="1">
        <f t="array" ref="T5">SUMPRODUCT(--($C$26:$C$300=$S5),$F$26:$F$300)</f>
        <v>47719.140484742427</v>
      </c>
      <c r="U5" s="52">
        <f>INDEX('Revised 2020 MFAM Cost Bands'!M$6:M$300,MATCH(S5,'Revised 2020 MFAM Cost Bands'!C$6:C$300,0))</f>
        <v>302.57967145524412</v>
      </c>
      <c r="V5" s="101">
        <f>INDEX('Revised 2020 MFAM Cost Bands'!R$6:R$300,MATCH(S5,'Revised 2020 MFAM Cost Bands'!C$6:C$300,0))</f>
        <v>538.90972072405634</v>
      </c>
      <c r="W5" s="114"/>
      <c r="Y5" s="26"/>
      <c r="Z5" s="17"/>
      <c r="AA5" s="17"/>
      <c r="AB5"/>
      <c r="AC5"/>
      <c r="AD5"/>
    </row>
    <row r="6" spans="2:30" x14ac:dyDescent="0.3">
      <c r="D6" s="58" t="s">
        <v>25</v>
      </c>
      <c r="E6" s="129">
        <v>130723482.62521513</v>
      </c>
      <c r="F6" s="129"/>
      <c r="G6" s="129"/>
      <c r="H6" s="41"/>
      <c r="I6" s="41"/>
      <c r="J6" s="41"/>
      <c r="K6" s="47"/>
      <c r="L6" s="41"/>
      <c r="M6" s="41"/>
      <c r="N6" s="56"/>
      <c r="O6" s="56"/>
      <c r="P6" s="56"/>
      <c r="Q6" s="57"/>
      <c r="S6" s="51">
        <v>4</v>
      </c>
      <c r="T6" s="125" cm="1">
        <f t="array" ref="T6">SUMPRODUCT(--($C$26:$C$300=$S6),$F$26:$F$300)</f>
        <v>96470.661000000007</v>
      </c>
      <c r="U6" s="52">
        <f>INDEX('Revised 2020 MFAM Cost Bands'!M$6:M$300,MATCH(S6,'Revised 2020 MFAM Cost Bands'!C$6:C$300,0))</f>
        <v>416.6231581019228</v>
      </c>
      <c r="V6" s="101">
        <f>INDEX('Revised 2020 MFAM Cost Bands'!R$6:R$300,MATCH(S6,'Revised 2020 MFAM Cost Bands'!C$6:C$300,0))</f>
        <v>586.76887697579878</v>
      </c>
      <c r="W6" s="114"/>
      <c r="Y6" s="26"/>
      <c r="Z6" s="17"/>
      <c r="AA6" s="17"/>
      <c r="AB6"/>
      <c r="AC6"/>
      <c r="AD6"/>
    </row>
    <row r="7" spans="2:30" x14ac:dyDescent="0.3">
      <c r="D7" s="58"/>
      <c r="E7" s="41"/>
      <c r="F7" s="41"/>
      <c r="G7" s="41"/>
      <c r="H7" s="41"/>
      <c r="I7" s="41"/>
      <c r="J7" s="41"/>
      <c r="K7" s="47"/>
      <c r="L7" s="41"/>
      <c r="M7" s="41"/>
      <c r="N7" s="56"/>
      <c r="O7" s="56"/>
      <c r="P7" s="56"/>
      <c r="Q7" s="57"/>
      <c r="S7" s="51">
        <v>5</v>
      </c>
      <c r="T7" s="125" cm="1">
        <f t="array" ref="T7">SUMPRODUCT(--($C$26:$C$300=$S7),$F$26:$F$300)</f>
        <v>18564.118800672233</v>
      </c>
      <c r="U7" s="52">
        <f>INDEX('Revised 2020 MFAM Cost Bands'!M$6:M$300,MATCH(S7,'Revised 2020 MFAM Cost Bands'!C$6:C$300,0))</f>
        <v>287.03403847033383</v>
      </c>
      <c r="V7" s="101">
        <f>INDEX('Revised 2020 MFAM Cost Bands'!R$6:R$300,MATCH(S7,'Revised 2020 MFAM Cost Bands'!C$6:C$300,0))</f>
        <v>448.19444207324722</v>
      </c>
      <c r="W7" s="114"/>
      <c r="Y7" s="26"/>
      <c r="Z7" s="17"/>
      <c r="AA7" s="17"/>
      <c r="AB7"/>
      <c r="AC7"/>
      <c r="AD7"/>
    </row>
    <row r="8" spans="2:30" x14ac:dyDescent="0.3">
      <c r="D8" s="58" t="s">
        <v>26</v>
      </c>
      <c r="E8" s="148">
        <v>-4692120.47</v>
      </c>
      <c r="F8" s="130"/>
      <c r="G8" s="130"/>
      <c r="H8" s="59"/>
      <c r="I8" s="59"/>
      <c r="J8" s="59"/>
      <c r="K8" s="47"/>
      <c r="L8" s="41"/>
      <c r="M8" s="41"/>
      <c r="N8" s="56"/>
      <c r="O8" s="56"/>
      <c r="P8" s="56"/>
      <c r="Q8" s="57"/>
      <c r="S8" s="51">
        <v>6</v>
      </c>
      <c r="T8" s="125" cm="1">
        <f t="array" ref="T8">SUMPRODUCT(--($C$26:$C$300=$S8),$F$26:$F$300)</f>
        <v>10653.610457079589</v>
      </c>
      <c r="U8" s="52">
        <f>INDEX('Revised 2020 MFAM Cost Bands'!M$6:M$300,MATCH(S8,'Revised 2020 MFAM Cost Bands'!C$6:C$300,0))</f>
        <v>704.90257521333319</v>
      </c>
      <c r="V8" s="101">
        <f>INDEX('Revised 2020 MFAM Cost Bands'!R$6:R$300,MATCH(S8,'Revised 2020 MFAM Cost Bands'!C$6:C$300,0))</f>
        <v>1289.5955847737582</v>
      </c>
      <c r="W8" s="114"/>
      <c r="Y8" s="26"/>
      <c r="Z8" s="17"/>
      <c r="AA8" s="17"/>
      <c r="AB8"/>
      <c r="AC8"/>
      <c r="AD8"/>
    </row>
    <row r="9" spans="2:30" x14ac:dyDescent="0.3">
      <c r="D9" s="60" t="s">
        <v>27</v>
      </c>
      <c r="E9" s="59">
        <v>0</v>
      </c>
      <c r="F9" s="59"/>
      <c r="G9" s="59"/>
      <c r="H9" s="19"/>
      <c r="I9" s="19"/>
      <c r="J9" s="19"/>
      <c r="K9" s="61"/>
      <c r="L9" s="18"/>
      <c r="M9" s="18"/>
      <c r="N9" s="56"/>
      <c r="O9" s="56"/>
      <c r="P9" s="56"/>
      <c r="Q9" s="57"/>
      <c r="S9" s="51">
        <v>7</v>
      </c>
      <c r="T9" s="125" cm="1">
        <f t="array" ref="T9">SUMPRODUCT(--($C$26:$C$300=$S9),$F$26:$F$300)</f>
        <v>38042.780455044274</v>
      </c>
      <c r="U9" s="52">
        <f>INDEX('Revised 2020 MFAM Cost Bands'!M$6:M$300,MATCH(S9,'Revised 2020 MFAM Cost Bands'!C$6:C$300,0))</f>
        <v>477.53718767922453</v>
      </c>
      <c r="V9" s="101">
        <f>INDEX('Revised 2020 MFAM Cost Bands'!R$6:R$300,MATCH(S9,'Revised 2020 MFAM Cost Bands'!C$6:C$300,0))</f>
        <v>724.17749136783868</v>
      </c>
      <c r="W9" s="114"/>
      <c r="Y9" s="26"/>
      <c r="Z9" s="17"/>
      <c r="AA9" s="17"/>
      <c r="AB9"/>
      <c r="AC9"/>
      <c r="AD9"/>
    </row>
    <row r="10" spans="2:30" ht="15" thickBot="1" x14ac:dyDescent="0.35">
      <c r="D10" s="58" t="s">
        <v>46</v>
      </c>
      <c r="E10" s="119">
        <f>E6+E8+E9</f>
        <v>126031362.15521513</v>
      </c>
      <c r="F10" s="41"/>
      <c r="G10" s="41"/>
      <c r="H10" s="41"/>
      <c r="I10" s="41"/>
      <c r="J10" s="41"/>
      <c r="K10" s="47"/>
      <c r="L10" s="41"/>
      <c r="M10" s="41"/>
      <c r="N10" s="56"/>
      <c r="O10" s="56"/>
      <c r="P10" s="56"/>
      <c r="Q10" s="57"/>
      <c r="S10" s="51">
        <v>8</v>
      </c>
      <c r="T10" s="125" cm="1">
        <f t="array" ref="T10">SUMPRODUCT(--($C$26:$C$300=$S10),$F$26:$F$300)</f>
        <v>4201.1729231529007</v>
      </c>
      <c r="U10" s="52">
        <f>INDEX('Revised 2020 MFAM Cost Bands'!M$6:M$300,MATCH(S10,'Revised 2020 MFAM Cost Bands'!C$6:C$300,0))</f>
        <v>880.714673659087</v>
      </c>
      <c r="V10" s="101">
        <f>INDEX('Revised 2020 MFAM Cost Bands'!R$6:R$300,MATCH(S10,'Revised 2020 MFAM Cost Bands'!C$6:C$300,0))</f>
        <v>1721.6726653359638</v>
      </c>
      <c r="W10" s="115"/>
      <c r="Y10" s="26"/>
      <c r="Z10" s="17"/>
      <c r="AA10" s="17"/>
      <c r="AB10"/>
      <c r="AC10"/>
      <c r="AD10"/>
    </row>
    <row r="11" spans="2:30" ht="15.6" thickTop="1" thickBot="1" x14ac:dyDescent="0.35">
      <c r="D11" s="58" t="s">
        <v>28</v>
      </c>
      <c r="E11" s="41">
        <f>E10-E9</f>
        <v>126031362.15521513</v>
      </c>
      <c r="F11" s="41"/>
      <c r="G11" s="41"/>
      <c r="H11" s="63"/>
      <c r="I11" s="63"/>
      <c r="J11" s="63"/>
      <c r="K11" s="47"/>
      <c r="L11" s="41"/>
      <c r="M11" s="41"/>
      <c r="N11" s="56"/>
      <c r="O11" s="56"/>
      <c r="P11" s="56"/>
      <c r="Q11" s="57"/>
      <c r="S11" s="64">
        <v>9</v>
      </c>
      <c r="T11" s="128" cm="1">
        <f t="array" ref="T11">SUMPRODUCT(--($C$26:$C$300=$S11),$F$26:$F$300)</f>
        <v>7223.4027485882825</v>
      </c>
      <c r="U11" s="66">
        <f>INDEX('Revised 2020 MFAM Cost Bands'!M$6:M$300,MATCH(S11,'Revised 2020 MFAM Cost Bands'!C$6:C$300,0))</f>
        <v>654.14930531507116</v>
      </c>
      <c r="V11" s="102">
        <f>INDEX('Revised 2020 MFAM Cost Bands'!R$6:R$300,MATCH(S11,'Revised 2020 MFAM Cost Bands'!C$6:C$300,0))</f>
        <v>1358.9511528448409</v>
      </c>
      <c r="W11" s="115"/>
      <c r="Y11" s="26"/>
      <c r="Z11" s="17"/>
      <c r="AA11" s="17"/>
      <c r="AB11"/>
      <c r="AC11"/>
      <c r="AD11"/>
    </row>
    <row r="12" spans="2:30" x14ac:dyDescent="0.3">
      <c r="D12" s="46"/>
      <c r="E12" s="41"/>
      <c r="F12" s="41"/>
      <c r="G12" s="41"/>
      <c r="H12" s="19"/>
      <c r="I12" s="19"/>
      <c r="J12" s="19"/>
      <c r="K12" s="61"/>
      <c r="L12" s="18"/>
      <c r="M12" s="18"/>
      <c r="N12" s="57"/>
      <c r="O12" s="57"/>
      <c r="P12" s="57"/>
      <c r="Q12" s="57"/>
      <c r="R12" s="57"/>
      <c r="S12" s="42"/>
      <c r="T12" s="42"/>
      <c r="W12" s="62"/>
      <c r="X12" s="62"/>
      <c r="Y12" s="67"/>
      <c r="Z12" s="62"/>
    </row>
    <row r="13" spans="2:30" x14ac:dyDescent="0.3">
      <c r="D13" s="181" t="s">
        <v>290</v>
      </c>
      <c r="E13" s="182"/>
      <c r="F13" s="182"/>
      <c r="G13" s="182"/>
      <c r="H13" s="182"/>
      <c r="I13" s="182"/>
      <c r="J13" s="182"/>
      <c r="K13" s="183"/>
      <c r="L13" s="54"/>
      <c r="M13" s="54"/>
      <c r="N13" s="56"/>
      <c r="O13" s="56"/>
      <c r="P13" s="56"/>
      <c r="Q13" s="57"/>
      <c r="R13" s="68"/>
      <c r="S13" s="42"/>
      <c r="T13" s="89"/>
      <c r="U13" s="42"/>
      <c r="W13" s="62"/>
      <c r="X13" s="62"/>
      <c r="Y13" s="62"/>
      <c r="Z13" s="62"/>
    </row>
    <row r="14" spans="2:30" x14ac:dyDescent="0.3">
      <c r="D14" s="58" t="s">
        <v>41</v>
      </c>
      <c r="E14" s="41">
        <f>$E$11*K14</f>
        <v>63015681.077607565</v>
      </c>
      <c r="F14" s="41"/>
      <c r="G14" s="41"/>
      <c r="H14" s="16"/>
      <c r="I14" s="16"/>
      <c r="J14" s="16"/>
      <c r="K14" s="69">
        <v>0.5</v>
      </c>
      <c r="L14" s="96"/>
      <c r="M14" s="96"/>
      <c r="N14" s="42"/>
      <c r="O14" s="42"/>
      <c r="P14" s="42"/>
      <c r="Q14" s="42"/>
      <c r="R14" s="42"/>
      <c r="S14" s="42"/>
      <c r="W14" s="62"/>
      <c r="X14" s="62"/>
      <c r="Y14" s="62"/>
      <c r="Z14" s="62"/>
    </row>
    <row r="15" spans="2:30" x14ac:dyDescent="0.3">
      <c r="D15" s="58" t="s">
        <v>40</v>
      </c>
      <c r="E15" s="41">
        <f>$E$11*K15</f>
        <v>44110976.754325293</v>
      </c>
      <c r="F15" s="41"/>
      <c r="G15" s="41"/>
      <c r="H15" s="70">
        <f>E15/E19</f>
        <v>56.522884735019574</v>
      </c>
      <c r="I15" s="70"/>
      <c r="J15" s="70"/>
      <c r="K15" s="69">
        <v>0.35</v>
      </c>
      <c r="L15" s="96"/>
      <c r="M15" s="96"/>
      <c r="N15" s="42"/>
      <c r="O15" s="42"/>
      <c r="P15" s="42"/>
      <c r="Q15" s="42"/>
      <c r="R15" s="42"/>
      <c r="S15" s="42"/>
      <c r="T15" s="117" t="s">
        <v>47</v>
      </c>
    </row>
    <row r="16" spans="2:30" x14ac:dyDescent="0.3">
      <c r="D16" s="58" t="s">
        <v>39</v>
      </c>
      <c r="E16" s="121">
        <f>$E$11*K16</f>
        <v>18904704.323282268</v>
      </c>
      <c r="F16" s="41"/>
      <c r="G16" s="41"/>
      <c r="H16" s="16"/>
      <c r="I16" s="16"/>
      <c r="J16" s="16"/>
      <c r="K16" s="69">
        <v>0.15</v>
      </c>
      <c r="L16" s="96"/>
      <c r="M16" s="96"/>
      <c r="N16" s="42"/>
      <c r="O16" s="42"/>
      <c r="P16" s="42"/>
      <c r="Q16" s="42"/>
      <c r="R16" s="42"/>
      <c r="S16" s="42"/>
      <c r="T16" s="71"/>
    </row>
    <row r="17" spans="2:33" ht="15" thickBot="1" x14ac:dyDescent="0.35">
      <c r="D17" s="58" t="s">
        <v>365</v>
      </c>
      <c r="E17" s="122">
        <f>E14+E15+E16</f>
        <v>126031362.15521513</v>
      </c>
      <c r="F17" s="41"/>
      <c r="G17" s="41"/>
      <c r="H17" s="16"/>
      <c r="I17" s="16"/>
      <c r="J17" s="16"/>
      <c r="K17" s="72"/>
      <c r="L17" s="16"/>
      <c r="M17" s="16"/>
      <c r="N17" s="42"/>
      <c r="O17" s="42"/>
      <c r="P17" s="42"/>
      <c r="Q17" s="42"/>
      <c r="R17" s="42"/>
      <c r="S17" s="42"/>
      <c r="U17" s="14">
        <v>0.5</v>
      </c>
      <c r="V17" s="14">
        <v>0.35</v>
      </c>
      <c r="W17" s="14">
        <v>0.15</v>
      </c>
      <c r="X17" s="14"/>
    </row>
    <row r="18" spans="2:33" ht="15.6" thickTop="1" thickBot="1" x14ac:dyDescent="0.35">
      <c r="D18" s="46"/>
      <c r="E18" s="16"/>
      <c r="F18" s="16"/>
      <c r="G18" s="16"/>
      <c r="H18" s="16"/>
      <c r="I18" s="16"/>
      <c r="J18" s="16"/>
      <c r="K18" s="72"/>
      <c r="L18" s="16"/>
      <c r="M18" s="16"/>
      <c r="N18" s="41"/>
      <c r="O18" s="41"/>
      <c r="P18" s="41"/>
      <c r="T18" s="42"/>
      <c r="U18" s="178" t="str">
        <f>"Model Funding Distribution Basis:   "&amp;TEXT(U17,"#,##0%")&amp;" Adjusted Net Costs, "&amp;TEXT(V17,"#,##0%")&amp;" Recovered Tonnage, "&amp;TEXT(W17,"#,##0%")&amp;" BP"</f>
        <v>Model Funding Distribution Basis:   50% Adjusted Net Costs, 35% Recovered Tonnage, 15% BP</v>
      </c>
      <c r="V18" s="179"/>
      <c r="W18" s="179"/>
      <c r="X18" s="179"/>
      <c r="Y18" s="179"/>
      <c r="Z18" s="179"/>
      <c r="AA18" s="180"/>
      <c r="AB18" s="73"/>
    </row>
    <row r="19" spans="2:33" ht="15" thickBot="1" x14ac:dyDescent="0.35">
      <c r="D19" s="74" t="s">
        <v>29</v>
      </c>
      <c r="E19" s="128">
        <f>F24</f>
        <v>780409.15570955805</v>
      </c>
      <c r="F19" s="65"/>
      <c r="G19" s="65"/>
      <c r="H19" s="65"/>
      <c r="I19" s="65"/>
      <c r="J19" s="65"/>
      <c r="K19" s="75"/>
      <c r="L19" s="19"/>
      <c r="M19" s="19"/>
      <c r="N19" s="41"/>
      <c r="O19" s="41"/>
      <c r="P19" s="41"/>
      <c r="T19" s="42"/>
      <c r="U19" s="103"/>
      <c r="V19" s="104"/>
      <c r="W19" s="104"/>
      <c r="X19" s="104"/>
      <c r="Y19" s="104"/>
      <c r="Z19" s="105">
        <f>75%</f>
        <v>0.75</v>
      </c>
      <c r="AA19" s="110" cm="1">
        <f t="array" ref="AA19">SUMPRODUCT(--(Z$26:Z$300&lt;Z$19-0.5%),Y$26:Y$300)</f>
        <v>126031362.15521516</v>
      </c>
      <c r="AB19" s="76"/>
    </row>
    <row r="20" spans="2:33" x14ac:dyDescent="0.3">
      <c r="N20" s="41"/>
      <c r="O20" s="41"/>
      <c r="P20" s="41"/>
      <c r="U20" s="107"/>
      <c r="V20" s="106"/>
      <c r="W20" s="106"/>
      <c r="X20" s="106"/>
      <c r="Y20" s="106"/>
      <c r="Z20" s="108"/>
      <c r="AA20" s="110"/>
      <c r="AB20" s="77"/>
    </row>
    <row r="21" spans="2:33" x14ac:dyDescent="0.3">
      <c r="N21" s="41"/>
      <c r="O21" s="41"/>
      <c r="P21" s="41"/>
      <c r="U21" s="107"/>
      <c r="V21" s="106"/>
      <c r="W21" s="106"/>
      <c r="X21" s="106"/>
      <c r="Y21" s="106"/>
      <c r="Z21" s="106"/>
      <c r="AA21" s="110"/>
      <c r="AB21" s="76"/>
    </row>
    <row r="22" spans="2:33" x14ac:dyDescent="0.3">
      <c r="N22" s="41"/>
      <c r="O22" s="41"/>
      <c r="P22" s="41"/>
      <c r="Q22" s="79">
        <f>SMALL(Q26:Q266,5)</f>
        <v>173.00897984309142</v>
      </c>
      <c r="U22" s="107"/>
      <c r="V22" s="106"/>
      <c r="W22" s="109"/>
      <c r="X22" s="109"/>
      <c r="Y22" s="109"/>
      <c r="Z22" s="106" cm="1">
        <f t="array" ref="Z22">SUMPRODUCT(--($Z$26:$Z$300&lt;Z19),Y26:Y300)</f>
        <v>126031362.15521516</v>
      </c>
      <c r="AA22" s="110" cm="1">
        <f t="array" ref="AA22">SUMPRODUCT(--(Z$26:Z$300&gt;Z$19),Y$26:Y$300)-SUMPRODUCT(--(Z$26:Z$300&gt;Z$19),$S$26:$S$300)*Z$19</f>
        <v>0</v>
      </c>
      <c r="AB22" s="76"/>
      <c r="AC22" s="145"/>
    </row>
    <row r="23" spans="2:33" ht="15" thickBot="1" x14ac:dyDescent="0.35"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6"/>
      <c r="O23" s="16"/>
      <c r="P23" s="16"/>
      <c r="Q23" s="79">
        <f>LARGE(Q26:Q266,5)</f>
        <v>3149.6066118090275</v>
      </c>
      <c r="S23" s="78">
        <v>244990724.68231803</v>
      </c>
      <c r="U23" s="107"/>
      <c r="V23" s="106"/>
      <c r="W23" s="106">
        <f>E16-W24</f>
        <v>3588621.896034386</v>
      </c>
      <c r="X23" s="109"/>
      <c r="Y23" s="109"/>
      <c r="Z23" s="106" cm="1">
        <f t="array" ref="Z23">SUMPRODUCT(--($Z$26:$Z$300&gt;$Z$19),$Y$26:$Y$300)-$Z$19*SUMPRODUCT(--($Z$26:$Z$300&gt;$Z$19),$S$26:$S$300)</f>
        <v>0</v>
      </c>
      <c r="AA23" s="110">
        <f>SUM(AA26:AA300)</f>
        <v>126031362.15521516</v>
      </c>
      <c r="AB23" s="76"/>
      <c r="AC23" s="86"/>
    </row>
    <row r="24" spans="2:33" ht="15" thickBot="1" x14ac:dyDescent="0.35">
      <c r="E24" s="125">
        <f t="shared" ref="E24:P24" si="0">SUM(E26:E300)</f>
        <v>780555.21799223369</v>
      </c>
      <c r="F24" s="125">
        <f t="shared" si="0"/>
        <v>780409.15570955805</v>
      </c>
      <c r="G24" s="125">
        <f t="shared" si="0"/>
        <v>146.06228267530287</v>
      </c>
      <c r="H24" s="16">
        <f t="shared" si="0"/>
        <v>366648957.74999952</v>
      </c>
      <c r="I24" s="16">
        <f t="shared" si="0"/>
        <v>367209233.82999974</v>
      </c>
      <c r="J24" s="16">
        <f t="shared" si="0"/>
        <v>-560276.07999999216</v>
      </c>
      <c r="K24" s="16">
        <f t="shared" si="0"/>
        <v>75098964.159999996</v>
      </c>
      <c r="L24" s="16">
        <f t="shared" si="0"/>
        <v>75152503.179999992</v>
      </c>
      <c r="M24" s="16">
        <f t="shared" si="0"/>
        <v>-53539.020000000615</v>
      </c>
      <c r="N24" s="16">
        <f t="shared" si="0"/>
        <v>291549993.58999985</v>
      </c>
      <c r="O24" s="16">
        <f t="shared" si="0"/>
        <v>292056730.6499998</v>
      </c>
      <c r="P24" s="16">
        <f t="shared" si="0"/>
        <v>-506737.05999999185</v>
      </c>
      <c r="Q24" s="16"/>
      <c r="R24" t="s">
        <v>11</v>
      </c>
      <c r="S24" s="16">
        <f>SUM(S26:S300)</f>
        <v>286425191.32953638</v>
      </c>
      <c r="T24" s="80"/>
      <c r="U24" s="81">
        <f>SUM(U26:U300)</f>
        <v>63015681.077607609</v>
      </c>
      <c r="V24" s="82">
        <f>SUM(V26:V300)</f>
        <v>44110976.754325323</v>
      </c>
      <c r="W24" s="82">
        <f>IFERROR(SUM(W26:W300),0)</f>
        <v>15316082.427247882</v>
      </c>
      <c r="X24" s="82">
        <f>SUM(X26:X300)</f>
        <v>3588621.8960343911</v>
      </c>
      <c r="Y24" s="82">
        <f>SUM(Y26:Y300)</f>
        <v>126031362.15521516</v>
      </c>
      <c r="Z24" s="176" t="str">
        <f xml:space="preserve"> "Limit: "&amp;TEXT(Z19,"#,##0.0%")&amp;" of Filtered Net Cost"</f>
        <v>Limit: 75.0% of Filtered Net Cost</v>
      </c>
      <c r="AA24" s="177"/>
      <c r="AB24" s="73"/>
      <c r="AC24" s="131">
        <f>SUM(AC26:AC300)</f>
        <v>126031362.15521517</v>
      </c>
      <c r="AD24" s="131"/>
    </row>
    <row r="25" spans="2:33" s="124" customFormat="1" ht="43.8" thickBot="1" x14ac:dyDescent="0.35">
      <c r="B25" s="92" t="s">
        <v>10</v>
      </c>
      <c r="C25" s="92" t="s">
        <v>9</v>
      </c>
      <c r="D25" s="92" t="s">
        <v>8</v>
      </c>
      <c r="E25" s="112" t="s">
        <v>323</v>
      </c>
      <c r="F25" s="97" t="s">
        <v>318</v>
      </c>
      <c r="G25" s="98" t="s">
        <v>45</v>
      </c>
      <c r="H25" s="112" t="s">
        <v>303</v>
      </c>
      <c r="I25" s="97" t="s">
        <v>319</v>
      </c>
      <c r="J25" s="98" t="s">
        <v>45</v>
      </c>
      <c r="K25" s="112" t="s">
        <v>304</v>
      </c>
      <c r="L25" s="97" t="s">
        <v>320</v>
      </c>
      <c r="M25" s="98" t="s">
        <v>45</v>
      </c>
      <c r="N25" s="93" t="s">
        <v>305</v>
      </c>
      <c r="O25" s="97" t="s">
        <v>321</v>
      </c>
      <c r="P25" s="98" t="s">
        <v>45</v>
      </c>
      <c r="Q25" s="93" t="s">
        <v>7</v>
      </c>
      <c r="R25" s="93" t="s">
        <v>0</v>
      </c>
      <c r="S25" s="93" t="str">
        <f>"Adjusted Net Cost"&amp;CHAR(10)&amp;TEXT(SUM(S26:S299),"$#,##0")</f>
        <v>Adjusted Net Cost
$286,425,191</v>
      </c>
      <c r="T25" s="112" t="s">
        <v>30</v>
      </c>
      <c r="U25" s="93" t="s">
        <v>31</v>
      </c>
      <c r="V25" s="93" t="s">
        <v>32</v>
      </c>
      <c r="W25" s="123" t="s">
        <v>33</v>
      </c>
      <c r="X25" s="93" t="s">
        <v>34</v>
      </c>
      <c r="Y25" s="93" t="str">
        <f>"Subtotal Funding Net of CIF"&amp;CHAR(10)&amp;TEXT(SUM(Y26:Y299),"$#,##0")</f>
        <v>Subtotal Funding Net of CIF
$126,031,362</v>
      </c>
      <c r="Z25" s="123" t="s">
        <v>35</v>
      </c>
      <c r="AA25" s="93" t="str">
        <f>"Total 2018 Adjusted Payment"&amp;CHAR(10)&amp;TEXT(SUM($AA$26:$AA$299),"$#,##0;(-$#,##0)")</f>
        <v>Total 2018 Adjusted Payment
$126,031,362</v>
      </c>
      <c r="AB25" s="84"/>
      <c r="AC25" s="99" t="s">
        <v>330</v>
      </c>
      <c r="AD25" s="99" t="s">
        <v>331</v>
      </c>
      <c r="AE25" s="99" t="s">
        <v>332</v>
      </c>
      <c r="AF25" s="99" t="s">
        <v>333</v>
      </c>
    </row>
    <row r="26" spans="2:33" x14ac:dyDescent="0.3">
      <c r="B26">
        <v>1</v>
      </c>
      <c r="C26" s="25">
        <v>1</v>
      </c>
      <c r="D26" s="32" t="s">
        <v>48</v>
      </c>
      <c r="E26" s="125">
        <v>38779.589531164704</v>
      </c>
      <c r="F26" s="125">
        <f>INDEX('Revised 2018 Lockdown'!H$5:H$253,MATCH(B26,'Revised 2018 Lockdown'!B$5:B$253,0))</f>
        <v>38728.502695461008</v>
      </c>
      <c r="G26" s="125">
        <f>E26-F26</f>
        <v>51.086835703696124</v>
      </c>
      <c r="H26" s="5">
        <v>9766397.1899999995</v>
      </c>
      <c r="I26" s="5">
        <f>INDEX('Revised 2018 Lockdown'!E$5:E$253,MATCH(B26,'Revised 2018 Lockdown'!B$5:B$253,0))</f>
        <v>9766397.1899999995</v>
      </c>
      <c r="J26" s="5">
        <f>H26-I26</f>
        <v>0</v>
      </c>
      <c r="K26" s="5">
        <v>568925.55000000005</v>
      </c>
      <c r="L26" s="5">
        <f>INDEX('Revised 2018 Lockdown'!F$5:F$253,MATCH(B26,'Revised 2018 Lockdown'!B$5:B$253,0))</f>
        <v>568925.55000000005</v>
      </c>
      <c r="M26" s="5">
        <f>K26-L26</f>
        <v>0</v>
      </c>
      <c r="N26" s="5">
        <v>9197471.6399999987</v>
      </c>
      <c r="O26" s="87">
        <f>I26-L26</f>
        <v>9197471.6399999987</v>
      </c>
      <c r="P26" s="87">
        <f>N26-O26</f>
        <v>0</v>
      </c>
      <c r="Q26" s="85">
        <f>IFERROR(O26/F26,"n.a.")</f>
        <v>237.48585666540487</v>
      </c>
      <c r="R26" s="6">
        <f t="shared" ref="R26:R89" si="1">MIN(Q26,INDEX($V$3:$V$11,MATCH(C26,$S$3:$S$11,0)))</f>
        <v>237.48585666540487</v>
      </c>
      <c r="S26" s="5">
        <f>F26*R26</f>
        <v>9197471.6399999987</v>
      </c>
      <c r="T26" s="113">
        <v>1</v>
      </c>
      <c r="U26" s="87">
        <f>$E$14*(S26/$S$24)</f>
        <v>2023512.446290938</v>
      </c>
      <c r="V26" s="87">
        <f>$E$15*(F26/$F$24)</f>
        <v>2189046.6938154376</v>
      </c>
      <c r="W26" s="87">
        <f>IFERROR(T26*$E$16*(S26/$S$24),0)</f>
        <v>607053.73388728139</v>
      </c>
      <c r="X26" s="87">
        <f>($W$23+$E$9)*(S26/$S$24)</f>
        <v>115235.14381626132</v>
      </c>
      <c r="Y26" s="87">
        <f>U26+V26+W26+X26</f>
        <v>4934848.0178099182</v>
      </c>
      <c r="Z26" s="91">
        <f>IFERROR((Y26/S26),0)</f>
        <v>0.53654397762404182</v>
      </c>
      <c r="AA26" s="86">
        <f>IF(Z26&gt;$Z$19,$Z$19*S26,Y26+($Z$23*Y26/$Z$22))</f>
        <v>4934848.0178099182</v>
      </c>
      <c r="AB26" s="87"/>
      <c r="AC26" s="86">
        <v>4941681.0543130776</v>
      </c>
      <c r="AD26" s="147">
        <f>AA26-AC26</f>
        <v>-6833.0365031594411</v>
      </c>
      <c r="AE26" s="147">
        <v>-4211.1036105146632</v>
      </c>
      <c r="AF26" s="147">
        <f>AD26-AE26</f>
        <v>-2621.9328926447779</v>
      </c>
      <c r="AG26" s="86"/>
    </row>
    <row r="27" spans="2:33" x14ac:dyDescent="0.3">
      <c r="B27">
        <v>20</v>
      </c>
      <c r="C27" s="25">
        <v>1</v>
      </c>
      <c r="D27" s="32" t="s">
        <v>49</v>
      </c>
      <c r="E27" s="125">
        <v>95138.34</v>
      </c>
      <c r="F27" s="125">
        <f>INDEX('Revised 2018 Lockdown'!H$5:H$253,MATCH(B27,'Revised 2018 Lockdown'!B$5:B$253,0))</f>
        <v>95138.34</v>
      </c>
      <c r="G27" s="125">
        <f t="shared" ref="G27:G90" si="2">E27-F27</f>
        <v>0</v>
      </c>
      <c r="H27" s="5">
        <v>71739245.819999993</v>
      </c>
      <c r="I27" s="5">
        <f>INDEX('Revised 2018 Lockdown'!E$5:E$253,MATCH(B27,'Revised 2018 Lockdown'!B$5:B$253,0))</f>
        <v>72205416.569999993</v>
      </c>
      <c r="J27" s="5">
        <f t="shared" ref="J27:J90" si="3">H27-I27</f>
        <v>-466170.75</v>
      </c>
      <c r="K27" s="5">
        <v>10663964.02</v>
      </c>
      <c r="L27" s="5">
        <f>INDEX('Revised 2018 Lockdown'!F$5:F$253,MATCH(B27,'Revised 2018 Lockdown'!B$5:B$253,0))</f>
        <v>10663964.02</v>
      </c>
      <c r="M27" s="5">
        <f t="shared" ref="M27:M90" si="4">K27-L27</f>
        <v>0</v>
      </c>
      <c r="N27" s="5">
        <v>61075281.799999997</v>
      </c>
      <c r="O27" s="87">
        <f t="shared" ref="O27:O90" si="5">I27-L27</f>
        <v>61541452.549999997</v>
      </c>
      <c r="P27" s="87">
        <f t="shared" ref="P27:P90" si="6">N27-O27</f>
        <v>-466170.75</v>
      </c>
      <c r="Q27" s="85">
        <f>IFERROR(O27/F27,"n.a.")</f>
        <v>646.86279527265242</v>
      </c>
      <c r="R27" s="6">
        <f>MIN(Q27,INDEX($V$3:$V$11,MATCH(C27,$S$3:$S$11,0)))</f>
        <v>628.5509919232984</v>
      </c>
      <c r="S27" s="5">
        <f>F27*R27</f>
        <v>59799297.976936013</v>
      </c>
      <c r="T27" s="113">
        <v>0.83378571428571413</v>
      </c>
      <c r="U27" s="87">
        <f t="shared" ref="U27:U89" si="7">$E$14*(S27/$S$24)</f>
        <v>13156292.128103865</v>
      </c>
      <c r="V27" s="87">
        <f>$E$15*(F27/$F$24)</f>
        <v>5377493.4257011013</v>
      </c>
      <c r="W27" s="87">
        <f t="shared" ref="W27:W89" si="8">IFERROR(T27*$E$16*(S27/$S$24),0)</f>
        <v>3290858.5288147791</v>
      </c>
      <c r="X27" s="87">
        <f t="shared" ref="X27:X89" si="9">($W$23+$E$9)*(S27/$S$24)</f>
        <v>749225.54504160304</v>
      </c>
      <c r="Y27" s="87">
        <f t="shared" ref="Y27:Y89" si="10">U27+V27+W27+X27</f>
        <v>22573869.627661347</v>
      </c>
      <c r="Z27" s="91">
        <f t="shared" ref="Z27:Z89" si="11">IFERROR((Y27/S27),0)</f>
        <v>0.37749389025215419</v>
      </c>
      <c r="AA27" s="86">
        <f t="shared" ref="AA27:AA89" si="12">IF(Z27&gt;$Z$19,$Z$19*S27,Y27+($Z$23*Y27/$Z$22))</f>
        <v>22573869.627661347</v>
      </c>
      <c r="AB27" s="87"/>
      <c r="AC27" s="86">
        <v>22480314.530982662</v>
      </c>
      <c r="AD27" s="147">
        <f t="shared" ref="AD27:AD90" si="13">AA27-AC27</f>
        <v>93555.096678685397</v>
      </c>
      <c r="AE27" s="147">
        <v>84749.399621862918</v>
      </c>
      <c r="AF27" s="147">
        <f t="shared" ref="AF27:AF90" si="14">AD27-AE27</f>
        <v>8805.6970568224788</v>
      </c>
      <c r="AG27" s="86"/>
    </row>
    <row r="28" spans="2:33" x14ac:dyDescent="0.3">
      <c r="B28">
        <v>50</v>
      </c>
      <c r="C28" s="25">
        <v>1</v>
      </c>
      <c r="D28" s="32" t="s">
        <v>50</v>
      </c>
      <c r="E28" s="125">
        <v>21832.32</v>
      </c>
      <c r="F28" s="125">
        <f>INDEX('Revised 2018 Lockdown'!H$5:H$253,MATCH(B28,'Revised 2018 Lockdown'!B$5:B$253,0))</f>
        <v>21832.32</v>
      </c>
      <c r="G28" s="125">
        <f t="shared" si="2"/>
        <v>0</v>
      </c>
      <c r="H28" s="5">
        <v>10267643.390000001</v>
      </c>
      <c r="I28" s="5">
        <f>INDEX('Revised 2018 Lockdown'!E$5:E$253,MATCH(B28,'Revised 2018 Lockdown'!B$5:B$253,0))</f>
        <v>10268120.67</v>
      </c>
      <c r="J28" s="5">
        <f t="shared" si="3"/>
        <v>-477.27999999932945</v>
      </c>
      <c r="K28" s="5">
        <v>3253400.57</v>
      </c>
      <c r="L28" s="5">
        <f>INDEX('Revised 2018 Lockdown'!F$5:F$253,MATCH(B28,'Revised 2018 Lockdown'!B$5:B$253,0))</f>
        <v>3253400.57</v>
      </c>
      <c r="M28" s="5">
        <f t="shared" si="4"/>
        <v>0</v>
      </c>
      <c r="N28" s="5">
        <v>7014242.8200000003</v>
      </c>
      <c r="O28" s="87">
        <f t="shared" si="5"/>
        <v>7014720.0999999996</v>
      </c>
      <c r="P28" s="87">
        <f t="shared" si="6"/>
        <v>-477.27999999932945</v>
      </c>
      <c r="Q28" s="85">
        <f t="shared" ref="Q28:Q90" si="15">IFERROR(O28/F28,"n.a.")</f>
        <v>321.29980231143549</v>
      </c>
      <c r="R28" s="6">
        <f t="shared" si="1"/>
        <v>321.29980231143549</v>
      </c>
      <c r="S28" s="5">
        <f t="shared" ref="S28:S90" si="16">F28*R28</f>
        <v>7014720.0999999987</v>
      </c>
      <c r="T28" s="113">
        <v>0.87535714285714272</v>
      </c>
      <c r="U28" s="87">
        <f>$E$14*(S28/$S$24)</f>
        <v>1543290.8069936938</v>
      </c>
      <c r="V28" s="87">
        <f>$E$15*(F28/$F$24)</f>
        <v>1234025.7068580624</v>
      </c>
      <c r="W28" s="87">
        <f>IFERROR(T28*$E$16*(S28/$S$24),0)</f>
        <v>405279.18942230812</v>
      </c>
      <c r="X28" s="87">
        <f>($W$23+$E$9)*(S28/$S$24)</f>
        <v>87887.444636286906</v>
      </c>
      <c r="Y28" s="87">
        <f>U28+V28+W28+X28</f>
        <v>3270483.1479103509</v>
      </c>
      <c r="Z28" s="91">
        <f>IFERROR((Y28/S28),0)</f>
        <v>0.46623145347030331</v>
      </c>
      <c r="AA28" s="86">
        <f>IF(Z28&gt;$Z$19,$Z$19*S28,Y28+($Z$23*Y28/$Z$22))</f>
        <v>3270483.1479103509</v>
      </c>
      <c r="AB28" s="87"/>
      <c r="AC28" s="86">
        <v>3273346.3131831107</v>
      </c>
      <c r="AD28" s="147">
        <f t="shared" si="13"/>
        <v>-2863.1652727597393</v>
      </c>
      <c r="AE28" s="147">
        <v>-1089.0634631286375</v>
      </c>
      <c r="AF28" s="147">
        <f t="shared" si="14"/>
        <v>-1774.1018096311018</v>
      </c>
      <c r="AG28" s="86"/>
    </row>
    <row r="29" spans="2:33" x14ac:dyDescent="0.3">
      <c r="B29">
        <v>97</v>
      </c>
      <c r="C29" s="25">
        <v>1</v>
      </c>
      <c r="D29" s="32" t="s">
        <v>51</v>
      </c>
      <c r="E29" s="125">
        <v>65811.663101711354</v>
      </c>
      <c r="F29" s="125">
        <f>INDEX('Revised 2018 Lockdown'!H$5:H$253,MATCH(B29,'Revised 2018 Lockdown'!B$5:B$253,0))</f>
        <v>65818.306144817994</v>
      </c>
      <c r="G29" s="125">
        <f t="shared" si="2"/>
        <v>-6.643043106640107</v>
      </c>
      <c r="H29" s="5">
        <v>29671076.98</v>
      </c>
      <c r="I29" s="5">
        <f>INDEX('Revised 2018 Lockdown'!E$5:E$253,MATCH(B29,'Revised 2018 Lockdown'!B$5:B$253,0))</f>
        <v>29681378.469999999</v>
      </c>
      <c r="J29" s="5">
        <f t="shared" si="3"/>
        <v>-10301.489999998361</v>
      </c>
      <c r="K29" s="5">
        <v>5189475.3699999992</v>
      </c>
      <c r="L29" s="5">
        <f>INDEX('Revised 2018 Lockdown'!F$5:F$253,MATCH(B29,'Revised 2018 Lockdown'!B$5:B$253,0))</f>
        <v>5193562.6999999993</v>
      </c>
      <c r="M29" s="5">
        <f t="shared" si="4"/>
        <v>-4087.3300000000745</v>
      </c>
      <c r="N29" s="5">
        <v>24481601.609999999</v>
      </c>
      <c r="O29" s="87">
        <f t="shared" si="5"/>
        <v>24487815.77</v>
      </c>
      <c r="P29" s="87">
        <f t="shared" si="6"/>
        <v>-6214.160000000149</v>
      </c>
      <c r="Q29" s="85">
        <f t="shared" si="15"/>
        <v>372.0517467605473</v>
      </c>
      <c r="R29" s="6">
        <f t="shared" si="1"/>
        <v>372.0517467605473</v>
      </c>
      <c r="S29" s="5">
        <f t="shared" si="16"/>
        <v>24487815.77</v>
      </c>
      <c r="T29" s="113">
        <v>0.87535714285714272</v>
      </c>
      <c r="U29" s="87">
        <f t="shared" si="7"/>
        <v>5387502.3411406269</v>
      </c>
      <c r="V29" s="87">
        <f t="shared" ref="V29:V89" si="17">$E$15*(F29/$F$24)</f>
        <v>3720240.5316777779</v>
      </c>
      <c r="W29" s="87">
        <f t="shared" si="8"/>
        <v>1414796.5969431077</v>
      </c>
      <c r="X29" s="87">
        <f t="shared" si="9"/>
        <v>306807.90139430779</v>
      </c>
      <c r="Y29" s="87">
        <f t="shared" si="10"/>
        <v>10829347.371155821</v>
      </c>
      <c r="Z29" s="91">
        <f t="shared" si="11"/>
        <v>0.44223410829572002</v>
      </c>
      <c r="AA29" s="86">
        <f t="shared" si="12"/>
        <v>10829347.371155821</v>
      </c>
      <c r="AB29" s="87"/>
      <c r="AC29" s="86">
        <v>10837754.557979662</v>
      </c>
      <c r="AD29" s="147">
        <f t="shared" si="13"/>
        <v>-8407.1868238411844</v>
      </c>
      <c r="AE29" s="147">
        <v>-1801.696661606431</v>
      </c>
      <c r="AF29" s="147">
        <f t="shared" si="14"/>
        <v>-6605.4901622347534</v>
      </c>
      <c r="AG29" s="86"/>
    </row>
    <row r="30" spans="2:33" x14ac:dyDescent="0.3">
      <c r="B30">
        <v>172</v>
      </c>
      <c r="C30" s="25">
        <v>1</v>
      </c>
      <c r="D30" s="32" t="s">
        <v>52</v>
      </c>
      <c r="E30" s="125">
        <v>34341.100000000006</v>
      </c>
      <c r="F30" s="125">
        <f>INDEX('Revised 2018 Lockdown'!H$5:H$253,MATCH(B30,'Revised 2018 Lockdown'!B$5:B$253,0))</f>
        <v>34341.100000000006</v>
      </c>
      <c r="G30" s="125">
        <f t="shared" si="2"/>
        <v>0</v>
      </c>
      <c r="H30" s="5">
        <v>15497137.449999999</v>
      </c>
      <c r="I30" s="5">
        <f>INDEX('Revised 2018 Lockdown'!E$5:E$253,MATCH(B30,'Revised 2018 Lockdown'!B$5:B$253,0))</f>
        <v>15497137.449999999</v>
      </c>
      <c r="J30" s="5">
        <f t="shared" si="3"/>
        <v>0</v>
      </c>
      <c r="K30" s="5">
        <v>3445193.7500000005</v>
      </c>
      <c r="L30" s="5">
        <f>INDEX('Revised 2018 Lockdown'!F$5:F$253,MATCH(B30,'Revised 2018 Lockdown'!B$5:B$253,0))</f>
        <v>3445193.7500000005</v>
      </c>
      <c r="M30" s="5">
        <f t="shared" si="4"/>
        <v>0</v>
      </c>
      <c r="N30" s="5">
        <v>12051943.699999999</v>
      </c>
      <c r="O30" s="87">
        <f t="shared" si="5"/>
        <v>12051943.699999999</v>
      </c>
      <c r="P30" s="87">
        <f t="shared" si="6"/>
        <v>0</v>
      </c>
      <c r="Q30" s="85">
        <f t="shared" si="15"/>
        <v>350.94809717801695</v>
      </c>
      <c r="R30" s="6">
        <f t="shared" si="1"/>
        <v>350.94809717801695</v>
      </c>
      <c r="S30" s="5">
        <f t="shared" si="16"/>
        <v>12051943.699999999</v>
      </c>
      <c r="T30" s="113">
        <v>0.87535714285714272</v>
      </c>
      <c r="U30" s="87">
        <f t="shared" si="7"/>
        <v>2651517.6163073941</v>
      </c>
      <c r="V30" s="87">
        <f t="shared" si="17"/>
        <v>1941058.036973781</v>
      </c>
      <c r="W30" s="87">
        <f t="shared" si="8"/>
        <v>696307.46545386664</v>
      </c>
      <c r="X30" s="87">
        <f t="shared" si="9"/>
        <v>150998.83097165872</v>
      </c>
      <c r="Y30" s="87">
        <f t="shared" si="10"/>
        <v>5439881.9497067006</v>
      </c>
      <c r="Z30" s="91">
        <f t="shared" si="11"/>
        <v>0.45136967821271029</v>
      </c>
      <c r="AA30" s="86">
        <f t="shared" si="12"/>
        <v>5439881.9497067006</v>
      </c>
      <c r="AB30" s="87"/>
      <c r="AC30" s="86">
        <v>5445073.0887139011</v>
      </c>
      <c r="AD30" s="147">
        <f t="shared" si="13"/>
        <v>-5191.139007200487</v>
      </c>
      <c r="AE30" s="147">
        <v>-1919.2608887264505</v>
      </c>
      <c r="AF30" s="147">
        <f t="shared" si="14"/>
        <v>-3271.8781184740365</v>
      </c>
      <c r="AG30" s="86"/>
    </row>
    <row r="31" spans="2:33" x14ac:dyDescent="0.3">
      <c r="B31">
        <v>270</v>
      </c>
      <c r="C31" s="25">
        <v>1</v>
      </c>
      <c r="D31" s="32" t="s">
        <v>53</v>
      </c>
      <c r="E31" s="125">
        <v>81774.8</v>
      </c>
      <c r="F31" s="125">
        <f>INDEX('Revised 2018 Lockdown'!H$5:H$253,MATCH(B31,'Revised 2018 Lockdown'!B$5:B$253,0))</f>
        <v>81774.8</v>
      </c>
      <c r="G31" s="125">
        <f t="shared" si="2"/>
        <v>0</v>
      </c>
      <c r="H31" s="5">
        <v>36853205.850000001</v>
      </c>
      <c r="I31" s="5">
        <f>INDEX('Revised 2018 Lockdown'!E$5:E$253,MATCH(B31,'Revised 2018 Lockdown'!B$5:B$253,0))</f>
        <v>36884315.539999999</v>
      </c>
      <c r="J31" s="5">
        <f t="shared" si="3"/>
        <v>-31109.689999997616</v>
      </c>
      <c r="K31" s="5">
        <v>6800569.6699999999</v>
      </c>
      <c r="L31" s="5">
        <f>INDEX('Revised 2018 Lockdown'!F$5:F$253,MATCH(B31,'Revised 2018 Lockdown'!B$5:B$253,0))</f>
        <v>6800569.6699999999</v>
      </c>
      <c r="M31" s="5">
        <f t="shared" si="4"/>
        <v>0</v>
      </c>
      <c r="N31" s="5">
        <v>30052636.18</v>
      </c>
      <c r="O31" s="87">
        <f t="shared" si="5"/>
        <v>30083745.869999997</v>
      </c>
      <c r="P31" s="87">
        <f t="shared" si="6"/>
        <v>-31109.689999997616</v>
      </c>
      <c r="Q31" s="85">
        <f t="shared" si="15"/>
        <v>367.88528825506143</v>
      </c>
      <c r="R31" s="6">
        <f t="shared" si="1"/>
        <v>367.88528825506143</v>
      </c>
      <c r="S31" s="5">
        <f t="shared" si="16"/>
        <v>30083745.869999997</v>
      </c>
      <c r="T31" s="113">
        <v>0.87535714285714272</v>
      </c>
      <c r="U31" s="87">
        <f t="shared" si="7"/>
        <v>6618648.752799917</v>
      </c>
      <c r="V31" s="87">
        <f t="shared" si="17"/>
        <v>4622147.5946292793</v>
      </c>
      <c r="W31" s="87">
        <f t="shared" si="8"/>
        <v>1738104.4385477779</v>
      </c>
      <c r="X31" s="87">
        <f t="shared" si="9"/>
        <v>376919.32278263679</v>
      </c>
      <c r="Y31" s="87">
        <f t="shared" si="10"/>
        <v>13355820.108759614</v>
      </c>
      <c r="Z31" s="91">
        <f t="shared" si="11"/>
        <v>0.4439546912300657</v>
      </c>
      <c r="AA31" s="86">
        <f t="shared" si="12"/>
        <v>13355820.108759614</v>
      </c>
      <c r="AB31" s="87"/>
      <c r="AC31" s="86">
        <v>13359773.982291199</v>
      </c>
      <c r="AD31" s="147">
        <f t="shared" si="13"/>
        <v>-3953.8735315855592</v>
      </c>
      <c r="AE31" s="147">
        <v>-4844.270175954327</v>
      </c>
      <c r="AF31" s="147">
        <f t="shared" si="14"/>
        <v>890.39664436876774</v>
      </c>
      <c r="AG31" s="86"/>
    </row>
    <row r="32" spans="2:33" x14ac:dyDescent="0.3">
      <c r="B32">
        <v>6</v>
      </c>
      <c r="C32" s="25">
        <v>2</v>
      </c>
      <c r="D32" s="32" t="s">
        <v>54</v>
      </c>
      <c r="E32" s="125">
        <v>43278</v>
      </c>
      <c r="F32" s="125">
        <f>INDEX('Revised 2018 Lockdown'!H$5:H$253,MATCH(B32,'Revised 2018 Lockdown'!B$5:B$253,0))</f>
        <v>43278</v>
      </c>
      <c r="G32" s="125">
        <f t="shared" si="2"/>
        <v>0</v>
      </c>
      <c r="H32" s="5">
        <v>19454497.760000002</v>
      </c>
      <c r="I32" s="5">
        <f>INDEX('Revised 2018 Lockdown'!E$5:E$253,MATCH(B32,'Revised 2018 Lockdown'!B$5:B$253,0))</f>
        <v>19454497.760000002</v>
      </c>
      <c r="J32" s="5">
        <f t="shared" si="3"/>
        <v>0</v>
      </c>
      <c r="K32" s="5">
        <v>4664058.9000000004</v>
      </c>
      <c r="L32" s="5">
        <f>INDEX('Revised 2018 Lockdown'!F$5:F$253,MATCH(B32,'Revised 2018 Lockdown'!B$5:B$253,0))</f>
        <v>4664058.9000000004</v>
      </c>
      <c r="M32" s="5">
        <f t="shared" si="4"/>
        <v>0</v>
      </c>
      <c r="N32" s="5">
        <v>14790438.860000001</v>
      </c>
      <c r="O32" s="87">
        <f t="shared" si="5"/>
        <v>14790438.860000001</v>
      </c>
      <c r="P32" s="87">
        <f t="shared" si="6"/>
        <v>0</v>
      </c>
      <c r="Q32" s="85">
        <f t="shared" si="15"/>
        <v>341.75421368824811</v>
      </c>
      <c r="R32" s="6">
        <f t="shared" si="1"/>
        <v>320.70169543853194</v>
      </c>
      <c r="S32" s="5">
        <f t="shared" si="16"/>
        <v>13879327.975188786</v>
      </c>
      <c r="T32" s="113">
        <v>0.79221428571428565</v>
      </c>
      <c r="U32" s="87">
        <f t="shared" si="7"/>
        <v>3053555.8035108568</v>
      </c>
      <c r="V32" s="87">
        <f t="shared" si="17"/>
        <v>2446197.4055621768</v>
      </c>
      <c r="W32" s="87">
        <f t="shared" si="8"/>
        <v>725721.15893011936</v>
      </c>
      <c r="X32" s="87">
        <f t="shared" si="9"/>
        <v>173894.13285474823</v>
      </c>
      <c r="Y32" s="87">
        <f t="shared" si="10"/>
        <v>6399368.5008579008</v>
      </c>
      <c r="Z32" s="91">
        <f t="shared" si="11"/>
        <v>0.46107192742311842</v>
      </c>
      <c r="AA32" s="86">
        <f t="shared" si="12"/>
        <v>6399368.5008579008</v>
      </c>
      <c r="AB32" s="87"/>
      <c r="AC32" s="86">
        <v>6405076.3357704822</v>
      </c>
      <c r="AD32" s="147">
        <f t="shared" si="13"/>
        <v>-5707.8349125813693</v>
      </c>
      <c r="AE32" s="147">
        <v>-1991.1110288463533</v>
      </c>
      <c r="AF32" s="147">
        <f t="shared" si="14"/>
        <v>-3716.723883735016</v>
      </c>
      <c r="AG32" s="86"/>
    </row>
    <row r="33" spans="2:33" x14ac:dyDescent="0.3">
      <c r="B33">
        <v>18</v>
      </c>
      <c r="C33" s="25">
        <v>2</v>
      </c>
      <c r="D33" s="32" t="s">
        <v>55</v>
      </c>
      <c r="E33" s="125">
        <v>23157.74</v>
      </c>
      <c r="F33" s="125">
        <f>INDEX('Revised 2018 Lockdown'!H$5:H$253,MATCH(B33,'Revised 2018 Lockdown'!B$5:B$253,0))</f>
        <v>23157.74</v>
      </c>
      <c r="G33" s="125">
        <f t="shared" si="2"/>
        <v>0</v>
      </c>
      <c r="H33" s="5">
        <v>8155555.9199999999</v>
      </c>
      <c r="I33" s="5">
        <f>INDEX('Revised 2018 Lockdown'!E$5:E$253,MATCH(B33,'Revised 2018 Lockdown'!B$5:B$253,0))</f>
        <v>8164283.8399999999</v>
      </c>
      <c r="J33" s="5">
        <f t="shared" si="3"/>
        <v>-8727.9199999999255</v>
      </c>
      <c r="K33" s="5">
        <v>3204604.9</v>
      </c>
      <c r="L33" s="5">
        <f>INDEX('Revised 2018 Lockdown'!F$5:F$253,MATCH(B33,'Revised 2018 Lockdown'!B$5:B$253,0))</f>
        <v>3204604.9</v>
      </c>
      <c r="M33" s="5">
        <f t="shared" si="4"/>
        <v>0</v>
      </c>
      <c r="N33" s="5">
        <v>4950951.0199999996</v>
      </c>
      <c r="O33" s="87">
        <f t="shared" si="5"/>
        <v>4959678.9399999995</v>
      </c>
      <c r="P33" s="87">
        <f t="shared" si="6"/>
        <v>-8727.9199999999255</v>
      </c>
      <c r="Q33" s="85">
        <f t="shared" si="15"/>
        <v>214.16938526816517</v>
      </c>
      <c r="R33" s="6">
        <f t="shared" si="1"/>
        <v>214.16938526816517</v>
      </c>
      <c r="S33" s="5">
        <f t="shared" si="16"/>
        <v>4959678.9399999995</v>
      </c>
      <c r="T33" s="113">
        <v>0.78458128571428565</v>
      </c>
      <c r="U33" s="87">
        <f t="shared" si="7"/>
        <v>1091166.4050205264</v>
      </c>
      <c r="V33" s="87">
        <f t="shared" si="17"/>
        <v>1308942.2687435523</v>
      </c>
      <c r="W33" s="87">
        <f t="shared" si="8"/>
        <v>256832.62229377186</v>
      </c>
      <c r="X33" s="87">
        <f t="shared" si="9"/>
        <v>62139.829107794074</v>
      </c>
      <c r="Y33" s="87">
        <f t="shared" si="10"/>
        <v>2719081.1251656446</v>
      </c>
      <c r="Z33" s="91">
        <f t="shared" si="11"/>
        <v>0.54823732706489359</v>
      </c>
      <c r="AA33" s="86">
        <f t="shared" si="12"/>
        <v>2719081.1251656446</v>
      </c>
      <c r="AB33" s="87"/>
      <c r="AC33" s="86">
        <v>2718590.6069434336</v>
      </c>
      <c r="AD33" s="147">
        <f t="shared" si="13"/>
        <v>490.5182222109288</v>
      </c>
      <c r="AE33" s="147">
        <v>1851.5390376774594</v>
      </c>
      <c r="AF33" s="147">
        <f t="shared" si="14"/>
        <v>-1361.0208154665306</v>
      </c>
      <c r="AG33" s="86"/>
    </row>
    <row r="34" spans="2:33" x14ac:dyDescent="0.3">
      <c r="B34">
        <v>53</v>
      </c>
      <c r="C34" s="25">
        <v>2</v>
      </c>
      <c r="D34" s="32" t="s">
        <v>56</v>
      </c>
      <c r="E34" s="125">
        <v>36449.64</v>
      </c>
      <c r="F34" s="125">
        <f>INDEX('Revised 2018 Lockdown'!H$5:H$253,MATCH(B34,'Revised 2018 Lockdown'!B$5:B$253,0))</f>
        <v>36449.64</v>
      </c>
      <c r="G34" s="125">
        <f t="shared" si="2"/>
        <v>0</v>
      </c>
      <c r="H34" s="5">
        <v>11201363.85</v>
      </c>
      <c r="I34" s="5">
        <f>INDEX('Revised 2018 Lockdown'!E$5:E$253,MATCH(B34,'Revised 2018 Lockdown'!B$5:B$253,0))</f>
        <v>11201363.85</v>
      </c>
      <c r="J34" s="5">
        <f t="shared" si="3"/>
        <v>0</v>
      </c>
      <c r="K34" s="5">
        <v>3914991.95</v>
      </c>
      <c r="L34" s="5">
        <f>INDEX('Revised 2018 Lockdown'!F$5:F$253,MATCH(B34,'Revised 2018 Lockdown'!B$5:B$253,0))</f>
        <v>3914991.95</v>
      </c>
      <c r="M34" s="5">
        <f t="shared" si="4"/>
        <v>0</v>
      </c>
      <c r="N34" s="5">
        <v>7286371.8999999994</v>
      </c>
      <c r="O34" s="87">
        <f t="shared" si="5"/>
        <v>7286371.8999999994</v>
      </c>
      <c r="P34" s="87">
        <f t="shared" si="6"/>
        <v>0</v>
      </c>
      <c r="Q34" s="85">
        <f t="shared" si="15"/>
        <v>199.90243799390061</v>
      </c>
      <c r="R34" s="6">
        <f t="shared" si="1"/>
        <v>199.90243799390061</v>
      </c>
      <c r="S34" s="5">
        <f t="shared" si="16"/>
        <v>7286371.8999999994</v>
      </c>
      <c r="T34" s="113">
        <v>0.87535714285714272</v>
      </c>
      <c r="U34" s="87">
        <f t="shared" si="7"/>
        <v>1603056.2316530885</v>
      </c>
      <c r="V34" s="87">
        <f t="shared" si="17"/>
        <v>2060238.800352959</v>
      </c>
      <c r="W34" s="87">
        <f t="shared" si="8"/>
        <v>420974.0168337556</v>
      </c>
      <c r="X34" s="87">
        <f t="shared" si="9"/>
        <v>91290.970677596488</v>
      </c>
      <c r="Y34" s="87">
        <f t="shared" si="10"/>
        <v>4175560.0195173998</v>
      </c>
      <c r="Z34" s="91">
        <f t="shared" si="11"/>
        <v>0.5730643558720081</v>
      </c>
      <c r="AA34" s="86">
        <f t="shared" si="12"/>
        <v>4175560.0195173998</v>
      </c>
      <c r="AB34" s="87"/>
      <c r="AC34" s="86">
        <v>4178532.5545701347</v>
      </c>
      <c r="AD34" s="147">
        <f t="shared" si="13"/>
        <v>-2972.5350527348928</v>
      </c>
      <c r="AE34" s="147">
        <v>-922.80844432814047</v>
      </c>
      <c r="AF34" s="147">
        <f t="shared" si="14"/>
        <v>-2049.7266084067523</v>
      </c>
      <c r="AG34" s="86"/>
    </row>
    <row r="35" spans="2:33" x14ac:dyDescent="0.3">
      <c r="B35">
        <v>335</v>
      </c>
      <c r="C35" s="25">
        <v>2</v>
      </c>
      <c r="D35" s="32" t="s">
        <v>57</v>
      </c>
      <c r="E35" s="125">
        <v>24830.720000000001</v>
      </c>
      <c r="F35" s="125">
        <f>INDEX('Revised 2018 Lockdown'!H$5:H$253,MATCH(B35,'Revised 2018 Lockdown'!B$5:B$253,0))</f>
        <v>24830.720000000001</v>
      </c>
      <c r="G35" s="125">
        <f t="shared" si="2"/>
        <v>0</v>
      </c>
      <c r="H35" s="5">
        <v>10253567.189999999</v>
      </c>
      <c r="I35" s="5">
        <f>INDEX('Revised 2018 Lockdown'!E$5:E$253,MATCH(B35,'Revised 2018 Lockdown'!B$5:B$253,0))</f>
        <v>10253567.189999999</v>
      </c>
      <c r="J35" s="5">
        <f t="shared" si="3"/>
        <v>0</v>
      </c>
      <c r="K35" s="5">
        <v>3115651.2</v>
      </c>
      <c r="L35" s="5">
        <f>INDEX('Revised 2018 Lockdown'!F$5:F$253,MATCH(B35,'Revised 2018 Lockdown'!B$5:B$253,0))</f>
        <v>3115651.2</v>
      </c>
      <c r="M35" s="5">
        <f t="shared" si="4"/>
        <v>0</v>
      </c>
      <c r="N35" s="5">
        <v>7137915.9899999993</v>
      </c>
      <c r="O35" s="87">
        <f t="shared" si="5"/>
        <v>7137915.9899999993</v>
      </c>
      <c r="P35" s="87">
        <f t="shared" si="6"/>
        <v>0</v>
      </c>
      <c r="Q35" s="85">
        <f t="shared" si="15"/>
        <v>287.46310980913961</v>
      </c>
      <c r="R35" s="6">
        <f t="shared" si="1"/>
        <v>287.46310980913961</v>
      </c>
      <c r="S35" s="5">
        <f t="shared" si="16"/>
        <v>7137915.9899999993</v>
      </c>
      <c r="T35" s="113">
        <v>0.87535714285714272</v>
      </c>
      <c r="U35" s="87">
        <f t="shared" si="7"/>
        <v>1570394.8228041618</v>
      </c>
      <c r="V35" s="87">
        <f t="shared" si="17"/>
        <v>1403503.9244475451</v>
      </c>
      <c r="W35" s="87">
        <f t="shared" si="8"/>
        <v>412396.89757424995</v>
      </c>
      <c r="X35" s="87">
        <f t="shared" si="9"/>
        <v>89430.966231937346</v>
      </c>
      <c r="Y35" s="87">
        <f t="shared" si="10"/>
        <v>3475726.6110578948</v>
      </c>
      <c r="Z35" s="91">
        <f t="shared" si="11"/>
        <v>0.48693857085559439</v>
      </c>
      <c r="AA35" s="86">
        <f t="shared" si="12"/>
        <v>3475726.6110578948</v>
      </c>
      <c r="AB35" s="87"/>
      <c r="AC35" s="86">
        <v>3478753.6197124831</v>
      </c>
      <c r="AD35" s="147">
        <f t="shared" si="13"/>
        <v>-3027.0086545883678</v>
      </c>
      <c r="AE35" s="147">
        <v>-1068.6930752880871</v>
      </c>
      <c r="AF35" s="147">
        <f t="shared" si="14"/>
        <v>-1958.3155793002807</v>
      </c>
      <c r="AG35" s="86"/>
    </row>
    <row r="36" spans="2:33" x14ac:dyDescent="0.3">
      <c r="B36">
        <v>357</v>
      </c>
      <c r="C36" s="25">
        <v>2</v>
      </c>
      <c r="D36" s="32" t="s">
        <v>58</v>
      </c>
      <c r="E36" s="125">
        <v>35854.92</v>
      </c>
      <c r="F36" s="125">
        <f>INDEX('Revised 2018 Lockdown'!H$5:H$253,MATCH(B36,'Revised 2018 Lockdown'!B$5:B$253,0))</f>
        <v>35854.92</v>
      </c>
      <c r="G36" s="125">
        <f t="shared" si="2"/>
        <v>0</v>
      </c>
      <c r="H36" s="5">
        <v>12842982.59</v>
      </c>
      <c r="I36" s="5">
        <f>INDEX('Revised 2018 Lockdown'!E$5:E$253,MATCH(B36,'Revised 2018 Lockdown'!B$5:B$253,0))</f>
        <v>12842982.59</v>
      </c>
      <c r="J36" s="5">
        <f t="shared" si="3"/>
        <v>0</v>
      </c>
      <c r="K36" s="5">
        <v>4901152.2100000009</v>
      </c>
      <c r="L36" s="5">
        <f>INDEX('Revised 2018 Lockdown'!F$5:F$253,MATCH(B36,'Revised 2018 Lockdown'!B$5:B$253,0))</f>
        <v>4901152.2100000009</v>
      </c>
      <c r="M36" s="5">
        <f t="shared" si="4"/>
        <v>0</v>
      </c>
      <c r="N36" s="5">
        <v>7941830.379999999</v>
      </c>
      <c r="O36" s="87">
        <f t="shared" si="5"/>
        <v>7941830.379999999</v>
      </c>
      <c r="P36" s="87">
        <f t="shared" si="6"/>
        <v>0</v>
      </c>
      <c r="Q36" s="85">
        <f t="shared" si="15"/>
        <v>221.49904057797366</v>
      </c>
      <c r="R36" s="6">
        <f t="shared" si="1"/>
        <v>221.49904057797366</v>
      </c>
      <c r="S36" s="5">
        <f t="shared" si="16"/>
        <v>7941830.379999999</v>
      </c>
      <c r="T36" s="113">
        <v>0.91692857142857132</v>
      </c>
      <c r="U36" s="87">
        <f t="shared" si="7"/>
        <v>1747261.9921295554</v>
      </c>
      <c r="V36" s="87">
        <f t="shared" si="17"/>
        <v>2026623.5103433479</v>
      </c>
      <c r="W36" s="87">
        <f t="shared" si="8"/>
        <v>480634.33270643791</v>
      </c>
      <c r="X36" s="87">
        <f t="shared" si="9"/>
        <v>99503.211515600095</v>
      </c>
      <c r="Y36" s="87">
        <f t="shared" si="10"/>
        <v>4354023.0466949418</v>
      </c>
      <c r="Z36" s="91">
        <f t="shared" si="11"/>
        <v>0.54823923936473473</v>
      </c>
      <c r="AA36" s="86">
        <f t="shared" si="12"/>
        <v>4354023.0466949418</v>
      </c>
      <c r="AB36" s="87"/>
      <c r="AC36" s="86">
        <v>4357337.5908135688</v>
      </c>
      <c r="AD36" s="147">
        <f t="shared" si="13"/>
        <v>-3314.5441186269745</v>
      </c>
      <c r="AE36" s="147">
        <v>-1078.5777542069554</v>
      </c>
      <c r="AF36" s="147">
        <f t="shared" si="14"/>
        <v>-2235.9663644200191</v>
      </c>
      <c r="AG36" s="86"/>
    </row>
    <row r="37" spans="2:33" x14ac:dyDescent="0.3">
      <c r="B37">
        <v>441</v>
      </c>
      <c r="C37" s="25">
        <v>2</v>
      </c>
      <c r="D37" s="32" t="s">
        <v>59</v>
      </c>
      <c r="E37" s="125">
        <v>56329.880000000012</v>
      </c>
      <c r="F37" s="125">
        <f>INDEX('Revised 2018 Lockdown'!H$5:H$253,MATCH(B37,'Revised 2018 Lockdown'!B$5:B$253,0))</f>
        <v>56329.880000000012</v>
      </c>
      <c r="G37" s="125">
        <f t="shared" si="2"/>
        <v>0</v>
      </c>
      <c r="H37" s="5">
        <v>19699264.510000002</v>
      </c>
      <c r="I37" s="5">
        <f>INDEX('Revised 2018 Lockdown'!E$5:E$253,MATCH(B37,'Revised 2018 Lockdown'!B$5:B$253,0))</f>
        <v>19699847.25</v>
      </c>
      <c r="J37" s="5">
        <f t="shared" si="3"/>
        <v>-582.73999999836087</v>
      </c>
      <c r="K37" s="5">
        <v>8176719.169999999</v>
      </c>
      <c r="L37" s="5">
        <f>INDEX('Revised 2018 Lockdown'!F$5:F$253,MATCH(B37,'Revised 2018 Lockdown'!B$5:B$253,0))</f>
        <v>8176719.9399999995</v>
      </c>
      <c r="M37" s="5">
        <f t="shared" si="4"/>
        <v>-0.77000000048428774</v>
      </c>
      <c r="N37" s="5">
        <v>11522545.340000004</v>
      </c>
      <c r="O37" s="87">
        <f t="shared" si="5"/>
        <v>11523127.310000001</v>
      </c>
      <c r="P37" s="87">
        <f t="shared" si="6"/>
        <v>-581.96999999694526</v>
      </c>
      <c r="Q37" s="85">
        <f t="shared" si="15"/>
        <v>204.5650960023348</v>
      </c>
      <c r="R37" s="6">
        <f t="shared" si="1"/>
        <v>204.5650960023348</v>
      </c>
      <c r="S37" s="5">
        <f t="shared" si="16"/>
        <v>11523127.310000001</v>
      </c>
      <c r="T37" s="113">
        <v>0.83378571428571424</v>
      </c>
      <c r="U37" s="87">
        <f t="shared" si="7"/>
        <v>2535174.061377157</v>
      </c>
      <c r="V37" s="87">
        <f t="shared" si="17"/>
        <v>3183927.3143774853</v>
      </c>
      <c r="W37" s="87">
        <f t="shared" si="8"/>
        <v>634137.57468119031</v>
      </c>
      <c r="X37" s="87">
        <f t="shared" si="9"/>
        <v>144373.28917721333</v>
      </c>
      <c r="Y37" s="87">
        <f t="shared" si="10"/>
        <v>6497612.239613045</v>
      </c>
      <c r="Z37" s="91">
        <f t="shared" si="11"/>
        <v>0.56387576608428924</v>
      </c>
      <c r="AA37" s="86">
        <f t="shared" si="12"/>
        <v>6497612.239613045</v>
      </c>
      <c r="AB37" s="87"/>
      <c r="AC37" s="86">
        <v>6502110.6610608073</v>
      </c>
      <c r="AD37" s="147">
        <f t="shared" si="13"/>
        <v>-4498.4214477622882</v>
      </c>
      <c r="AE37" s="147">
        <v>-1291.1973655372858</v>
      </c>
      <c r="AF37" s="147">
        <f t="shared" si="14"/>
        <v>-3207.2240822250023</v>
      </c>
      <c r="AG37" s="86"/>
    </row>
    <row r="38" spans="2:33" x14ac:dyDescent="0.3">
      <c r="B38">
        <v>14</v>
      </c>
      <c r="C38" s="25">
        <v>3</v>
      </c>
      <c r="D38" s="32" t="s">
        <v>60</v>
      </c>
      <c r="E38" s="125">
        <v>11367.08</v>
      </c>
      <c r="F38" s="125">
        <f>INDEX('Revised 2018 Lockdown'!H$5:H$253,MATCH(B38,'Revised 2018 Lockdown'!B$5:B$253,0))</f>
        <v>11321.630000000001</v>
      </c>
      <c r="G38" s="125">
        <f t="shared" si="2"/>
        <v>45.449999999998909</v>
      </c>
      <c r="H38" s="5">
        <v>2606685.4500000002</v>
      </c>
      <c r="I38" s="5">
        <f>INDEX('Revised 2018 Lockdown'!E$5:E$253,MATCH(B38,'Revised 2018 Lockdown'!B$5:B$253,0))</f>
        <v>2603189.4300000002</v>
      </c>
      <c r="J38" s="5">
        <f t="shared" si="3"/>
        <v>3496.0200000000186</v>
      </c>
      <c r="K38" s="5">
        <v>263239.97000000003</v>
      </c>
      <c r="L38" s="5">
        <f>INDEX('Revised 2018 Lockdown'!F$5:F$253,MATCH(B38,'Revised 2018 Lockdown'!B$5:B$253,0))</f>
        <v>261823.18</v>
      </c>
      <c r="M38" s="5">
        <f t="shared" si="4"/>
        <v>1416.7900000000373</v>
      </c>
      <c r="N38" s="5">
        <v>2343445.48</v>
      </c>
      <c r="O38" s="87">
        <f t="shared" si="5"/>
        <v>2341366.25</v>
      </c>
      <c r="P38" s="87">
        <f t="shared" si="6"/>
        <v>2079.2299999999814</v>
      </c>
      <c r="Q38" s="85">
        <f t="shared" si="15"/>
        <v>206.80469596692348</v>
      </c>
      <c r="R38" s="6">
        <f t="shared" si="1"/>
        <v>206.80469596692348</v>
      </c>
      <c r="S38" s="5">
        <f t="shared" si="16"/>
        <v>2341366.25</v>
      </c>
      <c r="T38" s="113">
        <v>0.85479464285714279</v>
      </c>
      <c r="U38" s="87">
        <f t="shared" si="7"/>
        <v>515118.06001073361</v>
      </c>
      <c r="V38" s="87">
        <f t="shared" si="17"/>
        <v>639931.18750253972</v>
      </c>
      <c r="W38" s="87">
        <f t="shared" si="8"/>
        <v>132096.04744084176</v>
      </c>
      <c r="X38" s="87">
        <f t="shared" si="9"/>
        <v>29334.983254733957</v>
      </c>
      <c r="Y38" s="87">
        <f t="shared" si="10"/>
        <v>1316480.278208849</v>
      </c>
      <c r="Z38" s="91">
        <f t="shared" si="11"/>
        <v>0.56227011823069073</v>
      </c>
      <c r="AA38" s="86">
        <f t="shared" si="12"/>
        <v>1316480.278208849</v>
      </c>
      <c r="AB38" s="87"/>
      <c r="AC38" s="86">
        <v>1320604.928925063</v>
      </c>
      <c r="AD38" s="147">
        <f t="shared" si="13"/>
        <v>-4124.6507162139751</v>
      </c>
      <c r="AE38" s="147">
        <v>-5082.7524240289349</v>
      </c>
      <c r="AF38" s="147">
        <f t="shared" si="14"/>
        <v>958.10170781495981</v>
      </c>
      <c r="AG38" s="86"/>
    </row>
    <row r="39" spans="2:33" x14ac:dyDescent="0.3">
      <c r="B39">
        <v>36</v>
      </c>
      <c r="C39" s="25">
        <v>3</v>
      </c>
      <c r="D39" s="32" t="s">
        <v>61</v>
      </c>
      <c r="E39" s="125">
        <v>8138.780484742425</v>
      </c>
      <c r="F39" s="125">
        <f>INDEX('Revised 2018 Lockdown'!H$5:H$253,MATCH(B39,'Revised 2018 Lockdown'!B$5:B$253,0))</f>
        <v>8138.780484742425</v>
      </c>
      <c r="G39" s="125">
        <f t="shared" si="2"/>
        <v>0</v>
      </c>
      <c r="H39" s="5">
        <v>6197835.3200000003</v>
      </c>
      <c r="I39" s="5">
        <f>INDEX('Revised 2018 Lockdown'!E$5:E$253,MATCH(B39,'Revised 2018 Lockdown'!B$5:B$253,0))</f>
        <v>6197835.3200000003</v>
      </c>
      <c r="J39" s="5">
        <f t="shared" si="3"/>
        <v>0</v>
      </c>
      <c r="K39" s="5">
        <v>874483.81000000017</v>
      </c>
      <c r="L39" s="5">
        <f>INDEX('Revised 2018 Lockdown'!F$5:F$253,MATCH(B39,'Revised 2018 Lockdown'!B$5:B$253,0))</f>
        <v>874483.81000000017</v>
      </c>
      <c r="M39" s="5">
        <f t="shared" si="4"/>
        <v>0</v>
      </c>
      <c r="N39" s="5">
        <v>5323351.51</v>
      </c>
      <c r="O39" s="87">
        <f t="shared" si="5"/>
        <v>5323351.51</v>
      </c>
      <c r="P39" s="87">
        <f t="shared" si="6"/>
        <v>0</v>
      </c>
      <c r="Q39" s="85">
        <f t="shared" si="15"/>
        <v>654.07237853134859</v>
      </c>
      <c r="R39" s="6">
        <f t="shared" si="1"/>
        <v>538.90972072405634</v>
      </c>
      <c r="S39" s="5">
        <f t="shared" si="16"/>
        <v>4386067.9180669403</v>
      </c>
      <c r="T39" s="113">
        <v>0.69209077380952377</v>
      </c>
      <c r="U39" s="87">
        <f t="shared" si="7"/>
        <v>964967.69654468179</v>
      </c>
      <c r="V39" s="87">
        <f t="shared" si="17"/>
        <v>460027.35122272285</v>
      </c>
      <c r="W39" s="87">
        <f t="shared" si="8"/>
        <v>200353.57194084075</v>
      </c>
      <c r="X39" s="87">
        <f t="shared" si="9"/>
        <v>54953.055264471986</v>
      </c>
      <c r="Y39" s="87">
        <f t="shared" si="10"/>
        <v>1680301.6749727174</v>
      </c>
      <c r="Z39" s="91">
        <f t="shared" si="11"/>
        <v>0.38309978467302719</v>
      </c>
      <c r="AA39" s="86">
        <f t="shared" si="12"/>
        <v>1680301.6749727174</v>
      </c>
      <c r="AB39" s="87"/>
      <c r="AC39" s="86">
        <v>1682478.3161635017</v>
      </c>
      <c r="AD39" s="147">
        <f t="shared" si="13"/>
        <v>-2176.6411907842848</v>
      </c>
      <c r="AE39" s="147">
        <v>-1112.1670467881486</v>
      </c>
      <c r="AF39" s="147">
        <f t="shared" si="14"/>
        <v>-1064.4741439961363</v>
      </c>
      <c r="AG39" s="86"/>
    </row>
    <row r="40" spans="2:33" x14ac:dyDescent="0.3">
      <c r="B40">
        <v>55</v>
      </c>
      <c r="C40" s="25">
        <v>3</v>
      </c>
      <c r="D40" s="32" t="s">
        <v>62</v>
      </c>
      <c r="E40" s="125">
        <v>3445.1599999999994</v>
      </c>
      <c r="F40" s="125">
        <f>INDEX('Revised 2018 Lockdown'!H$5:H$253,MATCH(B40,'Revised 2018 Lockdown'!B$5:B$253,0))</f>
        <v>3445.1599999999994</v>
      </c>
      <c r="G40" s="125">
        <f t="shared" si="2"/>
        <v>0</v>
      </c>
      <c r="H40" s="5">
        <v>1492885.07</v>
      </c>
      <c r="I40" s="5">
        <f>INDEX('Revised 2018 Lockdown'!E$5:E$253,MATCH(B40,'Revised 2018 Lockdown'!B$5:B$253,0))</f>
        <v>1492885.07</v>
      </c>
      <c r="J40" s="5">
        <f t="shared" si="3"/>
        <v>0</v>
      </c>
      <c r="K40" s="5">
        <v>67559.319999999992</v>
      </c>
      <c r="L40" s="5">
        <f>INDEX('Revised 2018 Lockdown'!F$5:F$253,MATCH(B40,'Revised 2018 Lockdown'!B$5:B$253,0))</f>
        <v>67559.319999999992</v>
      </c>
      <c r="M40" s="5">
        <f t="shared" si="4"/>
        <v>0</v>
      </c>
      <c r="N40" s="5">
        <v>1425325.75</v>
      </c>
      <c r="O40" s="87">
        <f t="shared" si="5"/>
        <v>1425325.75</v>
      </c>
      <c r="P40" s="87">
        <f t="shared" si="6"/>
        <v>0</v>
      </c>
      <c r="Q40" s="85">
        <f t="shared" si="15"/>
        <v>413.71830335891519</v>
      </c>
      <c r="R40" s="6">
        <f t="shared" si="1"/>
        <v>413.71830335891519</v>
      </c>
      <c r="S40" s="5">
        <f t="shared" si="16"/>
        <v>1425325.75</v>
      </c>
      <c r="T40" s="113">
        <v>0.49330952380952381</v>
      </c>
      <c r="U40" s="87">
        <f t="shared" si="7"/>
        <v>313582.30914251192</v>
      </c>
      <c r="V40" s="87">
        <f t="shared" si="17"/>
        <v>194730.3815737</v>
      </c>
      <c r="W40" s="87">
        <f t="shared" si="8"/>
        <v>46407.941879455037</v>
      </c>
      <c r="X40" s="87">
        <f t="shared" si="9"/>
        <v>17857.909675084418</v>
      </c>
      <c r="Y40" s="87">
        <f t="shared" si="10"/>
        <v>572578.54227075132</v>
      </c>
      <c r="Z40" s="91">
        <f t="shared" si="11"/>
        <v>0.40171767209758985</v>
      </c>
      <c r="AA40" s="86">
        <f t="shared" si="12"/>
        <v>572578.54227075132</v>
      </c>
      <c r="AB40" s="87"/>
      <c r="AC40" s="86">
        <v>573143.50872795307</v>
      </c>
      <c r="AD40" s="147">
        <f t="shared" si="13"/>
        <v>-564.96645720175002</v>
      </c>
      <c r="AE40" s="147">
        <v>-213.0511680515483</v>
      </c>
      <c r="AF40" s="147">
        <f t="shared" si="14"/>
        <v>-351.91528915020172</v>
      </c>
      <c r="AG40" s="86"/>
    </row>
    <row r="41" spans="2:33" x14ac:dyDescent="0.3">
      <c r="B41">
        <v>103</v>
      </c>
      <c r="C41" s="25">
        <v>3</v>
      </c>
      <c r="D41" s="32" t="s">
        <v>63</v>
      </c>
      <c r="E41" s="125">
        <v>4118.84</v>
      </c>
      <c r="F41" s="125">
        <f>INDEX('Revised 2018 Lockdown'!H$5:H$253,MATCH(B41,'Revised 2018 Lockdown'!B$5:B$253,0))</f>
        <v>4118.84</v>
      </c>
      <c r="G41" s="125">
        <f t="shared" si="2"/>
        <v>0</v>
      </c>
      <c r="H41" s="5">
        <v>1518639.38</v>
      </c>
      <c r="I41" s="5">
        <f>INDEX('Revised 2018 Lockdown'!E$5:E$253,MATCH(B41,'Revised 2018 Lockdown'!B$5:B$253,0))</f>
        <v>1485991.22</v>
      </c>
      <c r="J41" s="5">
        <f t="shared" si="3"/>
        <v>32648.159999999916</v>
      </c>
      <c r="K41" s="5">
        <v>554001.79</v>
      </c>
      <c r="L41" s="5">
        <f>INDEX('Revised 2018 Lockdown'!F$5:F$253,MATCH(B41,'Revised 2018 Lockdown'!B$5:B$253,0))</f>
        <v>554001.79</v>
      </c>
      <c r="M41" s="5">
        <f t="shared" si="4"/>
        <v>0</v>
      </c>
      <c r="N41" s="5">
        <v>964637.58999999985</v>
      </c>
      <c r="O41" s="87">
        <f t="shared" si="5"/>
        <v>931989.42999999993</v>
      </c>
      <c r="P41" s="87">
        <f t="shared" si="6"/>
        <v>32648.159999999916</v>
      </c>
      <c r="Q41" s="85">
        <f t="shared" si="15"/>
        <v>226.27473511959676</v>
      </c>
      <c r="R41" s="6">
        <f t="shared" si="1"/>
        <v>226.27473511959676</v>
      </c>
      <c r="S41" s="5">
        <f t="shared" si="16"/>
        <v>931989.42999999993</v>
      </c>
      <c r="T41" s="113">
        <v>0.41583928571428569</v>
      </c>
      <c r="U41" s="87">
        <f t="shared" si="7"/>
        <v>205044.63457270275</v>
      </c>
      <c r="V41" s="87">
        <f t="shared" si="17"/>
        <v>232808.71856198803</v>
      </c>
      <c r="W41" s="87">
        <f t="shared" si="8"/>
        <v>25579.684314077833</v>
      </c>
      <c r="X41" s="87">
        <f t="shared" si="9"/>
        <v>11676.89776114226</v>
      </c>
      <c r="Y41" s="87">
        <f t="shared" si="10"/>
        <v>475109.93520991085</v>
      </c>
      <c r="Z41" s="91">
        <f t="shared" si="11"/>
        <v>0.50978039011656051</v>
      </c>
      <c r="AA41" s="86">
        <f t="shared" si="12"/>
        <v>475109.93520991085</v>
      </c>
      <c r="AB41" s="87"/>
      <c r="AC41" s="86">
        <v>483953.7380064021</v>
      </c>
      <c r="AD41" s="147">
        <f t="shared" si="13"/>
        <v>-8843.8027964912471</v>
      </c>
      <c r="AE41" s="147">
        <v>-8609.4466630618554</v>
      </c>
      <c r="AF41" s="147">
        <f t="shared" si="14"/>
        <v>-234.35613342939178</v>
      </c>
      <c r="AG41" s="86"/>
    </row>
    <row r="42" spans="2:33" x14ac:dyDescent="0.3">
      <c r="B42">
        <v>123</v>
      </c>
      <c r="C42" s="25">
        <v>3</v>
      </c>
      <c r="D42" s="32" t="s">
        <v>64</v>
      </c>
      <c r="E42" s="125">
        <v>6660.5800000000008</v>
      </c>
      <c r="F42" s="125">
        <f>INDEX('Revised 2018 Lockdown'!H$5:H$253,MATCH(B42,'Revised 2018 Lockdown'!B$5:B$253,0))</f>
        <v>6660.5800000000008</v>
      </c>
      <c r="G42" s="125">
        <f t="shared" si="2"/>
        <v>0</v>
      </c>
      <c r="H42" s="5">
        <v>1284089.29</v>
      </c>
      <c r="I42" s="5">
        <f>INDEX('Revised 2018 Lockdown'!E$5:E$253,MATCH(B42,'Revised 2018 Lockdown'!B$5:B$253,0))</f>
        <v>1284089.29</v>
      </c>
      <c r="J42" s="5">
        <f t="shared" si="3"/>
        <v>0</v>
      </c>
      <c r="K42" s="5">
        <v>0</v>
      </c>
      <c r="L42" s="5">
        <f>INDEX('Revised 2018 Lockdown'!F$5:F$253,MATCH(B42,'Revised 2018 Lockdown'!B$5:B$253,0))</f>
        <v>0</v>
      </c>
      <c r="M42" s="5">
        <f t="shared" si="4"/>
        <v>0</v>
      </c>
      <c r="N42" s="5">
        <v>1284089.29</v>
      </c>
      <c r="O42" s="87">
        <f t="shared" si="5"/>
        <v>1284089.29</v>
      </c>
      <c r="P42" s="87">
        <f t="shared" si="6"/>
        <v>0</v>
      </c>
      <c r="Q42" s="85">
        <f t="shared" si="15"/>
        <v>192.78941023154138</v>
      </c>
      <c r="R42" s="6">
        <f t="shared" si="1"/>
        <v>192.78941023154138</v>
      </c>
      <c r="S42" s="5">
        <f t="shared" si="16"/>
        <v>1284089.29</v>
      </c>
      <c r="T42" s="113">
        <v>0.76084821428571414</v>
      </c>
      <c r="U42" s="87">
        <f t="shared" si="7"/>
        <v>282509.23320747464</v>
      </c>
      <c r="V42" s="87">
        <f t="shared" si="17"/>
        <v>376475.1956083767</v>
      </c>
      <c r="W42" s="87">
        <f t="shared" si="8"/>
        <v>64483.993681540029</v>
      </c>
      <c r="X42" s="87">
        <f t="shared" si="9"/>
        <v>16088.357735460319</v>
      </c>
      <c r="Y42" s="87">
        <f t="shared" si="10"/>
        <v>739556.78023285163</v>
      </c>
      <c r="Z42" s="91">
        <f t="shared" si="11"/>
        <v>0.57593874973667258</v>
      </c>
      <c r="AA42" s="86">
        <f t="shared" si="12"/>
        <v>739556.78023285163</v>
      </c>
      <c r="AB42" s="87"/>
      <c r="AC42" s="86">
        <v>740063.14669575333</v>
      </c>
      <c r="AD42" s="147">
        <f t="shared" si="13"/>
        <v>-506.36646290170029</v>
      </c>
      <c r="AE42" s="147">
        <v>-152.75841158314142</v>
      </c>
      <c r="AF42" s="147">
        <f t="shared" si="14"/>
        <v>-353.60805131855886</v>
      </c>
      <c r="AG42" s="86"/>
    </row>
    <row r="43" spans="2:33" x14ac:dyDescent="0.3">
      <c r="B43">
        <v>179</v>
      </c>
      <c r="C43" s="25">
        <v>3</v>
      </c>
      <c r="D43" s="32" t="s">
        <v>65</v>
      </c>
      <c r="E43" s="125">
        <v>6074.0999999999995</v>
      </c>
      <c r="F43" s="125">
        <f>INDEX('Revised 2018 Lockdown'!H$5:H$253,MATCH(B43,'Revised 2018 Lockdown'!B$5:B$253,0))</f>
        <v>6074.0999999999995</v>
      </c>
      <c r="G43" s="125">
        <f t="shared" si="2"/>
        <v>0</v>
      </c>
      <c r="H43" s="5">
        <v>2468879.0699999998</v>
      </c>
      <c r="I43" s="5">
        <f>INDEX('Revised 2018 Lockdown'!E$5:E$253,MATCH(B43,'Revised 2018 Lockdown'!B$5:B$253,0))</f>
        <v>2468879.0699999998</v>
      </c>
      <c r="J43" s="5">
        <f t="shared" si="3"/>
        <v>0</v>
      </c>
      <c r="K43" s="5">
        <v>713319.58000000007</v>
      </c>
      <c r="L43" s="5">
        <f>INDEX('Revised 2018 Lockdown'!F$5:F$253,MATCH(B43,'Revised 2018 Lockdown'!B$5:B$253,0))</f>
        <v>713319.58000000007</v>
      </c>
      <c r="M43" s="5">
        <f t="shared" si="4"/>
        <v>0</v>
      </c>
      <c r="N43" s="5">
        <v>1755559.4899999998</v>
      </c>
      <c r="O43" s="87">
        <f t="shared" si="5"/>
        <v>1755559.4899999998</v>
      </c>
      <c r="P43" s="87">
        <f t="shared" si="6"/>
        <v>0</v>
      </c>
      <c r="Q43" s="85">
        <f t="shared" si="15"/>
        <v>289.02380434961555</v>
      </c>
      <c r="R43" s="6">
        <f t="shared" si="1"/>
        <v>289.02380434961555</v>
      </c>
      <c r="S43" s="5">
        <f t="shared" si="16"/>
        <v>1755559.4899999995</v>
      </c>
      <c r="T43" s="113">
        <v>0.83378571428571413</v>
      </c>
      <c r="U43" s="87">
        <f t="shared" si="7"/>
        <v>386236.19808401726</v>
      </c>
      <c r="V43" s="87">
        <f t="shared" si="17"/>
        <v>343325.65416898235</v>
      </c>
      <c r="W43" s="87">
        <f t="shared" si="8"/>
        <v>96611.467290744258</v>
      </c>
      <c r="X43" s="87">
        <f t="shared" si="9"/>
        <v>21995.408980478504</v>
      </c>
      <c r="Y43" s="87">
        <f t="shared" si="10"/>
        <v>848168.72852422239</v>
      </c>
      <c r="Z43" s="91">
        <f t="shared" si="11"/>
        <v>0.48313300309989643</v>
      </c>
      <c r="AA43" s="86">
        <f t="shared" si="12"/>
        <v>848168.72852422239</v>
      </c>
      <c r="AB43" s="87"/>
      <c r="AC43" s="86">
        <v>848906.12957771111</v>
      </c>
      <c r="AD43" s="147">
        <f t="shared" si="13"/>
        <v>-737.40105348872021</v>
      </c>
      <c r="AE43" s="147">
        <v>-260.22525860276073</v>
      </c>
      <c r="AF43" s="147">
        <f t="shared" si="14"/>
        <v>-477.17579488595948</v>
      </c>
      <c r="AG43" s="86"/>
    </row>
    <row r="44" spans="2:33" x14ac:dyDescent="0.3">
      <c r="B44">
        <v>293</v>
      </c>
      <c r="C44" s="25">
        <v>3</v>
      </c>
      <c r="D44" s="32" t="s">
        <v>66</v>
      </c>
      <c r="E44" s="125">
        <v>7938.2</v>
      </c>
      <c r="F44" s="125">
        <f>INDEX('Revised 2018 Lockdown'!H$5:H$253,MATCH(B44,'Revised 2018 Lockdown'!B$5:B$253,0))</f>
        <v>7960.05</v>
      </c>
      <c r="G44" s="125">
        <f t="shared" si="2"/>
        <v>-21.850000000000364</v>
      </c>
      <c r="H44" s="5">
        <v>2337931.94</v>
      </c>
      <c r="I44" s="5">
        <f>INDEX('Revised 2018 Lockdown'!E$5:E$253,MATCH(B44,'Revised 2018 Lockdown'!B$5:B$253,0))</f>
        <v>2370064.7599999998</v>
      </c>
      <c r="J44" s="5">
        <f t="shared" si="3"/>
        <v>-32132.819999999832</v>
      </c>
      <c r="K44" s="5">
        <v>945985.67999999993</v>
      </c>
      <c r="L44" s="5">
        <f>INDEX('Revised 2018 Lockdown'!F$5:F$253,MATCH(B44,'Revised 2018 Lockdown'!B$5:B$253,0))</f>
        <v>992904.63</v>
      </c>
      <c r="M44" s="5">
        <f t="shared" si="4"/>
        <v>-46918.95000000007</v>
      </c>
      <c r="N44" s="5">
        <v>1391946.26</v>
      </c>
      <c r="O44" s="87">
        <f t="shared" si="5"/>
        <v>1377160.13</v>
      </c>
      <c r="P44" s="87">
        <f t="shared" si="6"/>
        <v>14786.130000000121</v>
      </c>
      <c r="Q44" s="85">
        <f t="shared" si="15"/>
        <v>173.00897984309142</v>
      </c>
      <c r="R44" s="6">
        <f t="shared" si="1"/>
        <v>173.00897984309142</v>
      </c>
      <c r="S44" s="5">
        <f t="shared" si="16"/>
        <v>1377160.13</v>
      </c>
      <c r="T44" s="113">
        <v>0.92089624999999997</v>
      </c>
      <c r="U44" s="87">
        <f t="shared" si="7"/>
        <v>302985.51304808876</v>
      </c>
      <c r="V44" s="87">
        <f t="shared" si="17"/>
        <v>449924.98863499257</v>
      </c>
      <c r="W44" s="87">
        <f t="shared" si="8"/>
        <v>83705.46683109329</v>
      </c>
      <c r="X44" s="87">
        <f t="shared" si="9"/>
        <v>17254.442508786156</v>
      </c>
      <c r="Y44" s="87">
        <f t="shared" si="10"/>
        <v>853870.41102296067</v>
      </c>
      <c r="Z44" s="91">
        <f t="shared" si="11"/>
        <v>0.62002260479539206</v>
      </c>
      <c r="AA44" s="86">
        <f t="shared" si="12"/>
        <v>853870.41102296067</v>
      </c>
      <c r="AB44" s="87"/>
      <c r="AC44" s="86">
        <v>857536.42050748761</v>
      </c>
      <c r="AD44" s="147">
        <f t="shared" si="13"/>
        <v>-3666.0094845269341</v>
      </c>
      <c r="AE44" s="147">
        <v>-3270.0016895883018</v>
      </c>
      <c r="AF44" s="147">
        <f t="shared" si="14"/>
        <v>-396.00779493863229</v>
      </c>
      <c r="AG44" s="86"/>
    </row>
    <row r="45" spans="2:33" x14ac:dyDescent="0.3">
      <c r="B45">
        <v>12</v>
      </c>
      <c r="C45" s="25">
        <v>4</v>
      </c>
      <c r="D45" s="32" t="s">
        <v>67</v>
      </c>
      <c r="E45" s="125">
        <v>5092.2999999999993</v>
      </c>
      <c r="F45" s="125">
        <f>INDEX('Revised 2018 Lockdown'!H$5:H$253,MATCH(B45,'Revised 2018 Lockdown'!B$5:B$253,0))</f>
        <v>5092.2999999999993</v>
      </c>
      <c r="G45" s="125">
        <f t="shared" si="2"/>
        <v>0</v>
      </c>
      <c r="H45" s="5">
        <v>2922626.6</v>
      </c>
      <c r="I45" s="5">
        <f>INDEX('Revised 2018 Lockdown'!E$5:E$253,MATCH(B45,'Revised 2018 Lockdown'!B$5:B$253,0))</f>
        <v>2965866.88</v>
      </c>
      <c r="J45" s="5">
        <f t="shared" si="3"/>
        <v>-43240.279999999795</v>
      </c>
      <c r="K45" s="5">
        <v>693708.37</v>
      </c>
      <c r="L45" s="5">
        <f>INDEX('Revised 2018 Lockdown'!F$5:F$253,MATCH(B45,'Revised 2018 Lockdown'!B$5:B$253,0))</f>
        <v>693708.37</v>
      </c>
      <c r="M45" s="5">
        <f t="shared" si="4"/>
        <v>0</v>
      </c>
      <c r="N45" s="5">
        <v>2228918.23</v>
      </c>
      <c r="O45" s="87">
        <f t="shared" si="5"/>
        <v>2272158.5099999998</v>
      </c>
      <c r="P45" s="87">
        <f t="shared" si="6"/>
        <v>-43240.279999999795</v>
      </c>
      <c r="Q45" s="85">
        <f t="shared" si="15"/>
        <v>446.1949433458359</v>
      </c>
      <c r="R45" s="6">
        <f t="shared" si="1"/>
        <v>446.1949433458359</v>
      </c>
      <c r="S45" s="5">
        <f t="shared" si="16"/>
        <v>2272158.5099999998</v>
      </c>
      <c r="T45" s="113">
        <v>0.77850595238095233</v>
      </c>
      <c r="U45" s="87">
        <f t="shared" si="7"/>
        <v>499891.84037656599</v>
      </c>
      <c r="V45" s="87">
        <f t="shared" si="17"/>
        <v>287831.48593614012</v>
      </c>
      <c r="W45" s="87">
        <f t="shared" si="8"/>
        <v>116750.63198394763</v>
      </c>
      <c r="X45" s="87">
        <f t="shared" si="9"/>
        <v>28467.879317450337</v>
      </c>
      <c r="Y45" s="87">
        <f t="shared" si="10"/>
        <v>932941.83761410404</v>
      </c>
      <c r="Z45" s="91">
        <f t="shared" si="11"/>
        <v>0.41059716278953801</v>
      </c>
      <c r="AA45" s="86">
        <f t="shared" si="12"/>
        <v>932941.83761410404</v>
      </c>
      <c r="AB45" s="87"/>
      <c r="AC45" s="86">
        <v>921616.45694195793</v>
      </c>
      <c r="AD45" s="147">
        <f t="shared" si="13"/>
        <v>11325.380672146101</v>
      </c>
      <c r="AE45" s="147">
        <v>-364.79279451747425</v>
      </c>
      <c r="AF45" s="147">
        <f t="shared" si="14"/>
        <v>11690.173466663575</v>
      </c>
      <c r="AG45" s="86"/>
    </row>
    <row r="46" spans="2:33" x14ac:dyDescent="0.3">
      <c r="B46">
        <v>21</v>
      </c>
      <c r="C46" s="25">
        <v>4</v>
      </c>
      <c r="D46" s="32" t="s">
        <v>68</v>
      </c>
      <c r="E46" s="125">
        <v>5179.17</v>
      </c>
      <c r="F46" s="125">
        <f>INDEX('Revised 2018 Lockdown'!H$5:H$253,MATCH(B46,'Revised 2018 Lockdown'!B$5:B$253,0))</f>
        <v>5179.17</v>
      </c>
      <c r="G46" s="125">
        <f t="shared" si="2"/>
        <v>0</v>
      </c>
      <c r="H46" s="5">
        <v>3018158.71</v>
      </c>
      <c r="I46" s="5">
        <f>INDEX('Revised 2018 Lockdown'!E$5:E$253,MATCH(B46,'Revised 2018 Lockdown'!B$5:B$253,0))</f>
        <v>3018158.71</v>
      </c>
      <c r="J46" s="5">
        <f t="shared" si="3"/>
        <v>0</v>
      </c>
      <c r="K46" s="5">
        <v>630793.78</v>
      </c>
      <c r="L46" s="5">
        <f>INDEX('Revised 2018 Lockdown'!F$5:F$253,MATCH(B46,'Revised 2018 Lockdown'!B$5:B$253,0))</f>
        <v>630793.78</v>
      </c>
      <c r="M46" s="5">
        <f t="shared" si="4"/>
        <v>0</v>
      </c>
      <c r="N46" s="5">
        <v>2387364.9299999997</v>
      </c>
      <c r="O46" s="87">
        <f t="shared" si="5"/>
        <v>2387364.9299999997</v>
      </c>
      <c r="P46" s="87">
        <f t="shared" si="6"/>
        <v>0</v>
      </c>
      <c r="Q46" s="85">
        <f t="shared" si="15"/>
        <v>460.95512022196601</v>
      </c>
      <c r="R46" s="6">
        <f t="shared" si="1"/>
        <v>460.95512022196601</v>
      </c>
      <c r="S46" s="5">
        <f t="shared" si="16"/>
        <v>2387364.9299999997</v>
      </c>
      <c r="T46" s="113">
        <v>0.75064285714285706</v>
      </c>
      <c r="U46" s="87">
        <f t="shared" si="7"/>
        <v>525238.11312273797</v>
      </c>
      <c r="V46" s="87">
        <f t="shared" si="17"/>
        <v>292741.62893307133</v>
      </c>
      <c r="W46" s="87">
        <f t="shared" si="8"/>
        <v>118279.87137443255</v>
      </c>
      <c r="X46" s="87">
        <f t="shared" si="9"/>
        <v>29911.300824674101</v>
      </c>
      <c r="Y46" s="87">
        <f t="shared" si="10"/>
        <v>966170.91425491602</v>
      </c>
      <c r="Z46" s="91">
        <f t="shared" si="11"/>
        <v>0.40470181249370873</v>
      </c>
      <c r="AA46" s="86">
        <f t="shared" si="12"/>
        <v>966170.91425491602</v>
      </c>
      <c r="AB46" s="87"/>
      <c r="AC46" s="86">
        <v>967186.06012469775</v>
      </c>
      <c r="AD46" s="147">
        <f t="shared" si="13"/>
        <v>-1015.1458697817288</v>
      </c>
      <c r="AE46" s="147">
        <v>-392.04916528402828</v>
      </c>
      <c r="AF46" s="147">
        <f t="shared" si="14"/>
        <v>-623.09670449770056</v>
      </c>
      <c r="AG46" s="86"/>
    </row>
    <row r="47" spans="2:33" x14ac:dyDescent="0.3">
      <c r="B47">
        <v>34</v>
      </c>
      <c r="C47" s="25">
        <v>4</v>
      </c>
      <c r="D47" s="32" t="s">
        <v>69</v>
      </c>
      <c r="E47" s="125">
        <v>4762.82</v>
      </c>
      <c r="F47" s="125">
        <f>INDEX('Revised 2018 Lockdown'!H$5:H$253,MATCH(B47,'Revised 2018 Lockdown'!B$5:B$253,0))</f>
        <v>4762.82</v>
      </c>
      <c r="G47" s="125">
        <f t="shared" si="2"/>
        <v>0</v>
      </c>
      <c r="H47" s="5">
        <v>2143525.2799999998</v>
      </c>
      <c r="I47" s="5">
        <f>INDEX('Revised 2018 Lockdown'!E$5:E$253,MATCH(B47,'Revised 2018 Lockdown'!B$5:B$253,0))</f>
        <v>2143525.2799999998</v>
      </c>
      <c r="J47" s="5">
        <f t="shared" si="3"/>
        <v>0</v>
      </c>
      <c r="K47" s="5">
        <v>564954.64</v>
      </c>
      <c r="L47" s="5">
        <f>INDEX('Revised 2018 Lockdown'!F$5:F$253,MATCH(B47,'Revised 2018 Lockdown'!B$5:B$253,0))</f>
        <v>564954.64</v>
      </c>
      <c r="M47" s="5">
        <f t="shared" si="4"/>
        <v>0</v>
      </c>
      <c r="N47" s="5">
        <v>1578570.6399999997</v>
      </c>
      <c r="O47" s="87">
        <f t="shared" si="5"/>
        <v>1578570.6399999997</v>
      </c>
      <c r="P47" s="87">
        <f t="shared" si="6"/>
        <v>0</v>
      </c>
      <c r="Q47" s="85">
        <f t="shared" si="15"/>
        <v>331.43613237535743</v>
      </c>
      <c r="R47" s="6">
        <f t="shared" si="1"/>
        <v>331.43613237535743</v>
      </c>
      <c r="S47" s="5">
        <f t="shared" si="16"/>
        <v>1578570.64</v>
      </c>
      <c r="T47" s="113">
        <v>0.87237648809523805</v>
      </c>
      <c r="U47" s="87">
        <f t="shared" si="7"/>
        <v>347297.32935490215</v>
      </c>
      <c r="V47" s="87">
        <f t="shared" si="17"/>
        <v>269208.3258736459</v>
      </c>
      <c r="W47" s="87">
        <f t="shared" si="8"/>
        <v>90892.207352245416</v>
      </c>
      <c r="X47" s="87">
        <f t="shared" si="9"/>
        <v>19777.915262430502</v>
      </c>
      <c r="Y47" s="87">
        <f t="shared" si="10"/>
        <v>727175.777843224</v>
      </c>
      <c r="Z47" s="91">
        <f t="shared" si="11"/>
        <v>0.46065456902405333</v>
      </c>
      <c r="AA47" s="86">
        <f t="shared" si="12"/>
        <v>727175.777843224</v>
      </c>
      <c r="AB47" s="87"/>
      <c r="AC47" s="86">
        <v>727852.43607593118</v>
      </c>
      <c r="AD47" s="147">
        <f t="shared" si="13"/>
        <v>-676.65823270718101</v>
      </c>
      <c r="AE47" s="147">
        <v>-247.17533911555074</v>
      </c>
      <c r="AF47" s="147">
        <f t="shared" si="14"/>
        <v>-429.48289359163027</v>
      </c>
      <c r="AG47" s="86"/>
    </row>
    <row r="48" spans="2:33" x14ac:dyDescent="0.3">
      <c r="B48">
        <v>87</v>
      </c>
      <c r="C48" s="25">
        <v>4</v>
      </c>
      <c r="D48" s="32" t="s">
        <v>70</v>
      </c>
      <c r="E48" s="125">
        <v>10810.4</v>
      </c>
      <c r="F48" s="125">
        <f>INDEX('Revised 2018 Lockdown'!H$5:H$253,MATCH(B48,'Revised 2018 Lockdown'!B$5:B$253,0))</f>
        <v>10810.4</v>
      </c>
      <c r="G48" s="125">
        <f t="shared" si="2"/>
        <v>0</v>
      </c>
      <c r="H48" s="5">
        <v>5182853.97</v>
      </c>
      <c r="I48" s="5">
        <f>INDEX('Revised 2018 Lockdown'!E$5:E$253,MATCH(B48,'Revised 2018 Lockdown'!B$5:B$253,0))</f>
        <v>5182853.97</v>
      </c>
      <c r="J48" s="5">
        <f t="shared" si="3"/>
        <v>0</v>
      </c>
      <c r="K48" s="5">
        <v>1110329.5500000003</v>
      </c>
      <c r="L48" s="5">
        <f>INDEX('Revised 2018 Lockdown'!F$5:F$253,MATCH(B48,'Revised 2018 Lockdown'!B$5:B$253,0))</f>
        <v>1110329.5500000003</v>
      </c>
      <c r="M48" s="5">
        <f t="shared" si="4"/>
        <v>0</v>
      </c>
      <c r="N48" s="5">
        <v>4072524.4199999995</v>
      </c>
      <c r="O48" s="87">
        <f t="shared" si="5"/>
        <v>4072524.4199999995</v>
      </c>
      <c r="P48" s="87">
        <f t="shared" si="6"/>
        <v>0</v>
      </c>
      <c r="Q48" s="85">
        <f t="shared" si="15"/>
        <v>376.72282431732401</v>
      </c>
      <c r="R48" s="6">
        <f t="shared" si="1"/>
        <v>376.72282431732401</v>
      </c>
      <c r="S48" s="5">
        <f t="shared" si="16"/>
        <v>4072524.4199999995</v>
      </c>
      <c r="T48" s="113">
        <v>0.83378571428571413</v>
      </c>
      <c r="U48" s="87">
        <f t="shared" si="7"/>
        <v>895985.78546894912</v>
      </c>
      <c r="V48" s="87">
        <f t="shared" si="17"/>
        <v>611034.99313945556</v>
      </c>
      <c r="W48" s="87">
        <f t="shared" si="8"/>
        <v>224118.04443812228</v>
      </c>
      <c r="X48" s="87">
        <f t="shared" si="9"/>
        <v>51024.668039523982</v>
      </c>
      <c r="Y48" s="87">
        <f t="shared" si="10"/>
        <v>1782163.4910860509</v>
      </c>
      <c r="Z48" s="91">
        <f t="shared" si="11"/>
        <v>0.43760658188663509</v>
      </c>
      <c r="AA48" s="86">
        <f t="shared" si="12"/>
        <v>1782163.4910860509</v>
      </c>
      <c r="AB48" s="87"/>
      <c r="AC48" s="86">
        <v>1783908.7991875955</v>
      </c>
      <c r="AD48" s="147">
        <f t="shared" si="13"/>
        <v>-1745.3081015446223</v>
      </c>
      <c r="AE48" s="147">
        <v>-653.33562610903755</v>
      </c>
      <c r="AF48" s="147">
        <f t="shared" si="14"/>
        <v>-1091.9724754355848</v>
      </c>
      <c r="AG48" s="86"/>
    </row>
    <row r="49" spans="2:33" x14ac:dyDescent="0.3">
      <c r="B49">
        <v>88</v>
      </c>
      <c r="C49" s="25">
        <v>4</v>
      </c>
      <c r="D49" s="32" t="s">
        <v>71</v>
      </c>
      <c r="E49" s="125">
        <v>4759.3799999999992</v>
      </c>
      <c r="F49" s="125">
        <f>INDEX('Revised 2018 Lockdown'!H$5:H$253,MATCH(B49,'Revised 2018 Lockdown'!B$5:B$253,0))</f>
        <v>4759.3799999999992</v>
      </c>
      <c r="G49" s="125">
        <f t="shared" si="2"/>
        <v>0</v>
      </c>
      <c r="H49" s="5">
        <v>2125011.54</v>
      </c>
      <c r="I49" s="5">
        <f>INDEX('Revised 2018 Lockdown'!E$5:E$253,MATCH(B49,'Revised 2018 Lockdown'!B$5:B$253,0))</f>
        <v>2125011.54</v>
      </c>
      <c r="J49" s="5">
        <f t="shared" si="3"/>
        <v>0</v>
      </c>
      <c r="K49" s="5">
        <v>560089.80000000005</v>
      </c>
      <c r="L49" s="5">
        <f>INDEX('Revised 2018 Lockdown'!F$5:F$253,MATCH(B49,'Revised 2018 Lockdown'!B$5:B$253,0))</f>
        <v>560089.80000000005</v>
      </c>
      <c r="M49" s="5">
        <f t="shared" si="4"/>
        <v>0</v>
      </c>
      <c r="N49" s="5">
        <v>1564921.74</v>
      </c>
      <c r="O49" s="87">
        <f t="shared" si="5"/>
        <v>1564921.74</v>
      </c>
      <c r="P49" s="87">
        <f t="shared" si="6"/>
        <v>0</v>
      </c>
      <c r="Q49" s="85">
        <f t="shared" si="15"/>
        <v>328.80789934823451</v>
      </c>
      <c r="R49" s="6">
        <f t="shared" si="1"/>
        <v>328.80789934823451</v>
      </c>
      <c r="S49" s="5">
        <f t="shared" si="16"/>
        <v>1564921.7400000002</v>
      </c>
      <c r="T49" s="113">
        <v>0.95849999999999991</v>
      </c>
      <c r="U49" s="87">
        <f t="shared" si="7"/>
        <v>344294.46942673827</v>
      </c>
      <c r="V49" s="87">
        <f t="shared" si="17"/>
        <v>269013.88715015742</v>
      </c>
      <c r="W49" s="87">
        <f t="shared" si="8"/>
        <v>99001.874683658563</v>
      </c>
      <c r="X49" s="87">
        <f t="shared" si="9"/>
        <v>19606.908162219021</v>
      </c>
      <c r="Y49" s="87">
        <f t="shared" si="10"/>
        <v>731917.13942277327</v>
      </c>
      <c r="Z49" s="91">
        <f t="shared" si="11"/>
        <v>0.46770207142931836</v>
      </c>
      <c r="AA49" s="86">
        <f t="shared" si="12"/>
        <v>731917.13942277327</v>
      </c>
      <c r="AB49" s="87"/>
      <c r="AC49" s="86">
        <v>732601.27991797519</v>
      </c>
      <c r="AD49" s="147">
        <f t="shared" si="13"/>
        <v>-684.14049520192202</v>
      </c>
      <c r="AE49" s="147">
        <v>-250.22389450785704</v>
      </c>
      <c r="AF49" s="147">
        <f t="shared" si="14"/>
        <v>-433.91660069406498</v>
      </c>
      <c r="AG49" s="86"/>
    </row>
    <row r="50" spans="2:33" x14ac:dyDescent="0.3">
      <c r="B50">
        <v>89</v>
      </c>
      <c r="C50" s="25">
        <v>4</v>
      </c>
      <c r="D50" s="32" t="s">
        <v>291</v>
      </c>
      <c r="E50" s="125">
        <v>5636.98</v>
      </c>
      <c r="F50" s="125">
        <f>INDEX('Revised 2018 Lockdown'!H$5:H$253,MATCH(B50,'Revised 2018 Lockdown'!B$5:B$253,0))</f>
        <v>5636.98</v>
      </c>
      <c r="G50" s="125">
        <f t="shared" si="2"/>
        <v>0</v>
      </c>
      <c r="H50" s="5">
        <v>3750607.74</v>
      </c>
      <c r="I50" s="5">
        <f>INDEX('Revised 2018 Lockdown'!E$5:E$253,MATCH(B50,'Revised 2018 Lockdown'!B$5:B$253,0))</f>
        <v>3750607.74</v>
      </c>
      <c r="J50" s="5">
        <f t="shared" si="3"/>
        <v>0</v>
      </c>
      <c r="K50" s="5">
        <v>559601.63</v>
      </c>
      <c r="L50" s="5">
        <f>INDEX('Revised 2018 Lockdown'!F$5:F$253,MATCH(B50,'Revised 2018 Lockdown'!B$5:B$253,0))</f>
        <v>559601.63</v>
      </c>
      <c r="M50" s="5">
        <f t="shared" si="4"/>
        <v>0</v>
      </c>
      <c r="N50" s="5">
        <v>3191006.1100000003</v>
      </c>
      <c r="O50" s="87">
        <f t="shared" si="5"/>
        <v>3191006.1100000003</v>
      </c>
      <c r="P50" s="87">
        <f t="shared" si="6"/>
        <v>0</v>
      </c>
      <c r="Q50" s="85">
        <f t="shared" si="15"/>
        <v>566.0843412607461</v>
      </c>
      <c r="R50" s="6">
        <f t="shared" si="1"/>
        <v>566.0843412607461</v>
      </c>
      <c r="S50" s="5">
        <f t="shared" si="16"/>
        <v>3191006.1100000003</v>
      </c>
      <c r="T50" s="113">
        <v>0.75524404761904751</v>
      </c>
      <c r="U50" s="87">
        <f t="shared" si="7"/>
        <v>702045.17420783604</v>
      </c>
      <c r="V50" s="87">
        <f t="shared" si="17"/>
        <v>318618.37079361064</v>
      </c>
      <c r="W50" s="87">
        <f t="shared" si="8"/>
        <v>159064.63169404361</v>
      </c>
      <c r="X50" s="87">
        <f t="shared" si="9"/>
        <v>39980.123059604091</v>
      </c>
      <c r="Y50" s="87">
        <f t="shared" si="10"/>
        <v>1219708.2997550943</v>
      </c>
      <c r="Z50" s="91">
        <f t="shared" si="11"/>
        <v>0.38223314456614882</v>
      </c>
      <c r="AA50" s="86">
        <f t="shared" si="12"/>
        <v>1219708.2997550943</v>
      </c>
      <c r="AB50" s="87"/>
      <c r="AC50" s="86">
        <v>1221080.2605518012</v>
      </c>
      <c r="AD50" s="147">
        <f t="shared" si="13"/>
        <v>-1371.9607967068441</v>
      </c>
      <c r="AE50" s="147">
        <v>-544.11552180093713</v>
      </c>
      <c r="AF50" s="147">
        <f t="shared" si="14"/>
        <v>-827.84527490590699</v>
      </c>
      <c r="AG50" s="86"/>
    </row>
    <row r="51" spans="2:33" x14ac:dyDescent="0.3">
      <c r="B51">
        <v>143</v>
      </c>
      <c r="C51" s="25">
        <v>4</v>
      </c>
      <c r="D51" s="32" t="s">
        <v>72</v>
      </c>
      <c r="E51" s="125">
        <v>2834.8</v>
      </c>
      <c r="F51" s="125">
        <f>INDEX('Revised 2018 Lockdown'!H$5:H$253,MATCH(B51,'Revised 2018 Lockdown'!B$5:B$253,0))</f>
        <v>2834.8</v>
      </c>
      <c r="G51" s="125">
        <f t="shared" si="2"/>
        <v>0</v>
      </c>
      <c r="H51" s="5">
        <v>956347.7</v>
      </c>
      <c r="I51" s="5">
        <f>INDEX('Revised 2018 Lockdown'!E$5:E$253,MATCH(B51,'Revised 2018 Lockdown'!B$5:B$253,0))</f>
        <v>956347.7</v>
      </c>
      <c r="J51" s="5">
        <f t="shared" si="3"/>
        <v>0</v>
      </c>
      <c r="K51" s="5">
        <v>393346.75</v>
      </c>
      <c r="L51" s="5">
        <f>INDEX('Revised 2018 Lockdown'!F$5:F$253,MATCH(B51,'Revised 2018 Lockdown'!B$5:B$253,0))</f>
        <v>393346.75</v>
      </c>
      <c r="M51" s="5">
        <f t="shared" si="4"/>
        <v>0</v>
      </c>
      <c r="N51" s="5">
        <v>563000.94999999995</v>
      </c>
      <c r="O51" s="87">
        <f t="shared" si="5"/>
        <v>563000.94999999995</v>
      </c>
      <c r="P51" s="87">
        <f t="shared" si="6"/>
        <v>0</v>
      </c>
      <c r="Q51" s="85">
        <f t="shared" si="15"/>
        <v>198.60341117539153</v>
      </c>
      <c r="R51" s="6">
        <f t="shared" si="1"/>
        <v>198.60341117539153</v>
      </c>
      <c r="S51" s="5">
        <f t="shared" si="16"/>
        <v>563000.94999999995</v>
      </c>
      <c r="T51" s="113">
        <v>0.8132232142857142</v>
      </c>
      <c r="U51" s="87">
        <f t="shared" si="7"/>
        <v>123864.41341597028</v>
      </c>
      <c r="V51" s="87">
        <f t="shared" si="17"/>
        <v>160231.07364683351</v>
      </c>
      <c r="W51" s="87">
        <f t="shared" si="8"/>
        <v>30218.824924124965</v>
      </c>
      <c r="X51" s="87">
        <f t="shared" si="9"/>
        <v>7053.8402271106925</v>
      </c>
      <c r="Y51" s="87">
        <f t="shared" si="10"/>
        <v>321368.15221403952</v>
      </c>
      <c r="Z51" s="91">
        <f t="shared" si="11"/>
        <v>0.57081280629107212</v>
      </c>
      <c r="AA51" s="86">
        <f t="shared" si="12"/>
        <v>321368.15221403952</v>
      </c>
      <c r="AB51" s="87"/>
      <c r="AC51" s="86">
        <v>321594.07403544139</v>
      </c>
      <c r="AD51" s="147">
        <f t="shared" si="13"/>
        <v>-225.92182140186196</v>
      </c>
      <c r="AE51" s="147">
        <v>-69.530033824150451</v>
      </c>
      <c r="AF51" s="147">
        <f t="shared" si="14"/>
        <v>-156.39178757771151</v>
      </c>
      <c r="AG51" s="86"/>
    </row>
    <row r="52" spans="2:33" x14ac:dyDescent="0.3">
      <c r="B52">
        <v>183</v>
      </c>
      <c r="C52" s="25">
        <v>4</v>
      </c>
      <c r="D52" s="32" t="s">
        <v>73</v>
      </c>
      <c r="E52" s="125">
        <v>11774.169999999998</v>
      </c>
      <c r="F52" s="125">
        <f>INDEX('Revised 2018 Lockdown'!H$5:H$253,MATCH(B52,'Revised 2018 Lockdown'!B$5:B$253,0))</f>
        <v>11774.169999999998</v>
      </c>
      <c r="G52" s="125">
        <f t="shared" si="2"/>
        <v>0</v>
      </c>
      <c r="H52" s="5">
        <v>6696146.4100000001</v>
      </c>
      <c r="I52" s="5">
        <f>INDEX('Revised 2018 Lockdown'!E$5:E$253,MATCH(B52,'Revised 2018 Lockdown'!B$5:B$253,0))</f>
        <v>6716202.5899999999</v>
      </c>
      <c r="J52" s="5">
        <f t="shared" si="3"/>
        <v>-20056.179999999702</v>
      </c>
      <c r="K52" s="5">
        <v>412366.9599999999</v>
      </c>
      <c r="L52" s="5">
        <f>INDEX('Revised 2018 Lockdown'!F$5:F$253,MATCH(B52,'Revised 2018 Lockdown'!B$5:B$253,0))</f>
        <v>412366.9599999999</v>
      </c>
      <c r="M52" s="5">
        <f t="shared" si="4"/>
        <v>0</v>
      </c>
      <c r="N52" s="5">
        <v>6283779.4500000002</v>
      </c>
      <c r="O52" s="87">
        <f t="shared" si="5"/>
        <v>6303835.6299999999</v>
      </c>
      <c r="P52" s="87">
        <f t="shared" si="6"/>
        <v>-20056.179999999702</v>
      </c>
      <c r="Q52" s="85">
        <f t="shared" si="15"/>
        <v>535.39532977696103</v>
      </c>
      <c r="R52" s="6">
        <f t="shared" si="1"/>
        <v>535.39532977696103</v>
      </c>
      <c r="S52" s="5">
        <f t="shared" si="16"/>
        <v>6303835.6300000008</v>
      </c>
      <c r="T52" s="113">
        <v>0.79221428571428565</v>
      </c>
      <c r="U52" s="87">
        <f t="shared" si="7"/>
        <v>1386890.9148033296</v>
      </c>
      <c r="V52" s="87">
        <f t="shared" si="17"/>
        <v>665510.0537605253</v>
      </c>
      <c r="W52" s="87">
        <f t="shared" si="8"/>
        <v>329614.43863036553</v>
      </c>
      <c r="X52" s="87">
        <f t="shared" si="9"/>
        <v>78980.771439173739</v>
      </c>
      <c r="Y52" s="87">
        <f t="shared" si="10"/>
        <v>2460996.1786333942</v>
      </c>
      <c r="Z52" s="91">
        <f t="shared" si="11"/>
        <v>0.39039662882729603</v>
      </c>
      <c r="AA52" s="86">
        <f t="shared" si="12"/>
        <v>2460996.1786333942</v>
      </c>
      <c r="AB52" s="87"/>
      <c r="AC52" s="86">
        <v>2458001.9199764691</v>
      </c>
      <c r="AD52" s="147">
        <f t="shared" si="13"/>
        <v>2994.2586569250561</v>
      </c>
      <c r="AE52" s="147">
        <v>4646.3717069262639</v>
      </c>
      <c r="AF52" s="147">
        <f t="shared" si="14"/>
        <v>-1652.1130500012077</v>
      </c>
      <c r="AG52" s="86"/>
    </row>
    <row r="53" spans="2:33" x14ac:dyDescent="0.3">
      <c r="B53">
        <v>186</v>
      </c>
      <c r="C53" s="25">
        <v>4</v>
      </c>
      <c r="D53" s="32" t="s">
        <v>74</v>
      </c>
      <c r="E53" s="125">
        <v>11101.34</v>
      </c>
      <c r="F53" s="125">
        <f>INDEX('Revised 2018 Lockdown'!H$5:H$253,MATCH(B53,'Revised 2018 Lockdown'!B$5:B$253,0))</f>
        <v>11101.34</v>
      </c>
      <c r="G53" s="125">
        <f t="shared" si="2"/>
        <v>0</v>
      </c>
      <c r="H53" s="5">
        <v>8005773.7000000002</v>
      </c>
      <c r="I53" s="5">
        <f>INDEX('Revised 2018 Lockdown'!E$5:E$253,MATCH(B53,'Revised 2018 Lockdown'!B$5:B$253,0))</f>
        <v>8047305.9800000004</v>
      </c>
      <c r="J53" s="5">
        <f t="shared" si="3"/>
        <v>-41532.280000000261</v>
      </c>
      <c r="K53" s="5">
        <v>1431664.65</v>
      </c>
      <c r="L53" s="5">
        <f>INDEX('Revised 2018 Lockdown'!F$5:F$253,MATCH(B53,'Revised 2018 Lockdown'!B$5:B$253,0))</f>
        <v>1431664.65</v>
      </c>
      <c r="M53" s="5">
        <f t="shared" si="4"/>
        <v>0</v>
      </c>
      <c r="N53" s="5">
        <v>6574109.0500000007</v>
      </c>
      <c r="O53" s="87">
        <f t="shared" si="5"/>
        <v>6615641.3300000001</v>
      </c>
      <c r="P53" s="87">
        <f t="shared" si="6"/>
        <v>-41532.279999999329</v>
      </c>
      <c r="Q53" s="85">
        <f t="shared" si="15"/>
        <v>595.93178210918677</v>
      </c>
      <c r="R53" s="6">
        <f t="shared" si="1"/>
        <v>586.76887697579878</v>
      </c>
      <c r="S53" s="5">
        <f t="shared" si="16"/>
        <v>6513920.804726514</v>
      </c>
      <c r="T53" s="113">
        <v>0.77341241071428568</v>
      </c>
      <c r="U53" s="87">
        <f t="shared" si="7"/>
        <v>1433111.2221312146</v>
      </c>
      <c r="V53" s="87">
        <f t="shared" si="17"/>
        <v>627479.76122426218</v>
      </c>
      <c r="W53" s="87">
        <f t="shared" si="8"/>
        <v>332515.80153905961</v>
      </c>
      <c r="X53" s="87">
        <f t="shared" si="9"/>
        <v>81612.929087585275</v>
      </c>
      <c r="Y53" s="87">
        <f t="shared" si="10"/>
        <v>2474719.7139821216</v>
      </c>
      <c r="Z53" s="91">
        <f t="shared" si="11"/>
        <v>0.37991246565147985</v>
      </c>
      <c r="AA53" s="86">
        <f t="shared" si="12"/>
        <v>2474719.7139821216</v>
      </c>
      <c r="AB53" s="87"/>
      <c r="AC53" s="86">
        <v>2470139.8791398383</v>
      </c>
      <c r="AD53" s="147">
        <f t="shared" si="13"/>
        <v>4579.8348422832787</v>
      </c>
      <c r="AE53" s="147">
        <v>565.18696740409359</v>
      </c>
      <c r="AF53" s="147">
        <f t="shared" si="14"/>
        <v>4014.6478748791851</v>
      </c>
      <c r="AG53" s="86"/>
    </row>
    <row r="54" spans="2:33" x14ac:dyDescent="0.3">
      <c r="B54">
        <v>190</v>
      </c>
      <c r="C54" s="25">
        <v>4</v>
      </c>
      <c r="D54" s="32" t="s">
        <v>75</v>
      </c>
      <c r="E54" s="125">
        <v>3309.0599999999995</v>
      </c>
      <c r="F54" s="125">
        <f>INDEX('Revised 2018 Lockdown'!H$5:H$253,MATCH(B54,'Revised 2018 Lockdown'!B$5:B$253,0))</f>
        <v>3309.0599999999995</v>
      </c>
      <c r="G54" s="125">
        <f t="shared" si="2"/>
        <v>0</v>
      </c>
      <c r="H54" s="5">
        <v>2284236.41</v>
      </c>
      <c r="I54" s="5">
        <f>INDEX('Revised 2018 Lockdown'!E$5:E$253,MATCH(B54,'Revised 2018 Lockdown'!B$5:B$253,0))</f>
        <v>2284236.41</v>
      </c>
      <c r="J54" s="5">
        <f t="shared" si="3"/>
        <v>0</v>
      </c>
      <c r="K54" s="5">
        <v>599429.44999999995</v>
      </c>
      <c r="L54" s="5">
        <f>INDEX('Revised 2018 Lockdown'!F$5:F$253,MATCH(B54,'Revised 2018 Lockdown'!B$5:B$253,0))</f>
        <v>599429.44999999995</v>
      </c>
      <c r="M54" s="5">
        <f t="shared" si="4"/>
        <v>0</v>
      </c>
      <c r="N54" s="5">
        <v>1684806.9600000002</v>
      </c>
      <c r="O54" s="87">
        <f t="shared" si="5"/>
        <v>1684806.9600000002</v>
      </c>
      <c r="P54" s="87">
        <f t="shared" si="6"/>
        <v>0</v>
      </c>
      <c r="Q54" s="85">
        <f t="shared" si="15"/>
        <v>509.14971623361333</v>
      </c>
      <c r="R54" s="6">
        <f t="shared" si="1"/>
        <v>509.14971623361333</v>
      </c>
      <c r="S54" s="5">
        <f t="shared" si="16"/>
        <v>1684806.9600000002</v>
      </c>
      <c r="T54" s="113">
        <v>0.45338413690476187</v>
      </c>
      <c r="U54" s="87">
        <f t="shared" si="7"/>
        <v>370670.11311356426</v>
      </c>
      <c r="V54" s="87">
        <f t="shared" si="17"/>
        <v>187037.61696126385</v>
      </c>
      <c r="W54" s="87">
        <f t="shared" si="8"/>
        <v>50416.784793115134</v>
      </c>
      <c r="X54" s="87">
        <f t="shared" si="9"/>
        <v>21108.950365650497</v>
      </c>
      <c r="Y54" s="87">
        <f t="shared" si="10"/>
        <v>629233.46523359371</v>
      </c>
      <c r="Z54" s="91">
        <f t="shared" si="11"/>
        <v>0.37347511030794511</v>
      </c>
      <c r="AA54" s="86">
        <f t="shared" si="12"/>
        <v>629233.46523359371</v>
      </c>
      <c r="AB54" s="87"/>
      <c r="AC54" s="86">
        <v>629902.50373498432</v>
      </c>
      <c r="AD54" s="147">
        <f t="shared" si="13"/>
        <v>-669.03850139060523</v>
      </c>
      <c r="AE54" s="147">
        <v>-260.52145895012654</v>
      </c>
      <c r="AF54" s="147">
        <f t="shared" si="14"/>
        <v>-408.51704244047869</v>
      </c>
      <c r="AG54" s="86"/>
    </row>
    <row r="55" spans="2:33" x14ac:dyDescent="0.3">
      <c r="B55">
        <v>324</v>
      </c>
      <c r="C55" s="25">
        <v>4</v>
      </c>
      <c r="D55" s="32" t="s">
        <v>76</v>
      </c>
      <c r="E55" s="125">
        <v>7987.3900000000021</v>
      </c>
      <c r="F55" s="125">
        <f>INDEX('Revised 2018 Lockdown'!H$5:H$253,MATCH(B55,'Revised 2018 Lockdown'!B$5:B$253,0))</f>
        <v>7987.3900000000021</v>
      </c>
      <c r="G55" s="125">
        <f t="shared" si="2"/>
        <v>0</v>
      </c>
      <c r="H55" s="5">
        <v>4196501.4400000004</v>
      </c>
      <c r="I55" s="5">
        <f>INDEX('Revised 2018 Lockdown'!E$5:E$253,MATCH(B55,'Revised 2018 Lockdown'!B$5:B$253,0))</f>
        <v>4198956.43</v>
      </c>
      <c r="J55" s="5">
        <f t="shared" si="3"/>
        <v>-2454.9899999992922</v>
      </c>
      <c r="K55" s="5">
        <v>1059029.5799999998</v>
      </c>
      <c r="L55" s="5">
        <f>INDEX('Revised 2018 Lockdown'!F$5:F$253,MATCH(B55,'Revised 2018 Lockdown'!B$5:B$253,0))</f>
        <v>1059029.5799999998</v>
      </c>
      <c r="M55" s="5">
        <f t="shared" si="4"/>
        <v>0</v>
      </c>
      <c r="N55" s="5">
        <v>3137471.8600000003</v>
      </c>
      <c r="O55" s="87">
        <f t="shared" si="5"/>
        <v>3139926.8499999996</v>
      </c>
      <c r="P55" s="87">
        <f t="shared" si="6"/>
        <v>-2454.9899999992922</v>
      </c>
      <c r="Q55" s="85">
        <f t="shared" si="15"/>
        <v>393.11049667037651</v>
      </c>
      <c r="R55" s="6">
        <f t="shared" si="1"/>
        <v>393.11049667037651</v>
      </c>
      <c r="S55" s="5">
        <f t="shared" si="16"/>
        <v>3139926.8499999996</v>
      </c>
      <c r="T55" s="113">
        <v>0.83378571428571413</v>
      </c>
      <c r="U55" s="87">
        <f t="shared" si="7"/>
        <v>690807.35555473797</v>
      </c>
      <c r="V55" s="87">
        <f t="shared" si="17"/>
        <v>451470.32430364814</v>
      </c>
      <c r="W55" s="87">
        <f t="shared" si="8"/>
        <v>172795.59131550972</v>
      </c>
      <c r="X55" s="87">
        <f t="shared" si="9"/>
        <v>39340.15089089096</v>
      </c>
      <c r="Y55" s="87">
        <f t="shared" si="10"/>
        <v>1354413.4220647868</v>
      </c>
      <c r="Z55" s="91">
        <f t="shared" si="11"/>
        <v>0.43135190301162174</v>
      </c>
      <c r="AA55" s="86">
        <f t="shared" si="12"/>
        <v>1354413.4220647868</v>
      </c>
      <c r="AB55" s="87"/>
      <c r="AC55" s="86">
        <v>1355055.6360613119</v>
      </c>
      <c r="AD55" s="147">
        <f t="shared" si="13"/>
        <v>-642.21399652515538</v>
      </c>
      <c r="AE55" s="147">
        <v>-508.49205086985603</v>
      </c>
      <c r="AF55" s="147">
        <f t="shared" si="14"/>
        <v>-133.72194565529935</v>
      </c>
      <c r="AG55" s="86"/>
    </row>
    <row r="56" spans="2:33" x14ac:dyDescent="0.3">
      <c r="B56">
        <v>429</v>
      </c>
      <c r="C56" s="25">
        <v>4</v>
      </c>
      <c r="D56" s="32" t="s">
        <v>77</v>
      </c>
      <c r="E56" s="125">
        <v>4357.0309999999999</v>
      </c>
      <c r="F56" s="125">
        <f>INDEX('Revised 2018 Lockdown'!H$5:H$253,MATCH(B56,'Revised 2018 Lockdown'!B$5:B$253,0))</f>
        <v>4357.0309999999999</v>
      </c>
      <c r="G56" s="125">
        <f t="shared" si="2"/>
        <v>0</v>
      </c>
      <c r="H56" s="5">
        <v>1673741.25</v>
      </c>
      <c r="I56" s="5">
        <f>INDEX('Revised 2018 Lockdown'!E$5:E$253,MATCH(B56,'Revised 2018 Lockdown'!B$5:B$253,0))</f>
        <v>1673741.25</v>
      </c>
      <c r="J56" s="5">
        <f t="shared" si="3"/>
        <v>0</v>
      </c>
      <c r="K56" s="5">
        <v>427615.25</v>
      </c>
      <c r="L56" s="5">
        <f>INDEX('Revised 2018 Lockdown'!F$5:F$253,MATCH(B56,'Revised 2018 Lockdown'!B$5:B$253,0))</f>
        <v>427615.25</v>
      </c>
      <c r="M56" s="5">
        <f t="shared" si="4"/>
        <v>0</v>
      </c>
      <c r="N56" s="5">
        <v>1246126</v>
      </c>
      <c r="O56" s="87">
        <f t="shared" si="5"/>
        <v>1246126</v>
      </c>
      <c r="P56" s="87">
        <f t="shared" si="6"/>
        <v>0</v>
      </c>
      <c r="Q56" s="85">
        <f t="shared" si="15"/>
        <v>286.00347346622044</v>
      </c>
      <c r="R56" s="6">
        <f t="shared" si="1"/>
        <v>286.00347346622044</v>
      </c>
      <c r="S56" s="5">
        <f t="shared" si="16"/>
        <v>1246126</v>
      </c>
      <c r="T56" s="113">
        <v>0.7486711309523808</v>
      </c>
      <c r="U56" s="87">
        <f t="shared" si="7"/>
        <v>274157.02590269054</v>
      </c>
      <c r="V56" s="87">
        <f t="shared" si="17"/>
        <v>246271.96099990708</v>
      </c>
      <c r="W56" s="87">
        <f t="shared" si="8"/>
        <v>61576.035192332536</v>
      </c>
      <c r="X56" s="87">
        <f t="shared" si="9"/>
        <v>15612.715585734872</v>
      </c>
      <c r="Y56" s="87">
        <f t="shared" si="10"/>
        <v>597617.7376806651</v>
      </c>
      <c r="Z56" s="91">
        <f t="shared" si="11"/>
        <v>0.47958050604887875</v>
      </c>
      <c r="AA56" s="86">
        <f t="shared" si="12"/>
        <v>597617.7376806651</v>
      </c>
      <c r="AB56" s="87"/>
      <c r="AC56" s="86">
        <v>598129.86934252782</v>
      </c>
      <c r="AD56" s="147">
        <f t="shared" si="13"/>
        <v>-512.13166186271701</v>
      </c>
      <c r="AE56" s="147">
        <v>-179.49222053145058</v>
      </c>
      <c r="AF56" s="147">
        <f t="shared" si="14"/>
        <v>-332.63944133126643</v>
      </c>
      <c r="AG56" s="86"/>
    </row>
    <row r="57" spans="2:33" x14ac:dyDescent="0.3">
      <c r="B57">
        <v>601</v>
      </c>
      <c r="C57" s="25">
        <v>4</v>
      </c>
      <c r="D57" s="32" t="s">
        <v>78</v>
      </c>
      <c r="E57" s="125">
        <v>5915.7199999999993</v>
      </c>
      <c r="F57" s="125">
        <f>INDEX('Revised 2018 Lockdown'!H$5:H$253,MATCH(B57,'Revised 2018 Lockdown'!B$5:B$253,0))</f>
        <v>5915.7199999999993</v>
      </c>
      <c r="G57" s="125">
        <f t="shared" si="2"/>
        <v>0</v>
      </c>
      <c r="H57" s="5">
        <v>3078679.08</v>
      </c>
      <c r="I57" s="5">
        <f>INDEX('Revised 2018 Lockdown'!E$5:E$253,MATCH(B57,'Revised 2018 Lockdown'!B$5:B$253,0))</f>
        <v>3078679.08</v>
      </c>
      <c r="J57" s="5">
        <f t="shared" si="3"/>
        <v>0</v>
      </c>
      <c r="K57" s="5">
        <v>303552.10000000003</v>
      </c>
      <c r="L57" s="5">
        <f>INDEX('Revised 2018 Lockdown'!F$5:F$253,MATCH(B57,'Revised 2018 Lockdown'!B$5:B$253,0))</f>
        <v>303552.10000000003</v>
      </c>
      <c r="M57" s="5">
        <f t="shared" si="4"/>
        <v>0</v>
      </c>
      <c r="N57" s="5">
        <v>2775126.98</v>
      </c>
      <c r="O57" s="87">
        <f t="shared" si="5"/>
        <v>2775126.98</v>
      </c>
      <c r="P57" s="87">
        <f t="shared" si="6"/>
        <v>0</v>
      </c>
      <c r="Q57" s="85">
        <f t="shared" si="15"/>
        <v>469.11060361207092</v>
      </c>
      <c r="R57" s="6">
        <f t="shared" si="1"/>
        <v>469.11060361207092</v>
      </c>
      <c r="S57" s="5">
        <f t="shared" si="16"/>
        <v>2775126.98</v>
      </c>
      <c r="T57" s="113">
        <v>0.79143026785714277</v>
      </c>
      <c r="U57" s="87">
        <f t="shared" si="7"/>
        <v>610548.65987798618</v>
      </c>
      <c r="V57" s="87">
        <f t="shared" si="17"/>
        <v>334373.55968464998</v>
      </c>
      <c r="W57" s="87">
        <f t="shared" si="8"/>
        <v>144962.00682811622</v>
      </c>
      <c r="X57" s="87">
        <f t="shared" si="9"/>
        <v>34769.572461403863</v>
      </c>
      <c r="Y57" s="87">
        <f t="shared" si="10"/>
        <v>1124653.7988521564</v>
      </c>
      <c r="Z57" s="91">
        <f t="shared" si="11"/>
        <v>0.40526210402529272</v>
      </c>
      <c r="AA57" s="86">
        <f t="shared" si="12"/>
        <v>1124653.7988521564</v>
      </c>
      <c r="AB57" s="87"/>
      <c r="AC57" s="86">
        <v>1125846.4670921497</v>
      </c>
      <c r="AD57" s="147">
        <f t="shared" si="13"/>
        <v>-1192.6682399932761</v>
      </c>
      <c r="AE57" s="147">
        <v>-462.14671920798719</v>
      </c>
      <c r="AF57" s="147">
        <f t="shared" si="14"/>
        <v>-730.52152078528889</v>
      </c>
      <c r="AG57" s="86"/>
    </row>
    <row r="58" spans="2:33" x14ac:dyDescent="0.3">
      <c r="B58">
        <v>760</v>
      </c>
      <c r="C58" s="25">
        <v>4</v>
      </c>
      <c r="D58" s="32" t="s">
        <v>79</v>
      </c>
      <c r="E58" s="125">
        <v>5286.9399999999987</v>
      </c>
      <c r="F58" s="125">
        <f>INDEX('Revised 2018 Lockdown'!H$5:H$253,MATCH(B58,'Revised 2018 Lockdown'!B$5:B$253,0))</f>
        <v>5286.9399999999987</v>
      </c>
      <c r="G58" s="125">
        <f t="shared" si="2"/>
        <v>0</v>
      </c>
      <c r="H58" s="5">
        <v>1441842.03</v>
      </c>
      <c r="I58" s="5">
        <f>INDEX('Revised 2018 Lockdown'!E$5:E$253,MATCH(B58,'Revised 2018 Lockdown'!B$5:B$253,0))</f>
        <v>1442808.39</v>
      </c>
      <c r="J58" s="5">
        <f t="shared" si="3"/>
        <v>-966.35999999986961</v>
      </c>
      <c r="K58" s="5">
        <v>713377.46</v>
      </c>
      <c r="L58" s="5">
        <f>INDEX('Revised 2018 Lockdown'!F$5:F$253,MATCH(B58,'Revised 2018 Lockdown'!B$5:B$253,0))</f>
        <v>717833.62</v>
      </c>
      <c r="M58" s="5">
        <f t="shared" si="4"/>
        <v>-4456.1600000000326</v>
      </c>
      <c r="N58" s="5">
        <v>728464.57000000007</v>
      </c>
      <c r="O58" s="87">
        <f t="shared" si="5"/>
        <v>724974.7699999999</v>
      </c>
      <c r="P58" s="87">
        <f t="shared" si="6"/>
        <v>3489.800000000163</v>
      </c>
      <c r="Q58" s="85">
        <f t="shared" si="15"/>
        <v>137.12559060628644</v>
      </c>
      <c r="R58" s="6">
        <f t="shared" si="1"/>
        <v>137.12559060628644</v>
      </c>
      <c r="S58" s="5">
        <f t="shared" si="16"/>
        <v>724974.76999999979</v>
      </c>
      <c r="T58" s="113">
        <v>1</v>
      </c>
      <c r="U58" s="87">
        <f t="shared" si="7"/>
        <v>159499.86341484496</v>
      </c>
      <c r="V58" s="87">
        <f t="shared" si="17"/>
        <v>298833.10022096429</v>
      </c>
      <c r="W58" s="87">
        <f t="shared" si="8"/>
        <v>47849.959024453485</v>
      </c>
      <c r="X58" s="87">
        <f t="shared" si="9"/>
        <v>9083.2105989631473</v>
      </c>
      <c r="Y58" s="87">
        <f t="shared" si="10"/>
        <v>515266.13325922587</v>
      </c>
      <c r="Z58" s="91">
        <f t="shared" si="11"/>
        <v>0.71073664157888694</v>
      </c>
      <c r="AA58" s="86">
        <f t="shared" si="12"/>
        <v>515266.13325922587</v>
      </c>
      <c r="AB58" s="87"/>
      <c r="AC58" s="86">
        <v>516597.03176593798</v>
      </c>
      <c r="AD58" s="147">
        <f t="shared" si="13"/>
        <v>-1330.8985067121102</v>
      </c>
      <c r="AE58" s="147">
        <v>-1114.0301737043774</v>
      </c>
      <c r="AF58" s="147">
        <f t="shared" si="14"/>
        <v>-216.86833300773287</v>
      </c>
      <c r="AG58" s="86"/>
    </row>
    <row r="59" spans="2:33" x14ac:dyDescent="0.3">
      <c r="B59">
        <v>878</v>
      </c>
      <c r="C59" s="25">
        <v>4</v>
      </c>
      <c r="D59" s="32" t="s">
        <v>80</v>
      </c>
      <c r="E59" s="125">
        <v>7663.1599999999989</v>
      </c>
      <c r="F59" s="125">
        <f>INDEX('Revised 2018 Lockdown'!H$5:H$253,MATCH(B59,'Revised 2018 Lockdown'!B$5:B$253,0))</f>
        <v>7663.16</v>
      </c>
      <c r="G59" s="125">
        <f t="shared" si="2"/>
        <v>0</v>
      </c>
      <c r="H59" s="5">
        <v>2910917.69</v>
      </c>
      <c r="I59" s="5">
        <f>INDEX('Revised 2018 Lockdown'!E$5:E$253,MATCH(B59,'Revised 2018 Lockdown'!B$5:B$253,0))</f>
        <v>2910917.69</v>
      </c>
      <c r="J59" s="5">
        <f t="shared" si="3"/>
        <v>0</v>
      </c>
      <c r="K59" s="5">
        <v>838992.06</v>
      </c>
      <c r="L59" s="5">
        <f>INDEX('Revised 2018 Lockdown'!F$5:F$253,MATCH(B59,'Revised 2018 Lockdown'!B$5:B$253,0))</f>
        <v>838992.06</v>
      </c>
      <c r="M59" s="5">
        <f t="shared" si="4"/>
        <v>0</v>
      </c>
      <c r="N59" s="5">
        <v>2071925.63</v>
      </c>
      <c r="O59" s="87">
        <f t="shared" si="5"/>
        <v>2071925.63</v>
      </c>
      <c r="P59" s="87">
        <f t="shared" si="6"/>
        <v>0</v>
      </c>
      <c r="Q59" s="85">
        <f t="shared" si="15"/>
        <v>270.37483622944058</v>
      </c>
      <c r="R59" s="6">
        <f t="shared" si="1"/>
        <v>270.37483622944058</v>
      </c>
      <c r="S59" s="5">
        <f t="shared" si="16"/>
        <v>2071925.63</v>
      </c>
      <c r="T59" s="113">
        <v>0.9066473214285713</v>
      </c>
      <c r="U59" s="87">
        <f t="shared" si="7"/>
        <v>455839.1114641364</v>
      </c>
      <c r="V59" s="87">
        <f t="shared" si="17"/>
        <v>433143.90938601264</v>
      </c>
      <c r="W59" s="87">
        <f t="shared" si="8"/>
        <v>123985.59282340176</v>
      </c>
      <c r="X59" s="87">
        <f t="shared" si="9"/>
        <v>25959.161092846585</v>
      </c>
      <c r="Y59" s="87">
        <f t="shared" si="10"/>
        <v>1038927.7747663973</v>
      </c>
      <c r="Z59" s="91">
        <f t="shared" si="11"/>
        <v>0.50143101650149358</v>
      </c>
      <c r="AA59" s="86">
        <f t="shared" si="12"/>
        <v>1038927.7747663973</v>
      </c>
      <c r="AB59" s="87"/>
      <c r="AC59" s="86">
        <v>1039808.2130378825</v>
      </c>
      <c r="AD59" s="147">
        <f t="shared" si="13"/>
        <v>-880.43827148515265</v>
      </c>
      <c r="AE59" s="147">
        <v>-306.08165395969991</v>
      </c>
      <c r="AF59" s="147">
        <f t="shared" si="14"/>
        <v>-574.35661752545275</v>
      </c>
      <c r="AG59" s="86"/>
    </row>
    <row r="60" spans="2:33" x14ac:dyDescent="0.3">
      <c r="B60">
        <v>8</v>
      </c>
      <c r="C60" s="25">
        <v>5</v>
      </c>
      <c r="D60" s="32" t="s">
        <v>81</v>
      </c>
      <c r="E60" s="125">
        <v>2105.2199999999998</v>
      </c>
      <c r="F60" s="125">
        <f>INDEX('Revised 2018 Lockdown'!H$5:H$253,MATCH(B60,'Revised 2018 Lockdown'!B$5:B$253,0))</f>
        <v>2105.2199999999998</v>
      </c>
      <c r="G60" s="125">
        <f t="shared" si="2"/>
        <v>0</v>
      </c>
      <c r="H60" s="5">
        <v>627029.25</v>
      </c>
      <c r="I60" s="5">
        <f>INDEX('Revised 2018 Lockdown'!E$5:E$253,MATCH(B60,'Revised 2018 Lockdown'!B$5:B$253,0))</f>
        <v>627029.24</v>
      </c>
      <c r="J60" s="5">
        <f t="shared" si="3"/>
        <v>1.0000000009313226E-2</v>
      </c>
      <c r="K60" s="5">
        <v>25077.3</v>
      </c>
      <c r="L60" s="5">
        <f>INDEX('Revised 2018 Lockdown'!F$5:F$253,MATCH(B60,'Revised 2018 Lockdown'!B$5:B$253,0))</f>
        <v>25077.3</v>
      </c>
      <c r="M60" s="5">
        <f t="shared" si="4"/>
        <v>0</v>
      </c>
      <c r="N60" s="5">
        <v>601951.94999999995</v>
      </c>
      <c r="O60" s="87">
        <f t="shared" si="5"/>
        <v>601951.93999999994</v>
      </c>
      <c r="P60" s="87">
        <f t="shared" si="6"/>
        <v>1.0000000009313226E-2</v>
      </c>
      <c r="Q60" s="85">
        <f t="shared" si="15"/>
        <v>285.9330331271791</v>
      </c>
      <c r="R60" s="6">
        <f t="shared" si="1"/>
        <v>285.9330331271791</v>
      </c>
      <c r="S60" s="5">
        <f t="shared" si="16"/>
        <v>601951.93999999994</v>
      </c>
      <c r="T60" s="113">
        <v>0.60770238095238094</v>
      </c>
      <c r="U60" s="87">
        <f t="shared" si="7"/>
        <v>132433.92209676615</v>
      </c>
      <c r="V60" s="87">
        <f t="shared" si="17"/>
        <v>118993.10740185789</v>
      </c>
      <c r="W60" s="87">
        <f t="shared" si="8"/>
        <v>24144.122933120078</v>
      </c>
      <c r="X60" s="87">
        <f t="shared" si="9"/>
        <v>7541.8572724598807</v>
      </c>
      <c r="Y60" s="87">
        <f t="shared" si="10"/>
        <v>283113.00970420399</v>
      </c>
      <c r="Z60" s="91">
        <f t="shared" si="11"/>
        <v>0.47032493940330855</v>
      </c>
      <c r="AA60" s="86">
        <f t="shared" si="12"/>
        <v>283113.00970420399</v>
      </c>
      <c r="AB60" s="87"/>
      <c r="AC60" s="86">
        <v>283351.75074889354</v>
      </c>
      <c r="AD60" s="147">
        <f t="shared" si="13"/>
        <v>-238.74104468955193</v>
      </c>
      <c r="AE60" s="147">
        <v>-83.075374516600277</v>
      </c>
      <c r="AF60" s="147">
        <f t="shared" si="14"/>
        <v>-155.66567017295165</v>
      </c>
      <c r="AG60" s="86"/>
    </row>
    <row r="61" spans="2:33" x14ac:dyDescent="0.3">
      <c r="B61">
        <v>41</v>
      </c>
      <c r="C61" s="33">
        <v>5</v>
      </c>
      <c r="D61" s="32" t="s">
        <v>82</v>
      </c>
      <c r="E61" s="125">
        <v>1688.06</v>
      </c>
      <c r="F61" s="125">
        <f>INDEX('Revised 2018 Lockdown'!H$5:H$253,MATCH(B61,'Revised 2018 Lockdown'!B$5:B$253,0))</f>
        <v>1688.06</v>
      </c>
      <c r="G61" s="125">
        <f t="shared" si="2"/>
        <v>0</v>
      </c>
      <c r="H61" s="5">
        <v>652189.06000000006</v>
      </c>
      <c r="I61" s="5">
        <f>INDEX('Revised 2018 Lockdown'!E$5:E$253,MATCH(B61,'Revised 2018 Lockdown'!B$5:B$253,0))</f>
        <v>652189.06000000006</v>
      </c>
      <c r="J61" s="5">
        <f t="shared" si="3"/>
        <v>0</v>
      </c>
      <c r="K61" s="5">
        <v>215017.75000000003</v>
      </c>
      <c r="L61" s="5">
        <f>INDEX('Revised 2018 Lockdown'!F$5:F$253,MATCH(B61,'Revised 2018 Lockdown'!B$5:B$253,0))</f>
        <v>215017.75000000003</v>
      </c>
      <c r="M61" s="5">
        <f t="shared" si="4"/>
        <v>0</v>
      </c>
      <c r="N61" s="5">
        <v>437171.31000000006</v>
      </c>
      <c r="O61" s="87">
        <f t="shared" si="5"/>
        <v>437171.31000000006</v>
      </c>
      <c r="P61" s="87">
        <f t="shared" si="6"/>
        <v>0</v>
      </c>
      <c r="Q61" s="85">
        <f t="shared" si="15"/>
        <v>258.97853749274321</v>
      </c>
      <c r="R61" s="6">
        <f t="shared" si="1"/>
        <v>258.97853749274321</v>
      </c>
      <c r="S61" s="5">
        <f t="shared" si="16"/>
        <v>437171.31000000011</v>
      </c>
      <c r="T61" s="113">
        <v>0.30555357142857142</v>
      </c>
      <c r="U61" s="87">
        <f t="shared" si="7"/>
        <v>96180.952937008944</v>
      </c>
      <c r="V61" s="87">
        <f t="shared" si="17"/>
        <v>95414.020805797132</v>
      </c>
      <c r="W61" s="87">
        <f t="shared" si="8"/>
        <v>8816.5301019919279</v>
      </c>
      <c r="X61" s="87">
        <f t="shared" si="9"/>
        <v>5477.3203715139025</v>
      </c>
      <c r="Y61" s="87">
        <f t="shared" si="10"/>
        <v>205888.82421631188</v>
      </c>
      <c r="Z61" s="91">
        <f t="shared" si="11"/>
        <v>0.4709568526267468</v>
      </c>
      <c r="AA61" s="86">
        <f t="shared" si="12"/>
        <v>205888.82421631188</v>
      </c>
      <c r="AB61" s="87"/>
      <c r="AC61" s="86">
        <v>206047.0678407446</v>
      </c>
      <c r="AD61" s="147">
        <f t="shared" si="13"/>
        <v>-158.24362443271093</v>
      </c>
      <c r="AE61" s="147">
        <v>-52.28002648241818</v>
      </c>
      <c r="AF61" s="147">
        <f t="shared" si="14"/>
        <v>-105.96359795029275</v>
      </c>
      <c r="AG61" s="86"/>
    </row>
    <row r="62" spans="2:33" x14ac:dyDescent="0.3">
      <c r="B62">
        <v>56</v>
      </c>
      <c r="C62" s="33">
        <v>5</v>
      </c>
      <c r="D62" s="32" t="s">
        <v>83</v>
      </c>
      <c r="E62" s="125">
        <v>3016.58</v>
      </c>
      <c r="F62" s="125">
        <f>INDEX('Revised 2018 Lockdown'!H$5:H$253,MATCH(B62,'Revised 2018 Lockdown'!B$5:B$253,0))</f>
        <v>3016.58</v>
      </c>
      <c r="G62" s="125">
        <f t="shared" si="2"/>
        <v>0</v>
      </c>
      <c r="H62" s="5">
        <v>561942.06999999995</v>
      </c>
      <c r="I62" s="5">
        <f>INDEX('Revised 2018 Lockdown'!E$5:E$253,MATCH(B62,'Revised 2018 Lockdown'!B$5:B$253,0))</f>
        <v>561942.06999999995</v>
      </c>
      <c r="J62" s="5">
        <f t="shared" si="3"/>
        <v>0</v>
      </c>
      <c r="K62" s="5">
        <v>2316.81</v>
      </c>
      <c r="L62" s="5">
        <f>INDEX('Revised 2018 Lockdown'!F$5:F$253,MATCH(B62,'Revised 2018 Lockdown'!B$5:B$253,0))</f>
        <v>2316.81</v>
      </c>
      <c r="M62" s="5">
        <f t="shared" si="4"/>
        <v>0</v>
      </c>
      <c r="N62" s="5">
        <v>559625.25999999989</v>
      </c>
      <c r="O62" s="87">
        <f t="shared" si="5"/>
        <v>559625.25999999989</v>
      </c>
      <c r="P62" s="87">
        <f t="shared" si="6"/>
        <v>0</v>
      </c>
      <c r="Q62" s="85">
        <f t="shared" si="15"/>
        <v>185.51646566641691</v>
      </c>
      <c r="R62" s="6">
        <f t="shared" si="1"/>
        <v>185.51646566641691</v>
      </c>
      <c r="S62" s="5">
        <f t="shared" si="16"/>
        <v>559625.25999999989</v>
      </c>
      <c r="T62" s="113">
        <v>0.91394791666666664</v>
      </c>
      <c r="U62" s="87">
        <f t="shared" si="7"/>
        <v>123121.73640676777</v>
      </c>
      <c r="V62" s="87">
        <f t="shared" si="17"/>
        <v>170505.80363396535</v>
      </c>
      <c r="W62" s="87">
        <f t="shared" si="8"/>
        <v>33758.056345604367</v>
      </c>
      <c r="X62" s="87">
        <f t="shared" si="9"/>
        <v>7011.5461991587754</v>
      </c>
      <c r="Y62" s="87">
        <f t="shared" si="10"/>
        <v>334397.14258549624</v>
      </c>
      <c r="Z62" s="91">
        <f t="shared" si="11"/>
        <v>0.5975376139838583</v>
      </c>
      <c r="AA62" s="86">
        <f t="shared" si="12"/>
        <v>334397.14258549624</v>
      </c>
      <c r="AB62" s="87"/>
      <c r="AC62" s="86">
        <v>334625.35057571071</v>
      </c>
      <c r="AD62" s="147">
        <f t="shared" si="13"/>
        <v>-228.20799021446146</v>
      </c>
      <c r="AE62" s="147">
        <v>-68.511148364748806</v>
      </c>
      <c r="AF62" s="147">
        <f t="shared" si="14"/>
        <v>-159.69684184971265</v>
      </c>
      <c r="AG62" s="86"/>
    </row>
    <row r="63" spans="2:33" x14ac:dyDescent="0.3">
      <c r="B63">
        <v>67</v>
      </c>
      <c r="C63" s="25">
        <v>5</v>
      </c>
      <c r="D63" s="32" t="s">
        <v>84</v>
      </c>
      <c r="E63" s="125">
        <v>1474.6758017491509</v>
      </c>
      <c r="F63" s="125">
        <f>INDEX('Revised 2018 Lockdown'!H$5:H$253,MATCH(B63,'Revised 2018 Lockdown'!B$5:B$253,0))</f>
        <v>1474.6685202418018</v>
      </c>
      <c r="G63" s="125">
        <f t="shared" si="2"/>
        <v>7.2815073490346549E-3</v>
      </c>
      <c r="H63" s="5">
        <v>218449.94</v>
      </c>
      <c r="I63" s="5">
        <f>INDEX('Revised 2018 Lockdown'!E$5:E$253,MATCH(B63,'Revised 2018 Lockdown'!B$5:B$253,0))</f>
        <v>218449.94</v>
      </c>
      <c r="J63" s="5">
        <f t="shared" si="3"/>
        <v>0</v>
      </c>
      <c r="K63" s="5">
        <v>0</v>
      </c>
      <c r="L63" s="5">
        <f>INDEX('Revised 2018 Lockdown'!F$5:F$253,MATCH(B63,'Revised 2018 Lockdown'!B$5:B$253,0))</f>
        <v>0</v>
      </c>
      <c r="M63" s="5">
        <f t="shared" si="4"/>
        <v>0</v>
      </c>
      <c r="N63" s="5">
        <v>218449.94</v>
      </c>
      <c r="O63" s="87">
        <f t="shared" si="5"/>
        <v>218449.94</v>
      </c>
      <c r="P63" s="87">
        <f t="shared" si="6"/>
        <v>0</v>
      </c>
      <c r="Q63" s="85">
        <f t="shared" si="15"/>
        <v>148.13494490557153</v>
      </c>
      <c r="R63" s="6">
        <f t="shared" si="1"/>
        <v>148.13494490557153</v>
      </c>
      <c r="S63" s="5">
        <f t="shared" si="16"/>
        <v>218449.94</v>
      </c>
      <c r="T63" s="113">
        <v>0.72198214285714279</v>
      </c>
      <c r="U63" s="87">
        <f t="shared" si="7"/>
        <v>48060.618155002943</v>
      </c>
      <c r="V63" s="87">
        <f t="shared" si="17"/>
        <v>83352.518791989249</v>
      </c>
      <c r="W63" s="87">
        <f t="shared" si="8"/>
        <v>10409.672424776378</v>
      </c>
      <c r="X63" s="87">
        <f t="shared" si="9"/>
        <v>2736.9598122026564</v>
      </c>
      <c r="Y63" s="87">
        <f t="shared" si="10"/>
        <v>144559.76918397122</v>
      </c>
      <c r="Z63" s="91">
        <f t="shared" si="11"/>
        <v>0.66175238676637416</v>
      </c>
      <c r="AA63" s="86">
        <f t="shared" si="12"/>
        <v>144559.76918397122</v>
      </c>
      <c r="AB63" s="87"/>
      <c r="AC63" s="86">
        <v>144641.84622393522</v>
      </c>
      <c r="AD63" s="147">
        <f t="shared" si="13"/>
        <v>-82.077039964002324</v>
      </c>
      <c r="AE63" s="147">
        <v>-20.452614759735297</v>
      </c>
      <c r="AF63" s="147">
        <f t="shared" si="14"/>
        <v>-61.624425204267027</v>
      </c>
      <c r="AG63" s="86"/>
    </row>
    <row r="64" spans="2:33" x14ac:dyDescent="0.3">
      <c r="B64">
        <v>157</v>
      </c>
      <c r="C64" s="25">
        <v>5</v>
      </c>
      <c r="D64" s="32" t="s">
        <v>85</v>
      </c>
      <c r="E64" s="125">
        <v>446.65493195328992</v>
      </c>
      <c r="F64" s="125">
        <f>INDEX('Revised 2018 Lockdown'!H$5:H$253,MATCH(B64,'Revised 2018 Lockdown'!B$5:B$253,0))</f>
        <v>446.65493195328992</v>
      </c>
      <c r="G64" s="125">
        <f t="shared" si="2"/>
        <v>0</v>
      </c>
      <c r="H64" s="5">
        <v>145211.09</v>
      </c>
      <c r="I64" s="5">
        <f>INDEX('Revised 2018 Lockdown'!E$5:E$253,MATCH(B64,'Revised 2018 Lockdown'!B$5:B$253,0))</f>
        <v>145211.09</v>
      </c>
      <c r="J64" s="5">
        <f t="shared" si="3"/>
        <v>0</v>
      </c>
      <c r="K64" s="5">
        <v>320</v>
      </c>
      <c r="L64" s="5">
        <f>INDEX('Revised 2018 Lockdown'!F$5:F$253,MATCH(B64,'Revised 2018 Lockdown'!B$5:B$253,0))</f>
        <v>320</v>
      </c>
      <c r="M64" s="5">
        <f t="shared" si="4"/>
        <v>0</v>
      </c>
      <c r="N64" s="5">
        <v>144891.09</v>
      </c>
      <c r="O64" s="87">
        <f t="shared" si="5"/>
        <v>144891.09</v>
      </c>
      <c r="P64" s="87">
        <f t="shared" si="6"/>
        <v>0</v>
      </c>
      <c r="Q64" s="85">
        <f t="shared" si="15"/>
        <v>324.39155964621108</v>
      </c>
      <c r="R64" s="6">
        <f t="shared" si="1"/>
        <v>324.39155964621108</v>
      </c>
      <c r="S64" s="5">
        <f t="shared" si="16"/>
        <v>144891.09</v>
      </c>
      <c r="T64" s="113">
        <v>0.64198511904761901</v>
      </c>
      <c r="U64" s="87">
        <f t="shared" si="7"/>
        <v>31877.121827326504</v>
      </c>
      <c r="V64" s="87">
        <f t="shared" si="17"/>
        <v>25246.225235123817</v>
      </c>
      <c r="W64" s="87">
        <f t="shared" si="8"/>
        <v>6139.3913553634975</v>
      </c>
      <c r="X64" s="87">
        <f t="shared" si="9"/>
        <v>1815.3408074922711</v>
      </c>
      <c r="Y64" s="87">
        <f t="shared" si="10"/>
        <v>65078.079225306094</v>
      </c>
      <c r="Z64" s="91">
        <f t="shared" si="11"/>
        <v>0.44915169887469336</v>
      </c>
      <c r="AA64" s="86">
        <f t="shared" si="12"/>
        <v>65078.079225306094</v>
      </c>
      <c r="AB64" s="87"/>
      <c r="AC64" s="86">
        <v>65136.685557303601</v>
      </c>
      <c r="AD64" s="147">
        <f t="shared" si="13"/>
        <v>-58.606331997507368</v>
      </c>
      <c r="AE64" s="147">
        <v>-21.117600584591855</v>
      </c>
      <c r="AF64" s="147">
        <f t="shared" si="14"/>
        <v>-37.488731412915513</v>
      </c>
      <c r="AG64" s="86"/>
    </row>
    <row r="65" spans="2:33" x14ac:dyDescent="0.3">
      <c r="B65">
        <v>214</v>
      </c>
      <c r="C65" s="25">
        <v>5</v>
      </c>
      <c r="D65" s="32" t="s">
        <v>86</v>
      </c>
      <c r="E65" s="125">
        <v>2922.96</v>
      </c>
      <c r="F65" s="125">
        <f>INDEX('Revised 2018 Lockdown'!H$5:H$253,MATCH(B65,'Revised 2018 Lockdown'!B$5:B$253,0))</f>
        <v>2922.96</v>
      </c>
      <c r="G65" s="125">
        <f t="shared" si="2"/>
        <v>0</v>
      </c>
      <c r="H65" s="5">
        <v>1677840.57</v>
      </c>
      <c r="I65" s="5">
        <f>INDEX('Revised 2018 Lockdown'!E$5:E$253,MATCH(B65,'Revised 2018 Lockdown'!B$5:B$253,0))</f>
        <v>1677840.57</v>
      </c>
      <c r="J65" s="5">
        <f t="shared" si="3"/>
        <v>0</v>
      </c>
      <c r="K65" s="5">
        <v>291173.04000000004</v>
      </c>
      <c r="L65" s="5">
        <f>INDEX('Revised 2018 Lockdown'!F$5:F$253,MATCH(B65,'Revised 2018 Lockdown'!B$5:B$253,0))</f>
        <v>291173.04000000004</v>
      </c>
      <c r="M65" s="5">
        <f t="shared" si="4"/>
        <v>0</v>
      </c>
      <c r="N65" s="5">
        <v>1386667.53</v>
      </c>
      <c r="O65" s="87">
        <f t="shared" si="5"/>
        <v>1386667.53</v>
      </c>
      <c r="P65" s="87">
        <f t="shared" si="6"/>
        <v>0</v>
      </c>
      <c r="Q65" s="85">
        <f t="shared" si="15"/>
        <v>474.40523647261682</v>
      </c>
      <c r="R65" s="6">
        <f t="shared" si="1"/>
        <v>448.19444207324722</v>
      </c>
      <c r="S65" s="5">
        <f t="shared" si="16"/>
        <v>1310054.4264024186</v>
      </c>
      <c r="T65" s="113">
        <v>0.65524702380952371</v>
      </c>
      <c r="U65" s="87">
        <f t="shared" si="7"/>
        <v>288221.7571201807</v>
      </c>
      <c r="V65" s="87">
        <f t="shared" si="17"/>
        <v>165214.13116507282</v>
      </c>
      <c r="W65" s="87">
        <f t="shared" si="8"/>
        <v>56656.93456504494</v>
      </c>
      <c r="X65" s="87">
        <f t="shared" si="9"/>
        <v>16413.674990533862</v>
      </c>
      <c r="Y65" s="87">
        <f t="shared" si="10"/>
        <v>526506.49784083234</v>
      </c>
      <c r="Z65" s="91">
        <f t="shared" si="11"/>
        <v>0.40189665958130327</v>
      </c>
      <c r="AA65" s="86">
        <f t="shared" si="12"/>
        <v>526506.49784083234</v>
      </c>
      <c r="AB65" s="87"/>
      <c r="AC65" s="86">
        <v>536623.55322199606</v>
      </c>
      <c r="AD65" s="147">
        <f t="shared" si="13"/>
        <v>-10117.055381163722</v>
      </c>
      <c r="AE65" s="147">
        <v>-9782.4397540229838</v>
      </c>
      <c r="AF65" s="147">
        <f t="shared" si="14"/>
        <v>-334.61562714073807</v>
      </c>
      <c r="AG65" s="86"/>
    </row>
    <row r="66" spans="2:33" x14ac:dyDescent="0.3">
      <c r="B66">
        <v>223</v>
      </c>
      <c r="C66" s="25">
        <v>5</v>
      </c>
      <c r="D66" s="32" t="s">
        <v>87</v>
      </c>
      <c r="E66" s="125">
        <v>297.74</v>
      </c>
      <c r="F66" s="125">
        <f>INDEX('Revised 2018 Lockdown'!H$5:H$253,MATCH(B66,'Revised 2018 Lockdown'!B$5:B$253,0))</f>
        <v>298.2</v>
      </c>
      <c r="G66" s="125">
        <f t="shared" si="2"/>
        <v>-0.45999999999997954</v>
      </c>
      <c r="H66" s="5">
        <v>244596.98</v>
      </c>
      <c r="I66" s="5">
        <f>INDEX('Revised 2018 Lockdown'!E$5:E$253,MATCH(B66,'Revised 2018 Lockdown'!B$5:B$253,0))</f>
        <v>207354.56</v>
      </c>
      <c r="J66" s="5">
        <f t="shared" si="3"/>
        <v>37242.420000000013</v>
      </c>
      <c r="K66" s="5">
        <v>1303.98</v>
      </c>
      <c r="L66" s="5">
        <f>INDEX('Revised 2018 Lockdown'!F$5:F$253,MATCH(B66,'Revised 2018 Lockdown'!B$5:B$253,0))</f>
        <v>1303.98</v>
      </c>
      <c r="M66" s="5">
        <f t="shared" si="4"/>
        <v>0</v>
      </c>
      <c r="N66" s="5">
        <v>243293</v>
      </c>
      <c r="O66" s="87">
        <f t="shared" si="5"/>
        <v>206050.58</v>
      </c>
      <c r="P66" s="87">
        <f t="shared" si="6"/>
        <v>37242.420000000013</v>
      </c>
      <c r="Q66" s="85">
        <f t="shared" si="15"/>
        <v>690.98115358819587</v>
      </c>
      <c r="R66" s="6">
        <f t="shared" si="1"/>
        <v>448.19444207324722</v>
      </c>
      <c r="S66" s="5">
        <f t="shared" si="16"/>
        <v>133651.58262624231</v>
      </c>
      <c r="T66" s="113">
        <v>0.45243750000000005</v>
      </c>
      <c r="U66" s="87">
        <f t="shared" si="7"/>
        <v>29404.346269958492</v>
      </c>
      <c r="V66" s="87">
        <f t="shared" si="17"/>
        <v>16855.124227982837</v>
      </c>
      <c r="W66" s="87">
        <f t="shared" si="8"/>
        <v>3991.0886746543038</v>
      </c>
      <c r="X66" s="87">
        <f t="shared" si="9"/>
        <v>1674.5209931635045</v>
      </c>
      <c r="Y66" s="87">
        <f t="shared" si="10"/>
        <v>51925.080165759136</v>
      </c>
      <c r="Z66" s="91">
        <f t="shared" si="11"/>
        <v>0.38851077664353612</v>
      </c>
      <c r="AA66" s="86">
        <f t="shared" si="12"/>
        <v>51925.080165759136</v>
      </c>
      <c r="AB66" s="87"/>
      <c r="AC66" s="86">
        <v>52825.441028051078</v>
      </c>
      <c r="AD66" s="147">
        <f t="shared" si="13"/>
        <v>-900.36086229194188</v>
      </c>
      <c r="AE66" s="147">
        <v>-867.82591596440034</v>
      </c>
      <c r="AF66" s="147">
        <f t="shared" si="14"/>
        <v>-32.534946327541547</v>
      </c>
      <c r="AG66" s="86"/>
    </row>
    <row r="67" spans="2:33" x14ac:dyDescent="0.3">
      <c r="B67">
        <v>224</v>
      </c>
      <c r="C67" s="25">
        <v>5</v>
      </c>
      <c r="D67" s="32" t="s">
        <v>88</v>
      </c>
      <c r="E67" s="125">
        <v>257.07384904737762</v>
      </c>
      <c r="F67" s="125">
        <f>INDEX('Revised 2018 Lockdown'!H$5:H$253,MATCH(B67,'Revised 2018 Lockdown'!B$5:B$253,0))</f>
        <v>257.07257969372114</v>
      </c>
      <c r="G67" s="125">
        <f t="shared" si="2"/>
        <v>1.2693536564825081E-3</v>
      </c>
      <c r="H67" s="5">
        <v>73965.39</v>
      </c>
      <c r="I67" s="5">
        <f>INDEX('Revised 2018 Lockdown'!E$5:E$253,MATCH(B67,'Revised 2018 Lockdown'!B$5:B$253,0))</f>
        <v>73965.39</v>
      </c>
      <c r="J67" s="5">
        <f t="shared" si="3"/>
        <v>0</v>
      </c>
      <c r="K67" s="5">
        <v>245</v>
      </c>
      <c r="L67" s="5">
        <f>INDEX('Revised 2018 Lockdown'!F$5:F$253,MATCH(B67,'Revised 2018 Lockdown'!B$5:B$253,0))</f>
        <v>245</v>
      </c>
      <c r="M67" s="5">
        <f t="shared" si="4"/>
        <v>0</v>
      </c>
      <c r="N67" s="5">
        <v>73720.39</v>
      </c>
      <c r="O67" s="87">
        <f t="shared" si="5"/>
        <v>73720.39</v>
      </c>
      <c r="P67" s="87">
        <f t="shared" si="6"/>
        <v>0</v>
      </c>
      <c r="Q67" s="85">
        <f t="shared" si="15"/>
        <v>286.76877980464201</v>
      </c>
      <c r="R67" s="6">
        <f t="shared" si="1"/>
        <v>286.76877980464201</v>
      </c>
      <c r="S67" s="5">
        <f t="shared" si="16"/>
        <v>73720.39</v>
      </c>
      <c r="T67" s="113">
        <v>0.49276488095238091</v>
      </c>
      <c r="U67" s="87">
        <f t="shared" si="7"/>
        <v>16219.036334035605</v>
      </c>
      <c r="V67" s="87">
        <f t="shared" si="17"/>
        <v>14530.483790562334</v>
      </c>
      <c r="W67" s="87">
        <f t="shared" si="8"/>
        <v>2397.6514524910181</v>
      </c>
      <c r="X67" s="87">
        <f t="shared" si="9"/>
        <v>923.64293975043722</v>
      </c>
      <c r="Y67" s="87">
        <f t="shared" si="10"/>
        <v>34070.814516839397</v>
      </c>
      <c r="Z67" s="91">
        <f t="shared" si="11"/>
        <v>0.46216270039861967</v>
      </c>
      <c r="AA67" s="86">
        <f t="shared" si="12"/>
        <v>34070.814516839397</v>
      </c>
      <c r="AB67" s="87"/>
      <c r="AC67" s="86">
        <v>34099.268897082882</v>
      </c>
      <c r="AD67" s="147">
        <f t="shared" si="13"/>
        <v>-28.454380243485502</v>
      </c>
      <c r="AE67" s="147">
        <v>-9.8232256162664271</v>
      </c>
      <c r="AF67" s="147">
        <f t="shared" si="14"/>
        <v>-18.631154627219075</v>
      </c>
      <c r="AG67" s="86"/>
    </row>
    <row r="68" spans="2:33" x14ac:dyDescent="0.3">
      <c r="B68">
        <v>233</v>
      </c>
      <c r="C68" s="33">
        <v>5</v>
      </c>
      <c r="D68" s="32" t="s">
        <v>89</v>
      </c>
      <c r="E68" s="125">
        <v>2096.4900000000002</v>
      </c>
      <c r="F68" s="125">
        <f>INDEX('Revised 2018 Lockdown'!H$5:H$253,MATCH(B68,'Revised 2018 Lockdown'!B$5:B$253,0))</f>
        <v>2096.4900000000002</v>
      </c>
      <c r="G68" s="125">
        <f t="shared" si="2"/>
        <v>0</v>
      </c>
      <c r="H68" s="5">
        <v>657892.93999999994</v>
      </c>
      <c r="I68" s="5">
        <f>INDEX('Revised 2018 Lockdown'!E$5:E$253,MATCH(B68,'Revised 2018 Lockdown'!B$5:B$253,0))</f>
        <v>657892.93999999994</v>
      </c>
      <c r="J68" s="5">
        <f t="shared" si="3"/>
        <v>0</v>
      </c>
      <c r="K68" s="5">
        <v>285320.61</v>
      </c>
      <c r="L68" s="5">
        <f>INDEX('Revised 2018 Lockdown'!F$5:F$253,MATCH(B68,'Revised 2018 Lockdown'!B$5:B$253,0))</f>
        <v>285320.61</v>
      </c>
      <c r="M68" s="5">
        <f t="shared" si="4"/>
        <v>0</v>
      </c>
      <c r="N68" s="5">
        <v>372572.32999999996</v>
      </c>
      <c r="O68" s="87">
        <f t="shared" si="5"/>
        <v>372572.32999999996</v>
      </c>
      <c r="P68" s="87">
        <f t="shared" si="6"/>
        <v>0</v>
      </c>
      <c r="Q68" s="85">
        <f t="shared" si="15"/>
        <v>177.71242886920516</v>
      </c>
      <c r="R68" s="6">
        <f t="shared" si="1"/>
        <v>177.71242886920516</v>
      </c>
      <c r="S68" s="5">
        <f t="shared" si="16"/>
        <v>372572.32999999996</v>
      </c>
      <c r="T68" s="113">
        <v>0.65013095238095242</v>
      </c>
      <c r="U68" s="87">
        <f t="shared" si="7"/>
        <v>81968.694920446054</v>
      </c>
      <c r="V68" s="87">
        <f t="shared" si="17"/>
        <v>118499.66261812121</v>
      </c>
      <c r="W68" s="87">
        <f t="shared" si="8"/>
        <v>15987.115708215997</v>
      </c>
      <c r="X68" s="87">
        <f t="shared" si="9"/>
        <v>4667.9595991132155</v>
      </c>
      <c r="Y68" s="87">
        <f t="shared" si="10"/>
        <v>221123.43284589649</v>
      </c>
      <c r="Z68" s="91">
        <f t="shared" si="11"/>
        <v>0.59350471047030384</v>
      </c>
      <c r="AA68" s="86">
        <f t="shared" si="12"/>
        <v>221123.43284589649</v>
      </c>
      <c r="AB68" s="87"/>
      <c r="AC68" s="86">
        <v>221264.41561523429</v>
      </c>
      <c r="AD68" s="147">
        <f t="shared" si="13"/>
        <v>-140.98276933780289</v>
      </c>
      <c r="AE68" s="147">
        <v>-40.077482811291702</v>
      </c>
      <c r="AF68" s="147">
        <f t="shared" si="14"/>
        <v>-100.90528652651119</v>
      </c>
      <c r="AG68" s="86"/>
    </row>
    <row r="69" spans="2:33" x14ac:dyDescent="0.3">
      <c r="B69">
        <v>272</v>
      </c>
      <c r="C69" s="25">
        <v>5</v>
      </c>
      <c r="D69" s="32" t="s">
        <v>90</v>
      </c>
      <c r="E69" s="125">
        <v>365.3662530466043</v>
      </c>
      <c r="F69" s="125">
        <f>INDEX('Revised 2018 Lockdown'!H$5:H$253,MATCH(B69,'Revised 2018 Lockdown'!B$5:B$253,0))</f>
        <v>365.36444897749737</v>
      </c>
      <c r="G69" s="125">
        <f t="shared" si="2"/>
        <v>1.804069106924544E-3</v>
      </c>
      <c r="H69" s="5">
        <v>79352.12</v>
      </c>
      <c r="I69" s="5">
        <f>INDEX('Revised 2018 Lockdown'!E$5:E$253,MATCH(B69,'Revised 2018 Lockdown'!B$5:B$253,0))</f>
        <v>79352.12</v>
      </c>
      <c r="J69" s="5">
        <f t="shared" si="3"/>
        <v>0</v>
      </c>
      <c r="K69" s="5">
        <v>0</v>
      </c>
      <c r="L69" s="5">
        <f>INDEX('Revised 2018 Lockdown'!F$5:F$253,MATCH(B69,'Revised 2018 Lockdown'!B$5:B$253,0))</f>
        <v>0</v>
      </c>
      <c r="M69" s="5">
        <f t="shared" si="4"/>
        <v>0</v>
      </c>
      <c r="N69" s="5">
        <v>79352.12</v>
      </c>
      <c r="O69" s="87">
        <f t="shared" si="5"/>
        <v>79352.12</v>
      </c>
      <c r="P69" s="87">
        <f t="shared" si="6"/>
        <v>0</v>
      </c>
      <c r="Q69" s="85">
        <f t="shared" si="15"/>
        <v>217.18621015830485</v>
      </c>
      <c r="R69" s="6">
        <f t="shared" si="1"/>
        <v>217.18621015830485</v>
      </c>
      <c r="S69" s="5">
        <f t="shared" si="16"/>
        <v>79352.12</v>
      </c>
      <c r="T69" s="113">
        <v>0.44478571428571423</v>
      </c>
      <c r="U69" s="87">
        <f t="shared" si="7"/>
        <v>17458.05899104377</v>
      </c>
      <c r="V69" s="87">
        <f t="shared" si="17"/>
        <v>20651.452635829024</v>
      </c>
      <c r="W69" s="87">
        <f t="shared" si="8"/>
        <v>2329.5285715120613</v>
      </c>
      <c r="X69" s="87">
        <f t="shared" si="9"/>
        <v>994.20289817009177</v>
      </c>
      <c r="Y69" s="87">
        <f t="shared" si="10"/>
        <v>41433.24309655495</v>
      </c>
      <c r="Z69" s="91">
        <f t="shared" si="11"/>
        <v>0.52214412288613021</v>
      </c>
      <c r="AA69" s="86">
        <f t="shared" si="12"/>
        <v>41433.24309655495</v>
      </c>
      <c r="AB69" s="87"/>
      <c r="AC69" s="86">
        <v>41462.570343591447</v>
      </c>
      <c r="AD69" s="147">
        <f t="shared" si="13"/>
        <v>-29.327247036497283</v>
      </c>
      <c r="AE69" s="147">
        <v>-9.0686433021328412</v>
      </c>
      <c r="AF69" s="147">
        <f t="shared" si="14"/>
        <v>-20.258603734364442</v>
      </c>
      <c r="AG69" s="86"/>
    </row>
    <row r="70" spans="2:33" x14ac:dyDescent="0.3">
      <c r="B70">
        <v>427</v>
      </c>
      <c r="C70" s="25">
        <v>5</v>
      </c>
      <c r="D70" s="32" t="s">
        <v>91</v>
      </c>
      <c r="E70" s="125">
        <v>444.9199999999999</v>
      </c>
      <c r="F70" s="125">
        <f>INDEX('Revised 2018 Lockdown'!H$5:H$253,MATCH(B70,'Revised 2018 Lockdown'!B$5:B$253,0))</f>
        <v>444.9199999999999</v>
      </c>
      <c r="G70" s="125">
        <f t="shared" si="2"/>
        <v>0</v>
      </c>
      <c r="H70" s="5">
        <v>198493.19</v>
      </c>
      <c r="I70" s="5">
        <f>INDEX('Revised 2018 Lockdown'!E$5:E$253,MATCH(B70,'Revised 2018 Lockdown'!B$5:B$253,0))</f>
        <v>198493.19</v>
      </c>
      <c r="J70" s="5">
        <f t="shared" si="3"/>
        <v>0</v>
      </c>
      <c r="K70" s="5">
        <v>56867.6</v>
      </c>
      <c r="L70" s="5">
        <f>INDEX('Revised 2018 Lockdown'!F$5:F$253,MATCH(B70,'Revised 2018 Lockdown'!B$5:B$253,0))</f>
        <v>56867.6</v>
      </c>
      <c r="M70" s="5">
        <f t="shared" si="4"/>
        <v>0</v>
      </c>
      <c r="N70" s="5">
        <v>141625.59</v>
      </c>
      <c r="O70" s="87">
        <f t="shared" si="5"/>
        <v>141625.59</v>
      </c>
      <c r="P70" s="87">
        <f t="shared" si="6"/>
        <v>0</v>
      </c>
      <c r="Q70" s="85">
        <f t="shared" si="15"/>
        <v>318.31697833318356</v>
      </c>
      <c r="R70" s="6">
        <f t="shared" si="1"/>
        <v>318.31697833318356</v>
      </c>
      <c r="S70" s="5">
        <f t="shared" si="16"/>
        <v>141625.59</v>
      </c>
      <c r="T70" s="113">
        <v>0.68625595238095238</v>
      </c>
      <c r="U70" s="87">
        <f t="shared" si="7"/>
        <v>31158.687441008235</v>
      </c>
      <c r="V70" s="87">
        <f t="shared" si="17"/>
        <v>25148.161876304905</v>
      </c>
      <c r="W70" s="87">
        <f t="shared" si="8"/>
        <v>6414.8504174308582</v>
      </c>
      <c r="X70" s="87">
        <f t="shared" si="9"/>
        <v>1774.4273503095967</v>
      </c>
      <c r="Y70" s="87">
        <f t="shared" si="10"/>
        <v>64496.127085053602</v>
      </c>
      <c r="Z70" s="91">
        <f t="shared" si="11"/>
        <v>0.45539882365223405</v>
      </c>
      <c r="AA70" s="86">
        <f t="shared" si="12"/>
        <v>64496.127085053602</v>
      </c>
      <c r="AB70" s="87"/>
      <c r="AC70" s="86">
        <v>64553.96327162956</v>
      </c>
      <c r="AD70" s="147">
        <f t="shared" si="13"/>
        <v>-57.836186575957981</v>
      </c>
      <c r="AE70" s="147">
        <v>-20.78333258217026</v>
      </c>
      <c r="AF70" s="147">
        <f t="shared" si="14"/>
        <v>-37.052853993787721</v>
      </c>
      <c r="AG70" s="86"/>
    </row>
    <row r="71" spans="2:33" x14ac:dyDescent="0.3">
      <c r="B71">
        <v>524</v>
      </c>
      <c r="C71" s="25">
        <v>5</v>
      </c>
      <c r="D71" s="32" t="s">
        <v>92</v>
      </c>
      <c r="E71" s="125">
        <v>503.24541510407607</v>
      </c>
      <c r="F71" s="125">
        <f>INDEX('Revised 2018 Lockdown'!H$5:H$253,MATCH(B71,'Revised 2018 Lockdown'!B$5:B$253,0))</f>
        <v>503.24293022897058</v>
      </c>
      <c r="G71" s="125">
        <f t="shared" si="2"/>
        <v>2.4848751054946661E-3</v>
      </c>
      <c r="H71" s="5">
        <v>234790.57</v>
      </c>
      <c r="I71" s="5">
        <f>INDEX('Revised 2018 Lockdown'!E$5:E$253,MATCH(B71,'Revised 2018 Lockdown'!B$5:B$253,0))</f>
        <v>234790.57</v>
      </c>
      <c r="J71" s="5">
        <f t="shared" si="3"/>
        <v>0</v>
      </c>
      <c r="K71" s="5">
        <v>453.75</v>
      </c>
      <c r="L71" s="5">
        <f>INDEX('Revised 2018 Lockdown'!F$5:F$253,MATCH(B71,'Revised 2018 Lockdown'!B$5:B$253,0))</f>
        <v>453.75</v>
      </c>
      <c r="M71" s="5">
        <f t="shared" si="4"/>
        <v>0</v>
      </c>
      <c r="N71" s="5">
        <v>234336.82</v>
      </c>
      <c r="O71" s="87">
        <f t="shared" si="5"/>
        <v>234336.82</v>
      </c>
      <c r="P71" s="87">
        <f t="shared" si="6"/>
        <v>0</v>
      </c>
      <c r="Q71" s="85">
        <f t="shared" si="15"/>
        <v>465.65347652947469</v>
      </c>
      <c r="R71" s="6">
        <f t="shared" si="1"/>
        <v>448.19444207324722</v>
      </c>
      <c r="S71" s="5">
        <f t="shared" si="16"/>
        <v>225550.68434127956</v>
      </c>
      <c r="T71" s="113">
        <v>0.65294642857142848</v>
      </c>
      <c r="U71" s="87">
        <f t="shared" si="7"/>
        <v>49622.834937495696</v>
      </c>
      <c r="V71" s="87">
        <f t="shared" si="17"/>
        <v>28444.742139045604</v>
      </c>
      <c r="W71" s="87">
        <f t="shared" si="8"/>
        <v>9720.3158544081944</v>
      </c>
      <c r="X71" s="87">
        <f t="shared" si="9"/>
        <v>2825.9250547603224</v>
      </c>
      <c r="Y71" s="87">
        <f t="shared" si="10"/>
        <v>90613.817985709815</v>
      </c>
      <c r="Z71" s="91">
        <f t="shared" si="11"/>
        <v>0.40174481514142746</v>
      </c>
      <c r="AA71" s="86">
        <f t="shared" si="12"/>
        <v>90613.817985709815</v>
      </c>
      <c r="AB71" s="87"/>
      <c r="AC71" s="86">
        <v>92355.156373547303</v>
      </c>
      <c r="AD71" s="147">
        <f t="shared" si="13"/>
        <v>-1741.338387837488</v>
      </c>
      <c r="AE71" s="147">
        <v>-1683.3109364131233</v>
      </c>
      <c r="AF71" s="147">
        <f t="shared" si="14"/>
        <v>-58.027451424364699</v>
      </c>
      <c r="AG71" s="86"/>
    </row>
    <row r="72" spans="2:33" x14ac:dyDescent="0.3">
      <c r="B72">
        <v>565</v>
      </c>
      <c r="C72" s="25">
        <v>5</v>
      </c>
      <c r="D72" s="32" t="s">
        <v>93</v>
      </c>
      <c r="E72" s="125">
        <v>471.64773139908056</v>
      </c>
      <c r="F72" s="125">
        <f>INDEX('Revised 2018 Lockdown'!H$5:H$253,MATCH(B72,'Revised 2018 Lockdown'!B$5:B$253,0))</f>
        <v>471.64540254387163</v>
      </c>
      <c r="G72" s="125">
        <f t="shared" si="2"/>
        <v>2.3288552089297809E-3</v>
      </c>
      <c r="H72" s="5">
        <v>165733.01</v>
      </c>
      <c r="I72" s="5">
        <f>INDEX('Revised 2018 Lockdown'!E$5:E$253,MATCH(B72,'Revised 2018 Lockdown'!B$5:B$253,0))</f>
        <v>165733.35</v>
      </c>
      <c r="J72" s="5">
        <f t="shared" si="3"/>
        <v>-0.33999999999650754</v>
      </c>
      <c r="K72" s="5">
        <v>710</v>
      </c>
      <c r="L72" s="5">
        <f>INDEX('Revised 2018 Lockdown'!F$5:F$253,MATCH(B72,'Revised 2018 Lockdown'!B$5:B$253,0))</f>
        <v>710</v>
      </c>
      <c r="M72" s="5">
        <f t="shared" si="4"/>
        <v>0</v>
      </c>
      <c r="N72" s="5">
        <v>165023.01</v>
      </c>
      <c r="O72" s="87">
        <f t="shared" si="5"/>
        <v>165023.35</v>
      </c>
      <c r="P72" s="87">
        <f t="shared" si="6"/>
        <v>-0.33999999999650754</v>
      </c>
      <c r="Q72" s="85">
        <f t="shared" si="15"/>
        <v>349.88860086397182</v>
      </c>
      <c r="R72" s="6">
        <f t="shared" si="1"/>
        <v>349.88860086397182</v>
      </c>
      <c r="S72" s="5">
        <f t="shared" si="16"/>
        <v>165023.35</v>
      </c>
      <c r="T72" s="113">
        <v>0.55113095238095233</v>
      </c>
      <c r="U72" s="87">
        <f t="shared" si="7"/>
        <v>36306.369372357833</v>
      </c>
      <c r="V72" s="87">
        <f t="shared" si="17"/>
        <v>26658.758723789164</v>
      </c>
      <c r="W72" s="87">
        <f t="shared" si="8"/>
        <v>6002.8691789046625</v>
      </c>
      <c r="X72" s="87">
        <f t="shared" si="9"/>
        <v>2067.5779403970232</v>
      </c>
      <c r="Y72" s="87">
        <f t="shared" si="10"/>
        <v>71035.575215448684</v>
      </c>
      <c r="Z72" s="91">
        <f t="shared" si="11"/>
        <v>0.43045772137972405</v>
      </c>
      <c r="AA72" s="86">
        <f t="shared" si="12"/>
        <v>71035.575215448684</v>
      </c>
      <c r="AB72" s="87"/>
      <c r="AC72" s="86">
        <v>71101.229275004967</v>
      </c>
      <c r="AD72" s="147">
        <f t="shared" si="13"/>
        <v>-65.654059556283755</v>
      </c>
      <c r="AE72" s="147">
        <v>-23.972611218647216</v>
      </c>
      <c r="AF72" s="147">
        <f t="shared" si="14"/>
        <v>-41.681448337636539</v>
      </c>
      <c r="AG72" s="86"/>
    </row>
    <row r="73" spans="2:33" x14ac:dyDescent="0.3">
      <c r="B73">
        <v>696</v>
      </c>
      <c r="C73" s="25">
        <v>5</v>
      </c>
      <c r="D73" s="32" t="s">
        <v>95</v>
      </c>
      <c r="E73" s="125">
        <v>295.10104095842627</v>
      </c>
      <c r="F73" s="125">
        <f>INDEX('Revised 2018 Lockdown'!H$5:H$253,MATCH(B73,'Revised 2018 Lockdown'!B$5:B$253,0))</f>
        <v>295.10104095842627</v>
      </c>
      <c r="G73" s="125">
        <f t="shared" si="2"/>
        <v>0</v>
      </c>
      <c r="H73" s="5">
        <v>126909.24</v>
      </c>
      <c r="I73" s="5">
        <f>INDEX('Revised 2018 Lockdown'!E$5:E$253,MATCH(B73,'Revised 2018 Lockdown'!B$5:B$253,0))</f>
        <v>126909.24</v>
      </c>
      <c r="J73" s="5">
        <f t="shared" si="3"/>
        <v>0</v>
      </c>
      <c r="K73" s="5">
        <v>38.94</v>
      </c>
      <c r="L73" s="5">
        <f>INDEX('Revised 2018 Lockdown'!F$5:F$253,MATCH(B73,'Revised 2018 Lockdown'!B$5:B$253,0))</f>
        <v>38.94</v>
      </c>
      <c r="M73" s="5">
        <f t="shared" si="4"/>
        <v>0</v>
      </c>
      <c r="N73" s="5">
        <v>126870.3</v>
      </c>
      <c r="O73" s="87">
        <f t="shared" si="5"/>
        <v>126870.3</v>
      </c>
      <c r="P73" s="87">
        <f t="shared" si="6"/>
        <v>0</v>
      </c>
      <c r="Q73" s="85">
        <f t="shared" si="15"/>
        <v>429.92156038471393</v>
      </c>
      <c r="R73" s="6">
        <f t="shared" si="1"/>
        <v>429.92156038471393</v>
      </c>
      <c r="S73" s="5">
        <f t="shared" si="16"/>
        <v>126870.3</v>
      </c>
      <c r="T73" s="113">
        <v>0.3619047619047619</v>
      </c>
      <c r="U73" s="87">
        <f t="shared" si="7"/>
        <v>27912.413450471402</v>
      </c>
      <c r="V73" s="87">
        <f t="shared" si="17"/>
        <v>16679.962123277419</v>
      </c>
      <c r="W73" s="87">
        <f t="shared" si="8"/>
        <v>3030.4906031940377</v>
      </c>
      <c r="X73" s="87">
        <f t="shared" si="9"/>
        <v>1589.5582871851313</v>
      </c>
      <c r="Y73" s="87">
        <f t="shared" si="10"/>
        <v>49212.424464127995</v>
      </c>
      <c r="Z73" s="91">
        <f t="shared" si="11"/>
        <v>0.38789554737498055</v>
      </c>
      <c r="AA73" s="86">
        <f t="shared" si="12"/>
        <v>49212.424464127995</v>
      </c>
      <c r="AB73" s="87"/>
      <c r="AC73" s="86">
        <v>49261.136579212056</v>
      </c>
      <c r="AD73" s="147">
        <f t="shared" si="13"/>
        <v>-48.712115084061224</v>
      </c>
      <c r="AE73" s="147">
        <v>-18.426851383359462</v>
      </c>
      <c r="AF73" s="147">
        <f t="shared" si="14"/>
        <v>-30.285263700701762</v>
      </c>
      <c r="AG73" s="86"/>
    </row>
    <row r="74" spans="2:33" x14ac:dyDescent="0.3">
      <c r="B74">
        <v>731</v>
      </c>
      <c r="C74" s="25">
        <v>5</v>
      </c>
      <c r="D74" s="32" t="s">
        <v>96</v>
      </c>
      <c r="E74" s="125">
        <v>859.8900000000001</v>
      </c>
      <c r="F74" s="125">
        <f>INDEX('Revised 2018 Lockdown'!H$5:H$253,MATCH(B74,'Revised 2018 Lockdown'!B$5:B$253,0))</f>
        <v>859.8900000000001</v>
      </c>
      <c r="G74" s="125">
        <f t="shared" si="2"/>
        <v>0</v>
      </c>
      <c r="H74" s="5">
        <v>227370.13</v>
      </c>
      <c r="I74" s="5">
        <f>INDEX('Revised 2018 Lockdown'!E$5:E$253,MATCH(B74,'Revised 2018 Lockdown'!B$5:B$253,0))</f>
        <v>225089.16</v>
      </c>
      <c r="J74" s="5">
        <f t="shared" si="3"/>
        <v>2280.9700000000012</v>
      </c>
      <c r="K74" s="5">
        <v>35311</v>
      </c>
      <c r="L74" s="5">
        <f>INDEX('Revised 2018 Lockdown'!F$5:F$253,MATCH(B74,'Revised 2018 Lockdown'!B$5:B$253,0))</f>
        <v>35311</v>
      </c>
      <c r="M74" s="5">
        <f t="shared" si="4"/>
        <v>0</v>
      </c>
      <c r="N74" s="5">
        <v>192059.13</v>
      </c>
      <c r="O74" s="87">
        <f t="shared" si="5"/>
        <v>189778.16</v>
      </c>
      <c r="P74" s="87">
        <f t="shared" si="6"/>
        <v>2280.9700000000012</v>
      </c>
      <c r="Q74" s="85">
        <f t="shared" si="15"/>
        <v>220.70050820453775</v>
      </c>
      <c r="R74" s="6">
        <f t="shared" si="1"/>
        <v>220.70050820453775</v>
      </c>
      <c r="S74" s="5">
        <f t="shared" si="16"/>
        <v>189778.16</v>
      </c>
      <c r="T74" s="113">
        <v>0.72269047619047611</v>
      </c>
      <c r="U74" s="87">
        <f t="shared" si="7"/>
        <v>41752.612437975738</v>
      </c>
      <c r="V74" s="87">
        <f t="shared" si="17"/>
        <v>48603.463354795982</v>
      </c>
      <c r="W74" s="87">
        <f t="shared" si="8"/>
        <v>9052.2646094991233</v>
      </c>
      <c r="X74" s="87">
        <f t="shared" si="9"/>
        <v>2377.7310131271529</v>
      </c>
      <c r="Y74" s="87">
        <f t="shared" si="10"/>
        <v>101786.07141539799</v>
      </c>
      <c r="Z74" s="91">
        <f t="shared" si="11"/>
        <v>0.53634238742433793</v>
      </c>
      <c r="AA74" s="86">
        <f t="shared" si="12"/>
        <v>101786.07141539799</v>
      </c>
      <c r="AB74" s="87"/>
      <c r="AC74" s="86">
        <v>102501.71212919508</v>
      </c>
      <c r="AD74" s="147">
        <f t="shared" si="13"/>
        <v>-715.64071379708184</v>
      </c>
      <c r="AE74" s="147">
        <v>-664.37703667567985</v>
      </c>
      <c r="AF74" s="147">
        <f t="shared" si="14"/>
        <v>-51.263677121401997</v>
      </c>
      <c r="AG74" s="86"/>
    </row>
    <row r="75" spans="2:33" x14ac:dyDescent="0.3">
      <c r="B75">
        <v>732</v>
      </c>
      <c r="C75" s="25">
        <v>5</v>
      </c>
      <c r="D75" s="32" t="s">
        <v>97</v>
      </c>
      <c r="E75" s="125">
        <v>215.10540422039867</v>
      </c>
      <c r="F75" s="125">
        <f>INDEX('Revised 2018 Lockdown'!H$5:H$253,MATCH(B75,'Revised 2018 Lockdown'!B$5:B$253,0))</f>
        <v>215.10540422039867</v>
      </c>
      <c r="G75" s="125">
        <f t="shared" si="2"/>
        <v>0</v>
      </c>
      <c r="H75" s="5">
        <v>69856.94</v>
      </c>
      <c r="I75" s="5">
        <f>INDEX('Revised 2018 Lockdown'!E$5:E$253,MATCH(B75,'Revised 2018 Lockdown'!B$5:B$253,0))</f>
        <v>69856.94</v>
      </c>
      <c r="J75" s="5">
        <f t="shared" si="3"/>
        <v>0</v>
      </c>
      <c r="K75" s="5">
        <v>0</v>
      </c>
      <c r="L75" s="5">
        <f>INDEX('Revised 2018 Lockdown'!F$5:F$253,MATCH(B75,'Revised 2018 Lockdown'!B$5:B$253,0))</f>
        <v>0</v>
      </c>
      <c r="M75" s="5">
        <f t="shared" si="4"/>
        <v>0</v>
      </c>
      <c r="N75" s="5">
        <v>69856.94</v>
      </c>
      <c r="O75" s="87">
        <f t="shared" si="5"/>
        <v>69856.94</v>
      </c>
      <c r="P75" s="87">
        <f t="shared" si="6"/>
        <v>0</v>
      </c>
      <c r="Q75" s="85">
        <f t="shared" si="15"/>
        <v>324.75678727450304</v>
      </c>
      <c r="R75" s="6">
        <f t="shared" si="1"/>
        <v>324.75678727450304</v>
      </c>
      <c r="S75" s="5">
        <f t="shared" si="16"/>
        <v>69856.94</v>
      </c>
      <c r="T75" s="113">
        <v>0.46125595238095241</v>
      </c>
      <c r="U75" s="87">
        <f t="shared" si="7"/>
        <v>15369.048482306525</v>
      </c>
      <c r="V75" s="87">
        <f t="shared" si="17"/>
        <v>12158.377968629386</v>
      </c>
      <c r="W75" s="87">
        <f t="shared" si="8"/>
        <v>2126.7195284685981</v>
      </c>
      <c r="X75" s="87">
        <f t="shared" si="9"/>
        <v>875.23776561097816</v>
      </c>
      <c r="Y75" s="87">
        <f t="shared" si="10"/>
        <v>30529.38374501549</v>
      </c>
      <c r="Z75" s="91">
        <f t="shared" si="11"/>
        <v>0.43702721225715713</v>
      </c>
      <c r="AA75" s="86">
        <f t="shared" si="12"/>
        <v>30529.38374501549</v>
      </c>
      <c r="AB75" s="87"/>
      <c r="AC75" s="86">
        <v>30556.356067631656</v>
      </c>
      <c r="AD75" s="147">
        <f t="shared" si="13"/>
        <v>-26.972322616165911</v>
      </c>
      <c r="AE75" s="147">
        <v>-9.6458785261784215</v>
      </c>
      <c r="AF75" s="147">
        <f t="shared" si="14"/>
        <v>-17.32644408998749</v>
      </c>
      <c r="AG75" s="86"/>
    </row>
    <row r="76" spans="2:33" x14ac:dyDescent="0.3">
      <c r="B76">
        <v>754</v>
      </c>
      <c r="C76" s="25">
        <v>5</v>
      </c>
      <c r="D76" s="32" t="s">
        <v>98</v>
      </c>
      <c r="E76" s="125">
        <v>114.00956480658041</v>
      </c>
      <c r="F76" s="125">
        <f>INDEX('Revised 2018 Lockdown'!H$5:H$253,MATCH(B76,'Revised 2018 Lockdown'!B$5:B$253,0))</f>
        <v>114.00900186150257</v>
      </c>
      <c r="G76" s="125">
        <f t="shared" si="2"/>
        <v>5.6294507784571124E-4</v>
      </c>
      <c r="H76" s="5">
        <v>34950.230000000003</v>
      </c>
      <c r="I76" s="5">
        <f>INDEX('Revised 2018 Lockdown'!E$5:E$253,MATCH(B76,'Revised 2018 Lockdown'!B$5:B$253,0))</f>
        <v>34950.230000000003</v>
      </c>
      <c r="J76" s="5">
        <f t="shared" si="3"/>
        <v>0</v>
      </c>
      <c r="K76" s="5">
        <v>0</v>
      </c>
      <c r="L76" s="5">
        <f>INDEX('Revised 2018 Lockdown'!F$5:F$253,MATCH(B76,'Revised 2018 Lockdown'!B$5:B$253,0))</f>
        <v>0</v>
      </c>
      <c r="M76" s="5">
        <f t="shared" si="4"/>
        <v>0</v>
      </c>
      <c r="N76" s="5">
        <v>34950.230000000003</v>
      </c>
      <c r="O76" s="87">
        <f t="shared" si="5"/>
        <v>34950.230000000003</v>
      </c>
      <c r="P76" s="87">
        <f t="shared" si="6"/>
        <v>0</v>
      </c>
      <c r="Q76" s="85">
        <f t="shared" si="15"/>
        <v>306.55675805720438</v>
      </c>
      <c r="R76" s="6">
        <f t="shared" si="1"/>
        <v>306.55675805720438</v>
      </c>
      <c r="S76" s="5">
        <f t="shared" si="16"/>
        <v>34950.230000000003</v>
      </c>
      <c r="T76" s="113">
        <v>0.22241071428571429</v>
      </c>
      <c r="U76" s="87">
        <f t="shared" si="7"/>
        <v>7689.3116036540396</v>
      </c>
      <c r="V76" s="87">
        <f t="shared" si="17"/>
        <v>6444.1176709723413</v>
      </c>
      <c r="W76" s="87">
        <f t="shared" si="8"/>
        <v>513.05558584023788</v>
      </c>
      <c r="X76" s="87">
        <f t="shared" si="9"/>
        <v>437.89151389668348</v>
      </c>
      <c r="Y76" s="87">
        <f t="shared" si="10"/>
        <v>15084.376374363304</v>
      </c>
      <c r="Z76" s="91">
        <f t="shared" si="11"/>
        <v>0.43159591151083421</v>
      </c>
      <c r="AA76" s="86">
        <f t="shared" si="12"/>
        <v>15084.376374363304</v>
      </c>
      <c r="AB76" s="87"/>
      <c r="AC76" s="86">
        <v>15096.984643654363</v>
      </c>
      <c r="AD76" s="147">
        <f t="shared" si="13"/>
        <v>-12.608269291058605</v>
      </c>
      <c r="AE76" s="147">
        <v>-4.3726050666537049</v>
      </c>
      <c r="AF76" s="147">
        <f t="shared" si="14"/>
        <v>-8.2356642244048999</v>
      </c>
      <c r="AG76" s="86"/>
    </row>
    <row r="77" spans="2:33" x14ac:dyDescent="0.3">
      <c r="B77">
        <v>885</v>
      </c>
      <c r="C77" s="25">
        <v>5</v>
      </c>
      <c r="D77" s="32" t="s">
        <v>99</v>
      </c>
      <c r="E77" s="125">
        <v>442.78000000000003</v>
      </c>
      <c r="F77" s="125">
        <f>INDEX('Revised 2018 Lockdown'!H$5:H$253,MATCH(B77,'Revised 2018 Lockdown'!B$5:B$253,0))</f>
        <v>442.95</v>
      </c>
      <c r="G77" s="125">
        <f t="shared" si="2"/>
        <v>-0.16999999999995907</v>
      </c>
      <c r="H77" s="5">
        <v>148663.73000000001</v>
      </c>
      <c r="I77" s="5">
        <f>INDEX('Revised 2018 Lockdown'!E$5:E$253,MATCH(B77,'Revised 2018 Lockdown'!B$5:B$253,0))</f>
        <v>145965.66</v>
      </c>
      <c r="J77" s="5">
        <f t="shared" si="3"/>
        <v>2698.070000000007</v>
      </c>
      <c r="K77" s="5">
        <v>61071.180000000008</v>
      </c>
      <c r="L77" s="5">
        <f>INDEX('Revised 2018 Lockdown'!F$5:F$253,MATCH(B77,'Revised 2018 Lockdown'!B$5:B$253,0))</f>
        <v>61071.180000000008</v>
      </c>
      <c r="M77" s="5">
        <f t="shared" si="4"/>
        <v>0</v>
      </c>
      <c r="N77" s="5">
        <v>87592.55</v>
      </c>
      <c r="O77" s="87">
        <f t="shared" si="5"/>
        <v>84894.48</v>
      </c>
      <c r="P77" s="87">
        <f t="shared" si="6"/>
        <v>2698.070000000007</v>
      </c>
      <c r="Q77" s="85">
        <f t="shared" si="15"/>
        <v>191.65702675245512</v>
      </c>
      <c r="R77" s="6">
        <f t="shared" si="1"/>
        <v>191.65702675245512</v>
      </c>
      <c r="S77" s="5">
        <f t="shared" si="16"/>
        <v>84894.48</v>
      </c>
      <c r="T77" s="113">
        <v>0.4960654761904762</v>
      </c>
      <c r="U77" s="87">
        <f t="shared" si="7"/>
        <v>18677.419580648701</v>
      </c>
      <c r="V77" s="87">
        <f t="shared" si="17"/>
        <v>25036.811793376917</v>
      </c>
      <c r="W77" s="87">
        <f t="shared" si="8"/>
        <v>2779.5669114851462</v>
      </c>
      <c r="X77" s="87">
        <f t="shared" si="9"/>
        <v>1063.6431396494875</v>
      </c>
      <c r="Y77" s="87">
        <f t="shared" si="10"/>
        <v>47557.441425160257</v>
      </c>
      <c r="Z77" s="91">
        <f t="shared" si="11"/>
        <v>0.5601947432290092</v>
      </c>
      <c r="AA77" s="86">
        <f t="shared" si="12"/>
        <v>47557.441425160257</v>
      </c>
      <c r="AB77" s="87"/>
      <c r="AC77" s="86">
        <v>48295.871263655332</v>
      </c>
      <c r="AD77" s="147">
        <f t="shared" si="13"/>
        <v>-738.42983849507436</v>
      </c>
      <c r="AE77" s="147">
        <v>-716.37009979975119</v>
      </c>
      <c r="AF77" s="147">
        <f t="shared" si="14"/>
        <v>-22.059738695323176</v>
      </c>
      <c r="AG77" s="86"/>
    </row>
    <row r="78" spans="2:33" x14ac:dyDescent="0.3">
      <c r="B78">
        <v>909</v>
      </c>
      <c r="C78" s="25">
        <v>5</v>
      </c>
      <c r="D78" s="32" t="s">
        <v>100</v>
      </c>
      <c r="E78" s="125">
        <v>496.92000000000007</v>
      </c>
      <c r="F78" s="125">
        <f>INDEX('Revised 2018 Lockdown'!H$5:H$253,MATCH(B78,'Revised 2018 Lockdown'!B$5:B$253,0))</f>
        <v>496.92000000000007</v>
      </c>
      <c r="G78" s="125">
        <f t="shared" si="2"/>
        <v>0</v>
      </c>
      <c r="H78" s="5">
        <v>238013.06</v>
      </c>
      <c r="I78" s="5">
        <f>INDEX('Revised 2018 Lockdown'!E$5:E$253,MATCH(B78,'Revised 2018 Lockdown'!B$5:B$253,0))</f>
        <v>238013.06</v>
      </c>
      <c r="J78" s="5">
        <f t="shared" si="3"/>
        <v>0</v>
      </c>
      <c r="K78" s="5">
        <v>67250.02</v>
      </c>
      <c r="L78" s="5">
        <f>INDEX('Revised 2018 Lockdown'!F$5:F$253,MATCH(B78,'Revised 2018 Lockdown'!B$5:B$253,0))</f>
        <v>67250.02</v>
      </c>
      <c r="M78" s="5">
        <f t="shared" si="4"/>
        <v>0</v>
      </c>
      <c r="N78" s="5">
        <v>170763.03999999998</v>
      </c>
      <c r="O78" s="87">
        <f t="shared" si="5"/>
        <v>170763.03999999998</v>
      </c>
      <c r="P78" s="87">
        <f t="shared" si="6"/>
        <v>0</v>
      </c>
      <c r="Q78" s="85">
        <f t="shared" si="15"/>
        <v>343.64292038959985</v>
      </c>
      <c r="R78" s="6">
        <f t="shared" si="1"/>
        <v>343.64292038959985</v>
      </c>
      <c r="S78" s="5">
        <f t="shared" si="16"/>
        <v>170763.03999999998</v>
      </c>
      <c r="T78" s="113">
        <v>0.70367261904761902</v>
      </c>
      <c r="U78" s="87">
        <f t="shared" si="7"/>
        <v>37569.144035596866</v>
      </c>
      <c r="V78" s="87">
        <f t="shared" si="17"/>
        <v>28087.351882525931</v>
      </c>
      <c r="W78" s="87">
        <f t="shared" si="8"/>
        <v>7930.9133936717035</v>
      </c>
      <c r="X78" s="87">
        <f t="shared" si="9"/>
        <v>2139.4905299106726</v>
      </c>
      <c r="Y78" s="87">
        <f t="shared" si="10"/>
        <v>75726.899841705163</v>
      </c>
      <c r="Z78" s="91">
        <f t="shared" si="11"/>
        <v>0.44346188637602829</v>
      </c>
      <c r="AA78" s="86">
        <f t="shared" si="12"/>
        <v>75726.899841705163</v>
      </c>
      <c r="AB78" s="87"/>
      <c r="AC78" s="86">
        <v>75797.356195711924</v>
      </c>
      <c r="AD78" s="147">
        <f t="shared" si="13"/>
        <v>-70.456354006761103</v>
      </c>
      <c r="AE78" s="147">
        <v>-25.784897188685136</v>
      </c>
      <c r="AF78" s="147">
        <f t="shared" si="14"/>
        <v>-44.671456818075967</v>
      </c>
      <c r="AG78" s="86"/>
    </row>
    <row r="79" spans="2:33" x14ac:dyDescent="0.3">
      <c r="B79">
        <v>923</v>
      </c>
      <c r="C79" s="25">
        <v>5</v>
      </c>
      <c r="D79" s="32" t="s">
        <v>101</v>
      </c>
      <c r="E79" s="125">
        <v>49.064782259954448</v>
      </c>
      <c r="F79" s="125">
        <f>INDEX('Revised 2018 Lockdown'!H$5:H$253,MATCH(B79,'Revised 2018 Lockdown'!B$5:B$253,0))</f>
        <v>49.064539992757702</v>
      </c>
      <c r="G79" s="125">
        <f t="shared" si="2"/>
        <v>2.422671967465817E-4</v>
      </c>
      <c r="H79" s="5">
        <v>30138.59</v>
      </c>
      <c r="I79" s="5">
        <f>INDEX('Revised 2018 Lockdown'!E$5:E$253,MATCH(B79,'Revised 2018 Lockdown'!B$5:B$253,0))</f>
        <v>30138.59</v>
      </c>
      <c r="J79" s="5">
        <f t="shared" si="3"/>
        <v>0</v>
      </c>
      <c r="K79" s="5">
        <v>156</v>
      </c>
      <c r="L79" s="5">
        <f>INDEX('Revised 2018 Lockdown'!F$5:F$253,MATCH(B79,'Revised 2018 Lockdown'!B$5:B$253,0))</f>
        <v>156</v>
      </c>
      <c r="M79" s="5">
        <f t="shared" si="4"/>
        <v>0</v>
      </c>
      <c r="N79" s="5">
        <v>29982.59</v>
      </c>
      <c r="O79" s="87">
        <f t="shared" si="5"/>
        <v>29982.59</v>
      </c>
      <c r="P79" s="87">
        <f t="shared" si="6"/>
        <v>0</v>
      </c>
      <c r="Q79" s="85">
        <f t="shared" si="15"/>
        <v>611.08470607134313</v>
      </c>
      <c r="R79" s="6">
        <f t="shared" si="1"/>
        <v>448.19444207324722</v>
      </c>
      <c r="S79" s="5">
        <f t="shared" si="16"/>
        <v>21990.454127634563</v>
      </c>
      <c r="T79" s="113">
        <v>0.3797678571428571</v>
      </c>
      <c r="U79" s="87">
        <f t="shared" si="7"/>
        <v>4838.0641298567225</v>
      </c>
      <c r="V79" s="87">
        <f t="shared" si="17"/>
        <v>2773.2693385874013</v>
      </c>
      <c r="W79" s="87">
        <f t="shared" si="8"/>
        <v>551.20237419462262</v>
      </c>
      <c r="X79" s="87">
        <f t="shared" si="9"/>
        <v>275.51845150162012</v>
      </c>
      <c r="Y79" s="87">
        <f t="shared" si="10"/>
        <v>8438.0542941403655</v>
      </c>
      <c r="Z79" s="91">
        <f t="shared" si="11"/>
        <v>0.38371441740880585</v>
      </c>
      <c r="AA79" s="86">
        <f t="shared" si="12"/>
        <v>8438.0542941403655</v>
      </c>
      <c r="AB79" s="87"/>
      <c r="AC79" s="86">
        <v>8596.7090536381711</v>
      </c>
      <c r="AD79" s="147">
        <f t="shared" si="13"/>
        <v>-158.65475949780557</v>
      </c>
      <c r="AE79" s="147">
        <v>-153.35438528230407</v>
      </c>
      <c r="AF79" s="147">
        <f t="shared" si="14"/>
        <v>-5.3003742155015061</v>
      </c>
      <c r="AG79" s="86"/>
    </row>
    <row r="80" spans="2:33" x14ac:dyDescent="0.3">
      <c r="B80">
        <v>394</v>
      </c>
      <c r="C80" s="25">
        <v>6</v>
      </c>
      <c r="D80" s="32" t="s">
        <v>102</v>
      </c>
      <c r="E80" s="125">
        <v>634.74</v>
      </c>
      <c r="F80" s="125">
        <f>INDEX('Revised 2018 Lockdown'!H$5:H$253,MATCH(B80,'Revised 2018 Lockdown'!B$5:B$253,0))</f>
        <v>634.74</v>
      </c>
      <c r="G80" s="125">
        <f t="shared" si="2"/>
        <v>0</v>
      </c>
      <c r="H80" s="5">
        <v>378356.65</v>
      </c>
      <c r="I80" s="5">
        <f>INDEX('Revised 2018 Lockdown'!E$5:E$253,MATCH(B80,'Revised 2018 Lockdown'!B$5:B$253,0))</f>
        <v>378356.65</v>
      </c>
      <c r="J80" s="5">
        <f t="shared" si="3"/>
        <v>0</v>
      </c>
      <c r="K80" s="5">
        <v>36610</v>
      </c>
      <c r="L80" s="5">
        <f>INDEX('Revised 2018 Lockdown'!F$5:F$253,MATCH(B80,'Revised 2018 Lockdown'!B$5:B$253,0))</f>
        <v>36610</v>
      </c>
      <c r="M80" s="5">
        <f t="shared" si="4"/>
        <v>0</v>
      </c>
      <c r="N80" s="5">
        <v>341746.65</v>
      </c>
      <c r="O80" s="87">
        <f t="shared" si="5"/>
        <v>341746.65</v>
      </c>
      <c r="P80" s="87">
        <f t="shared" si="6"/>
        <v>0</v>
      </c>
      <c r="Q80" s="85">
        <f t="shared" si="15"/>
        <v>538.40414973059842</v>
      </c>
      <c r="R80" s="6">
        <f t="shared" si="1"/>
        <v>538.40414973059842</v>
      </c>
      <c r="S80" s="5">
        <f t="shared" si="16"/>
        <v>341746.65</v>
      </c>
      <c r="T80" s="113">
        <v>0.75294345238095228</v>
      </c>
      <c r="U80" s="87">
        <f t="shared" si="7"/>
        <v>75186.81511838107</v>
      </c>
      <c r="V80" s="87">
        <f t="shared" si="17"/>
        <v>35877.335856706326</v>
      </c>
      <c r="W80" s="87">
        <f t="shared" si="8"/>
        <v>16983.426044628664</v>
      </c>
      <c r="X80" s="87">
        <f t="shared" si="9"/>
        <v>4281.7445818702772</v>
      </c>
      <c r="Y80" s="87">
        <f t="shared" si="10"/>
        <v>132329.32160158633</v>
      </c>
      <c r="Z80" s="91">
        <f t="shared" si="11"/>
        <v>0.38721468550338772</v>
      </c>
      <c r="AA80" s="86">
        <f t="shared" si="12"/>
        <v>132329.32160158633</v>
      </c>
      <c r="AB80" s="87"/>
      <c r="AC80" s="86">
        <v>132475.84587369469</v>
      </c>
      <c r="AD80" s="147">
        <f t="shared" si="13"/>
        <v>-146.52427210836322</v>
      </c>
      <c r="AE80" s="147">
        <v>-57.769504527532263</v>
      </c>
      <c r="AF80" s="147">
        <f t="shared" si="14"/>
        <v>-88.754767580830958</v>
      </c>
      <c r="AG80" s="86"/>
    </row>
    <row r="81" spans="2:33" x14ac:dyDescent="0.3">
      <c r="B81">
        <v>414</v>
      </c>
      <c r="C81" s="25">
        <v>6</v>
      </c>
      <c r="D81" s="32" t="s">
        <v>103</v>
      </c>
      <c r="E81" s="125">
        <v>248.32677336420244</v>
      </c>
      <c r="F81" s="125">
        <f>INDEX('Revised 2018 Lockdown'!H$5:H$253,MATCH(B81,'Revised 2018 Lockdown'!B$5:B$253,0))</f>
        <v>248.32554720098537</v>
      </c>
      <c r="G81" s="125">
        <f t="shared" si="2"/>
        <v>1.2261632170691428E-3</v>
      </c>
      <c r="H81" s="5">
        <v>283141.53000000003</v>
      </c>
      <c r="I81" s="5">
        <f>INDEX('Revised 2018 Lockdown'!E$5:E$253,MATCH(B81,'Revised 2018 Lockdown'!B$5:B$253,0))</f>
        <v>291185.07</v>
      </c>
      <c r="J81" s="5">
        <f t="shared" si="3"/>
        <v>-8043.539999999979</v>
      </c>
      <c r="K81" s="5">
        <v>10663.29</v>
      </c>
      <c r="L81" s="5">
        <f>INDEX('Revised 2018 Lockdown'!F$5:F$253,MATCH(B81,'Revised 2018 Lockdown'!B$5:B$253,0))</f>
        <v>10663.29</v>
      </c>
      <c r="M81" s="5">
        <f t="shared" si="4"/>
        <v>0</v>
      </c>
      <c r="N81" s="5">
        <v>272478.24000000005</v>
      </c>
      <c r="O81" s="87">
        <f t="shared" si="5"/>
        <v>280521.78000000003</v>
      </c>
      <c r="P81" s="87">
        <f t="shared" si="6"/>
        <v>-8043.539999999979</v>
      </c>
      <c r="Q81" s="85">
        <f t="shared" si="15"/>
        <v>1129.653324685745</v>
      </c>
      <c r="R81" s="6">
        <f t="shared" si="1"/>
        <v>1129.653324685745</v>
      </c>
      <c r="S81" s="5">
        <f t="shared" si="16"/>
        <v>280521.78000000003</v>
      </c>
      <c r="T81" s="113">
        <v>0.60052083333333339</v>
      </c>
      <c r="U81" s="87">
        <f t="shared" si="7"/>
        <v>61716.88649922148</v>
      </c>
      <c r="V81" s="87">
        <f t="shared" si="17"/>
        <v>14036.076281201958</v>
      </c>
      <c r="W81" s="87">
        <f t="shared" si="8"/>
        <v>11118.682833375371</v>
      </c>
      <c r="X81" s="87">
        <f t="shared" si="9"/>
        <v>3514.658041597791</v>
      </c>
      <c r="Y81" s="87">
        <f t="shared" si="10"/>
        <v>90386.303655396594</v>
      </c>
      <c r="Z81" s="91">
        <f t="shared" si="11"/>
        <v>0.32220779311822628</v>
      </c>
      <c r="AA81" s="86">
        <f t="shared" si="12"/>
        <v>90386.303655396594</v>
      </c>
      <c r="AB81" s="87"/>
      <c r="AC81" s="86">
        <v>88312.465118726555</v>
      </c>
      <c r="AD81" s="147">
        <f t="shared" si="13"/>
        <v>2073.8385366700386</v>
      </c>
      <c r="AE81" s="147">
        <v>2142.9870774935116</v>
      </c>
      <c r="AF81" s="147">
        <f t="shared" si="14"/>
        <v>-69.148540823473013</v>
      </c>
      <c r="AG81" s="86"/>
    </row>
    <row r="82" spans="2:33" x14ac:dyDescent="0.3">
      <c r="B82">
        <v>426</v>
      </c>
      <c r="C82" s="25">
        <v>6</v>
      </c>
      <c r="D82" s="32" t="s">
        <v>104</v>
      </c>
      <c r="E82" s="125">
        <v>398.46987658571351</v>
      </c>
      <c r="F82" s="125">
        <f>INDEX('Revised 2018 Lockdown'!H$5:H$253,MATCH(B82,'Revised 2018 Lockdown'!B$5:B$253,0))</f>
        <v>398.46790906083021</v>
      </c>
      <c r="G82" s="125">
        <f t="shared" si="2"/>
        <v>1.9675248832982106E-3</v>
      </c>
      <c r="H82" s="5">
        <v>106980.28</v>
      </c>
      <c r="I82" s="5">
        <f>INDEX('Revised 2018 Lockdown'!E$5:E$253,MATCH(B82,'Revised 2018 Lockdown'!B$5:B$253,0))</f>
        <v>147683.84</v>
      </c>
      <c r="J82" s="5">
        <f t="shared" si="3"/>
        <v>-40703.56</v>
      </c>
      <c r="K82" s="5">
        <v>0</v>
      </c>
      <c r="L82" s="5">
        <f>INDEX('Revised 2018 Lockdown'!F$5:F$253,MATCH(B82,'Revised 2018 Lockdown'!B$5:B$253,0))</f>
        <v>0</v>
      </c>
      <c r="M82" s="5">
        <f t="shared" si="4"/>
        <v>0</v>
      </c>
      <c r="N82" s="5">
        <v>106980.28</v>
      </c>
      <c r="O82" s="87">
        <f t="shared" si="5"/>
        <v>147683.84</v>
      </c>
      <c r="P82" s="87">
        <f t="shared" si="6"/>
        <v>-40703.56</v>
      </c>
      <c r="Q82" s="85">
        <f t="shared" si="15"/>
        <v>370.62919407508559</v>
      </c>
      <c r="R82" s="6">
        <f t="shared" si="1"/>
        <v>370.62919407508559</v>
      </c>
      <c r="S82" s="5">
        <f t="shared" si="16"/>
        <v>147683.84</v>
      </c>
      <c r="T82" s="113">
        <v>0.59630654761904767</v>
      </c>
      <c r="U82" s="87">
        <f t="shared" si="7"/>
        <v>32491.547683210851</v>
      </c>
      <c r="V82" s="87">
        <f t="shared" si="17"/>
        <v>22522.555694449566</v>
      </c>
      <c r="W82" s="87">
        <f t="shared" si="8"/>
        <v>5812.4767877325376</v>
      </c>
      <c r="X82" s="87">
        <f t="shared" si="9"/>
        <v>1850.3311788127162</v>
      </c>
      <c r="Y82" s="87">
        <f t="shared" si="10"/>
        <v>62676.91134420567</v>
      </c>
      <c r="Z82" s="91">
        <f t="shared" si="11"/>
        <v>0.42439925278355217</v>
      </c>
      <c r="AA82" s="86">
        <f t="shared" si="12"/>
        <v>62676.91134420567</v>
      </c>
      <c r="AB82" s="87"/>
      <c r="AC82" s="86">
        <v>51652.014872251479</v>
      </c>
      <c r="AD82" s="147">
        <f t="shared" si="13"/>
        <v>11024.896471954191</v>
      </c>
      <c r="AE82" s="147">
        <v>11062.560574903473</v>
      </c>
      <c r="AF82" s="147">
        <f t="shared" si="14"/>
        <v>-37.664102949282096</v>
      </c>
      <c r="AG82" s="86"/>
    </row>
    <row r="83" spans="2:33" x14ac:dyDescent="0.3">
      <c r="B83">
        <v>430</v>
      </c>
      <c r="C83" s="25">
        <v>6</v>
      </c>
      <c r="D83" s="32" t="s">
        <v>105</v>
      </c>
      <c r="E83" s="125">
        <v>2885.2977142676095</v>
      </c>
      <c r="F83" s="125">
        <f>INDEX('Revised 2018 Lockdown'!H$5:H$253,MATCH(B83,'Revised 2018 Lockdown'!B$5:B$253,0))</f>
        <v>2885.2977142676095</v>
      </c>
      <c r="G83" s="125">
        <f t="shared" si="2"/>
        <v>0</v>
      </c>
      <c r="H83" s="5">
        <v>1674152.86</v>
      </c>
      <c r="I83" s="5">
        <f>INDEX('Revised 2018 Lockdown'!E$5:E$253,MATCH(B83,'Revised 2018 Lockdown'!B$5:B$253,0))</f>
        <v>1674152.86</v>
      </c>
      <c r="J83" s="5">
        <f t="shared" si="3"/>
        <v>0</v>
      </c>
      <c r="K83" s="5">
        <v>100</v>
      </c>
      <c r="L83" s="5">
        <f>INDEX('Revised 2018 Lockdown'!F$5:F$253,MATCH(B83,'Revised 2018 Lockdown'!B$5:B$253,0))</f>
        <v>100</v>
      </c>
      <c r="M83" s="5">
        <f t="shared" si="4"/>
        <v>0</v>
      </c>
      <c r="N83" s="5">
        <v>1674052.86</v>
      </c>
      <c r="O83" s="87">
        <f t="shared" si="5"/>
        <v>1674052.86</v>
      </c>
      <c r="P83" s="87">
        <f t="shared" si="6"/>
        <v>0</v>
      </c>
      <c r="Q83" s="85">
        <f t="shared" si="15"/>
        <v>580.20108348678116</v>
      </c>
      <c r="R83" s="6">
        <f t="shared" si="1"/>
        <v>580.20108348678116</v>
      </c>
      <c r="S83" s="5">
        <f t="shared" si="16"/>
        <v>1674052.86</v>
      </c>
      <c r="T83" s="113">
        <v>0.64927380952380953</v>
      </c>
      <c r="U83" s="87">
        <f t="shared" si="7"/>
        <v>368304.13080338045</v>
      </c>
      <c r="V83" s="87">
        <f t="shared" si="17"/>
        <v>163085.35012976354</v>
      </c>
      <c r="W83" s="87">
        <f t="shared" si="8"/>
        <v>71739.067821019882</v>
      </c>
      <c r="X83" s="87">
        <f t="shared" si="9"/>
        <v>20974.21222144955</v>
      </c>
      <c r="Y83" s="87">
        <f t="shared" si="10"/>
        <v>624102.76097561349</v>
      </c>
      <c r="Z83" s="91">
        <f t="shared" si="11"/>
        <v>0.37280947088828092</v>
      </c>
      <c r="AA83" s="86">
        <f t="shared" si="12"/>
        <v>624102.76097561349</v>
      </c>
      <c r="AB83" s="87"/>
      <c r="AC83" s="86">
        <v>624805.19972570334</v>
      </c>
      <c r="AD83" s="147">
        <f t="shared" si="13"/>
        <v>-702.43875008984469</v>
      </c>
      <c r="AE83" s="147">
        <v>-278.96328402170911</v>
      </c>
      <c r="AF83" s="147">
        <f t="shared" si="14"/>
        <v>-423.47546606813557</v>
      </c>
      <c r="AG83" s="86"/>
    </row>
    <row r="84" spans="2:33" x14ac:dyDescent="0.3">
      <c r="B84">
        <v>443</v>
      </c>
      <c r="C84" s="25">
        <v>6</v>
      </c>
      <c r="D84" s="32" t="s">
        <v>106</v>
      </c>
      <c r="E84" s="125">
        <v>11.627319147048576</v>
      </c>
      <c r="F84" s="125">
        <f>INDEX('Revised 2018 Lockdown'!H$5:H$253,MATCH(B84,'Revised 2018 Lockdown'!B$5:B$253,0))</f>
        <v>11.627319147048576</v>
      </c>
      <c r="G84" s="125">
        <f t="shared" si="2"/>
        <v>0</v>
      </c>
      <c r="H84" s="5">
        <v>15830.2</v>
      </c>
      <c r="I84" s="5">
        <f>INDEX('Revised 2018 Lockdown'!E$5:E$253,MATCH(B84,'Revised 2018 Lockdown'!B$5:B$253,0))</f>
        <v>15830.2</v>
      </c>
      <c r="J84" s="5">
        <f t="shared" si="3"/>
        <v>0</v>
      </c>
      <c r="K84" s="5">
        <v>0</v>
      </c>
      <c r="L84" s="5">
        <f>INDEX('Revised 2018 Lockdown'!F$5:F$253,MATCH(B84,'Revised 2018 Lockdown'!B$5:B$253,0))</f>
        <v>0</v>
      </c>
      <c r="M84" s="5">
        <f t="shared" si="4"/>
        <v>0</v>
      </c>
      <c r="N84" s="5">
        <v>15830.2</v>
      </c>
      <c r="O84" s="87">
        <f t="shared" si="5"/>
        <v>15830.2</v>
      </c>
      <c r="P84" s="87">
        <f t="shared" si="6"/>
        <v>0</v>
      </c>
      <c r="Q84" s="85">
        <f t="shared" si="15"/>
        <v>1361.4660266737637</v>
      </c>
      <c r="R84" s="6">
        <f t="shared" si="1"/>
        <v>1289.5955847737582</v>
      </c>
      <c r="S84" s="5">
        <f t="shared" si="16"/>
        <v>14994.539434789223</v>
      </c>
      <c r="T84" s="113">
        <v>0.36166071428571428</v>
      </c>
      <c r="U84" s="87">
        <f t="shared" si="7"/>
        <v>3298.9106528733246</v>
      </c>
      <c r="V84" s="87">
        <f t="shared" si="17"/>
        <v>657.20961992591276</v>
      </c>
      <c r="W84" s="87">
        <f t="shared" si="8"/>
        <v>357.92591492487554</v>
      </c>
      <c r="X84" s="87">
        <f t="shared" si="9"/>
        <v>187.86661985581705</v>
      </c>
      <c r="Y84" s="87">
        <f t="shared" si="10"/>
        <v>4501.912807579929</v>
      </c>
      <c r="Z84" s="91">
        <f t="shared" si="11"/>
        <v>0.30023681802022695</v>
      </c>
      <c r="AA84" s="86">
        <f t="shared" si="12"/>
        <v>4501.912807579929</v>
      </c>
      <c r="AB84" s="87"/>
      <c r="AC84" s="86">
        <v>4502.2773812483192</v>
      </c>
      <c r="AD84" s="147">
        <f t="shared" si="13"/>
        <v>-0.36457366839022143</v>
      </c>
      <c r="AE84" s="147">
        <v>-0.25219377790563158</v>
      </c>
      <c r="AF84" s="147">
        <f t="shared" si="14"/>
        <v>-0.11237989048458985</v>
      </c>
      <c r="AG84" s="86"/>
    </row>
    <row r="85" spans="2:33" x14ac:dyDescent="0.3">
      <c r="B85">
        <v>562</v>
      </c>
      <c r="C85" s="25">
        <v>6</v>
      </c>
      <c r="D85" s="32" t="s">
        <v>107</v>
      </c>
      <c r="E85" s="125">
        <v>55.566474597654711</v>
      </c>
      <c r="F85" s="125">
        <f>INDEX('Revised 2018 Lockdown'!H$5:H$253,MATCH(B85,'Revised 2018 Lockdown'!B$5:B$253,0))</f>
        <v>55.566200227048874</v>
      </c>
      <c r="G85" s="125">
        <f t="shared" si="2"/>
        <v>2.743706058367934E-4</v>
      </c>
      <c r="H85" s="5">
        <v>47597.599999999999</v>
      </c>
      <c r="I85" s="5">
        <f>INDEX('Revised 2018 Lockdown'!E$5:E$253,MATCH(B85,'Revised 2018 Lockdown'!B$5:B$253,0))</f>
        <v>47597.599999999999</v>
      </c>
      <c r="J85" s="5">
        <f t="shared" si="3"/>
        <v>0</v>
      </c>
      <c r="K85" s="5">
        <v>0</v>
      </c>
      <c r="L85" s="5">
        <f>INDEX('Revised 2018 Lockdown'!F$5:F$253,MATCH(B85,'Revised 2018 Lockdown'!B$5:B$253,0))</f>
        <v>0</v>
      </c>
      <c r="M85" s="5">
        <f t="shared" si="4"/>
        <v>0</v>
      </c>
      <c r="N85" s="5">
        <v>47597.599999999999</v>
      </c>
      <c r="O85" s="87">
        <f t="shared" si="5"/>
        <v>47597.599999999999</v>
      </c>
      <c r="P85" s="87">
        <f t="shared" si="6"/>
        <v>0</v>
      </c>
      <c r="Q85" s="85">
        <f t="shared" si="15"/>
        <v>856.59267334299625</v>
      </c>
      <c r="R85" s="6">
        <f t="shared" si="1"/>
        <v>856.59267334299625</v>
      </c>
      <c r="S85" s="5">
        <f t="shared" si="16"/>
        <v>47597.599999999999</v>
      </c>
      <c r="T85" s="113">
        <v>0.43461011904761904</v>
      </c>
      <c r="U85" s="87">
        <f t="shared" si="7"/>
        <v>10471.827452525589</v>
      </c>
      <c r="V85" s="87">
        <f t="shared" si="17"/>
        <v>3140.7619305965018</v>
      </c>
      <c r="W85" s="87">
        <f t="shared" si="8"/>
        <v>1365.3486527364814</v>
      </c>
      <c r="X85" s="87">
        <f t="shared" si="9"/>
        <v>596.35044238188925</v>
      </c>
      <c r="Y85" s="87">
        <f t="shared" si="10"/>
        <v>15574.288478240462</v>
      </c>
      <c r="Z85" s="91">
        <f t="shared" si="11"/>
        <v>0.32720743227054438</v>
      </c>
      <c r="AA85" s="86">
        <f t="shared" si="12"/>
        <v>15574.288478240462</v>
      </c>
      <c r="AB85" s="87"/>
      <c r="AC85" s="86">
        <v>15593.515048897016</v>
      </c>
      <c r="AD85" s="147">
        <f t="shared" si="13"/>
        <v>-19.226570656554031</v>
      </c>
      <c r="AE85" s="147">
        <v>-7.895985333580029</v>
      </c>
      <c r="AF85" s="147">
        <f t="shared" si="14"/>
        <v>-11.330585322974002</v>
      </c>
      <c r="AG85" s="86"/>
    </row>
    <row r="86" spans="2:33" x14ac:dyDescent="0.3">
      <c r="B86">
        <v>603</v>
      </c>
      <c r="C86" s="25">
        <v>6</v>
      </c>
      <c r="D86" s="32" t="s">
        <v>108</v>
      </c>
      <c r="E86" s="125">
        <v>109.56634963052151</v>
      </c>
      <c r="F86" s="125">
        <f>INDEX('Revised 2018 Lockdown'!H$5:H$253,MATCH(B86,'Revised 2018 Lockdown'!B$5:B$253,0))</f>
        <v>109.56634963052151</v>
      </c>
      <c r="G86" s="125">
        <f t="shared" si="2"/>
        <v>0</v>
      </c>
      <c r="H86" s="5">
        <v>85628.45</v>
      </c>
      <c r="I86" s="5">
        <f>INDEX('Revised 2018 Lockdown'!E$5:E$253,MATCH(B86,'Revised 2018 Lockdown'!B$5:B$253,0))</f>
        <v>85628.45</v>
      </c>
      <c r="J86" s="5">
        <f t="shared" si="3"/>
        <v>0</v>
      </c>
      <c r="K86" s="5">
        <v>0</v>
      </c>
      <c r="L86" s="5">
        <f>INDEX('Revised 2018 Lockdown'!F$5:F$253,MATCH(B86,'Revised 2018 Lockdown'!B$5:B$253,0))</f>
        <v>0</v>
      </c>
      <c r="M86" s="5">
        <f t="shared" si="4"/>
        <v>0</v>
      </c>
      <c r="N86" s="5">
        <v>85628.45</v>
      </c>
      <c r="O86" s="87">
        <f t="shared" si="5"/>
        <v>85628.45</v>
      </c>
      <c r="P86" s="87">
        <f t="shared" si="6"/>
        <v>0</v>
      </c>
      <c r="Q86" s="85">
        <f t="shared" si="15"/>
        <v>781.52142778102359</v>
      </c>
      <c r="R86" s="6">
        <f t="shared" si="1"/>
        <v>781.52142778102359</v>
      </c>
      <c r="S86" s="5">
        <f t="shared" si="16"/>
        <v>85628.45</v>
      </c>
      <c r="T86" s="113">
        <v>0.31227827380952378</v>
      </c>
      <c r="U86" s="87">
        <f t="shared" si="7"/>
        <v>18838.898461838726</v>
      </c>
      <c r="V86" s="87">
        <f t="shared" si="17"/>
        <v>6193.0061510028227</v>
      </c>
      <c r="W86" s="87">
        <f t="shared" si="8"/>
        <v>1764.893607640767</v>
      </c>
      <c r="X86" s="87">
        <f t="shared" si="9"/>
        <v>1072.8390515062836</v>
      </c>
      <c r="Y86" s="87">
        <f t="shared" si="10"/>
        <v>27869.637271988599</v>
      </c>
      <c r="Z86" s="91">
        <f t="shared" si="11"/>
        <v>0.32547170095906908</v>
      </c>
      <c r="AA86" s="86">
        <f t="shared" si="12"/>
        <v>27869.637271988599</v>
      </c>
      <c r="AB86" s="87"/>
      <c r="AC86" s="86">
        <v>27903.02928088827</v>
      </c>
      <c r="AD86" s="147">
        <f t="shared" si="13"/>
        <v>-33.392008899671055</v>
      </c>
      <c r="AE86" s="147">
        <v>-13.612089915321121</v>
      </c>
      <c r="AF86" s="147">
        <f t="shared" si="14"/>
        <v>-19.779918984349933</v>
      </c>
      <c r="AG86" s="86"/>
    </row>
    <row r="87" spans="2:33" x14ac:dyDescent="0.3">
      <c r="B87">
        <v>618</v>
      </c>
      <c r="C87" s="25">
        <v>6</v>
      </c>
      <c r="D87" s="32" t="s">
        <v>109</v>
      </c>
      <c r="E87" s="125">
        <v>22.913731248399976</v>
      </c>
      <c r="F87" s="125">
        <f>INDEX('Revised 2018 Lockdown'!H$5:H$253,MATCH(B87,'Revised 2018 Lockdown'!B$5:B$253,0))</f>
        <v>22.913618107259204</v>
      </c>
      <c r="G87" s="125">
        <f t="shared" si="2"/>
        <v>1.1314114077265458E-4</v>
      </c>
      <c r="H87" s="5">
        <v>16335.8</v>
      </c>
      <c r="I87" s="5">
        <f>INDEX('Revised 2018 Lockdown'!E$5:E$253,MATCH(B87,'Revised 2018 Lockdown'!B$5:B$253,0))</f>
        <v>16335.8</v>
      </c>
      <c r="J87" s="5">
        <f t="shared" si="3"/>
        <v>0</v>
      </c>
      <c r="K87" s="5">
        <v>0</v>
      </c>
      <c r="L87" s="5">
        <f>INDEX('Revised 2018 Lockdown'!F$5:F$253,MATCH(B87,'Revised 2018 Lockdown'!B$5:B$253,0))</f>
        <v>0</v>
      </c>
      <c r="M87" s="5">
        <f t="shared" si="4"/>
        <v>0</v>
      </c>
      <c r="N87" s="5">
        <v>16335.8</v>
      </c>
      <c r="O87" s="87">
        <f t="shared" si="5"/>
        <v>16335.8</v>
      </c>
      <c r="P87" s="87">
        <f t="shared" si="6"/>
        <v>0</v>
      </c>
      <c r="Q87" s="85">
        <f t="shared" si="15"/>
        <v>712.92974874294066</v>
      </c>
      <c r="R87" s="6">
        <f t="shared" si="1"/>
        <v>712.92974874294066</v>
      </c>
      <c r="S87" s="5">
        <f t="shared" si="16"/>
        <v>16335.8</v>
      </c>
      <c r="T87" s="113">
        <v>0.26351785714285714</v>
      </c>
      <c r="U87" s="87">
        <f t="shared" si="7"/>
        <v>3593.9979935746246</v>
      </c>
      <c r="V87" s="87">
        <f t="shared" si="17"/>
        <v>1295.1437951388693</v>
      </c>
      <c r="W87" s="87">
        <f t="shared" si="8"/>
        <v>284.12479495275392</v>
      </c>
      <c r="X87" s="87">
        <f t="shared" si="9"/>
        <v>204.67127663289887</v>
      </c>
      <c r="Y87" s="87">
        <f t="shared" si="10"/>
        <v>5377.9378602991474</v>
      </c>
      <c r="Z87" s="91">
        <f t="shared" si="11"/>
        <v>0.32921178395298351</v>
      </c>
      <c r="AA87" s="86">
        <f t="shared" si="12"/>
        <v>5377.9378602991474</v>
      </c>
      <c r="AB87" s="87"/>
      <c r="AC87" s="86">
        <v>5384.2121988407962</v>
      </c>
      <c r="AD87" s="147">
        <f t="shared" si="13"/>
        <v>-6.2743385416488309</v>
      </c>
      <c r="AE87" s="147">
        <v>-2.5323734300081924</v>
      </c>
      <c r="AF87" s="147">
        <f t="shared" si="14"/>
        <v>-3.7419651116406385</v>
      </c>
      <c r="AG87" s="86"/>
    </row>
    <row r="88" spans="2:33" x14ac:dyDescent="0.3">
      <c r="B88">
        <v>620</v>
      </c>
      <c r="C88" s="25">
        <v>6</v>
      </c>
      <c r="D88" s="32" t="s">
        <v>110</v>
      </c>
      <c r="E88" s="125">
        <v>247.11841445539267</v>
      </c>
      <c r="F88" s="125">
        <f>INDEX('Revised 2018 Lockdown'!H$5:H$253,MATCH(B88,'Revised 2018 Lockdown'!B$5:B$253,0))</f>
        <v>247.11719425868989</v>
      </c>
      <c r="G88" s="125">
        <f t="shared" si="2"/>
        <v>1.2201967027749561E-3</v>
      </c>
      <c r="H88" s="5">
        <v>118610.13</v>
      </c>
      <c r="I88" s="5">
        <f>INDEX('Revised 2018 Lockdown'!E$5:E$253,MATCH(B88,'Revised 2018 Lockdown'!B$5:B$253,0))</f>
        <v>118610.13</v>
      </c>
      <c r="J88" s="5">
        <f t="shared" si="3"/>
        <v>0</v>
      </c>
      <c r="K88" s="5">
        <v>0</v>
      </c>
      <c r="L88" s="5">
        <f>INDEX('Revised 2018 Lockdown'!F$5:F$253,MATCH(B88,'Revised 2018 Lockdown'!B$5:B$253,0))</f>
        <v>0</v>
      </c>
      <c r="M88" s="5">
        <f t="shared" si="4"/>
        <v>0</v>
      </c>
      <c r="N88" s="5">
        <v>118610.13</v>
      </c>
      <c r="O88" s="87">
        <f t="shared" si="5"/>
        <v>118610.13</v>
      </c>
      <c r="P88" s="87">
        <f t="shared" si="6"/>
        <v>0</v>
      </c>
      <c r="Q88" s="85">
        <f t="shared" si="15"/>
        <v>479.97522129453796</v>
      </c>
      <c r="R88" s="6">
        <f t="shared" si="1"/>
        <v>479.97522129453796</v>
      </c>
      <c r="S88" s="5">
        <f t="shared" si="16"/>
        <v>118610.13</v>
      </c>
      <c r="T88" s="113">
        <v>0.51505357142857144</v>
      </c>
      <c r="U88" s="87">
        <f t="shared" si="7"/>
        <v>26095.114364624038</v>
      </c>
      <c r="V88" s="87">
        <f t="shared" si="17"/>
        <v>13967.77668712537</v>
      </c>
      <c r="W88" s="87">
        <f t="shared" si="8"/>
        <v>4032.1145551009881</v>
      </c>
      <c r="X88" s="87">
        <f t="shared" si="9"/>
        <v>1486.0665978216002</v>
      </c>
      <c r="Y88" s="87">
        <f t="shared" si="10"/>
        <v>45581.072204671997</v>
      </c>
      <c r="Z88" s="91">
        <f t="shared" si="11"/>
        <v>0.38429324885380362</v>
      </c>
      <c r="AA88" s="86">
        <f t="shared" si="12"/>
        <v>45581.072204671997</v>
      </c>
      <c r="AB88" s="87"/>
      <c r="AC88" s="86">
        <v>45628.836862146818</v>
      </c>
      <c r="AD88" s="147">
        <f t="shared" si="13"/>
        <v>-47.764657474821433</v>
      </c>
      <c r="AE88" s="147">
        <v>-18.438697787554702</v>
      </c>
      <c r="AF88" s="147">
        <f t="shared" si="14"/>
        <v>-29.325959687266732</v>
      </c>
      <c r="AG88" s="86"/>
    </row>
    <row r="89" spans="2:33" x14ac:dyDescent="0.3">
      <c r="B89">
        <v>622</v>
      </c>
      <c r="C89" s="25">
        <v>6</v>
      </c>
      <c r="D89" s="32" t="s">
        <v>111</v>
      </c>
      <c r="E89" s="125">
        <v>117.76088798616892</v>
      </c>
      <c r="F89" s="125">
        <f>INDEX('Revised 2018 Lockdown'!H$5:H$253,MATCH(B89,'Revised 2018 Lockdown'!B$5:B$253,0))</f>
        <v>117.760306518181</v>
      </c>
      <c r="G89" s="125">
        <f t="shared" si="2"/>
        <v>5.8146798792790833E-4</v>
      </c>
      <c r="H89" s="5">
        <v>80933.14</v>
      </c>
      <c r="I89" s="5">
        <f>INDEX('Revised 2018 Lockdown'!E$5:E$253,MATCH(B89,'Revised 2018 Lockdown'!B$5:B$253,0))</f>
        <v>80933.14</v>
      </c>
      <c r="J89" s="5">
        <f t="shared" si="3"/>
        <v>0</v>
      </c>
      <c r="K89" s="5">
        <v>715</v>
      </c>
      <c r="L89" s="5">
        <f>INDEX('Revised 2018 Lockdown'!F$5:F$253,MATCH(B89,'Revised 2018 Lockdown'!B$5:B$253,0))</f>
        <v>715</v>
      </c>
      <c r="M89" s="5">
        <f t="shared" si="4"/>
        <v>0</v>
      </c>
      <c r="N89" s="5">
        <v>80218.14</v>
      </c>
      <c r="O89" s="87">
        <f t="shared" si="5"/>
        <v>80218.14</v>
      </c>
      <c r="P89" s="87">
        <f t="shared" si="6"/>
        <v>0</v>
      </c>
      <c r="Q89" s="85">
        <f t="shared" si="15"/>
        <v>681.1984646763392</v>
      </c>
      <c r="R89" s="6">
        <f t="shared" si="1"/>
        <v>681.1984646763392</v>
      </c>
      <c r="S89" s="5">
        <f t="shared" si="16"/>
        <v>80218.14</v>
      </c>
      <c r="T89" s="113">
        <v>0.36095238095238091</v>
      </c>
      <c r="U89" s="87">
        <f t="shared" si="7"/>
        <v>17648.589858365573</v>
      </c>
      <c r="V89" s="87">
        <f t="shared" si="17"/>
        <v>6656.152231687719</v>
      </c>
      <c r="W89" s="87">
        <f t="shared" si="8"/>
        <v>1911.0901589487287</v>
      </c>
      <c r="X89" s="87">
        <f t="shared" si="9"/>
        <v>1005.0532647875592</v>
      </c>
      <c r="Y89" s="87">
        <f t="shared" si="10"/>
        <v>27220.885513789581</v>
      </c>
      <c r="Z89" s="91">
        <f t="shared" si="11"/>
        <v>0.339335785070429</v>
      </c>
      <c r="AA89" s="86">
        <f t="shared" si="12"/>
        <v>27220.885513789581</v>
      </c>
      <c r="AB89" s="87"/>
      <c r="AC89" s="86">
        <v>27252.438493917773</v>
      </c>
      <c r="AD89" s="147">
        <f t="shared" si="13"/>
        <v>-31.552980128191848</v>
      </c>
      <c r="AE89" s="147">
        <v>-12.689914988790406</v>
      </c>
      <c r="AF89" s="147">
        <f t="shared" si="14"/>
        <v>-18.863065139401442</v>
      </c>
      <c r="AG89" s="86"/>
    </row>
    <row r="90" spans="2:33" x14ac:dyDescent="0.3">
      <c r="B90">
        <v>623</v>
      </c>
      <c r="C90" s="25">
        <v>6</v>
      </c>
      <c r="D90" s="32" t="s">
        <v>112</v>
      </c>
      <c r="E90" s="125">
        <v>238.88534218865161</v>
      </c>
      <c r="F90" s="125">
        <f>INDEX('Revised 2018 Lockdown'!H$5:H$253,MATCH(B90,'Revised 2018 Lockdown'!B$5:B$253,0))</f>
        <v>238.88416264439334</v>
      </c>
      <c r="G90" s="125">
        <f t="shared" si="2"/>
        <v>1.1795442582638316E-3</v>
      </c>
      <c r="H90" s="5">
        <v>85871.33</v>
      </c>
      <c r="I90" s="5">
        <f>INDEX('Revised 2018 Lockdown'!E$5:E$253,MATCH(B90,'Revised 2018 Lockdown'!B$5:B$253,0))</f>
        <v>85871.33</v>
      </c>
      <c r="J90" s="5">
        <f t="shared" si="3"/>
        <v>0</v>
      </c>
      <c r="K90" s="5">
        <v>0</v>
      </c>
      <c r="L90" s="5">
        <f>INDEX('Revised 2018 Lockdown'!F$5:F$253,MATCH(B90,'Revised 2018 Lockdown'!B$5:B$253,0))</f>
        <v>0</v>
      </c>
      <c r="M90" s="5">
        <f t="shared" si="4"/>
        <v>0</v>
      </c>
      <c r="N90" s="5">
        <v>85871.33</v>
      </c>
      <c r="O90" s="87">
        <f t="shared" si="5"/>
        <v>85871.33</v>
      </c>
      <c r="P90" s="87">
        <f t="shared" si="6"/>
        <v>0</v>
      </c>
      <c r="Q90" s="85">
        <f t="shared" si="15"/>
        <v>359.46849322041243</v>
      </c>
      <c r="R90" s="6">
        <f t="shared" ref="R90:R153" si="18">MIN(Q90,INDEX($V$3:$V$11,MATCH(C90,$S$3:$S$11,0)))</f>
        <v>359.46849322041243</v>
      </c>
      <c r="S90" s="5">
        <f t="shared" si="16"/>
        <v>85871.33</v>
      </c>
      <c r="T90" s="113">
        <v>0.43836607142857142</v>
      </c>
      <c r="U90" s="87">
        <f t="shared" ref="U90:U153" si="19">$E$14*(S90/$S$24)</f>
        <v>18892.333875634155</v>
      </c>
      <c r="V90" s="87">
        <f t="shared" ref="V90:V153" si="20">$E$15*(F90/$F$24)</f>
        <v>13502.421990170713</v>
      </c>
      <c r="W90" s="87">
        <f t="shared" ref="W90:W153" si="21">IFERROR(T90*$E$16*(S90/$S$24),0)</f>
        <v>2484.5274543535984</v>
      </c>
      <c r="X90" s="87">
        <f t="shared" ref="X90:X153" si="22">($W$23+$E$9)*(S90/$S$24)</f>
        <v>1075.8820955977023</v>
      </c>
      <c r="Y90" s="87">
        <f t="shared" ref="Y90:Y153" si="23">U90+V90+W90+X90</f>
        <v>35955.165415756164</v>
      </c>
      <c r="Z90" s="91">
        <f t="shared" ref="Z90:Z153" si="24">IFERROR((Y90/S90),0)</f>
        <v>0.41870977677597593</v>
      </c>
      <c r="AA90" s="86">
        <f t="shared" ref="AA90:AA153" si="25">IF(Z90&gt;$Z$19,$Z$19*S90,Y90+($Z$23*Y90/$Z$22))</f>
        <v>35955.165415756164</v>
      </c>
      <c r="AB90" s="87"/>
      <c r="AC90" s="86">
        <v>35988.457474283125</v>
      </c>
      <c r="AD90" s="147">
        <f t="shared" si="13"/>
        <v>-33.292058526960318</v>
      </c>
      <c r="AE90" s="147">
        <v>-12.159790299177985</v>
      </c>
      <c r="AF90" s="147">
        <f t="shared" si="14"/>
        <v>-21.132268227782333</v>
      </c>
      <c r="AG90" s="86"/>
    </row>
    <row r="91" spans="2:33" x14ac:dyDescent="0.3">
      <c r="B91">
        <v>626</v>
      </c>
      <c r="C91" s="25">
        <v>6</v>
      </c>
      <c r="D91" s="32" t="s">
        <v>113</v>
      </c>
      <c r="E91" s="125">
        <v>22.444815850951411</v>
      </c>
      <c r="F91" s="125">
        <f>INDEX('Revised 2018 Lockdown'!H$5:H$253,MATCH(B91,'Revised 2018 Lockdown'!B$5:B$253,0))</f>
        <v>22.4447050251744</v>
      </c>
      <c r="G91" s="125">
        <f t="shared" ref="G91:G154" si="26">E91-F91</f>
        <v>1.1082577701060359E-4</v>
      </c>
      <c r="H91" s="5">
        <v>17594.09</v>
      </c>
      <c r="I91" s="5">
        <f>INDEX('Revised 2018 Lockdown'!E$5:E$253,MATCH(B91,'Revised 2018 Lockdown'!B$5:B$253,0))</f>
        <v>17594.09</v>
      </c>
      <c r="J91" s="5">
        <f t="shared" ref="J91:J154" si="27">H91-I91</f>
        <v>0</v>
      </c>
      <c r="K91" s="5">
        <v>0</v>
      </c>
      <c r="L91" s="5">
        <f>INDEX('Revised 2018 Lockdown'!F$5:F$253,MATCH(B91,'Revised 2018 Lockdown'!B$5:B$253,0))</f>
        <v>0</v>
      </c>
      <c r="M91" s="5">
        <f t="shared" ref="M91:M154" si="28">K91-L91</f>
        <v>0</v>
      </c>
      <c r="N91" s="5">
        <v>17594.09</v>
      </c>
      <c r="O91" s="87">
        <f t="shared" ref="O91:O154" si="29">I91-L91</f>
        <v>17594.09</v>
      </c>
      <c r="P91" s="87">
        <f t="shared" ref="P91:P154" si="30">N91-O91</f>
        <v>0</v>
      </c>
      <c r="Q91" s="85">
        <f t="shared" ref="Q91:Q154" si="31">IFERROR(O91/F91,"n.a.")</f>
        <v>783.88599806796924</v>
      </c>
      <c r="R91" s="6">
        <f t="shared" si="18"/>
        <v>783.88599806796924</v>
      </c>
      <c r="S91" s="5">
        <f t="shared" ref="S91:S154" si="32">F91*R91</f>
        <v>17594.09</v>
      </c>
      <c r="T91" s="113">
        <v>0.18083928571428573</v>
      </c>
      <c r="U91" s="87">
        <f t="shared" si="19"/>
        <v>3870.831190316444</v>
      </c>
      <c r="V91" s="87">
        <f t="shared" si="20"/>
        <v>1268.6394750494471</v>
      </c>
      <c r="W91" s="87">
        <f t="shared" si="21"/>
        <v>209.99950427322122</v>
      </c>
      <c r="X91" s="87">
        <f t="shared" si="22"/>
        <v>220.43639500325173</v>
      </c>
      <c r="Y91" s="87">
        <f t="shared" si="23"/>
        <v>5569.9065646423651</v>
      </c>
      <c r="Z91" s="91">
        <f t="shared" si="24"/>
        <v>0.31657826944402156</v>
      </c>
      <c r="AA91" s="86">
        <f t="shared" si="25"/>
        <v>5569.9065646423651</v>
      </c>
      <c r="AB91" s="87"/>
      <c r="AC91" s="86">
        <v>5576.5389863442433</v>
      </c>
      <c r="AD91" s="147">
        <f t="shared" ref="AD91:AD154" si="33">AA91-AC91</f>
        <v>-6.6324217018782292</v>
      </c>
      <c r="AE91" s="147">
        <v>-2.6991204952673797</v>
      </c>
      <c r="AF91" s="147">
        <f t="shared" ref="AF91:AF154" si="34">AD91-AE91</f>
        <v>-3.9333012066108495</v>
      </c>
      <c r="AG91" s="86"/>
    </row>
    <row r="92" spans="2:33" x14ac:dyDescent="0.3">
      <c r="B92">
        <v>627</v>
      </c>
      <c r="C92" s="25">
        <v>6</v>
      </c>
      <c r="D92" s="32" t="s">
        <v>114</v>
      </c>
      <c r="E92" s="125">
        <v>172.58791907246243</v>
      </c>
      <c r="F92" s="125">
        <f>INDEX('Revised 2018 Lockdown'!H$5:H$253,MATCH(B92,'Revised 2018 Lockdown'!B$5:B$253,0))</f>
        <v>172.5870668850192</v>
      </c>
      <c r="G92" s="125">
        <f t="shared" si="26"/>
        <v>8.521874432290133E-4</v>
      </c>
      <c r="H92" s="5">
        <v>78681.460000000006</v>
      </c>
      <c r="I92" s="5">
        <f>INDEX('Revised 2018 Lockdown'!E$5:E$253,MATCH(B92,'Revised 2018 Lockdown'!B$5:B$253,0))</f>
        <v>78681.460000000006</v>
      </c>
      <c r="J92" s="5">
        <f t="shared" si="27"/>
        <v>0</v>
      </c>
      <c r="K92" s="5">
        <v>0</v>
      </c>
      <c r="L92" s="5">
        <f>INDEX('Revised 2018 Lockdown'!F$5:F$253,MATCH(B92,'Revised 2018 Lockdown'!B$5:B$253,0))</f>
        <v>0</v>
      </c>
      <c r="M92" s="5">
        <f t="shared" si="28"/>
        <v>0</v>
      </c>
      <c r="N92" s="5">
        <v>78681.460000000006</v>
      </c>
      <c r="O92" s="87">
        <f t="shared" si="29"/>
        <v>78681.460000000006</v>
      </c>
      <c r="P92" s="87">
        <f t="shared" si="30"/>
        <v>0</v>
      </c>
      <c r="Q92" s="85">
        <f t="shared" si="31"/>
        <v>455.89429972999716</v>
      </c>
      <c r="R92" s="6">
        <f t="shared" si="18"/>
        <v>455.89429972999716</v>
      </c>
      <c r="S92" s="5">
        <f t="shared" si="32"/>
        <v>78681.460000000006</v>
      </c>
      <c r="T92" s="113">
        <v>0.30555357142857142</v>
      </c>
      <c r="U92" s="87">
        <f t="shared" si="19"/>
        <v>17310.508782644381</v>
      </c>
      <c r="V92" s="87">
        <f t="shared" si="20"/>
        <v>9755.1188882970546</v>
      </c>
      <c r="W92" s="87">
        <f t="shared" si="21"/>
        <v>1586.786334534793</v>
      </c>
      <c r="X92" s="87">
        <f t="shared" si="22"/>
        <v>985.80019745224399</v>
      </c>
      <c r="Y92" s="87">
        <f t="shared" si="23"/>
        <v>29638.214202928477</v>
      </c>
      <c r="Z92" s="91">
        <f t="shared" si="24"/>
        <v>0.37668612406186253</v>
      </c>
      <c r="AA92" s="86">
        <f t="shared" si="25"/>
        <v>29638.214202928477</v>
      </c>
      <c r="AB92" s="87"/>
      <c r="AC92" s="86">
        <v>29668.13080228561</v>
      </c>
      <c r="AD92" s="147">
        <f t="shared" si="33"/>
        <v>-29.916599357133236</v>
      </c>
      <c r="AE92" s="147">
        <v>-11.396290784490702</v>
      </c>
      <c r="AF92" s="147">
        <f t="shared" si="34"/>
        <v>-18.520308572642534</v>
      </c>
      <c r="AG92" s="86"/>
    </row>
    <row r="93" spans="2:33" x14ac:dyDescent="0.3">
      <c r="B93">
        <v>634</v>
      </c>
      <c r="C93" s="25">
        <v>6</v>
      </c>
      <c r="D93" s="32" t="s">
        <v>115</v>
      </c>
      <c r="E93" s="125">
        <v>648.63374679368712</v>
      </c>
      <c r="F93" s="125">
        <f>INDEX('Revised 2018 Lockdown'!H$5:H$253,MATCH(B93,'Revised 2018 Lockdown'!B$5:B$253,0))</f>
        <v>648.63374679368712</v>
      </c>
      <c r="G93" s="125">
        <f t="shared" si="26"/>
        <v>0</v>
      </c>
      <c r="H93" s="5">
        <v>582665.36</v>
      </c>
      <c r="I93" s="5">
        <f>INDEX('Revised 2018 Lockdown'!E$5:E$253,MATCH(B93,'Revised 2018 Lockdown'!B$5:B$253,0))</f>
        <v>582665.36</v>
      </c>
      <c r="J93" s="5">
        <f t="shared" si="27"/>
        <v>0</v>
      </c>
      <c r="K93" s="5">
        <v>0</v>
      </c>
      <c r="L93" s="5">
        <f>INDEX('Revised 2018 Lockdown'!F$5:F$253,MATCH(B93,'Revised 2018 Lockdown'!B$5:B$253,0))</f>
        <v>0</v>
      </c>
      <c r="M93" s="5">
        <f t="shared" si="28"/>
        <v>0</v>
      </c>
      <c r="N93" s="5">
        <v>582665.36</v>
      </c>
      <c r="O93" s="87">
        <f t="shared" si="29"/>
        <v>582665.36</v>
      </c>
      <c r="P93" s="87">
        <f t="shared" si="30"/>
        <v>0</v>
      </c>
      <c r="Q93" s="85">
        <f t="shared" si="31"/>
        <v>898.29640051912088</v>
      </c>
      <c r="R93" s="6">
        <f t="shared" si="18"/>
        <v>898.29640051912088</v>
      </c>
      <c r="S93" s="5">
        <f t="shared" si="32"/>
        <v>582665.36</v>
      </c>
      <c r="T93" s="113">
        <v>0.77350595238095232</v>
      </c>
      <c r="U93" s="87">
        <f t="shared" si="19"/>
        <v>128190.73046716023</v>
      </c>
      <c r="V93" s="87">
        <f t="shared" si="20"/>
        <v>36662.650505263453</v>
      </c>
      <c r="W93" s="87">
        <f t="shared" si="21"/>
        <v>29746.88791692322</v>
      </c>
      <c r="X93" s="87">
        <f t="shared" si="22"/>
        <v>7300.215666264744</v>
      </c>
      <c r="Y93" s="87">
        <f t="shared" si="23"/>
        <v>201900.48455561162</v>
      </c>
      <c r="Z93" s="91">
        <f t="shared" si="24"/>
        <v>0.34651190617477523</v>
      </c>
      <c r="AA93" s="86">
        <f t="shared" si="25"/>
        <v>201900.48455561162</v>
      </c>
      <c r="AB93" s="87"/>
      <c r="AC93" s="86">
        <v>202156.10960381705</v>
      </c>
      <c r="AD93" s="147">
        <f t="shared" si="33"/>
        <v>-255.62504820543109</v>
      </c>
      <c r="AE93" s="147">
        <v>-105.57174570971983</v>
      </c>
      <c r="AF93" s="147">
        <f t="shared" si="34"/>
        <v>-150.05330249571125</v>
      </c>
      <c r="AG93" s="86"/>
    </row>
    <row r="94" spans="2:33" x14ac:dyDescent="0.3">
      <c r="B94">
        <v>636</v>
      </c>
      <c r="C94" s="25">
        <v>6</v>
      </c>
      <c r="D94" s="32" t="s">
        <v>294</v>
      </c>
      <c r="E94" s="125">
        <v>72.113777565310741</v>
      </c>
      <c r="F94" s="125">
        <f>INDEX('Revised 2018 Lockdown'!H$5:H$253,MATCH(B94,'Revised 2018 Lockdown'!B$5:B$253,0))</f>
        <v>72.113421489079812</v>
      </c>
      <c r="G94" s="125">
        <f t="shared" si="26"/>
        <v>3.5607623092914764E-4</v>
      </c>
      <c r="H94" s="5">
        <v>74827.44</v>
      </c>
      <c r="I94" s="5">
        <f>INDEX('Revised 2018 Lockdown'!E$5:E$253,MATCH(B94,'Revised 2018 Lockdown'!B$5:B$253,0))</f>
        <v>74827.44</v>
      </c>
      <c r="J94" s="5">
        <f t="shared" si="27"/>
        <v>0</v>
      </c>
      <c r="K94" s="5">
        <v>76212</v>
      </c>
      <c r="L94" s="5">
        <f>INDEX('Revised 2018 Lockdown'!F$5:F$253,MATCH(B94,'Revised 2018 Lockdown'!B$5:B$253,0))</f>
        <v>76212</v>
      </c>
      <c r="M94" s="5">
        <f t="shared" si="28"/>
        <v>0</v>
      </c>
      <c r="N94" s="5">
        <v>-1384.5599999999977</v>
      </c>
      <c r="O94" s="87">
        <f t="shared" si="29"/>
        <v>-1384.5599999999977</v>
      </c>
      <c r="P94" s="87">
        <f t="shared" si="30"/>
        <v>0</v>
      </c>
      <c r="Q94" s="85">
        <f t="shared" si="31"/>
        <v>-19.199754656068603</v>
      </c>
      <c r="R94" s="6">
        <f t="shared" si="18"/>
        <v>-19.199754656068603</v>
      </c>
      <c r="S94" s="5">
        <f t="shared" si="32"/>
        <v>-1384.5599999999977</v>
      </c>
      <c r="T94" s="113">
        <v>0.24942857142857144</v>
      </c>
      <c r="U94" s="87">
        <f t="shared" si="19"/>
        <v>-304.61353970933004</v>
      </c>
      <c r="V94" s="87">
        <f t="shared" si="20"/>
        <v>4076.0586106751416</v>
      </c>
      <c r="W94" s="87">
        <f t="shared" si="21"/>
        <v>-22.793796014249583</v>
      </c>
      <c r="X94" s="87">
        <f t="shared" si="22"/>
        <v>-17.347155497425653</v>
      </c>
      <c r="Y94" s="87">
        <f t="shared" si="23"/>
        <v>3731.3041194541365</v>
      </c>
      <c r="Z94" s="91">
        <f t="shared" si="24"/>
        <v>-2.6949385504811225</v>
      </c>
      <c r="AA94" s="86">
        <f t="shared" si="25"/>
        <v>3731.3041194541365</v>
      </c>
      <c r="AB94" s="87"/>
      <c r="AC94" s="86">
        <v>3730.0117044625481</v>
      </c>
      <c r="AD94" s="147">
        <f t="shared" si="33"/>
        <v>1.29241499158843</v>
      </c>
      <c r="AE94" s="147">
        <v>1.3351395037116163</v>
      </c>
      <c r="AF94" s="147">
        <f t="shared" si="34"/>
        <v>-4.2724512123186287E-2</v>
      </c>
      <c r="AG94" s="86"/>
    </row>
    <row r="95" spans="2:33" x14ac:dyDescent="0.3">
      <c r="B95">
        <v>694</v>
      </c>
      <c r="C95" s="25">
        <v>6</v>
      </c>
      <c r="D95" s="32" t="s">
        <v>116</v>
      </c>
      <c r="E95" s="125">
        <v>10.25564638073009</v>
      </c>
      <c r="F95" s="125">
        <f>INDEX('Revised 2018 Lockdown'!H$5:H$253,MATCH(B95,'Revised 2018 Lockdown'!B$5:B$253,0))</f>
        <v>10.25564638073009</v>
      </c>
      <c r="G95" s="125">
        <f t="shared" si="26"/>
        <v>0</v>
      </c>
      <c r="H95" s="5">
        <v>60191.32</v>
      </c>
      <c r="I95" s="5">
        <f>INDEX('Revised 2018 Lockdown'!E$5:E$253,MATCH(B95,'Revised 2018 Lockdown'!B$5:B$253,0))</f>
        <v>60191.32</v>
      </c>
      <c r="J95" s="5">
        <f t="shared" si="27"/>
        <v>0</v>
      </c>
      <c r="K95" s="5">
        <v>0</v>
      </c>
      <c r="L95" s="5">
        <f>INDEX('Revised 2018 Lockdown'!F$5:F$253,MATCH(B95,'Revised 2018 Lockdown'!B$5:B$253,0))</f>
        <v>0</v>
      </c>
      <c r="M95" s="5">
        <f t="shared" si="28"/>
        <v>0</v>
      </c>
      <c r="N95" s="5">
        <v>60191.32</v>
      </c>
      <c r="O95" s="87">
        <f t="shared" si="29"/>
        <v>60191.32</v>
      </c>
      <c r="P95" s="87">
        <f t="shared" si="30"/>
        <v>0</v>
      </c>
      <c r="Q95" s="85">
        <f t="shared" si="31"/>
        <v>5869.0908174346623</v>
      </c>
      <c r="R95" s="6">
        <f t="shared" si="18"/>
        <v>1289.5955847737582</v>
      </c>
      <c r="S95" s="5">
        <f t="shared" si="32"/>
        <v>13225.636291590497</v>
      </c>
      <c r="T95" s="113">
        <v>0.82007738095238081</v>
      </c>
      <c r="U95" s="87">
        <f t="shared" si="19"/>
        <v>2909.7387514369657</v>
      </c>
      <c r="V95" s="87">
        <f t="shared" si="20"/>
        <v>579.67871826112753</v>
      </c>
      <c r="W95" s="87">
        <f t="shared" si="21"/>
        <v>715.86328036022314</v>
      </c>
      <c r="X95" s="87">
        <f t="shared" si="22"/>
        <v>165.70402821301835</v>
      </c>
      <c r="Y95" s="87">
        <f t="shared" si="23"/>
        <v>4370.984778271335</v>
      </c>
      <c r="Z95" s="91">
        <f t="shared" si="24"/>
        <v>0.3304933450385763</v>
      </c>
      <c r="AA95" s="86">
        <f t="shared" si="25"/>
        <v>4370.984778271335</v>
      </c>
      <c r="AB95" s="87"/>
      <c r="AC95" s="86">
        <v>4371.3372763782863</v>
      </c>
      <c r="AD95" s="147">
        <f t="shared" si="33"/>
        <v>-0.352498106951316</v>
      </c>
      <c r="AE95" s="147">
        <v>-0.24440996847533825</v>
      </c>
      <c r="AF95" s="147">
        <f t="shared" si="34"/>
        <v>-0.10808813847597776</v>
      </c>
      <c r="AG95" s="86"/>
    </row>
    <row r="96" spans="2:33" x14ac:dyDescent="0.3">
      <c r="B96">
        <v>706</v>
      </c>
      <c r="C96" s="25">
        <v>6</v>
      </c>
      <c r="D96" s="32" t="s">
        <v>221</v>
      </c>
      <c r="E96" s="125">
        <v>61.701349959338025</v>
      </c>
      <c r="F96" s="125">
        <f>INDEX('Revised 2018 Lockdown'!H$5:H$253,MATCH(B96,'Revised 2018 Lockdown'!B$5:B$253,0))</f>
        <v>61.701349959338025</v>
      </c>
      <c r="G96" s="125">
        <f t="shared" si="26"/>
        <v>0</v>
      </c>
      <c r="H96" s="5">
        <v>61219.35</v>
      </c>
      <c r="I96" s="5">
        <f>INDEX('Revised 2018 Lockdown'!E$5:E$253,MATCH(B96,'Revised 2018 Lockdown'!B$5:B$253,0))</f>
        <v>61219.35</v>
      </c>
      <c r="J96" s="5">
        <f t="shared" si="27"/>
        <v>0</v>
      </c>
      <c r="K96" s="5">
        <v>0</v>
      </c>
      <c r="L96" s="5">
        <f>INDEX('Revised 2018 Lockdown'!F$5:F$253,MATCH(B96,'Revised 2018 Lockdown'!B$5:B$253,0))</f>
        <v>0</v>
      </c>
      <c r="M96" s="5">
        <f t="shared" si="28"/>
        <v>0</v>
      </c>
      <c r="N96" s="5">
        <v>61219.35</v>
      </c>
      <c r="O96" s="87">
        <f t="shared" si="29"/>
        <v>61219.35</v>
      </c>
      <c r="P96" s="87">
        <f t="shared" si="30"/>
        <v>0</v>
      </c>
      <c r="Q96" s="85">
        <f t="shared" si="31"/>
        <v>992.18817806003153</v>
      </c>
      <c r="R96" s="6">
        <f t="shared" si="18"/>
        <v>992.18817806003153</v>
      </c>
      <c r="S96" s="5">
        <f t="shared" si="32"/>
        <v>61219.35</v>
      </c>
      <c r="T96" s="113">
        <v>0.32749702380952384</v>
      </c>
      <c r="U96" s="87">
        <f t="shared" si="19"/>
        <v>13468.714177936967</v>
      </c>
      <c r="V96" s="87">
        <f t="shared" si="20"/>
        <v>3487.5382917467682</v>
      </c>
      <c r="W96" s="87">
        <f t="shared" si="21"/>
        <v>1323.2891423446479</v>
      </c>
      <c r="X96" s="87">
        <f t="shared" si="22"/>
        <v>767.01738017949879</v>
      </c>
      <c r="Y96" s="87">
        <f t="shared" si="23"/>
        <v>19046.558992207883</v>
      </c>
      <c r="Z96" s="91">
        <f t="shared" si="24"/>
        <v>0.31111991538962575</v>
      </c>
      <c r="AA96" s="86">
        <f t="shared" si="25"/>
        <v>19046.558992207883</v>
      </c>
      <c r="AB96" s="87"/>
      <c r="AC96" s="86">
        <v>19070.70317625616</v>
      </c>
      <c r="AD96" s="147">
        <f t="shared" si="33"/>
        <v>-24.144184048276657</v>
      </c>
      <c r="AE96" s="147">
        <v>-10.023490399453294</v>
      </c>
      <c r="AF96" s="147">
        <f t="shared" si="34"/>
        <v>-14.120693648823362</v>
      </c>
      <c r="AG96" s="86"/>
    </row>
    <row r="97" spans="2:33" x14ac:dyDescent="0.3">
      <c r="B97">
        <v>710</v>
      </c>
      <c r="C97" s="25">
        <v>6</v>
      </c>
      <c r="D97" s="32" t="s">
        <v>117</v>
      </c>
      <c r="E97" s="125">
        <v>73.989999999999995</v>
      </c>
      <c r="F97" s="125">
        <f>INDEX('Revised 2018 Lockdown'!H$5:H$253,MATCH(B97,'Revised 2018 Lockdown'!B$5:B$253,0))</f>
        <v>73.989999999999995</v>
      </c>
      <c r="G97" s="125">
        <f t="shared" si="26"/>
        <v>0</v>
      </c>
      <c r="H97" s="5">
        <v>49597.59</v>
      </c>
      <c r="I97" s="5">
        <f>INDEX('Revised 2018 Lockdown'!E$5:E$253,MATCH(B97,'Revised 2018 Lockdown'!B$5:B$253,0))</f>
        <v>49597.59</v>
      </c>
      <c r="J97" s="5">
        <f t="shared" si="27"/>
        <v>0</v>
      </c>
      <c r="K97" s="5">
        <v>0</v>
      </c>
      <c r="L97" s="5">
        <f>INDEX('Revised 2018 Lockdown'!F$5:F$253,MATCH(B97,'Revised 2018 Lockdown'!B$5:B$253,0))</f>
        <v>0</v>
      </c>
      <c r="M97" s="5">
        <f t="shared" si="28"/>
        <v>0</v>
      </c>
      <c r="N97" s="5">
        <v>49597.59</v>
      </c>
      <c r="O97" s="87">
        <f t="shared" si="29"/>
        <v>49597.59</v>
      </c>
      <c r="P97" s="87">
        <f t="shared" si="30"/>
        <v>0</v>
      </c>
      <c r="Q97" s="85">
        <f t="shared" si="31"/>
        <v>670.32828760643326</v>
      </c>
      <c r="R97" s="6">
        <f t="shared" si="18"/>
        <v>670.32828760643326</v>
      </c>
      <c r="S97" s="5">
        <f t="shared" si="32"/>
        <v>49597.59</v>
      </c>
      <c r="T97" s="113">
        <v>0.13926785714285714</v>
      </c>
      <c r="U97" s="87">
        <f t="shared" si="19"/>
        <v>10911.84018818404</v>
      </c>
      <c r="V97" s="87">
        <f t="shared" si="20"/>
        <v>4182.1282415440983</v>
      </c>
      <c r="W97" s="87">
        <f t="shared" si="21"/>
        <v>455.90058014811063</v>
      </c>
      <c r="X97" s="87">
        <f t="shared" si="22"/>
        <v>621.40832179722429</v>
      </c>
      <c r="Y97" s="87">
        <f t="shared" si="23"/>
        <v>16171.277331673473</v>
      </c>
      <c r="Z97" s="91">
        <f t="shared" si="24"/>
        <v>0.32604965950308218</v>
      </c>
      <c r="AA97" s="86">
        <f t="shared" si="25"/>
        <v>16171.277331673473</v>
      </c>
      <c r="AB97" s="87"/>
      <c r="AC97" s="86">
        <v>16189.632970767432</v>
      </c>
      <c r="AD97" s="147">
        <f t="shared" si="33"/>
        <v>-18.355639093959326</v>
      </c>
      <c r="AE97" s="147">
        <v>-7.3584292665982503</v>
      </c>
      <c r="AF97" s="147">
        <f t="shared" si="34"/>
        <v>-10.997209827361075</v>
      </c>
      <c r="AG97" s="86"/>
    </row>
    <row r="98" spans="2:33" x14ac:dyDescent="0.3">
      <c r="B98">
        <v>743</v>
      </c>
      <c r="C98" s="25">
        <v>6</v>
      </c>
      <c r="D98" s="32" t="s">
        <v>118</v>
      </c>
      <c r="E98" s="125">
        <v>82.770881637323171</v>
      </c>
      <c r="F98" s="125">
        <f>INDEX('Revised 2018 Lockdown'!H$5:H$253,MATCH(B98,'Revised 2018 Lockdown'!B$5:B$253,0))</f>
        <v>82.770881637323171</v>
      </c>
      <c r="G98" s="125">
        <f t="shared" si="26"/>
        <v>0</v>
      </c>
      <c r="H98" s="5">
        <v>136207.07999999999</v>
      </c>
      <c r="I98" s="5">
        <f>INDEX('Revised 2018 Lockdown'!E$5:E$253,MATCH(B98,'Revised 2018 Lockdown'!B$5:B$253,0))</f>
        <v>136207.07999999999</v>
      </c>
      <c r="J98" s="5">
        <f t="shared" si="27"/>
        <v>0</v>
      </c>
      <c r="K98" s="5">
        <v>0</v>
      </c>
      <c r="L98" s="5">
        <f>INDEX('Revised 2018 Lockdown'!F$5:F$253,MATCH(B98,'Revised 2018 Lockdown'!B$5:B$253,0))</f>
        <v>0</v>
      </c>
      <c r="M98" s="5">
        <f t="shared" si="28"/>
        <v>0</v>
      </c>
      <c r="N98" s="5">
        <v>136207.07999999999</v>
      </c>
      <c r="O98" s="87">
        <f t="shared" si="29"/>
        <v>136207.07999999999</v>
      </c>
      <c r="P98" s="87">
        <f t="shared" si="30"/>
        <v>0</v>
      </c>
      <c r="Q98" s="85">
        <f t="shared" si="31"/>
        <v>1645.5917504517831</v>
      </c>
      <c r="R98" s="6">
        <f t="shared" si="18"/>
        <v>1289.5955847737582</v>
      </c>
      <c r="S98" s="5">
        <f t="shared" si="32"/>
        <v>106740.96350732331</v>
      </c>
      <c r="T98" s="113">
        <v>0.67198363095238089</v>
      </c>
      <c r="U98" s="87">
        <f t="shared" si="19"/>
        <v>23483.809098883565</v>
      </c>
      <c r="V98" s="87">
        <f t="shared" si="20"/>
        <v>4678.4490022023656</v>
      </c>
      <c r="W98" s="87">
        <f t="shared" si="21"/>
        <v>4734.2205920581009</v>
      </c>
      <c r="X98" s="87">
        <f t="shared" si="22"/>
        <v>1337.3577829105111</v>
      </c>
      <c r="Y98" s="87">
        <f t="shared" si="23"/>
        <v>34233.836476054545</v>
      </c>
      <c r="Z98" s="91">
        <f t="shared" si="24"/>
        <v>0.32071882575526706</v>
      </c>
      <c r="AA98" s="86">
        <f t="shared" si="25"/>
        <v>34233.836476054545</v>
      </c>
      <c r="AB98" s="87"/>
      <c r="AC98" s="86">
        <v>34236.600752476144</v>
      </c>
      <c r="AD98" s="147">
        <f t="shared" si="33"/>
        <v>-2.7642764215997886</v>
      </c>
      <c r="AE98" s="147">
        <v>-1.915298995176272</v>
      </c>
      <c r="AF98" s="147">
        <f t="shared" si="34"/>
        <v>-0.84897742642351659</v>
      </c>
      <c r="AG98" s="86"/>
    </row>
    <row r="99" spans="2:33" x14ac:dyDescent="0.3">
      <c r="B99">
        <v>747</v>
      </c>
      <c r="C99" s="25">
        <v>6</v>
      </c>
      <c r="D99" s="32" t="s">
        <v>119</v>
      </c>
      <c r="E99" s="125">
        <v>36.5</v>
      </c>
      <c r="F99" s="125">
        <f>INDEX('Revised 2018 Lockdown'!H$5:H$253,MATCH(B99,'Revised 2018 Lockdown'!B$5:B$253,0))</f>
        <v>36.5</v>
      </c>
      <c r="G99" s="125">
        <f t="shared" si="26"/>
        <v>0</v>
      </c>
      <c r="H99" s="5">
        <v>58996.69</v>
      </c>
      <c r="I99" s="5">
        <f>INDEX('Revised 2018 Lockdown'!E$5:E$253,MATCH(B99,'Revised 2018 Lockdown'!B$5:B$253,0))</f>
        <v>58996.69</v>
      </c>
      <c r="J99" s="5">
        <f t="shared" si="27"/>
        <v>0</v>
      </c>
      <c r="K99" s="5">
        <v>0</v>
      </c>
      <c r="L99" s="5">
        <f>INDEX('Revised 2018 Lockdown'!F$5:F$253,MATCH(B99,'Revised 2018 Lockdown'!B$5:B$253,0))</f>
        <v>0</v>
      </c>
      <c r="M99" s="5">
        <f t="shared" si="28"/>
        <v>0</v>
      </c>
      <c r="N99" s="5">
        <v>58996.69</v>
      </c>
      <c r="O99" s="87">
        <f t="shared" si="29"/>
        <v>58996.69</v>
      </c>
      <c r="P99" s="87">
        <f t="shared" si="30"/>
        <v>0</v>
      </c>
      <c r="Q99" s="85">
        <f t="shared" si="31"/>
        <v>1616.3476712328768</v>
      </c>
      <c r="R99" s="6">
        <f t="shared" si="18"/>
        <v>1289.5955847737582</v>
      </c>
      <c r="S99" s="5">
        <f t="shared" si="32"/>
        <v>47070.238844242172</v>
      </c>
      <c r="T99" s="113">
        <v>0.30622619047619049</v>
      </c>
      <c r="U99" s="87">
        <f t="shared" si="19"/>
        <v>10355.804059996126</v>
      </c>
      <c r="V99" s="87">
        <f t="shared" si="20"/>
        <v>2063.0852928282147</v>
      </c>
      <c r="W99" s="87">
        <f t="shared" si="21"/>
        <v>951.36552798314415</v>
      </c>
      <c r="X99" s="87">
        <f t="shared" si="22"/>
        <v>589.74313322068781</v>
      </c>
      <c r="Y99" s="87">
        <f t="shared" si="23"/>
        <v>13959.998014028171</v>
      </c>
      <c r="Z99" s="91">
        <f t="shared" si="24"/>
        <v>0.29657801525551036</v>
      </c>
      <c r="AA99" s="86">
        <f t="shared" si="25"/>
        <v>13959.998014028171</v>
      </c>
      <c r="AB99" s="87"/>
      <c r="AC99" s="86">
        <v>13961.129155700608</v>
      </c>
      <c r="AD99" s="147">
        <f t="shared" si="33"/>
        <v>-1.1311416724365699</v>
      </c>
      <c r="AE99" s="147">
        <v>-0.78222199228184763</v>
      </c>
      <c r="AF99" s="147">
        <f t="shared" si="34"/>
        <v>-0.3489196801547223</v>
      </c>
      <c r="AG99" s="86"/>
    </row>
    <row r="100" spans="2:33" x14ac:dyDescent="0.3">
      <c r="B100">
        <v>758</v>
      </c>
      <c r="C100" s="25">
        <v>6</v>
      </c>
      <c r="D100" s="32" t="s">
        <v>120</v>
      </c>
      <c r="E100" s="125">
        <v>306.60873748050523</v>
      </c>
      <c r="F100" s="125">
        <f>INDEX('Revised 2018 Lockdown'!H$5:H$253,MATCH(B100,'Revised 2018 Lockdown'!B$5:B$253,0))</f>
        <v>306.60873748050523</v>
      </c>
      <c r="G100" s="125">
        <f t="shared" si="26"/>
        <v>0</v>
      </c>
      <c r="H100" s="5">
        <v>319509.06</v>
      </c>
      <c r="I100" s="5">
        <f>INDEX('Revised 2018 Lockdown'!E$5:E$253,MATCH(B100,'Revised 2018 Lockdown'!B$5:B$253,0))</f>
        <v>319509.06</v>
      </c>
      <c r="J100" s="5">
        <f t="shared" si="27"/>
        <v>0</v>
      </c>
      <c r="K100" s="5">
        <v>785.37</v>
      </c>
      <c r="L100" s="5">
        <f>INDEX('Revised 2018 Lockdown'!F$5:F$253,MATCH(B100,'Revised 2018 Lockdown'!B$5:B$253,0))</f>
        <v>785.37</v>
      </c>
      <c r="M100" s="5">
        <f t="shared" si="28"/>
        <v>0</v>
      </c>
      <c r="N100" s="5">
        <v>318723.69</v>
      </c>
      <c r="O100" s="87">
        <f t="shared" si="29"/>
        <v>318723.69</v>
      </c>
      <c r="P100" s="87">
        <f t="shared" si="30"/>
        <v>0</v>
      </c>
      <c r="Q100" s="85">
        <f t="shared" si="31"/>
        <v>1039.5127438932332</v>
      </c>
      <c r="R100" s="6">
        <f t="shared" si="18"/>
        <v>1039.5127438932332</v>
      </c>
      <c r="S100" s="5">
        <f t="shared" si="32"/>
        <v>318723.69</v>
      </c>
      <c r="T100" s="113">
        <v>0.68508184523809523</v>
      </c>
      <c r="U100" s="87">
        <f t="shared" si="19"/>
        <v>70121.591985987878</v>
      </c>
      <c r="V100" s="87">
        <f t="shared" si="20"/>
        <v>17330.410327360474</v>
      </c>
      <c r="W100" s="87">
        <f t="shared" si="21"/>
        <v>14411.708888638021</v>
      </c>
      <c r="X100" s="87">
        <f t="shared" si="22"/>
        <v>3993.289861864635</v>
      </c>
      <c r="Y100" s="87">
        <f t="shared" si="23"/>
        <v>105857.001063851</v>
      </c>
      <c r="Z100" s="91">
        <f t="shared" si="24"/>
        <v>0.33212780971458694</v>
      </c>
      <c r="AA100" s="86">
        <f t="shared" si="25"/>
        <v>105857.001063851</v>
      </c>
      <c r="AB100" s="87"/>
      <c r="AC100" s="86">
        <v>105994.46880464542</v>
      </c>
      <c r="AD100" s="147">
        <f t="shared" si="33"/>
        <v>-137.46774079442548</v>
      </c>
      <c r="AE100" s="147">
        <v>-57.274748802388785</v>
      </c>
      <c r="AF100" s="147">
        <f t="shared" si="34"/>
        <v>-80.192991992036696</v>
      </c>
      <c r="AG100" s="86"/>
    </row>
    <row r="101" spans="2:33" x14ac:dyDescent="0.3">
      <c r="B101">
        <v>765</v>
      </c>
      <c r="C101" s="25">
        <v>6</v>
      </c>
      <c r="D101" s="32" t="s">
        <v>121</v>
      </c>
      <c r="E101" s="125">
        <v>69.141877232449346</v>
      </c>
      <c r="F101" s="125">
        <f>INDEX('Revised 2018 Lockdown'!H$5:H$253,MATCH(B101,'Revised 2018 Lockdown'!B$5:B$253,0))</f>
        <v>69.141877232449346</v>
      </c>
      <c r="G101" s="125">
        <f t="shared" si="26"/>
        <v>0</v>
      </c>
      <c r="H101" s="5">
        <v>86969.12</v>
      </c>
      <c r="I101" s="5">
        <f>INDEX('Revised 2018 Lockdown'!E$5:E$253,MATCH(B101,'Revised 2018 Lockdown'!B$5:B$253,0))</f>
        <v>86969.12</v>
      </c>
      <c r="J101" s="5">
        <f t="shared" si="27"/>
        <v>0</v>
      </c>
      <c r="K101" s="5">
        <v>0</v>
      </c>
      <c r="L101" s="5">
        <f>INDEX('Revised 2018 Lockdown'!F$5:F$253,MATCH(B101,'Revised 2018 Lockdown'!B$5:B$253,0))</f>
        <v>0</v>
      </c>
      <c r="M101" s="5">
        <f t="shared" si="28"/>
        <v>0</v>
      </c>
      <c r="N101" s="5">
        <v>86969.12</v>
      </c>
      <c r="O101" s="87">
        <f t="shared" si="29"/>
        <v>86969.12</v>
      </c>
      <c r="P101" s="87">
        <f t="shared" si="30"/>
        <v>0</v>
      </c>
      <c r="Q101" s="85">
        <f t="shared" si="31"/>
        <v>1257.8356776113687</v>
      </c>
      <c r="R101" s="6">
        <f t="shared" si="18"/>
        <v>1257.8356776113687</v>
      </c>
      <c r="S101" s="5">
        <f t="shared" si="32"/>
        <v>86969.12</v>
      </c>
      <c r="T101" s="113">
        <v>0.26465476190476189</v>
      </c>
      <c r="U101" s="87">
        <f t="shared" si="19"/>
        <v>19133.855873783388</v>
      </c>
      <c r="V101" s="87">
        <f t="shared" si="20"/>
        <v>3908.0983571726088</v>
      </c>
      <c r="W101" s="87">
        <f t="shared" si="21"/>
        <v>1519.1598211788519</v>
      </c>
      <c r="X101" s="87">
        <f t="shared" si="22"/>
        <v>1089.6363090904501</v>
      </c>
      <c r="Y101" s="87">
        <f t="shared" si="23"/>
        <v>25650.750361225299</v>
      </c>
      <c r="Z101" s="91">
        <f t="shared" si="24"/>
        <v>0.29494089811677177</v>
      </c>
      <c r="AA101" s="86">
        <f t="shared" si="25"/>
        <v>25650.750361225299</v>
      </c>
      <c r="AB101" s="87"/>
      <c r="AC101" s="86">
        <v>25684.688897177282</v>
      </c>
      <c r="AD101" s="147">
        <f t="shared" si="33"/>
        <v>-33.938535951983795</v>
      </c>
      <c r="AE101" s="147">
        <v>-14.286363851220813</v>
      </c>
      <c r="AF101" s="147">
        <f t="shared" si="34"/>
        <v>-19.652172100762982</v>
      </c>
      <c r="AG101" s="86"/>
    </row>
    <row r="102" spans="2:33" x14ac:dyDescent="0.3">
      <c r="B102">
        <v>770</v>
      </c>
      <c r="C102" s="25">
        <v>6</v>
      </c>
      <c r="D102" s="32" t="s">
        <v>122</v>
      </c>
      <c r="E102" s="125">
        <v>25.798612785118063</v>
      </c>
      <c r="F102" s="125">
        <f>INDEX('Revised 2018 Lockdown'!H$5:H$253,MATCH(B102,'Revised 2018 Lockdown'!B$5:B$253,0))</f>
        <v>25.798612785118063</v>
      </c>
      <c r="G102" s="125">
        <f t="shared" si="26"/>
        <v>0</v>
      </c>
      <c r="H102" s="5">
        <v>24774.6</v>
      </c>
      <c r="I102" s="5">
        <f>INDEX('Revised 2018 Lockdown'!E$5:E$253,MATCH(B102,'Revised 2018 Lockdown'!B$5:B$253,0))</f>
        <v>24774.6</v>
      </c>
      <c r="J102" s="5">
        <f t="shared" si="27"/>
        <v>0</v>
      </c>
      <c r="K102" s="5">
        <v>0</v>
      </c>
      <c r="L102" s="5">
        <f>INDEX('Revised 2018 Lockdown'!F$5:F$253,MATCH(B102,'Revised 2018 Lockdown'!B$5:B$253,0))</f>
        <v>0</v>
      </c>
      <c r="M102" s="5">
        <f t="shared" si="28"/>
        <v>0</v>
      </c>
      <c r="N102" s="5">
        <v>24774.6</v>
      </c>
      <c r="O102" s="87">
        <f t="shared" si="29"/>
        <v>24774.6</v>
      </c>
      <c r="P102" s="87">
        <f t="shared" si="30"/>
        <v>0</v>
      </c>
      <c r="Q102" s="85">
        <f t="shared" si="31"/>
        <v>960.30744778227893</v>
      </c>
      <c r="R102" s="6">
        <f t="shared" si="18"/>
        <v>960.30744778227893</v>
      </c>
      <c r="S102" s="5">
        <f t="shared" si="32"/>
        <v>24774.6</v>
      </c>
      <c r="T102" s="113">
        <v>0.30622619047619049</v>
      </c>
      <c r="U102" s="87">
        <f t="shared" si="19"/>
        <v>5450.5970134069885</v>
      </c>
      <c r="V102" s="87">
        <f t="shared" si="20"/>
        <v>1458.2120167766307</v>
      </c>
      <c r="W102" s="87">
        <f t="shared" si="21"/>
        <v>500.734667770957</v>
      </c>
      <c r="X102" s="87">
        <f t="shared" si="22"/>
        <v>310.40102168668909</v>
      </c>
      <c r="Y102" s="87">
        <f t="shared" si="23"/>
        <v>7719.9447196412648</v>
      </c>
      <c r="Z102" s="91">
        <f t="shared" si="24"/>
        <v>0.31160723965841086</v>
      </c>
      <c r="AA102" s="86">
        <f t="shared" si="25"/>
        <v>7719.9447196412648</v>
      </c>
      <c r="AB102" s="87"/>
      <c r="AC102" s="86">
        <v>7729.6530672174222</v>
      </c>
      <c r="AD102" s="147">
        <f t="shared" si="33"/>
        <v>-9.7083475761573936</v>
      </c>
      <c r="AE102" s="147">
        <v>-4.0213014884575387</v>
      </c>
      <c r="AF102" s="147">
        <f t="shared" si="34"/>
        <v>-5.687046087699855</v>
      </c>
      <c r="AG102" s="86"/>
    </row>
    <row r="103" spans="2:33" x14ac:dyDescent="0.3">
      <c r="B103">
        <v>774</v>
      </c>
      <c r="C103" s="25">
        <v>6</v>
      </c>
      <c r="D103" s="32" t="s">
        <v>123</v>
      </c>
      <c r="E103" s="125">
        <v>457.94097362750716</v>
      </c>
      <c r="F103" s="125">
        <f>INDEX('Revised 2018 Lockdown'!H$5:H$253,MATCH(B103,'Revised 2018 Lockdown'!B$5:B$253,0))</f>
        <v>457.93871245216212</v>
      </c>
      <c r="G103" s="125">
        <f t="shared" si="26"/>
        <v>2.2611753450405558E-3</v>
      </c>
      <c r="H103" s="5">
        <v>290603.45</v>
      </c>
      <c r="I103" s="5">
        <f>INDEX('Revised 2018 Lockdown'!E$5:E$253,MATCH(B103,'Revised 2018 Lockdown'!B$5:B$253,0))</f>
        <v>290603.45</v>
      </c>
      <c r="J103" s="5">
        <f t="shared" si="27"/>
        <v>0</v>
      </c>
      <c r="K103" s="5">
        <v>0</v>
      </c>
      <c r="L103" s="5">
        <f>INDEX('Revised 2018 Lockdown'!F$5:F$253,MATCH(B103,'Revised 2018 Lockdown'!B$5:B$253,0))</f>
        <v>0</v>
      </c>
      <c r="M103" s="5">
        <f t="shared" si="28"/>
        <v>0</v>
      </c>
      <c r="N103" s="5">
        <v>290603.45</v>
      </c>
      <c r="O103" s="87">
        <f t="shared" si="29"/>
        <v>290603.45</v>
      </c>
      <c r="P103" s="87">
        <f t="shared" si="30"/>
        <v>0</v>
      </c>
      <c r="Q103" s="85">
        <f t="shared" si="31"/>
        <v>634.59026742657727</v>
      </c>
      <c r="R103" s="6">
        <f t="shared" si="18"/>
        <v>634.59026742657727</v>
      </c>
      <c r="S103" s="5">
        <f t="shared" si="32"/>
        <v>290603.45</v>
      </c>
      <c r="T103" s="113">
        <v>0.75681696428571421</v>
      </c>
      <c r="U103" s="87">
        <f t="shared" si="19"/>
        <v>63934.929187787784</v>
      </c>
      <c r="V103" s="87">
        <f t="shared" si="20"/>
        <v>25884.01705963683</v>
      </c>
      <c r="W103" s="87">
        <f t="shared" si="21"/>
        <v>14516.111705917096</v>
      </c>
      <c r="X103" s="87">
        <f t="shared" si="22"/>
        <v>3640.9713087467276</v>
      </c>
      <c r="Y103" s="87">
        <f t="shared" si="23"/>
        <v>107976.02926208843</v>
      </c>
      <c r="Z103" s="91">
        <f t="shared" si="24"/>
        <v>0.37155797449097189</v>
      </c>
      <c r="AA103" s="86">
        <f t="shared" si="25"/>
        <v>107976.02926208843</v>
      </c>
      <c r="AB103" s="87"/>
      <c r="AC103" s="86">
        <v>108101.73360956532</v>
      </c>
      <c r="AD103" s="147">
        <f t="shared" si="33"/>
        <v>-125.70434747688705</v>
      </c>
      <c r="AE103" s="147">
        <v>-50.410974794416688</v>
      </c>
      <c r="AF103" s="147">
        <f t="shared" si="34"/>
        <v>-75.293372682470363</v>
      </c>
      <c r="AG103" s="86"/>
    </row>
    <row r="104" spans="2:33" x14ac:dyDescent="0.3">
      <c r="B104">
        <v>794</v>
      </c>
      <c r="C104" s="25">
        <v>6</v>
      </c>
      <c r="D104" s="32" t="s">
        <v>124</v>
      </c>
      <c r="E104" s="125">
        <v>19.568200239680415</v>
      </c>
      <c r="F104" s="125">
        <f>INDEX('Revised 2018 Lockdown'!H$5:H$253,MATCH(B104,'Revised 2018 Lockdown'!B$5:B$253,0))</f>
        <v>19.568103617769562</v>
      </c>
      <c r="G104" s="125">
        <f t="shared" si="26"/>
        <v>9.6621910852690007E-5</v>
      </c>
      <c r="H104" s="5">
        <v>45369.11</v>
      </c>
      <c r="I104" s="5">
        <f>INDEX('Revised 2018 Lockdown'!E$5:E$253,MATCH(B104,'Revised 2018 Lockdown'!B$5:B$253,0))</f>
        <v>45369.11</v>
      </c>
      <c r="J104" s="5">
        <f t="shared" si="27"/>
        <v>0</v>
      </c>
      <c r="K104" s="5">
        <v>0</v>
      </c>
      <c r="L104" s="5">
        <f>INDEX('Revised 2018 Lockdown'!F$5:F$253,MATCH(B104,'Revised 2018 Lockdown'!B$5:B$253,0))</f>
        <v>0</v>
      </c>
      <c r="M104" s="5">
        <f t="shared" si="28"/>
        <v>0</v>
      </c>
      <c r="N104" s="5">
        <v>45369.11</v>
      </c>
      <c r="O104" s="87">
        <f t="shared" si="29"/>
        <v>45369.11</v>
      </c>
      <c r="P104" s="87">
        <f t="shared" si="30"/>
        <v>0</v>
      </c>
      <c r="Q104" s="85">
        <f t="shared" si="31"/>
        <v>2318.5235976980853</v>
      </c>
      <c r="R104" s="6">
        <f t="shared" si="18"/>
        <v>1289.5955847737582</v>
      </c>
      <c r="S104" s="5">
        <f t="shared" si="32"/>
        <v>25234.940027871031</v>
      </c>
      <c r="T104" s="113">
        <v>0.61912946428571425</v>
      </c>
      <c r="U104" s="87">
        <f t="shared" si="19"/>
        <v>5551.8752572965186</v>
      </c>
      <c r="V104" s="87">
        <f t="shared" si="20"/>
        <v>1106.0456652701087</v>
      </c>
      <c r="W104" s="87">
        <f t="shared" si="21"/>
        <v>1031.1988661493315</v>
      </c>
      <c r="X104" s="87">
        <f t="shared" si="22"/>
        <v>316.16862297891771</v>
      </c>
      <c r="Y104" s="87">
        <f t="shared" si="23"/>
        <v>8005.2884116948762</v>
      </c>
      <c r="Z104" s="91">
        <f t="shared" si="24"/>
        <v>0.31723033234290787</v>
      </c>
      <c r="AA104" s="86">
        <f t="shared" si="25"/>
        <v>8005.2884116948762</v>
      </c>
      <c r="AB104" s="87"/>
      <c r="AC104" s="86">
        <v>8005.9746483823446</v>
      </c>
      <c r="AD104" s="147">
        <f t="shared" si="33"/>
        <v>-0.68623668746840849</v>
      </c>
      <c r="AE104" s="147">
        <v>-0.4479709530596665</v>
      </c>
      <c r="AF104" s="147">
        <f t="shared" si="34"/>
        <v>-0.23826573440874199</v>
      </c>
      <c r="AG104" s="86"/>
    </row>
    <row r="105" spans="2:33" x14ac:dyDescent="0.3">
      <c r="B105">
        <v>806</v>
      </c>
      <c r="C105" s="25">
        <v>6</v>
      </c>
      <c r="D105" s="32" t="s">
        <v>125</v>
      </c>
      <c r="E105" s="125">
        <v>23.326411869078932</v>
      </c>
      <c r="F105" s="125">
        <f>INDEX('Revised 2018 Lockdown'!H$5:H$253,MATCH(B105,'Revised 2018 Lockdown'!B$5:B$253,0))</f>
        <v>23.326411869078932</v>
      </c>
      <c r="G105" s="125">
        <f t="shared" si="26"/>
        <v>0</v>
      </c>
      <c r="H105" s="5">
        <v>37091.449999999997</v>
      </c>
      <c r="I105" s="5">
        <f>INDEX('Revised 2018 Lockdown'!E$5:E$253,MATCH(B105,'Revised 2018 Lockdown'!B$5:B$253,0))</f>
        <v>37091.449999999997</v>
      </c>
      <c r="J105" s="5">
        <f t="shared" si="27"/>
        <v>0</v>
      </c>
      <c r="K105" s="5">
        <v>0</v>
      </c>
      <c r="L105" s="5">
        <f>INDEX('Revised 2018 Lockdown'!F$5:F$253,MATCH(B105,'Revised 2018 Lockdown'!B$5:B$253,0))</f>
        <v>0</v>
      </c>
      <c r="M105" s="5">
        <f t="shared" si="28"/>
        <v>0</v>
      </c>
      <c r="N105" s="5">
        <v>37091.449999999997</v>
      </c>
      <c r="O105" s="87">
        <f t="shared" si="29"/>
        <v>37091.449999999997</v>
      </c>
      <c r="P105" s="87">
        <f t="shared" si="30"/>
        <v>0</v>
      </c>
      <c r="Q105" s="85">
        <f t="shared" si="31"/>
        <v>1590.1052509995225</v>
      </c>
      <c r="R105" s="6">
        <f t="shared" si="18"/>
        <v>1289.5955847737582</v>
      </c>
      <c r="S105" s="5">
        <f t="shared" si="32"/>
        <v>30081.637754978379</v>
      </c>
      <c r="T105" s="113">
        <v>0.22310119047619048</v>
      </c>
      <c r="U105" s="87">
        <f t="shared" si="19"/>
        <v>6618.1849517520386</v>
      </c>
      <c r="V105" s="87">
        <f t="shared" si="20"/>
        <v>1318.476089357541</v>
      </c>
      <c r="W105" s="87">
        <f t="shared" si="21"/>
        <v>442.95748245824666</v>
      </c>
      <c r="X105" s="87">
        <f t="shared" si="22"/>
        <v>376.89291020457119</v>
      </c>
      <c r="Y105" s="87">
        <f t="shared" si="23"/>
        <v>8756.5114337723971</v>
      </c>
      <c r="Z105" s="91">
        <f t="shared" si="24"/>
        <v>0.29109157902558791</v>
      </c>
      <c r="AA105" s="86">
        <f t="shared" si="25"/>
        <v>8756.5114337723971</v>
      </c>
      <c r="AB105" s="87"/>
      <c r="AC105" s="86">
        <v>8757.2215656162571</v>
      </c>
      <c r="AD105" s="147">
        <f t="shared" si="33"/>
        <v>-0.71013184385992645</v>
      </c>
      <c r="AE105" s="147">
        <v>-0.49084209963803005</v>
      </c>
      <c r="AF105" s="147">
        <f t="shared" si="34"/>
        <v>-0.2192897442218964</v>
      </c>
      <c r="AG105" s="86"/>
    </row>
    <row r="106" spans="2:33" x14ac:dyDescent="0.3">
      <c r="B106">
        <v>809</v>
      </c>
      <c r="C106" s="25">
        <v>6</v>
      </c>
      <c r="D106" s="32" t="s">
        <v>299</v>
      </c>
      <c r="E106" s="125">
        <v>477.2783239455166</v>
      </c>
      <c r="F106" s="125">
        <f>INDEX('Revised 2018 Lockdown'!H$5:H$253,MATCH(B106,'Revised 2018 Lockdown'!B$5:B$253,0))</f>
        <v>477.2783239455166</v>
      </c>
      <c r="G106" s="125">
        <f t="shared" si="26"/>
        <v>0</v>
      </c>
      <c r="H106" s="5">
        <v>497452.38</v>
      </c>
      <c r="I106" s="5">
        <f>INDEX('Revised 2018 Lockdown'!E$5:E$253,MATCH(B106,'Revised 2018 Lockdown'!B$5:B$253,0))</f>
        <v>497452.38</v>
      </c>
      <c r="J106" s="5">
        <f t="shared" si="27"/>
        <v>0</v>
      </c>
      <c r="K106" s="5">
        <v>0</v>
      </c>
      <c r="L106" s="5">
        <f>INDEX('Revised 2018 Lockdown'!F$5:F$253,MATCH(B106,'Revised 2018 Lockdown'!B$5:B$253,0))</f>
        <v>0</v>
      </c>
      <c r="M106" s="5">
        <f t="shared" si="28"/>
        <v>0</v>
      </c>
      <c r="N106" s="5">
        <v>497452.38</v>
      </c>
      <c r="O106" s="87">
        <f t="shared" si="29"/>
        <v>497452.38</v>
      </c>
      <c r="P106" s="87">
        <f t="shared" si="30"/>
        <v>0</v>
      </c>
      <c r="Q106" s="85">
        <f t="shared" si="31"/>
        <v>1042.2689551197518</v>
      </c>
      <c r="R106" s="6">
        <f t="shared" si="18"/>
        <v>1042.2689551197518</v>
      </c>
      <c r="S106" s="5">
        <f t="shared" si="32"/>
        <v>497452.38</v>
      </c>
      <c r="T106" s="113">
        <v>0.57920535714285715</v>
      </c>
      <c r="U106" s="87">
        <f t="shared" si="19"/>
        <v>109443.23850799604</v>
      </c>
      <c r="V106" s="87">
        <f t="shared" si="20"/>
        <v>26977.147690895767</v>
      </c>
      <c r="W106" s="87">
        <f t="shared" si="21"/>
        <v>19017.033014068424</v>
      </c>
      <c r="X106" s="87">
        <f t="shared" si="22"/>
        <v>6232.5820393659278</v>
      </c>
      <c r="Y106" s="87">
        <f t="shared" si="23"/>
        <v>161670.00125232615</v>
      </c>
      <c r="Z106" s="91">
        <f t="shared" si="24"/>
        <v>0.32499593479143901</v>
      </c>
      <c r="AA106" s="86">
        <f t="shared" si="25"/>
        <v>161670.00125232615</v>
      </c>
      <c r="AB106" s="87"/>
      <c r="AC106" s="86">
        <v>161879.20302645591</v>
      </c>
      <c r="AD106" s="147">
        <f t="shared" si="33"/>
        <v>-209.20177412976045</v>
      </c>
      <c r="AE106" s="147">
        <v>-87.161695103684906</v>
      </c>
      <c r="AF106" s="147">
        <f t="shared" si="34"/>
        <v>-122.04007902607555</v>
      </c>
      <c r="AG106" s="86"/>
    </row>
    <row r="107" spans="2:33" x14ac:dyDescent="0.3">
      <c r="B107">
        <v>811</v>
      </c>
      <c r="C107" s="25">
        <v>6</v>
      </c>
      <c r="D107" s="32" t="s">
        <v>126</v>
      </c>
      <c r="E107" s="125">
        <v>746.28568297723302</v>
      </c>
      <c r="F107" s="125">
        <f>INDEX('Revised 2018 Lockdown'!H$5:H$253,MATCH(B107,'Revised 2018 Lockdown'!B$5:B$253,0))</f>
        <v>746.28568297723302</v>
      </c>
      <c r="G107" s="125">
        <f t="shared" si="26"/>
        <v>0</v>
      </c>
      <c r="H107" s="5">
        <v>505579.98</v>
      </c>
      <c r="I107" s="5">
        <f>INDEX('Revised 2018 Lockdown'!E$5:E$253,MATCH(B107,'Revised 2018 Lockdown'!B$5:B$253,0))</f>
        <v>505579.98</v>
      </c>
      <c r="J107" s="5">
        <f t="shared" si="27"/>
        <v>0</v>
      </c>
      <c r="K107" s="5">
        <v>3403.13</v>
      </c>
      <c r="L107" s="5">
        <f>INDEX('Revised 2018 Lockdown'!F$5:F$253,MATCH(B107,'Revised 2018 Lockdown'!B$5:B$253,0))</f>
        <v>3403.13</v>
      </c>
      <c r="M107" s="5">
        <f t="shared" si="28"/>
        <v>0</v>
      </c>
      <c r="N107" s="5">
        <v>502176.85</v>
      </c>
      <c r="O107" s="87">
        <f t="shared" si="29"/>
        <v>502176.85</v>
      </c>
      <c r="P107" s="87">
        <f t="shared" si="30"/>
        <v>0</v>
      </c>
      <c r="Q107" s="85">
        <f t="shared" si="31"/>
        <v>672.9016266218789</v>
      </c>
      <c r="R107" s="6">
        <f t="shared" si="18"/>
        <v>672.9016266218789</v>
      </c>
      <c r="S107" s="5">
        <f t="shared" si="32"/>
        <v>502176.84999999992</v>
      </c>
      <c r="T107" s="113">
        <v>0.59270238095238093</v>
      </c>
      <c r="U107" s="87">
        <f t="shared" si="19"/>
        <v>110482.65718970756</v>
      </c>
      <c r="V107" s="87">
        <f t="shared" si="20"/>
        <v>42182.219638317503</v>
      </c>
      <c r="W107" s="87">
        <f t="shared" si="21"/>
        <v>19645.000191085608</v>
      </c>
      <c r="X107" s="87">
        <f t="shared" si="22"/>
        <v>6291.7749351110897</v>
      </c>
      <c r="Y107" s="87">
        <f t="shared" si="23"/>
        <v>178601.65195422174</v>
      </c>
      <c r="Z107" s="91">
        <f t="shared" si="24"/>
        <v>0.35565488921725835</v>
      </c>
      <c r="AA107" s="86">
        <f t="shared" si="25"/>
        <v>178601.65195422174</v>
      </c>
      <c r="AB107" s="87"/>
      <c r="AC107" s="86">
        <v>178810.73384859384</v>
      </c>
      <c r="AD107" s="147">
        <f t="shared" si="33"/>
        <v>-209.08189437209512</v>
      </c>
      <c r="AE107" s="147">
        <v>-84.274408837605733</v>
      </c>
      <c r="AF107" s="147">
        <f t="shared" si="34"/>
        <v>-124.80748553448939</v>
      </c>
      <c r="AG107" s="86"/>
    </row>
    <row r="108" spans="2:33" x14ac:dyDescent="0.3">
      <c r="B108">
        <v>824</v>
      </c>
      <c r="C108" s="25">
        <v>6</v>
      </c>
      <c r="D108" s="32" t="s">
        <v>127</v>
      </c>
      <c r="E108" s="125">
        <v>35.809199999999997</v>
      </c>
      <c r="F108" s="125">
        <f>INDEX('Revised 2018 Lockdown'!H$5:H$253,MATCH(B108,'Revised 2018 Lockdown'!B$5:B$253,0))</f>
        <v>35.809199999999997</v>
      </c>
      <c r="G108" s="125">
        <f t="shared" si="26"/>
        <v>0</v>
      </c>
      <c r="H108" s="5">
        <v>54369.59</v>
      </c>
      <c r="I108" s="5">
        <f>INDEX('Revised 2018 Lockdown'!E$5:E$253,MATCH(B108,'Revised 2018 Lockdown'!B$5:B$253,0))</f>
        <v>54369.59</v>
      </c>
      <c r="J108" s="5">
        <f t="shared" si="27"/>
        <v>0</v>
      </c>
      <c r="K108" s="5">
        <v>0</v>
      </c>
      <c r="L108" s="5">
        <f>INDEX('Revised 2018 Lockdown'!F$5:F$253,MATCH(B108,'Revised 2018 Lockdown'!B$5:B$253,0))</f>
        <v>0</v>
      </c>
      <c r="M108" s="5">
        <f t="shared" si="28"/>
        <v>0</v>
      </c>
      <c r="N108" s="5">
        <v>54369.59</v>
      </c>
      <c r="O108" s="87">
        <f t="shared" si="29"/>
        <v>54369.59</v>
      </c>
      <c r="P108" s="87">
        <f t="shared" si="30"/>
        <v>0</v>
      </c>
      <c r="Q108" s="85">
        <f t="shared" si="31"/>
        <v>1518.3134501748154</v>
      </c>
      <c r="R108" s="6">
        <f t="shared" si="18"/>
        <v>1289.5955847737582</v>
      </c>
      <c r="S108" s="5">
        <f t="shared" si="32"/>
        <v>46179.386214280457</v>
      </c>
      <c r="T108" s="113">
        <v>0.27851785714285715</v>
      </c>
      <c r="U108" s="87">
        <f t="shared" si="19"/>
        <v>10159.80982863598</v>
      </c>
      <c r="V108" s="87">
        <f t="shared" si="20"/>
        <v>2024.0392840532627</v>
      </c>
      <c r="W108" s="87">
        <f t="shared" si="21"/>
        <v>848.90653873518954</v>
      </c>
      <c r="X108" s="87">
        <f t="shared" si="22"/>
        <v>578.58163852400685</v>
      </c>
      <c r="Y108" s="87">
        <f t="shared" si="23"/>
        <v>13611.337289948438</v>
      </c>
      <c r="Z108" s="91">
        <f t="shared" si="24"/>
        <v>0.29474920317886955</v>
      </c>
      <c r="AA108" s="86">
        <f t="shared" si="25"/>
        <v>13611.337289948438</v>
      </c>
      <c r="AB108" s="87"/>
      <c r="AC108" s="86">
        <v>13612.440495222354</v>
      </c>
      <c r="AD108" s="147">
        <f t="shared" si="33"/>
        <v>-1.1032052739155915</v>
      </c>
      <c r="AE108" s="147">
        <v>-0.76278144828756922</v>
      </c>
      <c r="AF108" s="147">
        <f t="shared" si="34"/>
        <v>-0.34042382562802231</v>
      </c>
      <c r="AG108" s="86"/>
    </row>
    <row r="109" spans="2:33" x14ac:dyDescent="0.3">
      <c r="B109">
        <v>826</v>
      </c>
      <c r="C109" s="25">
        <v>6</v>
      </c>
      <c r="D109" s="32" t="s">
        <v>128</v>
      </c>
      <c r="E109" s="125">
        <v>41.71</v>
      </c>
      <c r="F109" s="125">
        <f>INDEX('Revised 2018 Lockdown'!H$5:H$253,MATCH(B109,'Revised 2018 Lockdown'!B$5:B$253,0))</f>
        <v>41.71</v>
      </c>
      <c r="G109" s="125">
        <f t="shared" si="26"/>
        <v>0</v>
      </c>
      <c r="H109" s="5">
        <v>33872.559999999998</v>
      </c>
      <c r="I109" s="5">
        <f>INDEX('Revised 2018 Lockdown'!E$5:E$253,MATCH(B109,'Revised 2018 Lockdown'!B$5:B$253,0))</f>
        <v>33872.559999999998</v>
      </c>
      <c r="J109" s="5">
        <f t="shared" si="27"/>
        <v>0</v>
      </c>
      <c r="K109" s="5">
        <v>0</v>
      </c>
      <c r="L109" s="5">
        <f>INDEX('Revised 2018 Lockdown'!F$5:F$253,MATCH(B109,'Revised 2018 Lockdown'!B$5:B$253,0))</f>
        <v>0</v>
      </c>
      <c r="M109" s="5">
        <f t="shared" si="28"/>
        <v>0</v>
      </c>
      <c r="N109" s="5">
        <v>33872.559999999998</v>
      </c>
      <c r="O109" s="87">
        <f t="shared" si="29"/>
        <v>33872.559999999998</v>
      </c>
      <c r="P109" s="87">
        <f t="shared" si="30"/>
        <v>0</v>
      </c>
      <c r="Q109" s="85">
        <f t="shared" si="31"/>
        <v>812.09685926636291</v>
      </c>
      <c r="R109" s="6">
        <f t="shared" si="18"/>
        <v>812.09685926636291</v>
      </c>
      <c r="S109" s="5">
        <f t="shared" si="32"/>
        <v>33872.559999999998</v>
      </c>
      <c r="T109" s="113">
        <v>0.54403422619047614</v>
      </c>
      <c r="U109" s="87">
        <f t="shared" si="19"/>
        <v>7452.2161557582776</v>
      </c>
      <c r="V109" s="87">
        <f t="shared" si="20"/>
        <v>2357.5695222976665</v>
      </c>
      <c r="W109" s="87">
        <f t="shared" si="21"/>
        <v>1216.2781949106356</v>
      </c>
      <c r="X109" s="87">
        <f t="shared" si="22"/>
        <v>424.38938393127142</v>
      </c>
      <c r="Y109" s="87">
        <f t="shared" si="23"/>
        <v>11450.453256897852</v>
      </c>
      <c r="Z109" s="91">
        <f t="shared" si="24"/>
        <v>0.33804510957830919</v>
      </c>
      <c r="AA109" s="86">
        <f t="shared" si="25"/>
        <v>11450.453256897852</v>
      </c>
      <c r="AB109" s="87"/>
      <c r="AC109" s="86">
        <v>11464.479429887228</v>
      </c>
      <c r="AD109" s="147">
        <f t="shared" si="33"/>
        <v>-14.026172989375482</v>
      </c>
      <c r="AE109" s="147">
        <v>-5.7446569767071196</v>
      </c>
      <c r="AF109" s="147">
        <f t="shared" si="34"/>
        <v>-8.2815160126683622</v>
      </c>
      <c r="AG109" s="86"/>
    </row>
    <row r="110" spans="2:33" x14ac:dyDescent="0.3">
      <c r="B110">
        <v>840</v>
      </c>
      <c r="C110" s="25">
        <v>6</v>
      </c>
      <c r="D110" s="32" t="s">
        <v>129</v>
      </c>
      <c r="E110" s="125">
        <v>161.72</v>
      </c>
      <c r="F110" s="125">
        <f>INDEX('Revised 2018 Lockdown'!H$5:H$253,MATCH(B110,'Revised 2018 Lockdown'!B$5:B$253,0))</f>
        <v>161.72</v>
      </c>
      <c r="G110" s="125">
        <f t="shared" si="26"/>
        <v>0</v>
      </c>
      <c r="H110" s="5">
        <v>88518.53</v>
      </c>
      <c r="I110" s="5">
        <f>INDEX('Revised 2018 Lockdown'!E$5:E$253,MATCH(B110,'Revised 2018 Lockdown'!B$5:B$253,0))</f>
        <v>88518.53</v>
      </c>
      <c r="J110" s="5">
        <f t="shared" si="27"/>
        <v>0</v>
      </c>
      <c r="K110" s="5">
        <v>0</v>
      </c>
      <c r="L110" s="5">
        <f>INDEX('Revised 2018 Lockdown'!F$5:F$253,MATCH(B110,'Revised 2018 Lockdown'!B$5:B$253,0))</f>
        <v>0</v>
      </c>
      <c r="M110" s="5">
        <f t="shared" si="28"/>
        <v>0</v>
      </c>
      <c r="N110" s="5">
        <v>88518.53</v>
      </c>
      <c r="O110" s="87">
        <f t="shared" si="29"/>
        <v>88518.53</v>
      </c>
      <c r="P110" s="87">
        <f t="shared" si="30"/>
        <v>0</v>
      </c>
      <c r="Q110" s="85">
        <f t="shared" si="31"/>
        <v>547.35672767746723</v>
      </c>
      <c r="R110" s="6">
        <f t="shared" si="18"/>
        <v>547.35672767746723</v>
      </c>
      <c r="S110" s="5">
        <f t="shared" si="32"/>
        <v>88518.53</v>
      </c>
      <c r="T110" s="113">
        <v>0.48061904761904756</v>
      </c>
      <c r="U110" s="87">
        <f t="shared" si="19"/>
        <v>19474.737644570527</v>
      </c>
      <c r="V110" s="87">
        <f t="shared" si="20"/>
        <v>9140.8809193473662</v>
      </c>
      <c r="W110" s="87">
        <f t="shared" si="21"/>
        <v>2807.97895780929</v>
      </c>
      <c r="X110" s="87">
        <f t="shared" si="22"/>
        <v>1109.0488706257152</v>
      </c>
      <c r="Y110" s="87">
        <f t="shared" si="23"/>
        <v>32532.646392352901</v>
      </c>
      <c r="Z110" s="91">
        <f t="shared" si="24"/>
        <v>0.36752357266159869</v>
      </c>
      <c r="AA110" s="86">
        <f t="shared" si="25"/>
        <v>32532.646392352901</v>
      </c>
      <c r="AB110" s="87"/>
      <c r="AC110" s="86">
        <v>32568.171175282241</v>
      </c>
      <c r="AD110" s="147">
        <f t="shared" si="33"/>
        <v>-35.52478292934029</v>
      </c>
      <c r="AE110" s="147">
        <v>-13.974343234869593</v>
      </c>
      <c r="AF110" s="147">
        <f t="shared" si="34"/>
        <v>-21.550439694470697</v>
      </c>
      <c r="AG110" s="86"/>
    </row>
    <row r="111" spans="2:33" x14ac:dyDescent="0.3">
      <c r="B111">
        <v>843</v>
      </c>
      <c r="C111" s="25">
        <v>6</v>
      </c>
      <c r="D111" s="32" t="s">
        <v>130</v>
      </c>
      <c r="E111" s="125">
        <v>19.13961999514169</v>
      </c>
      <c r="F111" s="125">
        <f>INDEX('Revised 2018 Lockdown'!H$5:H$253,MATCH(B111,'Revised 2018 Lockdown'!B$5:B$253,0))</f>
        <v>19.13961999514169</v>
      </c>
      <c r="G111" s="125">
        <f t="shared" si="26"/>
        <v>0</v>
      </c>
      <c r="H111" s="5">
        <v>32653.86</v>
      </c>
      <c r="I111" s="5">
        <f>INDEX('Revised 2018 Lockdown'!E$5:E$253,MATCH(B111,'Revised 2018 Lockdown'!B$5:B$253,0))</f>
        <v>32653.86</v>
      </c>
      <c r="J111" s="5">
        <f t="shared" si="27"/>
        <v>0</v>
      </c>
      <c r="K111" s="5">
        <v>0</v>
      </c>
      <c r="L111" s="5">
        <f>INDEX('Revised 2018 Lockdown'!F$5:F$253,MATCH(B111,'Revised 2018 Lockdown'!B$5:B$253,0))</f>
        <v>0</v>
      </c>
      <c r="M111" s="5">
        <f t="shared" si="28"/>
        <v>0</v>
      </c>
      <c r="N111" s="5">
        <v>32653.86</v>
      </c>
      <c r="O111" s="87">
        <f t="shared" si="29"/>
        <v>32653.86</v>
      </c>
      <c r="P111" s="87">
        <f t="shared" si="30"/>
        <v>0</v>
      </c>
      <c r="Q111" s="85">
        <f t="shared" si="31"/>
        <v>1706.0871641280601</v>
      </c>
      <c r="R111" s="6">
        <f t="shared" si="18"/>
        <v>1289.5955847737582</v>
      </c>
      <c r="S111" s="5">
        <f t="shared" si="32"/>
        <v>24682.369439982263</v>
      </c>
      <c r="T111" s="113">
        <v>0.19537500000000002</v>
      </c>
      <c r="U111" s="87">
        <f t="shared" si="19"/>
        <v>5430.3056014375716</v>
      </c>
      <c r="V111" s="87">
        <f t="shared" si="20"/>
        <v>1081.8265348574696</v>
      </c>
      <c r="W111" s="87">
        <f t="shared" si="21"/>
        <v>318.28378706425968</v>
      </c>
      <c r="X111" s="87">
        <f t="shared" si="22"/>
        <v>309.24546478323794</v>
      </c>
      <c r="Y111" s="87">
        <f t="shared" si="23"/>
        <v>7139.6613881425392</v>
      </c>
      <c r="Z111" s="91">
        <f t="shared" si="24"/>
        <v>0.28926158833751214</v>
      </c>
      <c r="AA111" s="86">
        <f t="shared" si="25"/>
        <v>7139.6613881425392</v>
      </c>
      <c r="AB111" s="87"/>
      <c r="AC111" s="86">
        <v>7140.2405688291201</v>
      </c>
      <c r="AD111" s="147">
        <f t="shared" si="33"/>
        <v>-0.57918068658091215</v>
      </c>
      <c r="AE111" s="147">
        <v>-0.40026264697280567</v>
      </c>
      <c r="AF111" s="147">
        <f t="shared" si="34"/>
        <v>-0.17891803960810648</v>
      </c>
      <c r="AG111" s="86"/>
    </row>
    <row r="112" spans="2:33" x14ac:dyDescent="0.3">
      <c r="B112">
        <v>846</v>
      </c>
      <c r="C112" s="25">
        <v>6</v>
      </c>
      <c r="D112" s="32" t="s">
        <v>131</v>
      </c>
      <c r="E112" s="125">
        <v>24.91</v>
      </c>
      <c r="F112" s="125">
        <f>INDEX('Revised 2018 Lockdown'!H$5:H$253,MATCH(B112,'Revised 2018 Lockdown'!B$5:B$253,0))</f>
        <v>24.91</v>
      </c>
      <c r="G112" s="125">
        <f t="shared" si="26"/>
        <v>0</v>
      </c>
      <c r="H112" s="5">
        <v>42522.03</v>
      </c>
      <c r="I112" s="5">
        <f>INDEX('Revised 2018 Lockdown'!E$5:E$253,MATCH(B112,'Revised 2018 Lockdown'!B$5:B$253,0))</f>
        <v>42522.03</v>
      </c>
      <c r="J112" s="5">
        <f t="shared" si="27"/>
        <v>0</v>
      </c>
      <c r="K112" s="5">
        <v>0</v>
      </c>
      <c r="L112" s="5">
        <f>INDEX('Revised 2018 Lockdown'!F$5:F$253,MATCH(B112,'Revised 2018 Lockdown'!B$5:B$253,0))</f>
        <v>0</v>
      </c>
      <c r="M112" s="5">
        <f t="shared" si="28"/>
        <v>0</v>
      </c>
      <c r="N112" s="5">
        <v>42522.03</v>
      </c>
      <c r="O112" s="87">
        <f t="shared" si="29"/>
        <v>42522.03</v>
      </c>
      <c r="P112" s="87">
        <f t="shared" si="30"/>
        <v>0</v>
      </c>
      <c r="Q112" s="85">
        <f t="shared" si="31"/>
        <v>1707.0264953833801</v>
      </c>
      <c r="R112" s="6">
        <f t="shared" si="18"/>
        <v>1289.5955847737582</v>
      </c>
      <c r="S112" s="5">
        <f t="shared" si="32"/>
        <v>32123.826016714316</v>
      </c>
      <c r="T112" s="113">
        <v>0.23694642857142856</v>
      </c>
      <c r="U112" s="87">
        <f t="shared" si="19"/>
        <v>7067.4816201233834</v>
      </c>
      <c r="V112" s="87">
        <f t="shared" si="20"/>
        <v>1407.9850587493374</v>
      </c>
      <c r="W112" s="87">
        <f t="shared" si="21"/>
        <v>502.3843586647348</v>
      </c>
      <c r="X112" s="87">
        <f t="shared" si="22"/>
        <v>402.47949174047483</v>
      </c>
      <c r="Y112" s="87">
        <f t="shared" si="23"/>
        <v>9380.3305292779296</v>
      </c>
      <c r="Z112" s="91">
        <f t="shared" si="24"/>
        <v>0.29200539575819079</v>
      </c>
      <c r="AA112" s="86">
        <f t="shared" si="25"/>
        <v>9380.3305292779296</v>
      </c>
      <c r="AB112" s="87"/>
      <c r="AC112" s="86">
        <v>9381.0911399043453</v>
      </c>
      <c r="AD112" s="147">
        <f t="shared" si="33"/>
        <v>-0.76061062641565513</v>
      </c>
      <c r="AE112" s="147">
        <v>-0.52577598649986612</v>
      </c>
      <c r="AF112" s="147">
        <f t="shared" si="34"/>
        <v>-0.23483463991578901</v>
      </c>
      <c r="AG112" s="86"/>
    </row>
    <row r="113" spans="2:33" x14ac:dyDescent="0.3">
      <c r="B113">
        <v>888</v>
      </c>
      <c r="C113" s="25">
        <v>6</v>
      </c>
      <c r="D113" s="32" t="s">
        <v>132</v>
      </c>
      <c r="E113" s="125">
        <v>110.31234724977445</v>
      </c>
      <c r="F113" s="125">
        <f>INDEX('Revised 2018 Lockdown'!H$5:H$253,MATCH(B113,'Revised 2018 Lockdown'!B$5:B$253,0))</f>
        <v>110.31180256044935</v>
      </c>
      <c r="G113" s="125">
        <f t="shared" si="26"/>
        <v>5.4468932509621482E-4</v>
      </c>
      <c r="H113" s="5">
        <v>48959.88</v>
      </c>
      <c r="I113" s="5">
        <f>INDEX('Revised 2018 Lockdown'!E$5:E$253,MATCH(B113,'Revised 2018 Lockdown'!B$5:B$253,0))</f>
        <v>48959.88</v>
      </c>
      <c r="J113" s="5">
        <f t="shared" si="27"/>
        <v>0</v>
      </c>
      <c r="K113" s="5">
        <v>0</v>
      </c>
      <c r="L113" s="5">
        <f>INDEX('Revised 2018 Lockdown'!F$5:F$253,MATCH(B113,'Revised 2018 Lockdown'!B$5:B$253,0))</f>
        <v>0</v>
      </c>
      <c r="M113" s="5">
        <f t="shared" si="28"/>
        <v>0</v>
      </c>
      <c r="N113" s="5">
        <v>48959.88</v>
      </c>
      <c r="O113" s="87">
        <f t="shared" si="29"/>
        <v>48959.88</v>
      </c>
      <c r="P113" s="87">
        <f t="shared" si="30"/>
        <v>0</v>
      </c>
      <c r="Q113" s="85">
        <f t="shared" si="31"/>
        <v>443.83174659094755</v>
      </c>
      <c r="R113" s="6">
        <f t="shared" si="18"/>
        <v>443.83174659094755</v>
      </c>
      <c r="S113" s="5">
        <f t="shared" si="32"/>
        <v>48959.88</v>
      </c>
      <c r="T113" s="113">
        <v>0.49433779761904761</v>
      </c>
      <c r="U113" s="87">
        <f t="shared" si="19"/>
        <v>10771.539225850855</v>
      </c>
      <c r="V113" s="87">
        <f t="shared" si="20"/>
        <v>6235.141301036515</v>
      </c>
      <c r="W113" s="87">
        <f t="shared" si="21"/>
        <v>1597.4336933622874</v>
      </c>
      <c r="X113" s="87">
        <f t="shared" si="22"/>
        <v>613.41845170689726</v>
      </c>
      <c r="Y113" s="87">
        <f t="shared" si="23"/>
        <v>19217.532671956553</v>
      </c>
      <c r="Z113" s="91">
        <f t="shared" si="24"/>
        <v>0.39251592675383506</v>
      </c>
      <c r="AA113" s="86">
        <f t="shared" si="25"/>
        <v>19217.532671956553</v>
      </c>
      <c r="AB113" s="87"/>
      <c r="AC113" s="86">
        <v>19237.060082448515</v>
      </c>
      <c r="AD113" s="147">
        <f t="shared" si="33"/>
        <v>-19.527410491962655</v>
      </c>
      <c r="AE113" s="147">
        <v>-7.4420190044002084</v>
      </c>
      <c r="AF113" s="147">
        <f t="shared" si="34"/>
        <v>-12.085391487562447</v>
      </c>
      <c r="AG113" s="86"/>
    </row>
    <row r="114" spans="2:33" x14ac:dyDescent="0.3">
      <c r="B114">
        <v>889</v>
      </c>
      <c r="C114" s="25">
        <v>6</v>
      </c>
      <c r="D114" s="32" t="s">
        <v>133</v>
      </c>
      <c r="E114" s="125">
        <v>36.972175568059775</v>
      </c>
      <c r="F114" s="125">
        <f>INDEX('Revised 2018 Lockdown'!H$5:H$253,MATCH(B114,'Revised 2018 Lockdown'!B$5:B$253,0))</f>
        <v>36.971993010532358</v>
      </c>
      <c r="G114" s="125">
        <f t="shared" si="26"/>
        <v>1.8255752741680453E-4</v>
      </c>
      <c r="H114" s="5">
        <v>50376.82</v>
      </c>
      <c r="I114" s="5">
        <f>INDEX('Revised 2018 Lockdown'!E$5:E$253,MATCH(B114,'Revised 2018 Lockdown'!B$5:B$253,0))</f>
        <v>50376.82</v>
      </c>
      <c r="J114" s="5">
        <f t="shared" si="27"/>
        <v>0</v>
      </c>
      <c r="K114" s="5">
        <v>0</v>
      </c>
      <c r="L114" s="5">
        <f>INDEX('Revised 2018 Lockdown'!F$5:F$253,MATCH(B114,'Revised 2018 Lockdown'!B$5:B$253,0))</f>
        <v>0</v>
      </c>
      <c r="M114" s="5">
        <f t="shared" si="28"/>
        <v>0</v>
      </c>
      <c r="N114" s="5">
        <v>50376.82</v>
      </c>
      <c r="O114" s="87">
        <f t="shared" si="29"/>
        <v>50376.82</v>
      </c>
      <c r="P114" s="87">
        <f t="shared" si="30"/>
        <v>0</v>
      </c>
      <c r="Q114" s="85">
        <f t="shared" si="31"/>
        <v>1362.5670649036679</v>
      </c>
      <c r="R114" s="6">
        <f t="shared" si="18"/>
        <v>1289.5955847737582</v>
      </c>
      <c r="S114" s="5">
        <f t="shared" si="32"/>
        <v>47678.918946668775</v>
      </c>
      <c r="T114" s="113">
        <v>0.4957395833333334</v>
      </c>
      <c r="U114" s="87">
        <f t="shared" si="19"/>
        <v>10489.718228071764</v>
      </c>
      <c r="V114" s="87">
        <f t="shared" si="20"/>
        <v>2089.7636993582696</v>
      </c>
      <c r="W114" s="87">
        <f t="shared" si="21"/>
        <v>1560.0505631005108</v>
      </c>
      <c r="X114" s="87">
        <f t="shared" si="22"/>
        <v>597.36928765601976</v>
      </c>
      <c r="Y114" s="87">
        <f t="shared" si="23"/>
        <v>14736.901778186564</v>
      </c>
      <c r="Z114" s="91">
        <f t="shared" si="24"/>
        <v>0.30908632376230083</v>
      </c>
      <c r="AA114" s="86">
        <f t="shared" si="25"/>
        <v>14736.901778186564</v>
      </c>
      <c r="AB114" s="87"/>
      <c r="AC114" s="86">
        <v>14738.166420961134</v>
      </c>
      <c r="AD114" s="147">
        <f t="shared" si="33"/>
        <v>-1.2646427745694382</v>
      </c>
      <c r="AE114" s="147">
        <v>-0.82508048800445977</v>
      </c>
      <c r="AF114" s="147">
        <f t="shared" si="34"/>
        <v>-0.43956228656497842</v>
      </c>
      <c r="AG114" s="86"/>
    </row>
    <row r="115" spans="2:33" x14ac:dyDescent="0.3">
      <c r="B115">
        <v>891</v>
      </c>
      <c r="C115" s="25">
        <v>6</v>
      </c>
      <c r="D115" s="32" t="s">
        <v>134</v>
      </c>
      <c r="E115" s="125">
        <v>291.67983388429468</v>
      </c>
      <c r="F115" s="125">
        <f>INDEX('Revised 2018 Lockdown'!H$5:H$253,MATCH(B115,'Revised 2018 Lockdown'!B$5:B$253,0))</f>
        <v>291.67983388429468</v>
      </c>
      <c r="G115" s="125">
        <f t="shared" si="26"/>
        <v>0</v>
      </c>
      <c r="H115" s="5">
        <v>78385.320000000007</v>
      </c>
      <c r="I115" s="5">
        <f>INDEX('Revised 2018 Lockdown'!E$5:E$253,MATCH(B115,'Revised 2018 Lockdown'!B$5:B$253,0))</f>
        <v>78385.320000000007</v>
      </c>
      <c r="J115" s="5">
        <f t="shared" si="27"/>
        <v>0</v>
      </c>
      <c r="K115" s="5">
        <v>0</v>
      </c>
      <c r="L115" s="5">
        <f>INDEX('Revised 2018 Lockdown'!F$5:F$253,MATCH(B115,'Revised 2018 Lockdown'!B$5:B$253,0))</f>
        <v>0</v>
      </c>
      <c r="M115" s="5">
        <f t="shared" si="28"/>
        <v>0</v>
      </c>
      <c r="N115" s="5">
        <v>78385.320000000007</v>
      </c>
      <c r="O115" s="87">
        <f t="shared" si="29"/>
        <v>78385.320000000007</v>
      </c>
      <c r="P115" s="87">
        <f t="shared" si="30"/>
        <v>0</v>
      </c>
      <c r="Q115" s="85">
        <f t="shared" si="31"/>
        <v>268.73753648356222</v>
      </c>
      <c r="R115" s="6">
        <f t="shared" si="18"/>
        <v>268.73753648356222</v>
      </c>
      <c r="S115" s="5">
        <f t="shared" si="32"/>
        <v>78385.320000000007</v>
      </c>
      <c r="T115" s="113">
        <v>0.47252976190476192</v>
      </c>
      <c r="U115" s="87">
        <f t="shared" si="19"/>
        <v>17245.355771110379</v>
      </c>
      <c r="V115" s="87">
        <f t="shared" si="20"/>
        <v>16486.585630171645</v>
      </c>
      <c r="W115" s="87">
        <f t="shared" si="21"/>
        <v>2444.6831569457095</v>
      </c>
      <c r="X115" s="87">
        <f t="shared" si="22"/>
        <v>982.08985869552157</v>
      </c>
      <c r="Y115" s="87">
        <f t="shared" si="23"/>
        <v>37158.714416923249</v>
      </c>
      <c r="Z115" s="91">
        <f t="shared" si="24"/>
        <v>0.47405195790389382</v>
      </c>
      <c r="AA115" s="86">
        <f t="shared" si="25"/>
        <v>37158.714416923249</v>
      </c>
      <c r="AB115" s="87"/>
      <c r="AC115" s="86">
        <v>37188.537491063573</v>
      </c>
      <c r="AD115" s="147">
        <f t="shared" si="33"/>
        <v>-29.823074140324024</v>
      </c>
      <c r="AE115" s="147">
        <v>-10.099391593546898</v>
      </c>
      <c r="AF115" s="147">
        <f t="shared" si="34"/>
        <v>-19.723682546777127</v>
      </c>
      <c r="AG115" s="86"/>
    </row>
    <row r="116" spans="2:33" x14ac:dyDescent="0.3">
      <c r="B116">
        <v>897</v>
      </c>
      <c r="C116" s="25">
        <v>6</v>
      </c>
      <c r="D116" s="32" t="s">
        <v>242</v>
      </c>
      <c r="E116" s="125">
        <v>75.298454997553264</v>
      </c>
      <c r="F116" s="125">
        <f>INDEX('Revised 2018 Lockdown'!H$5:H$253,MATCH(B116,'Revised 2018 Lockdown'!B$5:B$253,0))</f>
        <v>75.298454997553264</v>
      </c>
      <c r="G116" s="125">
        <f t="shared" si="26"/>
        <v>0</v>
      </c>
      <c r="H116" s="5">
        <v>296933.45</v>
      </c>
      <c r="I116" s="5">
        <f>INDEX('Revised 2018 Lockdown'!E$5:E$253,MATCH(B116,'Revised 2018 Lockdown'!B$5:B$253,0))</f>
        <v>296933.44</v>
      </c>
      <c r="J116" s="5">
        <f t="shared" si="27"/>
        <v>1.0000000009313226E-2</v>
      </c>
      <c r="K116" s="5">
        <v>119</v>
      </c>
      <c r="L116" s="5">
        <f>INDEX('Revised 2018 Lockdown'!F$5:F$253,MATCH(B116,'Revised 2018 Lockdown'!B$5:B$253,0))</f>
        <v>119</v>
      </c>
      <c r="M116" s="5">
        <f t="shared" si="28"/>
        <v>0</v>
      </c>
      <c r="N116" s="5">
        <v>296814.45</v>
      </c>
      <c r="O116" s="87">
        <f t="shared" si="29"/>
        <v>296814.44</v>
      </c>
      <c r="P116" s="87">
        <f t="shared" si="30"/>
        <v>1.0000000009313226E-2</v>
      </c>
      <c r="Q116" s="85">
        <f t="shared" si="31"/>
        <v>3941.8397098538694</v>
      </c>
      <c r="R116" s="6">
        <f t="shared" si="18"/>
        <v>1289.5955847737582</v>
      </c>
      <c r="S116" s="5">
        <f t="shared" si="32"/>
        <v>97104.555105130217</v>
      </c>
      <c r="T116" s="113">
        <v>0.48670833333333341</v>
      </c>
      <c r="U116" s="87">
        <f t="shared" si="19"/>
        <v>21363.727286988978</v>
      </c>
      <c r="V116" s="87">
        <f t="shared" si="20"/>
        <v>4256.0858925517623</v>
      </c>
      <c r="W116" s="87">
        <f t="shared" si="21"/>
        <v>3119.3712304914789</v>
      </c>
      <c r="X116" s="87">
        <f t="shared" si="22"/>
        <v>1216.6231993680553</v>
      </c>
      <c r="Y116" s="87">
        <f t="shared" si="23"/>
        <v>29955.807609400275</v>
      </c>
      <c r="Z116" s="91">
        <f t="shared" si="24"/>
        <v>0.30849024102904987</v>
      </c>
      <c r="AA116" s="86">
        <f t="shared" si="25"/>
        <v>29955.807609400275</v>
      </c>
      <c r="AB116" s="87"/>
      <c r="AC116" s="86">
        <v>29958.230539414995</v>
      </c>
      <c r="AD116" s="147">
        <f t="shared" si="33"/>
        <v>-2.4229300147198956</v>
      </c>
      <c r="AE116" s="147">
        <v>-1.6772019698473741</v>
      </c>
      <c r="AF116" s="147">
        <f t="shared" si="34"/>
        <v>-0.74572804487252142</v>
      </c>
      <c r="AG116" s="86"/>
    </row>
    <row r="117" spans="2:33" x14ac:dyDescent="0.3">
      <c r="B117">
        <v>904</v>
      </c>
      <c r="C117" s="25">
        <v>6</v>
      </c>
      <c r="D117" s="32" t="s">
        <v>135</v>
      </c>
      <c r="E117" s="125">
        <v>26.962939668155855</v>
      </c>
      <c r="F117" s="125">
        <f>INDEX('Revised 2018 Lockdown'!H$5:H$253,MATCH(B117,'Revised 2018 Lockdown'!B$5:B$253,0))</f>
        <v>26.962939668155855</v>
      </c>
      <c r="G117" s="125">
        <f t="shared" si="26"/>
        <v>0</v>
      </c>
      <c r="H117" s="5">
        <v>14117.02</v>
      </c>
      <c r="I117" s="5">
        <f>INDEX('Revised 2018 Lockdown'!E$5:E$253,MATCH(B117,'Revised 2018 Lockdown'!B$5:B$253,0))</f>
        <v>14117.02</v>
      </c>
      <c r="J117" s="5">
        <f t="shared" si="27"/>
        <v>0</v>
      </c>
      <c r="K117" s="5">
        <v>0</v>
      </c>
      <c r="L117" s="5">
        <f>INDEX('Revised 2018 Lockdown'!F$5:F$253,MATCH(B117,'Revised 2018 Lockdown'!B$5:B$253,0))</f>
        <v>0</v>
      </c>
      <c r="M117" s="5">
        <f t="shared" si="28"/>
        <v>0</v>
      </c>
      <c r="N117" s="5">
        <v>14117.02</v>
      </c>
      <c r="O117" s="87">
        <f t="shared" si="29"/>
        <v>14117.02</v>
      </c>
      <c r="P117" s="87">
        <f t="shared" si="30"/>
        <v>0</v>
      </c>
      <c r="Q117" s="85">
        <f t="shared" si="31"/>
        <v>523.57124904569218</v>
      </c>
      <c r="R117" s="6">
        <f t="shared" si="18"/>
        <v>523.57124904569218</v>
      </c>
      <c r="S117" s="5">
        <f t="shared" si="32"/>
        <v>14117.020000000002</v>
      </c>
      <c r="T117" s="113">
        <v>9.3424107142857149E-2</v>
      </c>
      <c r="U117" s="87">
        <f t="shared" si="19"/>
        <v>3105.8498240216486</v>
      </c>
      <c r="V117" s="87">
        <f t="shared" si="20"/>
        <v>1524.0231309804603</v>
      </c>
      <c r="W117" s="87">
        <f t="shared" si="21"/>
        <v>87.048374018706753</v>
      </c>
      <c r="X117" s="87">
        <f t="shared" si="22"/>
        <v>176.87217679282105</v>
      </c>
      <c r="Y117" s="87">
        <f t="shared" si="23"/>
        <v>4893.7935058136363</v>
      </c>
      <c r="Z117" s="91">
        <f t="shared" si="24"/>
        <v>0.34665910410367312</v>
      </c>
      <c r="AA117" s="86">
        <f t="shared" si="25"/>
        <v>4893.7935058136363</v>
      </c>
      <c r="AB117" s="87"/>
      <c r="AC117" s="86">
        <v>4898.8897170545806</v>
      </c>
      <c r="AD117" s="147">
        <f t="shared" si="33"/>
        <v>-5.0962112409442852</v>
      </c>
      <c r="AE117" s="147">
        <v>-1.9774099260703224</v>
      </c>
      <c r="AF117" s="147">
        <f t="shared" si="34"/>
        <v>-3.1188013148739628</v>
      </c>
      <c r="AG117" s="86"/>
    </row>
    <row r="118" spans="2:33" x14ac:dyDescent="0.3">
      <c r="B118">
        <v>906</v>
      </c>
      <c r="C118" s="25">
        <v>6</v>
      </c>
      <c r="D118" s="32" t="s">
        <v>301</v>
      </c>
      <c r="E118" s="125">
        <v>185.1</v>
      </c>
      <c r="F118" s="125">
        <f>INDEX('Revised 2018 Lockdown'!H$5:H$253,MATCH(B118,'Revised 2018 Lockdown'!B$5:B$253,0))</f>
        <v>185.1</v>
      </c>
      <c r="G118" s="125">
        <f t="shared" si="26"/>
        <v>0</v>
      </c>
      <c r="H118" s="5">
        <v>218001.44</v>
      </c>
      <c r="I118" s="5">
        <f>INDEX('Revised 2018 Lockdown'!E$5:E$253,MATCH(B118,'Revised 2018 Lockdown'!B$5:B$253,0))</f>
        <v>215485.97</v>
      </c>
      <c r="J118" s="5">
        <f t="shared" si="27"/>
        <v>2515.4700000000012</v>
      </c>
      <c r="K118" s="5">
        <v>29.22</v>
      </c>
      <c r="L118" s="5">
        <f>INDEX('Revised 2018 Lockdown'!F$5:F$253,MATCH(B118,'Revised 2018 Lockdown'!B$5:B$253,0))</f>
        <v>29.22</v>
      </c>
      <c r="M118" s="5">
        <f t="shared" si="28"/>
        <v>0</v>
      </c>
      <c r="N118" s="5">
        <v>217972.22</v>
      </c>
      <c r="O118" s="87">
        <f t="shared" si="29"/>
        <v>215456.75</v>
      </c>
      <c r="P118" s="87">
        <f t="shared" si="30"/>
        <v>2515.4700000000012</v>
      </c>
      <c r="Q118" s="85">
        <f t="shared" si="31"/>
        <v>1164.0018908698</v>
      </c>
      <c r="R118" s="6">
        <f t="shared" si="18"/>
        <v>1164.0018908698</v>
      </c>
      <c r="S118" s="5">
        <f t="shared" si="32"/>
        <v>215456.74999999997</v>
      </c>
      <c r="T118" s="113">
        <v>0.66749999999999998</v>
      </c>
      <c r="U118" s="87">
        <f t="shared" si="19"/>
        <v>47402.094002259415</v>
      </c>
      <c r="V118" s="87">
        <f t="shared" si="20"/>
        <v>10462.385964452124</v>
      </c>
      <c r="W118" s="87">
        <f t="shared" si="21"/>
        <v>9492.2693239524469</v>
      </c>
      <c r="X118" s="87">
        <f t="shared" si="22"/>
        <v>2699.4581276506397</v>
      </c>
      <c r="Y118" s="87">
        <f t="shared" si="23"/>
        <v>70056.207418314618</v>
      </c>
      <c r="Z118" s="91">
        <f t="shared" si="24"/>
        <v>0.32515206610289366</v>
      </c>
      <c r="AA118" s="86">
        <f t="shared" si="25"/>
        <v>70056.207418314618</v>
      </c>
      <c r="AB118" s="87"/>
      <c r="AC118" s="86">
        <v>70845.851241392345</v>
      </c>
      <c r="AD118" s="147">
        <f t="shared" si="33"/>
        <v>-789.64382307772757</v>
      </c>
      <c r="AE118" s="147">
        <v>-735.75881542403658</v>
      </c>
      <c r="AF118" s="147">
        <f t="shared" si="34"/>
        <v>-53.885007653690991</v>
      </c>
      <c r="AG118" s="86"/>
    </row>
    <row r="119" spans="2:33" x14ac:dyDescent="0.3">
      <c r="B119">
        <v>917</v>
      </c>
      <c r="C119" s="25">
        <v>6</v>
      </c>
      <c r="D119" s="32" t="s">
        <v>136</v>
      </c>
      <c r="E119" s="125">
        <v>98.170300891747573</v>
      </c>
      <c r="F119" s="125">
        <f>INDEX('Revised 2018 Lockdown'!H$5:H$253,MATCH(B119,'Revised 2018 Lockdown'!B$5:B$253,0))</f>
        <v>98.170300891747573</v>
      </c>
      <c r="G119" s="125">
        <f t="shared" si="26"/>
        <v>0</v>
      </c>
      <c r="H119" s="5">
        <v>54501.95</v>
      </c>
      <c r="I119" s="5">
        <f>INDEX('Revised 2018 Lockdown'!E$5:E$253,MATCH(B119,'Revised 2018 Lockdown'!B$5:B$253,0))</f>
        <v>54501.95</v>
      </c>
      <c r="J119" s="5">
        <f t="shared" si="27"/>
        <v>0</v>
      </c>
      <c r="K119" s="5">
        <v>0</v>
      </c>
      <c r="L119" s="5">
        <f>INDEX('Revised 2018 Lockdown'!F$5:F$253,MATCH(B119,'Revised 2018 Lockdown'!B$5:B$253,0))</f>
        <v>0</v>
      </c>
      <c r="M119" s="5">
        <f t="shared" si="28"/>
        <v>0</v>
      </c>
      <c r="N119" s="5">
        <v>54501.95</v>
      </c>
      <c r="O119" s="87">
        <f t="shared" si="29"/>
        <v>54501.95</v>
      </c>
      <c r="P119" s="87">
        <f t="shared" si="30"/>
        <v>0</v>
      </c>
      <c r="Q119" s="85">
        <f t="shared" si="31"/>
        <v>555.17757921613497</v>
      </c>
      <c r="R119" s="6">
        <f t="shared" si="18"/>
        <v>555.17757921613497</v>
      </c>
      <c r="S119" s="5">
        <f t="shared" si="32"/>
        <v>54501.95</v>
      </c>
      <c r="T119" s="113">
        <v>0.37409523809523809</v>
      </c>
      <c r="U119" s="87">
        <f t="shared" si="19"/>
        <v>11990.836013290105</v>
      </c>
      <c r="V119" s="87">
        <f t="shared" si="20"/>
        <v>5548.8686017064374</v>
      </c>
      <c r="W119" s="87">
        <f t="shared" si="21"/>
        <v>1345.7143960058152</v>
      </c>
      <c r="X119" s="87">
        <f t="shared" si="22"/>
        <v>682.8550597756107</v>
      </c>
      <c r="Y119" s="87">
        <f t="shared" si="23"/>
        <v>19568.27407077797</v>
      </c>
      <c r="Z119" s="91">
        <f t="shared" si="24"/>
        <v>0.35903805406555128</v>
      </c>
      <c r="AA119" s="86">
        <f t="shared" si="25"/>
        <v>19568.27407077797</v>
      </c>
      <c r="AB119" s="87"/>
      <c r="AC119" s="86">
        <v>19589.570418288749</v>
      </c>
      <c r="AD119" s="147">
        <f t="shared" si="33"/>
        <v>-21.296347510779015</v>
      </c>
      <c r="AE119" s="147">
        <v>-8.3774127865290211</v>
      </c>
      <c r="AF119" s="147">
        <f t="shared" si="34"/>
        <v>-12.918934724249993</v>
      </c>
      <c r="AG119" s="86"/>
    </row>
    <row r="120" spans="2:33" x14ac:dyDescent="0.3">
      <c r="B120">
        <v>957</v>
      </c>
      <c r="C120" s="25">
        <v>6</v>
      </c>
      <c r="D120" s="32" t="s">
        <v>137</v>
      </c>
      <c r="E120" s="125">
        <v>104.75750331076839</v>
      </c>
      <c r="F120" s="125">
        <f>INDEX('Revised 2018 Lockdown'!H$5:H$253,MATCH(B120,'Revised 2018 Lockdown'!B$5:B$253,0))</f>
        <v>104.75698604959862</v>
      </c>
      <c r="G120" s="125">
        <f t="shared" si="26"/>
        <v>5.1726116976169578E-4</v>
      </c>
      <c r="H120" s="5">
        <v>36421.629999999997</v>
      </c>
      <c r="I120" s="5">
        <f>INDEX('Revised 2018 Lockdown'!E$5:E$253,MATCH(B120,'Revised 2018 Lockdown'!B$5:B$253,0))</f>
        <v>36421.629999999997</v>
      </c>
      <c r="J120" s="5">
        <f t="shared" si="27"/>
        <v>0</v>
      </c>
      <c r="K120" s="5">
        <v>0</v>
      </c>
      <c r="L120" s="5">
        <f>INDEX('Revised 2018 Lockdown'!F$5:F$253,MATCH(B120,'Revised 2018 Lockdown'!B$5:B$253,0))</f>
        <v>0</v>
      </c>
      <c r="M120" s="5">
        <f t="shared" si="28"/>
        <v>0</v>
      </c>
      <c r="N120" s="5">
        <v>36421.629999999997</v>
      </c>
      <c r="O120" s="87">
        <f t="shared" si="29"/>
        <v>36421.629999999997</v>
      </c>
      <c r="P120" s="87">
        <f t="shared" si="30"/>
        <v>0</v>
      </c>
      <c r="Q120" s="85">
        <f t="shared" si="31"/>
        <v>347.67733755489758</v>
      </c>
      <c r="R120" s="6">
        <f t="shared" si="18"/>
        <v>347.67733755489758</v>
      </c>
      <c r="S120" s="5">
        <f t="shared" si="32"/>
        <v>36421.629999999997</v>
      </c>
      <c r="T120" s="113">
        <v>0.5130818452380953</v>
      </c>
      <c r="U120" s="87">
        <f t="shared" si="19"/>
        <v>8013.0305918729018</v>
      </c>
      <c r="V120" s="87">
        <f t="shared" si="20"/>
        <v>5921.1670476695172</v>
      </c>
      <c r="W120" s="87">
        <f t="shared" si="21"/>
        <v>1233.4021566082367</v>
      </c>
      <c r="X120" s="87">
        <f t="shared" si="22"/>
        <v>456.32668795841573</v>
      </c>
      <c r="Y120" s="87">
        <f t="shared" si="23"/>
        <v>15623.926484109072</v>
      </c>
      <c r="Z120" s="91">
        <f t="shared" si="24"/>
        <v>0.42897384010844852</v>
      </c>
      <c r="AA120" s="86">
        <f t="shared" si="25"/>
        <v>15623.926484109072</v>
      </c>
      <c r="AB120" s="87"/>
      <c r="AC120" s="86">
        <v>15638.288920026536</v>
      </c>
      <c r="AD120" s="147">
        <f t="shared" si="33"/>
        <v>-14.362435917464609</v>
      </c>
      <c r="AE120" s="147">
        <v>-5.2216895152596408</v>
      </c>
      <c r="AF120" s="147">
        <f t="shared" si="34"/>
        <v>-9.140746402204968</v>
      </c>
      <c r="AG120" s="86"/>
    </row>
    <row r="121" spans="2:33" x14ac:dyDescent="0.3">
      <c r="B121">
        <v>959</v>
      </c>
      <c r="C121" s="25">
        <v>6</v>
      </c>
      <c r="D121" s="32" t="s">
        <v>138</v>
      </c>
      <c r="E121" s="125">
        <v>326.68938879207468</v>
      </c>
      <c r="F121" s="125">
        <f>INDEX('Revised 2018 Lockdown'!H$5:H$253,MATCH(B121,'Revised 2018 Lockdown'!B$5:B$253,0))</f>
        <v>326.68938879207468</v>
      </c>
      <c r="G121" s="125">
        <f t="shared" si="26"/>
        <v>0</v>
      </c>
      <c r="H121" s="5">
        <v>116655.67</v>
      </c>
      <c r="I121" s="5">
        <f>INDEX('Revised 2018 Lockdown'!E$5:E$253,MATCH(B121,'Revised 2018 Lockdown'!B$5:B$253,0))</f>
        <v>116655.66</v>
      </c>
      <c r="J121" s="5">
        <f t="shared" si="27"/>
        <v>9.9999999947613105E-3</v>
      </c>
      <c r="K121" s="5">
        <v>240.45</v>
      </c>
      <c r="L121" s="5">
        <f>INDEX('Revised 2018 Lockdown'!F$5:F$253,MATCH(B121,'Revised 2018 Lockdown'!B$5:B$253,0))</f>
        <v>240.45</v>
      </c>
      <c r="M121" s="5">
        <f t="shared" si="28"/>
        <v>0</v>
      </c>
      <c r="N121" s="5">
        <v>116415.22</v>
      </c>
      <c r="O121" s="87">
        <f t="shared" si="29"/>
        <v>116415.21</v>
      </c>
      <c r="P121" s="87">
        <f t="shared" si="30"/>
        <v>9.9999999947613105E-3</v>
      </c>
      <c r="Q121" s="85">
        <f t="shared" si="31"/>
        <v>356.34830512996501</v>
      </c>
      <c r="R121" s="6">
        <f t="shared" si="18"/>
        <v>356.34830512996501</v>
      </c>
      <c r="S121" s="5">
        <f t="shared" si="32"/>
        <v>116415.21</v>
      </c>
      <c r="T121" s="113">
        <v>0.7970624999999999</v>
      </c>
      <c r="U121" s="87">
        <f t="shared" si="19"/>
        <v>25612.215573254362</v>
      </c>
      <c r="V121" s="87">
        <f t="shared" si="20"/>
        <v>18465.426666848434</v>
      </c>
      <c r="W121" s="87">
        <f t="shared" si="21"/>
        <v>6124.3609726071145</v>
      </c>
      <c r="X121" s="87">
        <f t="shared" si="22"/>
        <v>1458.5664399776574</v>
      </c>
      <c r="Y121" s="87">
        <f t="shared" si="23"/>
        <v>51660.569652687569</v>
      </c>
      <c r="Z121" s="91">
        <f t="shared" si="24"/>
        <v>0.44376134057300215</v>
      </c>
      <c r="AA121" s="86">
        <f t="shared" si="25"/>
        <v>51660.569652687569</v>
      </c>
      <c r="AB121" s="87"/>
      <c r="AC121" s="86">
        <v>51709.840577511139</v>
      </c>
      <c r="AD121" s="147">
        <f t="shared" si="33"/>
        <v>-49.270924823569658</v>
      </c>
      <c r="AE121" s="147">
        <v>-18.228639062195725</v>
      </c>
      <c r="AF121" s="147">
        <f t="shared" si="34"/>
        <v>-31.042285761373932</v>
      </c>
      <c r="AG121" s="86"/>
    </row>
    <row r="122" spans="2:33" x14ac:dyDescent="0.3">
      <c r="B122">
        <v>969</v>
      </c>
      <c r="C122" s="25">
        <v>6</v>
      </c>
      <c r="D122" s="32" t="s">
        <v>139</v>
      </c>
      <c r="E122" s="125">
        <v>21.452324077887976</v>
      </c>
      <c r="F122" s="125">
        <f>INDEX('Revised 2018 Lockdown'!H$5:H$253,MATCH(B122,'Revised 2018 Lockdown'!B$5:B$253,0))</f>
        <v>21.452324077887976</v>
      </c>
      <c r="G122" s="125">
        <f t="shared" si="26"/>
        <v>0</v>
      </c>
      <c r="H122" s="5">
        <v>66251.19</v>
      </c>
      <c r="I122" s="5">
        <f>INDEX('Revised 2018 Lockdown'!E$5:E$253,MATCH(B122,'Revised 2018 Lockdown'!B$5:B$253,0))</f>
        <v>66251.19</v>
      </c>
      <c r="J122" s="5">
        <f t="shared" si="27"/>
        <v>0</v>
      </c>
      <c r="K122" s="5">
        <v>0</v>
      </c>
      <c r="L122" s="5">
        <f>INDEX('Revised 2018 Lockdown'!F$5:F$253,MATCH(B122,'Revised 2018 Lockdown'!B$5:B$253,0))</f>
        <v>0</v>
      </c>
      <c r="M122" s="5">
        <f t="shared" si="28"/>
        <v>0</v>
      </c>
      <c r="N122" s="5">
        <v>66251.19</v>
      </c>
      <c r="O122" s="87">
        <f t="shared" si="29"/>
        <v>66251.19</v>
      </c>
      <c r="P122" s="87">
        <f t="shared" si="30"/>
        <v>0</v>
      </c>
      <c r="Q122" s="85">
        <f t="shared" si="31"/>
        <v>3088.2989535053939</v>
      </c>
      <c r="R122" s="6">
        <f t="shared" si="18"/>
        <v>1289.5955847737582</v>
      </c>
      <c r="S122" s="5">
        <f t="shared" si="32"/>
        <v>27664.822413980117</v>
      </c>
      <c r="T122" s="113">
        <v>0.43101785714285717</v>
      </c>
      <c r="U122" s="87">
        <f t="shared" si="19"/>
        <v>6086.4675282779444</v>
      </c>
      <c r="V122" s="87">
        <f t="shared" si="20"/>
        <v>1212.5472411527471</v>
      </c>
      <c r="W122" s="87">
        <f t="shared" si="21"/>
        <v>787.01285748238251</v>
      </c>
      <c r="X122" s="87">
        <f t="shared" si="22"/>
        <v>346.61262511121254</v>
      </c>
      <c r="Y122" s="87">
        <f t="shared" si="23"/>
        <v>8432.6402520242864</v>
      </c>
      <c r="Z122" s="91">
        <f t="shared" si="24"/>
        <v>0.30481454483376491</v>
      </c>
      <c r="AA122" s="86">
        <f t="shared" si="25"/>
        <v>8432.6402520242864</v>
      </c>
      <c r="AB122" s="87"/>
      <c r="AC122" s="86">
        <v>8433.3226775648454</v>
      </c>
      <c r="AD122" s="147">
        <f t="shared" si="33"/>
        <v>-0.68242554055905202</v>
      </c>
      <c r="AE122" s="147">
        <v>-0.47224798104252841</v>
      </c>
      <c r="AF122" s="147">
        <f t="shared" si="34"/>
        <v>-0.21017755951652362</v>
      </c>
      <c r="AG122" s="86"/>
    </row>
    <row r="123" spans="2:33" x14ac:dyDescent="0.3">
      <c r="B123">
        <v>970</v>
      </c>
      <c r="C123" s="25">
        <v>6</v>
      </c>
      <c r="D123" s="32" t="s">
        <v>140</v>
      </c>
      <c r="E123" s="125">
        <v>167.59129758245945</v>
      </c>
      <c r="F123" s="125">
        <f>INDEX('Revised 2018 Lockdown'!H$5:H$253,MATCH(B123,'Revised 2018 Lockdown'!B$5:B$253,0))</f>
        <v>167.59129758245945</v>
      </c>
      <c r="G123" s="125">
        <f t="shared" si="26"/>
        <v>0</v>
      </c>
      <c r="H123" s="5">
        <v>72830</v>
      </c>
      <c r="I123" s="5">
        <f>INDEX('Revised 2018 Lockdown'!E$5:E$253,MATCH(B123,'Revised 2018 Lockdown'!B$5:B$253,0))</f>
        <v>72830</v>
      </c>
      <c r="J123" s="5">
        <f t="shared" si="27"/>
        <v>0</v>
      </c>
      <c r="K123" s="5">
        <v>408</v>
      </c>
      <c r="L123" s="5">
        <f>INDEX('Revised 2018 Lockdown'!F$5:F$253,MATCH(B123,'Revised 2018 Lockdown'!B$5:B$253,0))</f>
        <v>408</v>
      </c>
      <c r="M123" s="5">
        <f t="shared" si="28"/>
        <v>0</v>
      </c>
      <c r="N123" s="5">
        <v>72422</v>
      </c>
      <c r="O123" s="87">
        <f t="shared" si="29"/>
        <v>72422</v>
      </c>
      <c r="P123" s="87">
        <f t="shared" si="30"/>
        <v>0</v>
      </c>
      <c r="Q123" s="85">
        <f t="shared" si="31"/>
        <v>432.134609879528</v>
      </c>
      <c r="R123" s="6">
        <f t="shared" si="18"/>
        <v>432.134609879528</v>
      </c>
      <c r="S123" s="5">
        <f t="shared" si="32"/>
        <v>72422</v>
      </c>
      <c r="T123" s="113">
        <v>0.38936904761904761</v>
      </c>
      <c r="U123" s="87">
        <f t="shared" si="19"/>
        <v>15933.380837832334</v>
      </c>
      <c r="V123" s="87">
        <f t="shared" si="20"/>
        <v>9472.743595845719</v>
      </c>
      <c r="W123" s="87">
        <f t="shared" si="21"/>
        <v>1861.1895966535074</v>
      </c>
      <c r="X123" s="87">
        <f t="shared" si="22"/>
        <v>907.37540838574182</v>
      </c>
      <c r="Y123" s="87">
        <f t="shared" si="23"/>
        <v>28174.689438717302</v>
      </c>
      <c r="Z123" s="91">
        <f t="shared" si="24"/>
        <v>0.38903495400178539</v>
      </c>
      <c r="AA123" s="86">
        <f t="shared" si="25"/>
        <v>28174.689438717302</v>
      </c>
      <c r="AB123" s="87"/>
      <c r="AC123" s="86">
        <v>28202.707797179723</v>
      </c>
      <c r="AD123" s="147">
        <f t="shared" si="33"/>
        <v>-28.01835846242102</v>
      </c>
      <c r="AE123" s="147">
        <v>-10.6167172625901</v>
      </c>
      <c r="AF123" s="147">
        <f t="shared" si="34"/>
        <v>-17.40164119983092</v>
      </c>
      <c r="AG123" s="86"/>
    </row>
    <row r="124" spans="2:33" x14ac:dyDescent="0.3">
      <c r="B124">
        <v>978</v>
      </c>
      <c r="C124" s="25">
        <v>6</v>
      </c>
      <c r="D124" s="32" t="s">
        <v>252</v>
      </c>
      <c r="E124" s="125">
        <v>0</v>
      </c>
      <c r="F124" s="125">
        <f>INDEX('Revised 2018 Lockdown'!H$5:H$253,MATCH(B124,'Revised 2018 Lockdown'!B$5:B$253,0))</f>
        <v>0</v>
      </c>
      <c r="G124" s="125">
        <f t="shared" si="26"/>
        <v>0</v>
      </c>
      <c r="H124" s="5">
        <v>31329.48</v>
      </c>
      <c r="I124" s="5">
        <f>INDEX('Revised 2018 Lockdown'!E$5:E$253,MATCH(B124,'Revised 2018 Lockdown'!B$5:B$253,0))</f>
        <v>31329.48</v>
      </c>
      <c r="J124" s="5">
        <f t="shared" si="27"/>
        <v>0</v>
      </c>
      <c r="K124" s="5">
        <v>0</v>
      </c>
      <c r="L124" s="5">
        <f>INDEX('Revised 2018 Lockdown'!F$5:F$253,MATCH(B124,'Revised 2018 Lockdown'!B$5:B$253,0))</f>
        <v>0</v>
      </c>
      <c r="M124" s="5">
        <f t="shared" si="28"/>
        <v>0</v>
      </c>
      <c r="N124" s="5">
        <v>31329.48</v>
      </c>
      <c r="O124" s="87">
        <f t="shared" si="29"/>
        <v>31329.48</v>
      </c>
      <c r="P124" s="87">
        <f t="shared" si="30"/>
        <v>0</v>
      </c>
      <c r="Q124" s="85" t="str">
        <f t="shared" si="31"/>
        <v>n.a.</v>
      </c>
      <c r="R124" s="6">
        <f t="shared" si="18"/>
        <v>1289.5955847737582</v>
      </c>
      <c r="S124" s="5">
        <f t="shared" si="32"/>
        <v>0</v>
      </c>
      <c r="T124" s="113">
        <v>0.22310119047619048</v>
      </c>
      <c r="U124" s="87">
        <f t="shared" si="19"/>
        <v>0</v>
      </c>
      <c r="V124" s="87">
        <f t="shared" si="20"/>
        <v>0</v>
      </c>
      <c r="W124" s="87">
        <f t="shared" si="21"/>
        <v>0</v>
      </c>
      <c r="X124" s="87">
        <f t="shared" si="22"/>
        <v>0</v>
      </c>
      <c r="Y124" s="87">
        <f t="shared" si="23"/>
        <v>0</v>
      </c>
      <c r="Z124" s="91">
        <f t="shared" si="24"/>
        <v>0</v>
      </c>
      <c r="AA124" s="86">
        <f t="shared" si="25"/>
        <v>0</v>
      </c>
      <c r="AB124" s="87"/>
      <c r="AC124" s="86">
        <v>0</v>
      </c>
      <c r="AD124" s="147">
        <f t="shared" si="33"/>
        <v>0</v>
      </c>
      <c r="AE124" s="147">
        <v>0</v>
      </c>
      <c r="AF124" s="147">
        <f t="shared" si="34"/>
        <v>0</v>
      </c>
      <c r="AG124" s="86"/>
    </row>
    <row r="125" spans="2:33" x14ac:dyDescent="0.3">
      <c r="B125">
        <v>980</v>
      </c>
      <c r="C125" s="25">
        <v>6</v>
      </c>
      <c r="D125" s="32" t="s">
        <v>141</v>
      </c>
      <c r="E125" s="125">
        <v>38.773680173491201</v>
      </c>
      <c r="F125" s="125">
        <f>INDEX('Revised 2018 Lockdown'!H$5:H$253,MATCH(B125,'Revised 2018 Lockdown'!B$5:B$253,0))</f>
        <v>38.773680173491201</v>
      </c>
      <c r="G125" s="125">
        <f t="shared" si="26"/>
        <v>0</v>
      </c>
      <c r="H125" s="5">
        <v>37348.19</v>
      </c>
      <c r="I125" s="5">
        <f>INDEX('Revised 2018 Lockdown'!E$5:E$253,MATCH(B125,'Revised 2018 Lockdown'!B$5:B$253,0))</f>
        <v>37348.19</v>
      </c>
      <c r="J125" s="5">
        <f t="shared" si="27"/>
        <v>0</v>
      </c>
      <c r="K125" s="5">
        <v>0</v>
      </c>
      <c r="L125" s="5">
        <f>INDEX('Revised 2018 Lockdown'!F$5:F$253,MATCH(B125,'Revised 2018 Lockdown'!B$5:B$253,0))</f>
        <v>0</v>
      </c>
      <c r="M125" s="5">
        <f t="shared" si="28"/>
        <v>0</v>
      </c>
      <c r="N125" s="5">
        <v>37348.19</v>
      </c>
      <c r="O125" s="87">
        <f t="shared" si="29"/>
        <v>37348.19</v>
      </c>
      <c r="P125" s="87">
        <f t="shared" si="30"/>
        <v>0</v>
      </c>
      <c r="Q125" s="85">
        <f t="shared" si="31"/>
        <v>963.23562356957336</v>
      </c>
      <c r="R125" s="6">
        <f t="shared" si="18"/>
        <v>963.23562356957336</v>
      </c>
      <c r="S125" s="5">
        <f t="shared" si="32"/>
        <v>37348.19</v>
      </c>
      <c r="T125" s="113">
        <v>0.40134821428571427</v>
      </c>
      <c r="U125" s="87">
        <f t="shared" si="19"/>
        <v>8216.8807112993472</v>
      </c>
      <c r="V125" s="87">
        <f t="shared" si="20"/>
        <v>2191.6002551987567</v>
      </c>
      <c r="W125" s="87">
        <f t="shared" si="21"/>
        <v>989.34912014361669</v>
      </c>
      <c r="X125" s="87">
        <f t="shared" si="22"/>
        <v>467.93556037831434</v>
      </c>
      <c r="Y125" s="87">
        <f t="shared" si="23"/>
        <v>11865.765647020036</v>
      </c>
      <c r="Z125" s="91">
        <f t="shared" si="24"/>
        <v>0.31770657820419235</v>
      </c>
      <c r="AA125" s="86">
        <f t="shared" si="25"/>
        <v>11865.765647020036</v>
      </c>
      <c r="AB125" s="87"/>
      <c r="AC125" s="86">
        <v>11880.764389847089</v>
      </c>
      <c r="AD125" s="147">
        <f t="shared" si="33"/>
        <v>-14.998742827052411</v>
      </c>
      <c r="AE125" s="147">
        <v>-6.215736570125955</v>
      </c>
      <c r="AF125" s="147">
        <f t="shared" si="34"/>
        <v>-8.7830062569264555</v>
      </c>
      <c r="AG125" s="86"/>
    </row>
    <row r="126" spans="2:33" x14ac:dyDescent="0.3">
      <c r="B126">
        <v>986</v>
      </c>
      <c r="C126" s="25">
        <v>6</v>
      </c>
      <c r="D126" s="32" t="s">
        <v>142</v>
      </c>
      <c r="E126" s="125">
        <v>8.1183888146059324</v>
      </c>
      <c r="F126" s="125">
        <f>INDEX('Revised 2018 Lockdown'!H$5:H$253,MATCH(B126,'Revised 2018 Lockdown'!B$5:B$253,0))</f>
        <v>8.1183888146059324</v>
      </c>
      <c r="G126" s="125">
        <f t="shared" si="26"/>
        <v>0</v>
      </c>
      <c r="H126" s="5">
        <v>42773.26</v>
      </c>
      <c r="I126" s="5">
        <f>INDEX('Revised 2018 Lockdown'!E$5:E$253,MATCH(B126,'Revised 2018 Lockdown'!B$5:B$253,0))</f>
        <v>42773.26</v>
      </c>
      <c r="J126" s="5">
        <f t="shared" si="27"/>
        <v>0</v>
      </c>
      <c r="K126" s="5">
        <v>0</v>
      </c>
      <c r="L126" s="5">
        <f>INDEX('Revised 2018 Lockdown'!F$5:F$253,MATCH(B126,'Revised 2018 Lockdown'!B$5:B$253,0))</f>
        <v>0</v>
      </c>
      <c r="M126" s="5">
        <f t="shared" si="28"/>
        <v>0</v>
      </c>
      <c r="N126" s="5">
        <v>42773.26</v>
      </c>
      <c r="O126" s="87">
        <f t="shared" si="29"/>
        <v>42773.26</v>
      </c>
      <c r="P126" s="87">
        <f t="shared" si="30"/>
        <v>0</v>
      </c>
      <c r="Q126" s="85">
        <f t="shared" si="31"/>
        <v>5268.6882800003241</v>
      </c>
      <c r="R126" s="6">
        <f t="shared" si="18"/>
        <v>1289.5955847737582</v>
      </c>
      <c r="S126" s="5">
        <f t="shared" si="32"/>
        <v>10469.438370792475</v>
      </c>
      <c r="T126" s="113">
        <v>0.22635416666666669</v>
      </c>
      <c r="U126" s="87">
        <f t="shared" si="19"/>
        <v>2303.3546259431032</v>
      </c>
      <c r="V126" s="87">
        <f t="shared" si="20"/>
        <v>458.87475520204333</v>
      </c>
      <c r="W126" s="87">
        <f t="shared" si="21"/>
        <v>156.41217506794882</v>
      </c>
      <c r="X126" s="87">
        <f t="shared" si="22"/>
        <v>131.17161797889008</v>
      </c>
      <c r="Y126" s="87">
        <f t="shared" si="23"/>
        <v>3049.8131741919851</v>
      </c>
      <c r="Z126" s="91">
        <f t="shared" si="24"/>
        <v>0.29130628274199699</v>
      </c>
      <c r="AA126" s="86">
        <f t="shared" si="25"/>
        <v>3049.8131741919851</v>
      </c>
      <c r="AB126" s="87"/>
      <c r="AC126" s="86">
        <v>3050.0604981121974</v>
      </c>
      <c r="AD126" s="147">
        <f t="shared" si="33"/>
        <v>-0.24732392021223859</v>
      </c>
      <c r="AE126" s="147">
        <v>-0.17095322924160428</v>
      </c>
      <c r="AF126" s="147">
        <f t="shared" si="34"/>
        <v>-7.6370690970634314E-2</v>
      </c>
      <c r="AG126" s="86"/>
    </row>
    <row r="127" spans="2:33" x14ac:dyDescent="0.3">
      <c r="B127">
        <v>988</v>
      </c>
      <c r="C127" s="25">
        <v>6</v>
      </c>
      <c r="D127" s="32" t="s">
        <v>143</v>
      </c>
      <c r="E127" s="125">
        <v>144.72352333946131</v>
      </c>
      <c r="F127" s="125">
        <f>INDEX('Revised 2018 Lockdown'!H$5:H$253,MATCH(B127,'Revised 2018 Lockdown'!B$5:B$253,0))</f>
        <v>144.72280873805704</v>
      </c>
      <c r="G127" s="125">
        <f t="shared" si="26"/>
        <v>7.1460140426893304E-4</v>
      </c>
      <c r="H127" s="5">
        <v>80859.64</v>
      </c>
      <c r="I127" s="5">
        <f>INDEX('Revised 2018 Lockdown'!E$5:E$253,MATCH(B127,'Revised 2018 Lockdown'!B$5:B$253,0))</f>
        <v>80859.64</v>
      </c>
      <c r="J127" s="5">
        <f t="shared" si="27"/>
        <v>0</v>
      </c>
      <c r="K127" s="5">
        <v>155</v>
      </c>
      <c r="L127" s="5">
        <f>INDEX('Revised 2018 Lockdown'!F$5:F$253,MATCH(B127,'Revised 2018 Lockdown'!B$5:B$253,0))</f>
        <v>155</v>
      </c>
      <c r="M127" s="5">
        <f t="shared" si="28"/>
        <v>0</v>
      </c>
      <c r="N127" s="5">
        <v>80704.639999999999</v>
      </c>
      <c r="O127" s="87">
        <f t="shared" si="29"/>
        <v>80704.639999999999</v>
      </c>
      <c r="P127" s="87">
        <f t="shared" si="30"/>
        <v>0</v>
      </c>
      <c r="Q127" s="85">
        <f t="shared" si="31"/>
        <v>557.64976304510799</v>
      </c>
      <c r="R127" s="6">
        <f t="shared" si="18"/>
        <v>557.64976304510799</v>
      </c>
      <c r="S127" s="5">
        <f t="shared" si="32"/>
        <v>80704.639999999999</v>
      </c>
      <c r="T127" s="113">
        <v>0.77836904761904746</v>
      </c>
      <c r="U127" s="87">
        <f t="shared" si="19"/>
        <v>17755.623491482656</v>
      </c>
      <c r="V127" s="87">
        <f t="shared" si="20"/>
        <v>8180.1506368294822</v>
      </c>
      <c r="W127" s="87">
        <f t="shared" si="21"/>
        <v>4146.1283240843222</v>
      </c>
      <c r="X127" s="87">
        <f t="shared" si="22"/>
        <v>1011.1486244321376</v>
      </c>
      <c r="Y127" s="87">
        <f t="shared" si="23"/>
        <v>31093.0510768286</v>
      </c>
      <c r="Z127" s="91">
        <f t="shared" si="24"/>
        <v>0.38526968309168591</v>
      </c>
      <c r="AA127" s="86">
        <f t="shared" si="25"/>
        <v>31093.0510768286</v>
      </c>
      <c r="AB127" s="87"/>
      <c r="AC127" s="86">
        <v>31127.957455069005</v>
      </c>
      <c r="AD127" s="147">
        <f t="shared" si="33"/>
        <v>-34.906378240404592</v>
      </c>
      <c r="AE127" s="147">
        <v>-13.808439769869437</v>
      </c>
      <c r="AF127" s="147">
        <f t="shared" si="34"/>
        <v>-21.097938470535155</v>
      </c>
      <c r="AG127" s="86"/>
    </row>
    <row r="128" spans="2:33" x14ac:dyDescent="0.3">
      <c r="B128">
        <v>989</v>
      </c>
      <c r="C128" s="25">
        <v>6</v>
      </c>
      <c r="D128" s="32" t="s">
        <v>144</v>
      </c>
      <c r="E128" s="125">
        <v>456.51183625078789</v>
      </c>
      <c r="F128" s="125">
        <f>INDEX('Revised 2018 Lockdown'!H$5:H$253,MATCH(B128,'Revised 2018 Lockdown'!B$5:B$253,0))</f>
        <v>456.51183625078789</v>
      </c>
      <c r="G128" s="125">
        <f t="shared" si="26"/>
        <v>0</v>
      </c>
      <c r="H128" s="5">
        <v>266398.28999999998</v>
      </c>
      <c r="I128" s="5">
        <f>INDEX('Revised 2018 Lockdown'!E$5:E$253,MATCH(B128,'Revised 2018 Lockdown'!B$5:B$253,0))</f>
        <v>290194.07</v>
      </c>
      <c r="J128" s="5">
        <f t="shared" si="27"/>
        <v>-23795.780000000028</v>
      </c>
      <c r="K128" s="5">
        <v>36564.799999999996</v>
      </c>
      <c r="L128" s="5">
        <f>INDEX('Revised 2018 Lockdown'!F$5:F$253,MATCH(B128,'Revised 2018 Lockdown'!B$5:B$253,0))</f>
        <v>36564.799999999996</v>
      </c>
      <c r="M128" s="5">
        <f t="shared" si="28"/>
        <v>0</v>
      </c>
      <c r="N128" s="5">
        <v>229833.49</v>
      </c>
      <c r="O128" s="87">
        <f t="shared" si="29"/>
        <v>253629.27000000002</v>
      </c>
      <c r="P128" s="87">
        <f t="shared" si="30"/>
        <v>-23795.780000000028</v>
      </c>
      <c r="Q128" s="85">
        <f t="shared" si="31"/>
        <v>555.58092881663435</v>
      </c>
      <c r="R128" s="6">
        <f t="shared" si="18"/>
        <v>555.58092881663435</v>
      </c>
      <c r="S128" s="5">
        <f t="shared" si="32"/>
        <v>253629.27000000002</v>
      </c>
      <c r="T128" s="113">
        <v>0.69499999999999995</v>
      </c>
      <c r="U128" s="87">
        <f t="shared" si="19"/>
        <v>55800.333469545221</v>
      </c>
      <c r="V128" s="87">
        <f t="shared" si="20"/>
        <v>25803.365900575416</v>
      </c>
      <c r="W128" s="87">
        <f t="shared" si="21"/>
        <v>11634.369528400177</v>
      </c>
      <c r="X128" s="87">
        <f t="shared" si="22"/>
        <v>3177.721720538339</v>
      </c>
      <c r="Y128" s="87">
        <f t="shared" si="23"/>
        <v>96415.790619059146</v>
      </c>
      <c r="Z128" s="91">
        <f t="shared" si="24"/>
        <v>0.3801445732941594</v>
      </c>
      <c r="AA128" s="86">
        <f t="shared" si="25"/>
        <v>96415.790619059146</v>
      </c>
      <c r="AB128" s="87"/>
      <c r="AC128" s="86">
        <v>89887.725529939198</v>
      </c>
      <c r="AD128" s="147">
        <f t="shared" si="33"/>
        <v>6528.0650891199475</v>
      </c>
      <c r="AE128" s="147">
        <v>-37.833927097002743</v>
      </c>
      <c r="AF128" s="147">
        <f t="shared" si="34"/>
        <v>6565.8990162169503</v>
      </c>
      <c r="AG128" s="86"/>
    </row>
    <row r="129" spans="2:33" x14ac:dyDescent="0.3">
      <c r="B129">
        <v>39</v>
      </c>
      <c r="C129" s="25">
        <v>7</v>
      </c>
      <c r="D129" s="32" t="s">
        <v>145</v>
      </c>
      <c r="E129" s="125">
        <v>383.36</v>
      </c>
      <c r="F129" s="125">
        <f>INDEX('Revised 2018 Lockdown'!H$5:H$253,MATCH(B129,'Revised 2018 Lockdown'!B$5:B$253,0))</f>
        <v>383.36</v>
      </c>
      <c r="G129" s="125">
        <f t="shared" si="26"/>
        <v>0</v>
      </c>
      <c r="H129" s="5">
        <v>108160.35</v>
      </c>
      <c r="I129" s="5">
        <f>INDEX('Revised 2018 Lockdown'!E$5:E$253,MATCH(B129,'Revised 2018 Lockdown'!B$5:B$253,0))</f>
        <v>108160.35</v>
      </c>
      <c r="J129" s="5">
        <f t="shared" si="27"/>
        <v>0</v>
      </c>
      <c r="K129" s="5">
        <v>1756.13</v>
      </c>
      <c r="L129" s="5">
        <f>INDEX('Revised 2018 Lockdown'!F$5:F$253,MATCH(B129,'Revised 2018 Lockdown'!B$5:B$253,0))</f>
        <v>1756.13</v>
      </c>
      <c r="M129" s="5">
        <f t="shared" si="28"/>
        <v>0</v>
      </c>
      <c r="N129" s="5">
        <v>106404.22</v>
      </c>
      <c r="O129" s="87">
        <f t="shared" si="29"/>
        <v>106404.22</v>
      </c>
      <c r="P129" s="87">
        <f t="shared" si="30"/>
        <v>0</v>
      </c>
      <c r="Q129" s="85">
        <f t="shared" si="31"/>
        <v>277.55691777963273</v>
      </c>
      <c r="R129" s="6">
        <f t="shared" si="18"/>
        <v>277.55691777963273</v>
      </c>
      <c r="S129" s="5">
        <f t="shared" si="32"/>
        <v>106404.22</v>
      </c>
      <c r="T129" s="113">
        <v>0.60305059523809523</v>
      </c>
      <c r="U129" s="87">
        <f t="shared" si="19"/>
        <v>23409.723012516861</v>
      </c>
      <c r="V129" s="87">
        <f t="shared" si="20"/>
        <v>21668.613092017105</v>
      </c>
      <c r="W129" s="87">
        <f t="shared" si="21"/>
        <v>4235.1742191171679</v>
      </c>
      <c r="X129" s="87">
        <f t="shared" si="22"/>
        <v>1333.1387227150083</v>
      </c>
      <c r="Y129" s="87">
        <f t="shared" si="23"/>
        <v>50646.649046366147</v>
      </c>
      <c r="Z129" s="91">
        <f t="shared" si="24"/>
        <v>0.47598346236987732</v>
      </c>
      <c r="AA129" s="86">
        <f t="shared" si="25"/>
        <v>50646.649046366147</v>
      </c>
      <c r="AB129" s="87"/>
      <c r="AC129" s="86">
        <v>50688.680486421144</v>
      </c>
      <c r="AD129" s="147">
        <f t="shared" si="33"/>
        <v>-42.031440054997802</v>
      </c>
      <c r="AE129" s="147">
        <v>-14.493173602517345</v>
      </c>
      <c r="AF129" s="147">
        <f t="shared" si="34"/>
        <v>-27.538266452480457</v>
      </c>
      <c r="AG129" s="86"/>
    </row>
    <row r="130" spans="2:33" x14ac:dyDescent="0.3">
      <c r="B130">
        <v>59</v>
      </c>
      <c r="C130" s="25">
        <v>7</v>
      </c>
      <c r="D130" s="32" t="s">
        <v>146</v>
      </c>
      <c r="E130" s="125">
        <v>233.31196774077719</v>
      </c>
      <c r="F130" s="125">
        <f>INDEX('Revised 2018 Lockdown'!H$5:H$253,MATCH(B130,'Revised 2018 Lockdown'!B$5:B$253,0))</f>
        <v>233.31196774077719</v>
      </c>
      <c r="G130" s="125">
        <f t="shared" si="26"/>
        <v>0</v>
      </c>
      <c r="H130" s="5">
        <v>172265.9</v>
      </c>
      <c r="I130" s="5">
        <f>INDEX('Revised 2018 Lockdown'!E$5:E$253,MATCH(B130,'Revised 2018 Lockdown'!B$5:B$253,0))</f>
        <v>172265.9</v>
      </c>
      <c r="J130" s="5">
        <f t="shared" si="27"/>
        <v>0</v>
      </c>
      <c r="K130" s="5">
        <v>0</v>
      </c>
      <c r="L130" s="5">
        <f>INDEX('Revised 2018 Lockdown'!F$5:F$253,MATCH(B130,'Revised 2018 Lockdown'!B$5:B$253,0))</f>
        <v>0</v>
      </c>
      <c r="M130" s="5">
        <f t="shared" si="28"/>
        <v>0</v>
      </c>
      <c r="N130" s="5">
        <v>172265.9</v>
      </c>
      <c r="O130" s="87">
        <f t="shared" si="29"/>
        <v>172265.9</v>
      </c>
      <c r="P130" s="87">
        <f t="shared" si="30"/>
        <v>0</v>
      </c>
      <c r="Q130" s="85">
        <f t="shared" si="31"/>
        <v>738.35003694022748</v>
      </c>
      <c r="R130" s="6">
        <f t="shared" si="18"/>
        <v>724.17749136783868</v>
      </c>
      <c r="S130" s="5">
        <f t="shared" si="32"/>
        <v>168959.27550461012</v>
      </c>
      <c r="T130" s="113">
        <v>9.7696428571428573E-2</v>
      </c>
      <c r="U130" s="87">
        <f t="shared" si="19"/>
        <v>37172.302376338535</v>
      </c>
      <c r="V130" s="87">
        <f t="shared" si="20"/>
        <v>13187.465459912553</v>
      </c>
      <c r="W130" s="87">
        <f t="shared" si="21"/>
        <v>1089.4803551836505</v>
      </c>
      <c r="X130" s="87">
        <f t="shared" si="22"/>
        <v>2116.8911603042538</v>
      </c>
      <c r="Y130" s="87">
        <f t="shared" si="23"/>
        <v>53566.139351738995</v>
      </c>
      <c r="Z130" s="91">
        <f t="shared" si="24"/>
        <v>0.31703580162592149</v>
      </c>
      <c r="AA130" s="86">
        <f t="shared" si="25"/>
        <v>53566.139351738995</v>
      </c>
      <c r="AB130" s="87"/>
      <c r="AC130" s="86">
        <v>53844.803396462718</v>
      </c>
      <c r="AD130" s="147">
        <f t="shared" si="33"/>
        <v>-278.66404472372233</v>
      </c>
      <c r="AE130" s="147">
        <v>-234.60710054988158</v>
      </c>
      <c r="AF130" s="147">
        <f t="shared" si="34"/>
        <v>-44.056944173840748</v>
      </c>
      <c r="AG130" s="86"/>
    </row>
    <row r="131" spans="2:33" x14ac:dyDescent="0.3">
      <c r="B131">
        <v>100</v>
      </c>
      <c r="C131" s="25">
        <v>7</v>
      </c>
      <c r="D131" s="32" t="s">
        <v>254</v>
      </c>
      <c r="E131" s="125">
        <v>31.644171725300925</v>
      </c>
      <c r="F131" s="125">
        <f>INDEX('Revised 2018 Lockdown'!H$5:H$253,MATCH(B131,'Revised 2018 Lockdown'!B$5:B$253,0))</f>
        <v>31.644171725300925</v>
      </c>
      <c r="G131" s="125">
        <f t="shared" si="26"/>
        <v>0</v>
      </c>
      <c r="H131" s="5">
        <v>30401.27</v>
      </c>
      <c r="I131" s="5">
        <f>INDEX('Revised 2018 Lockdown'!E$5:E$253,MATCH(B131,'Revised 2018 Lockdown'!B$5:B$253,0))</f>
        <v>30401.27</v>
      </c>
      <c r="J131" s="5">
        <f t="shared" si="27"/>
        <v>0</v>
      </c>
      <c r="K131" s="5">
        <v>0</v>
      </c>
      <c r="L131" s="5">
        <f>INDEX('Revised 2018 Lockdown'!F$5:F$253,MATCH(B131,'Revised 2018 Lockdown'!B$5:B$253,0))</f>
        <v>0</v>
      </c>
      <c r="M131" s="5">
        <f t="shared" si="28"/>
        <v>0</v>
      </c>
      <c r="N131" s="5">
        <v>30401.27</v>
      </c>
      <c r="O131" s="87">
        <f t="shared" si="29"/>
        <v>30401.27</v>
      </c>
      <c r="P131" s="87">
        <f t="shared" si="30"/>
        <v>0</v>
      </c>
      <c r="Q131" s="85">
        <f t="shared" si="31"/>
        <v>960.72257045972322</v>
      </c>
      <c r="R131" s="6">
        <f t="shared" si="18"/>
        <v>724.17749136783868</v>
      </c>
      <c r="S131" s="5">
        <f t="shared" si="32"/>
        <v>22915.996896441517</v>
      </c>
      <c r="T131" s="113">
        <v>0</v>
      </c>
      <c r="U131" s="87">
        <f t="shared" si="19"/>
        <v>5041.6904508241496</v>
      </c>
      <c r="V131" s="87">
        <f t="shared" si="20"/>
        <v>1788.6198709643497</v>
      </c>
      <c r="W131" s="87">
        <f t="shared" si="21"/>
        <v>0</v>
      </c>
      <c r="X131" s="87">
        <f t="shared" si="22"/>
        <v>287.11457902950781</v>
      </c>
      <c r="Y131" s="87">
        <f t="shared" si="23"/>
        <v>7117.4249008180068</v>
      </c>
      <c r="Z131" s="91">
        <f t="shared" si="24"/>
        <v>0.31058761846503946</v>
      </c>
      <c r="AA131" s="86">
        <f t="shared" si="25"/>
        <v>7117.4249008180068</v>
      </c>
      <c r="AB131" s="87"/>
      <c r="AC131" s="86">
        <v>7154.1992840450184</v>
      </c>
      <c r="AD131" s="147">
        <f t="shared" si="33"/>
        <v>-36.77438322701164</v>
      </c>
      <c r="AE131" s="147">
        <v>-30.957364331477947</v>
      </c>
      <c r="AF131" s="147">
        <f t="shared" si="34"/>
        <v>-5.8170188955336926</v>
      </c>
      <c r="AG131" s="86"/>
    </row>
    <row r="132" spans="2:33" x14ac:dyDescent="0.3">
      <c r="B132">
        <v>128</v>
      </c>
      <c r="C132" s="25">
        <v>7</v>
      </c>
      <c r="D132" s="32" t="s">
        <v>147</v>
      </c>
      <c r="E132" s="125">
        <v>144.8151497882408</v>
      </c>
      <c r="F132" s="125">
        <f>INDEX('Revised 2018 Lockdown'!H$5:H$253,MATCH(B132,'Revised 2018 Lockdown'!B$5:B$253,0))</f>
        <v>144.8151497882408</v>
      </c>
      <c r="G132" s="125">
        <f t="shared" si="26"/>
        <v>0</v>
      </c>
      <c r="H132" s="5">
        <v>96271.57</v>
      </c>
      <c r="I132" s="5">
        <f>INDEX('Revised 2018 Lockdown'!E$5:E$253,MATCH(B132,'Revised 2018 Lockdown'!B$5:B$253,0))</f>
        <v>96271.57</v>
      </c>
      <c r="J132" s="5">
        <f t="shared" si="27"/>
        <v>0</v>
      </c>
      <c r="K132" s="5">
        <v>119.44</v>
      </c>
      <c r="L132" s="5">
        <f>INDEX('Revised 2018 Lockdown'!F$5:F$253,MATCH(B132,'Revised 2018 Lockdown'!B$5:B$253,0))</f>
        <v>119.44</v>
      </c>
      <c r="M132" s="5">
        <f t="shared" si="28"/>
        <v>0</v>
      </c>
      <c r="N132" s="5">
        <v>96152.13</v>
      </c>
      <c r="O132" s="87">
        <f t="shared" si="29"/>
        <v>96152.13</v>
      </c>
      <c r="P132" s="87">
        <f t="shared" si="30"/>
        <v>0</v>
      </c>
      <c r="Q132" s="85">
        <f t="shared" si="31"/>
        <v>663.96457926260211</v>
      </c>
      <c r="R132" s="6">
        <f t="shared" si="18"/>
        <v>663.96457926260211</v>
      </c>
      <c r="S132" s="5">
        <f t="shared" si="32"/>
        <v>96152.13</v>
      </c>
      <c r="T132" s="113">
        <v>9.7696428571428573E-2</v>
      </c>
      <c r="U132" s="87">
        <f t="shared" si="19"/>
        <v>21154.186651276734</v>
      </c>
      <c r="V132" s="87">
        <f t="shared" si="20"/>
        <v>8185.3700193653294</v>
      </c>
      <c r="W132" s="87">
        <f t="shared" si="21"/>
        <v>620.00654554893754</v>
      </c>
      <c r="X132" s="87">
        <f t="shared" si="22"/>
        <v>1204.6902629851281</v>
      </c>
      <c r="Y132" s="87">
        <f t="shared" si="23"/>
        <v>31164.253479176132</v>
      </c>
      <c r="Z132" s="91">
        <f t="shared" si="24"/>
        <v>0.32411402097047803</v>
      </c>
      <c r="AA132" s="86">
        <f t="shared" si="25"/>
        <v>31164.253479176132</v>
      </c>
      <c r="AB132" s="87"/>
      <c r="AC132" s="86">
        <v>31199.416745975523</v>
      </c>
      <c r="AD132" s="147">
        <f t="shared" si="33"/>
        <v>-35.16326679939084</v>
      </c>
      <c r="AE132" s="147">
        <v>-14.07382094294735</v>
      </c>
      <c r="AF132" s="147">
        <f t="shared" si="34"/>
        <v>-21.08944585644349</v>
      </c>
      <c r="AG132" s="86"/>
    </row>
    <row r="133" spans="2:33" x14ac:dyDescent="0.3">
      <c r="B133">
        <v>152</v>
      </c>
      <c r="C133" s="25">
        <v>7</v>
      </c>
      <c r="D133" s="32" t="s">
        <v>148</v>
      </c>
      <c r="E133" s="125">
        <v>355.34</v>
      </c>
      <c r="F133" s="125">
        <f>INDEX('Revised 2018 Lockdown'!H$5:H$253,MATCH(B133,'Revised 2018 Lockdown'!B$5:B$253,0))</f>
        <v>355.34</v>
      </c>
      <c r="G133" s="125">
        <f t="shared" si="26"/>
        <v>0</v>
      </c>
      <c r="H133" s="5">
        <v>157814.06</v>
      </c>
      <c r="I133" s="5">
        <f>INDEX('Revised 2018 Lockdown'!E$5:E$253,MATCH(B133,'Revised 2018 Lockdown'!B$5:B$253,0))</f>
        <v>157814.06</v>
      </c>
      <c r="J133" s="5">
        <f t="shared" si="27"/>
        <v>0</v>
      </c>
      <c r="K133" s="5">
        <v>22795.199999999997</v>
      </c>
      <c r="L133" s="5">
        <f>INDEX('Revised 2018 Lockdown'!F$5:F$253,MATCH(B133,'Revised 2018 Lockdown'!B$5:B$253,0))</f>
        <v>22795.199999999997</v>
      </c>
      <c r="M133" s="5">
        <f t="shared" si="28"/>
        <v>0</v>
      </c>
      <c r="N133" s="5">
        <v>135018.85999999999</v>
      </c>
      <c r="O133" s="87">
        <f t="shared" si="29"/>
        <v>135018.85999999999</v>
      </c>
      <c r="P133" s="87">
        <f t="shared" si="30"/>
        <v>0</v>
      </c>
      <c r="Q133" s="85">
        <f t="shared" si="31"/>
        <v>379.97090110879719</v>
      </c>
      <c r="R133" s="6">
        <f t="shared" si="18"/>
        <v>379.97090110879719</v>
      </c>
      <c r="S133" s="5">
        <f t="shared" si="32"/>
        <v>135018.85999999999</v>
      </c>
      <c r="T133" s="113">
        <v>0.25982738095238095</v>
      </c>
      <c r="U133" s="87">
        <f t="shared" si="19"/>
        <v>29705.15750283017</v>
      </c>
      <c r="V133" s="87">
        <f t="shared" si="20"/>
        <v>20084.841861741854</v>
      </c>
      <c r="W133" s="87">
        <f t="shared" si="21"/>
        <v>2315.4639824214992</v>
      </c>
      <c r="X133" s="87">
        <f t="shared" si="22"/>
        <v>1691.6516145960798</v>
      </c>
      <c r="Y133" s="87">
        <f t="shared" si="23"/>
        <v>53797.114961589599</v>
      </c>
      <c r="Z133" s="91">
        <f t="shared" si="24"/>
        <v>0.39844148411258695</v>
      </c>
      <c r="AA133" s="86">
        <f t="shared" si="25"/>
        <v>53797.114961589599</v>
      </c>
      <c r="AB133" s="87"/>
      <c r="AC133" s="86">
        <v>53847.11480670415</v>
      </c>
      <c r="AD133" s="147">
        <f t="shared" si="33"/>
        <v>-49.999845114551135</v>
      </c>
      <c r="AE133" s="147">
        <v>-18.396491654966667</v>
      </c>
      <c r="AF133" s="147">
        <f t="shared" si="34"/>
        <v>-31.603353459584469</v>
      </c>
      <c r="AG133" s="86"/>
    </row>
    <row r="134" spans="2:33" x14ac:dyDescent="0.3">
      <c r="B134">
        <v>162</v>
      </c>
      <c r="C134" s="25">
        <v>7</v>
      </c>
      <c r="D134" s="32" t="s">
        <v>149</v>
      </c>
      <c r="E134" s="125">
        <v>789.80000000000007</v>
      </c>
      <c r="F134" s="125">
        <f>INDEX('Revised 2018 Lockdown'!H$5:H$253,MATCH(B134,'Revised 2018 Lockdown'!B$5:B$253,0))</f>
        <v>789.80000000000007</v>
      </c>
      <c r="G134" s="125">
        <f t="shared" si="26"/>
        <v>0</v>
      </c>
      <c r="H134" s="5">
        <v>386975.44</v>
      </c>
      <c r="I134" s="5">
        <f>INDEX('Revised 2018 Lockdown'!E$5:E$253,MATCH(B134,'Revised 2018 Lockdown'!B$5:B$253,0))</f>
        <v>386975.44</v>
      </c>
      <c r="J134" s="5">
        <f t="shared" si="27"/>
        <v>0</v>
      </c>
      <c r="K134" s="5">
        <v>24452.720000000001</v>
      </c>
      <c r="L134" s="5">
        <f>INDEX('Revised 2018 Lockdown'!F$5:F$253,MATCH(B134,'Revised 2018 Lockdown'!B$5:B$253,0))</f>
        <v>24452.720000000001</v>
      </c>
      <c r="M134" s="5">
        <f t="shared" si="28"/>
        <v>0</v>
      </c>
      <c r="N134" s="5">
        <v>362522.72</v>
      </c>
      <c r="O134" s="87">
        <f t="shared" si="29"/>
        <v>362522.72</v>
      </c>
      <c r="P134" s="87">
        <f t="shared" si="30"/>
        <v>0</v>
      </c>
      <c r="Q134" s="85">
        <f t="shared" si="31"/>
        <v>459.00572296783986</v>
      </c>
      <c r="R134" s="6">
        <f t="shared" si="18"/>
        <v>459.00572296783986</v>
      </c>
      <c r="S134" s="5">
        <f t="shared" si="32"/>
        <v>362522.72</v>
      </c>
      <c r="T134" s="113">
        <v>0.82153273809523808</v>
      </c>
      <c r="U134" s="87">
        <f t="shared" si="19"/>
        <v>79757.705671299555</v>
      </c>
      <c r="V134" s="87">
        <f t="shared" si="20"/>
        <v>44641.774363718461</v>
      </c>
      <c r="W134" s="87">
        <f t="shared" si="21"/>
        <v>19657.069897301048</v>
      </c>
      <c r="X134" s="87">
        <f t="shared" si="22"/>
        <v>4542.0480117797069</v>
      </c>
      <c r="Y134" s="87">
        <f t="shared" si="23"/>
        <v>148598.59794409876</v>
      </c>
      <c r="Z134" s="91">
        <f t="shared" si="24"/>
        <v>0.40990147581398145</v>
      </c>
      <c r="AA134" s="86">
        <f t="shared" si="25"/>
        <v>148598.59794409876</v>
      </c>
      <c r="AB134" s="87"/>
      <c r="AC134" s="86">
        <v>148755.33152604068</v>
      </c>
      <c r="AD134" s="147">
        <f t="shared" si="33"/>
        <v>-156.73358194192406</v>
      </c>
      <c r="AE134" s="147">
        <v>-60.58009454634157</v>
      </c>
      <c r="AF134" s="147">
        <f t="shared" si="34"/>
        <v>-96.153487395582488</v>
      </c>
      <c r="AG134" s="86"/>
    </row>
    <row r="135" spans="2:33" x14ac:dyDescent="0.3">
      <c r="B135">
        <v>166</v>
      </c>
      <c r="C135" s="25">
        <v>7</v>
      </c>
      <c r="D135" s="32" t="s">
        <v>150</v>
      </c>
      <c r="E135" s="125">
        <v>860.3599999999999</v>
      </c>
      <c r="F135" s="125">
        <f>INDEX('Revised 2018 Lockdown'!H$5:H$253,MATCH(B135,'Revised 2018 Lockdown'!B$5:B$253,0))</f>
        <v>860.3599999999999</v>
      </c>
      <c r="G135" s="125">
        <f t="shared" si="26"/>
        <v>0</v>
      </c>
      <c r="H135" s="5">
        <v>451775.31</v>
      </c>
      <c r="I135" s="5">
        <f>INDEX('Revised 2018 Lockdown'!E$5:E$253,MATCH(B135,'Revised 2018 Lockdown'!B$5:B$253,0))</f>
        <v>451775.31</v>
      </c>
      <c r="J135" s="5">
        <f t="shared" si="27"/>
        <v>0</v>
      </c>
      <c r="K135" s="5">
        <v>109930.31</v>
      </c>
      <c r="L135" s="5">
        <f>INDEX('Revised 2018 Lockdown'!F$5:F$253,MATCH(B135,'Revised 2018 Lockdown'!B$5:B$253,0))</f>
        <v>109930.31</v>
      </c>
      <c r="M135" s="5">
        <f t="shared" si="28"/>
        <v>0</v>
      </c>
      <c r="N135" s="5">
        <v>341845</v>
      </c>
      <c r="O135" s="87">
        <f t="shared" si="29"/>
        <v>341845</v>
      </c>
      <c r="P135" s="87">
        <f t="shared" si="30"/>
        <v>0</v>
      </c>
      <c r="Q135" s="85">
        <f t="shared" si="31"/>
        <v>397.32786275512581</v>
      </c>
      <c r="R135" s="6">
        <f t="shared" si="18"/>
        <v>397.32786275512581</v>
      </c>
      <c r="S135" s="5">
        <f t="shared" si="32"/>
        <v>341845</v>
      </c>
      <c r="T135" s="113">
        <v>0.83794047619047607</v>
      </c>
      <c r="U135" s="87">
        <f t="shared" si="19"/>
        <v>75208.452852845745</v>
      </c>
      <c r="V135" s="87">
        <f t="shared" si="20"/>
        <v>48630.029110621435</v>
      </c>
      <c r="W135" s="87">
        <f t="shared" si="21"/>
        <v>18906.062039118759</v>
      </c>
      <c r="X135" s="87">
        <f t="shared" si="22"/>
        <v>4282.9768092516624</v>
      </c>
      <c r="Y135" s="87">
        <f t="shared" si="23"/>
        <v>147027.5208118376</v>
      </c>
      <c r="Z135" s="91">
        <f t="shared" si="24"/>
        <v>0.43009995995798567</v>
      </c>
      <c r="AA135" s="86">
        <f t="shared" si="25"/>
        <v>147027.5208118376</v>
      </c>
      <c r="AB135" s="87"/>
      <c r="AC135" s="86">
        <v>147174.66325264427</v>
      </c>
      <c r="AD135" s="147">
        <f t="shared" si="33"/>
        <v>-147.14244080666685</v>
      </c>
      <c r="AE135" s="147">
        <v>-55.613768644019729</v>
      </c>
      <c r="AF135" s="147">
        <f t="shared" si="34"/>
        <v>-91.528672162647126</v>
      </c>
      <c r="AG135" s="86"/>
    </row>
    <row r="136" spans="2:33" x14ac:dyDescent="0.3">
      <c r="B136">
        <v>192</v>
      </c>
      <c r="C136" s="25">
        <v>7</v>
      </c>
      <c r="D136" s="32" t="s">
        <v>151</v>
      </c>
      <c r="E136" s="125">
        <v>166.06</v>
      </c>
      <c r="F136" s="125">
        <f>INDEX('Revised 2018 Lockdown'!H$5:H$253,MATCH(B136,'Revised 2018 Lockdown'!B$5:B$253,0))</f>
        <v>166.06</v>
      </c>
      <c r="G136" s="125">
        <f t="shared" si="26"/>
        <v>0</v>
      </c>
      <c r="H136" s="5">
        <v>119649.47</v>
      </c>
      <c r="I136" s="5">
        <f>INDEX('Revised 2018 Lockdown'!E$5:E$253,MATCH(B136,'Revised 2018 Lockdown'!B$5:B$253,0))</f>
        <v>119649.47</v>
      </c>
      <c r="J136" s="5">
        <f t="shared" si="27"/>
        <v>0</v>
      </c>
      <c r="K136" s="5">
        <v>21552.310000000005</v>
      </c>
      <c r="L136" s="5">
        <f>INDEX('Revised 2018 Lockdown'!F$5:F$253,MATCH(B136,'Revised 2018 Lockdown'!B$5:B$253,0))</f>
        <v>21552.310000000005</v>
      </c>
      <c r="M136" s="5">
        <f t="shared" si="28"/>
        <v>0</v>
      </c>
      <c r="N136" s="5">
        <v>98097.16</v>
      </c>
      <c r="O136" s="87">
        <f t="shared" si="29"/>
        <v>98097.16</v>
      </c>
      <c r="P136" s="87">
        <f t="shared" si="30"/>
        <v>0</v>
      </c>
      <c r="Q136" s="85">
        <f t="shared" si="31"/>
        <v>590.73322895339038</v>
      </c>
      <c r="R136" s="6">
        <f t="shared" si="18"/>
        <v>590.73322895339038</v>
      </c>
      <c r="S136" s="5">
        <f t="shared" si="32"/>
        <v>98097.16</v>
      </c>
      <c r="T136" s="113">
        <v>0.57625892857142857</v>
      </c>
      <c r="U136" s="87">
        <f t="shared" si="19"/>
        <v>21582.107776501238</v>
      </c>
      <c r="V136" s="87">
        <f t="shared" si="20"/>
        <v>9386.1902390973501</v>
      </c>
      <c r="W136" s="87">
        <f t="shared" si="21"/>
        <v>3731.0646910799096</v>
      </c>
      <c r="X136" s="87">
        <f t="shared" si="22"/>
        <v>1229.0595484311598</v>
      </c>
      <c r="Y136" s="87">
        <f t="shared" si="23"/>
        <v>35928.422255109661</v>
      </c>
      <c r="Z136" s="91">
        <f t="shared" si="24"/>
        <v>0.36625343949926442</v>
      </c>
      <c r="AA136" s="86">
        <f t="shared" si="25"/>
        <v>35928.422255109661</v>
      </c>
      <c r="AB136" s="87"/>
      <c r="AC136" s="86">
        <v>35968.88629178665</v>
      </c>
      <c r="AD136" s="147">
        <f t="shared" si="33"/>
        <v>-40.464036676989053</v>
      </c>
      <c r="AE136" s="147">
        <v>-16.086542944423854</v>
      </c>
      <c r="AF136" s="147">
        <f t="shared" si="34"/>
        <v>-24.377493732565199</v>
      </c>
      <c r="AG136" s="86"/>
    </row>
    <row r="137" spans="2:33" x14ac:dyDescent="0.3">
      <c r="B137">
        <v>205</v>
      </c>
      <c r="C137" s="25">
        <v>7</v>
      </c>
      <c r="D137" s="32" t="s">
        <v>152</v>
      </c>
      <c r="E137" s="125">
        <v>611.51978389570877</v>
      </c>
      <c r="F137" s="125">
        <f>INDEX('Revised 2018 Lockdown'!H$5:H$253,MATCH(B137,'Revised 2018 Lockdown'!B$5:B$253,0))</f>
        <v>611.51676439420532</v>
      </c>
      <c r="G137" s="125">
        <f t="shared" si="26"/>
        <v>3.0195015034450989E-3</v>
      </c>
      <c r="H137" s="5">
        <v>424199.53</v>
      </c>
      <c r="I137" s="5">
        <f>INDEX('Revised 2018 Lockdown'!E$5:E$253,MATCH(B137,'Revised 2018 Lockdown'!B$5:B$253,0))</f>
        <v>424199.53</v>
      </c>
      <c r="J137" s="5">
        <f t="shared" si="27"/>
        <v>0</v>
      </c>
      <c r="K137" s="5">
        <v>18066.25</v>
      </c>
      <c r="L137" s="5">
        <f>INDEX('Revised 2018 Lockdown'!F$5:F$253,MATCH(B137,'Revised 2018 Lockdown'!B$5:B$253,0))</f>
        <v>18066.25</v>
      </c>
      <c r="M137" s="5">
        <f t="shared" si="28"/>
        <v>0</v>
      </c>
      <c r="N137" s="5">
        <v>406133.28</v>
      </c>
      <c r="O137" s="87">
        <f t="shared" si="29"/>
        <v>406133.28</v>
      </c>
      <c r="P137" s="87">
        <f t="shared" si="30"/>
        <v>0</v>
      </c>
      <c r="Q137" s="85">
        <f t="shared" si="31"/>
        <v>664.14087666481726</v>
      </c>
      <c r="R137" s="6">
        <f t="shared" si="18"/>
        <v>664.14087666481726</v>
      </c>
      <c r="S137" s="5">
        <f t="shared" si="32"/>
        <v>406133.28</v>
      </c>
      <c r="T137" s="113">
        <v>0.54729761904761909</v>
      </c>
      <c r="U137" s="87">
        <f t="shared" si="19"/>
        <v>89352.354549142445</v>
      </c>
      <c r="V137" s="87">
        <f t="shared" si="20"/>
        <v>34564.691587385794</v>
      </c>
      <c r="W137" s="87">
        <f t="shared" si="21"/>
        <v>14670.699270313306</v>
      </c>
      <c r="X137" s="87">
        <f t="shared" si="22"/>
        <v>5088.4448206213701</v>
      </c>
      <c r="Y137" s="87">
        <f t="shared" si="23"/>
        <v>143676.19022746291</v>
      </c>
      <c r="Z137" s="91">
        <f t="shared" si="24"/>
        <v>0.35376610906513967</v>
      </c>
      <c r="AA137" s="86">
        <f t="shared" si="25"/>
        <v>143676.19022746291</v>
      </c>
      <c r="AB137" s="87"/>
      <c r="AC137" s="86">
        <v>143843.49185461472</v>
      </c>
      <c r="AD137" s="147">
        <f t="shared" si="33"/>
        <v>-167.30162715181359</v>
      </c>
      <c r="AE137" s="147">
        <v>-67.248243079520762</v>
      </c>
      <c r="AF137" s="147">
        <f t="shared" si="34"/>
        <v>-100.05338407229283</v>
      </c>
      <c r="AG137" s="86"/>
    </row>
    <row r="138" spans="2:33" x14ac:dyDescent="0.3">
      <c r="B138">
        <v>212</v>
      </c>
      <c r="C138" s="25">
        <v>7</v>
      </c>
      <c r="D138" s="32" t="s">
        <v>153</v>
      </c>
      <c r="E138" s="125">
        <v>456.16891805920824</v>
      </c>
      <c r="F138" s="125">
        <f>INDEX('Revised 2018 Lockdown'!H$5:H$253,MATCH(B138,'Revised 2018 Lockdown'!B$5:B$253,0))</f>
        <v>456.16891805920824</v>
      </c>
      <c r="G138" s="125">
        <f t="shared" si="26"/>
        <v>0</v>
      </c>
      <c r="H138" s="5">
        <v>245644.58</v>
      </c>
      <c r="I138" s="5">
        <f>INDEX('Revised 2018 Lockdown'!E$5:E$253,MATCH(B138,'Revised 2018 Lockdown'!B$5:B$253,0))</f>
        <v>245644.58</v>
      </c>
      <c r="J138" s="5">
        <f t="shared" si="27"/>
        <v>0</v>
      </c>
      <c r="K138" s="5">
        <v>630</v>
      </c>
      <c r="L138" s="5">
        <f>INDEX('Revised 2018 Lockdown'!F$5:F$253,MATCH(B138,'Revised 2018 Lockdown'!B$5:B$253,0))</f>
        <v>630</v>
      </c>
      <c r="M138" s="5">
        <f t="shared" si="28"/>
        <v>0</v>
      </c>
      <c r="N138" s="5">
        <v>245014.58</v>
      </c>
      <c r="O138" s="87">
        <f t="shared" si="29"/>
        <v>245014.58</v>
      </c>
      <c r="P138" s="87">
        <f t="shared" si="30"/>
        <v>0</v>
      </c>
      <c r="Q138" s="85">
        <f t="shared" si="31"/>
        <v>537.11371007570142</v>
      </c>
      <c r="R138" s="6">
        <f t="shared" si="18"/>
        <v>537.11371007570142</v>
      </c>
      <c r="S138" s="5">
        <f t="shared" si="32"/>
        <v>245014.57999999996</v>
      </c>
      <c r="T138" s="113">
        <v>0.26951785714285714</v>
      </c>
      <c r="U138" s="87">
        <f t="shared" si="19"/>
        <v>53905.037336189787</v>
      </c>
      <c r="V138" s="87">
        <f t="shared" si="20"/>
        <v>25783.983175159214</v>
      </c>
      <c r="W138" s="87">
        <f t="shared" si="21"/>
        <v>4358.511045616674</v>
      </c>
      <c r="X138" s="87">
        <f t="shared" si="22"/>
        <v>3069.788249260735</v>
      </c>
      <c r="Y138" s="87">
        <f t="shared" si="23"/>
        <v>87117.319806226398</v>
      </c>
      <c r="Z138" s="91">
        <f t="shared" si="24"/>
        <v>0.3555597377357152</v>
      </c>
      <c r="AA138" s="86">
        <f t="shared" si="25"/>
        <v>87117.319806226398</v>
      </c>
      <c r="AB138" s="87"/>
      <c r="AC138" s="86">
        <v>87210.290296894455</v>
      </c>
      <c r="AD138" s="147">
        <f t="shared" si="33"/>
        <v>-92.9704906680563</v>
      </c>
      <c r="AE138" s="147">
        <v>-36.341556076120469</v>
      </c>
      <c r="AF138" s="147">
        <f t="shared" si="34"/>
        <v>-56.628934591935831</v>
      </c>
      <c r="AG138" s="86"/>
    </row>
    <row r="139" spans="2:33" x14ac:dyDescent="0.3">
      <c r="B139">
        <v>216</v>
      </c>
      <c r="C139" s="25">
        <v>7</v>
      </c>
      <c r="D139" s="32" t="s">
        <v>154</v>
      </c>
      <c r="E139" s="125">
        <v>764.6477139740557</v>
      </c>
      <c r="F139" s="125">
        <f>INDEX('Revised 2018 Lockdown'!H$5:H$253,MATCH(B139,'Revised 2018 Lockdown'!B$5:B$253,0))</f>
        <v>764.64393837270507</v>
      </c>
      <c r="G139" s="125">
        <f t="shared" si="26"/>
        <v>3.7756013506395902E-3</v>
      </c>
      <c r="H139" s="5">
        <v>319371.06</v>
      </c>
      <c r="I139" s="5">
        <f>INDEX('Revised 2018 Lockdown'!E$5:E$253,MATCH(B139,'Revised 2018 Lockdown'!B$5:B$253,0))</f>
        <v>319371.06</v>
      </c>
      <c r="J139" s="5">
        <f t="shared" si="27"/>
        <v>0</v>
      </c>
      <c r="K139" s="5">
        <v>285</v>
      </c>
      <c r="L139" s="5">
        <f>INDEX('Revised 2018 Lockdown'!F$5:F$253,MATCH(B139,'Revised 2018 Lockdown'!B$5:B$253,0))</f>
        <v>285</v>
      </c>
      <c r="M139" s="5">
        <f t="shared" si="28"/>
        <v>0</v>
      </c>
      <c r="N139" s="5">
        <v>319086.06</v>
      </c>
      <c r="O139" s="87">
        <f t="shared" si="29"/>
        <v>319086.06</v>
      </c>
      <c r="P139" s="87">
        <f t="shared" si="30"/>
        <v>0</v>
      </c>
      <c r="Q139" s="85">
        <f t="shared" si="31"/>
        <v>417.30018899917064</v>
      </c>
      <c r="R139" s="6">
        <f t="shared" si="18"/>
        <v>417.30018899917064</v>
      </c>
      <c r="S139" s="5">
        <f t="shared" si="32"/>
        <v>319086.06</v>
      </c>
      <c r="T139" s="113">
        <v>0.63541071428571427</v>
      </c>
      <c r="U139" s="87">
        <f t="shared" si="19"/>
        <v>70201.316092118665</v>
      </c>
      <c r="V139" s="87">
        <f t="shared" si="20"/>
        <v>43219.881191971814</v>
      </c>
      <c r="W139" s="87">
        <f t="shared" si="21"/>
        <v>13382.000520567097</v>
      </c>
      <c r="X139" s="87">
        <f t="shared" si="22"/>
        <v>3997.8299964471748</v>
      </c>
      <c r="Y139" s="87">
        <f t="shared" si="23"/>
        <v>130801.02780110475</v>
      </c>
      <c r="Z139" s="91">
        <f t="shared" si="24"/>
        <v>0.40992398038668548</v>
      </c>
      <c r="AA139" s="86">
        <f t="shared" si="25"/>
        <v>130801.02780110475</v>
      </c>
      <c r="AB139" s="87"/>
      <c r="AC139" s="86">
        <v>130932.40943658368</v>
      </c>
      <c r="AD139" s="147">
        <f t="shared" si="33"/>
        <v>-131.38163547893055</v>
      </c>
      <c r="AE139" s="147">
        <v>-49.73258317244472</v>
      </c>
      <c r="AF139" s="147">
        <f t="shared" si="34"/>
        <v>-81.649052306485828</v>
      </c>
      <c r="AG139" s="86"/>
    </row>
    <row r="140" spans="2:33" x14ac:dyDescent="0.3">
      <c r="B140">
        <v>218</v>
      </c>
      <c r="C140" s="33">
        <v>7</v>
      </c>
      <c r="D140" s="32" t="s">
        <v>258</v>
      </c>
      <c r="E140" s="125">
        <v>290.41193028521099</v>
      </c>
      <c r="F140" s="125">
        <f>INDEX('Revised 2018 Lockdown'!H$5:H$253,MATCH(B140,'Revised 2018 Lockdown'!B$5:B$253,0))</f>
        <v>290.41049631809625</v>
      </c>
      <c r="G140" s="125">
        <f t="shared" si="26"/>
        <v>1.4339671147354238E-3</v>
      </c>
      <c r="H140" s="5">
        <v>189204.88</v>
      </c>
      <c r="I140" s="5">
        <f>INDEX('Revised 2018 Lockdown'!E$5:E$253,MATCH(B140,'Revised 2018 Lockdown'!B$5:B$253,0))</f>
        <v>189204.88</v>
      </c>
      <c r="J140" s="5">
        <f t="shared" si="27"/>
        <v>0</v>
      </c>
      <c r="K140" s="5">
        <v>110</v>
      </c>
      <c r="L140" s="5">
        <f>INDEX('Revised 2018 Lockdown'!F$5:F$253,MATCH(B140,'Revised 2018 Lockdown'!B$5:B$253,0))</f>
        <v>110</v>
      </c>
      <c r="M140" s="5">
        <f t="shared" si="28"/>
        <v>0</v>
      </c>
      <c r="N140" s="5">
        <v>189094.88</v>
      </c>
      <c r="O140" s="87">
        <f t="shared" si="29"/>
        <v>189094.88</v>
      </c>
      <c r="P140" s="87">
        <f t="shared" si="30"/>
        <v>0</v>
      </c>
      <c r="Q140" s="85">
        <f t="shared" si="31"/>
        <v>651.12963338927705</v>
      </c>
      <c r="R140" s="6">
        <f t="shared" si="18"/>
        <v>651.12963338927705</v>
      </c>
      <c r="S140" s="5">
        <f t="shared" si="32"/>
        <v>189094.88</v>
      </c>
      <c r="T140" s="113">
        <v>0.44010309523809527</v>
      </c>
      <c r="U140" s="87">
        <f t="shared" si="19"/>
        <v>41602.285735331876</v>
      </c>
      <c r="V140" s="87">
        <f t="shared" si="20"/>
        <v>16414.83900922758</v>
      </c>
      <c r="W140" s="87">
        <f t="shared" si="21"/>
        <v>5492.788416329764</v>
      </c>
      <c r="X140" s="87">
        <f t="shared" si="22"/>
        <v>2369.1701963996143</v>
      </c>
      <c r="Y140" s="87">
        <f t="shared" si="23"/>
        <v>65879.083357288837</v>
      </c>
      <c r="Z140" s="91">
        <f t="shared" si="24"/>
        <v>0.34839168229879536</v>
      </c>
      <c r="AA140" s="86">
        <f t="shared" si="25"/>
        <v>65879.083357288837</v>
      </c>
      <c r="AB140" s="87"/>
      <c r="AC140" s="86">
        <v>65954.854827941803</v>
      </c>
      <c r="AD140" s="147">
        <f t="shared" si="33"/>
        <v>-75.771470652965945</v>
      </c>
      <c r="AE140" s="147">
        <v>-30.358642559702275</v>
      </c>
      <c r="AF140" s="147">
        <f t="shared" si="34"/>
        <v>-45.41282809326367</v>
      </c>
      <c r="AG140" s="86"/>
    </row>
    <row r="141" spans="2:33" x14ac:dyDescent="0.3">
      <c r="B141">
        <v>229</v>
      </c>
      <c r="C141" s="25">
        <v>7</v>
      </c>
      <c r="D141" s="32" t="s">
        <v>155</v>
      </c>
      <c r="E141" s="125">
        <v>816</v>
      </c>
      <c r="F141" s="125">
        <f>INDEX('Revised 2018 Lockdown'!H$5:H$253,MATCH(B141,'Revised 2018 Lockdown'!B$5:B$253,0))</f>
        <v>816</v>
      </c>
      <c r="G141" s="125">
        <f t="shared" si="26"/>
        <v>0</v>
      </c>
      <c r="H141" s="5">
        <v>449836.67</v>
      </c>
      <c r="I141" s="5">
        <f>INDEX('Revised 2018 Lockdown'!E$5:E$253,MATCH(B141,'Revised 2018 Lockdown'!B$5:B$253,0))</f>
        <v>449836.67</v>
      </c>
      <c r="J141" s="5">
        <f t="shared" si="27"/>
        <v>0</v>
      </c>
      <c r="K141" s="5">
        <v>104238</v>
      </c>
      <c r="L141" s="5">
        <f>INDEX('Revised 2018 Lockdown'!F$5:F$253,MATCH(B141,'Revised 2018 Lockdown'!B$5:B$253,0))</f>
        <v>104238</v>
      </c>
      <c r="M141" s="5">
        <f t="shared" si="28"/>
        <v>0</v>
      </c>
      <c r="N141" s="5">
        <v>345598.67</v>
      </c>
      <c r="O141" s="87">
        <f t="shared" si="29"/>
        <v>345598.67</v>
      </c>
      <c r="P141" s="87">
        <f t="shared" si="30"/>
        <v>0</v>
      </c>
      <c r="Q141" s="85">
        <f t="shared" si="31"/>
        <v>423.52778186274509</v>
      </c>
      <c r="R141" s="6">
        <f t="shared" si="18"/>
        <v>423.52778186274509</v>
      </c>
      <c r="S141" s="5">
        <f t="shared" si="32"/>
        <v>345598.67</v>
      </c>
      <c r="T141" s="113">
        <v>0.68411904761904752</v>
      </c>
      <c r="U141" s="87">
        <f t="shared" si="19"/>
        <v>76034.288284752431</v>
      </c>
      <c r="V141" s="87">
        <f t="shared" si="20"/>
        <v>46122.673943775975</v>
      </c>
      <c r="W141" s="87">
        <f t="shared" si="21"/>
        <v>15604.951466327078</v>
      </c>
      <c r="X141" s="87">
        <f t="shared" si="22"/>
        <v>4330.0065495128438</v>
      </c>
      <c r="Y141" s="87">
        <f t="shared" si="23"/>
        <v>142091.92024436832</v>
      </c>
      <c r="Z141" s="91">
        <f t="shared" si="24"/>
        <v>0.41114718480938695</v>
      </c>
      <c r="AA141" s="86">
        <f t="shared" si="25"/>
        <v>142091.92024436832</v>
      </c>
      <c r="AB141" s="87"/>
      <c r="AC141" s="86">
        <v>142235.83111278314</v>
      </c>
      <c r="AD141" s="147">
        <f t="shared" si="33"/>
        <v>-143.9108684148232</v>
      </c>
      <c r="AE141" s="147">
        <v>-54.768347906472627</v>
      </c>
      <c r="AF141" s="147">
        <f t="shared" si="34"/>
        <v>-89.142520508350572</v>
      </c>
      <c r="AG141" s="86"/>
    </row>
    <row r="142" spans="2:33" x14ac:dyDescent="0.3">
      <c r="B142">
        <v>236</v>
      </c>
      <c r="C142" s="25">
        <v>7</v>
      </c>
      <c r="D142" s="32" t="s">
        <v>156</v>
      </c>
      <c r="E142" s="125">
        <v>1084.1000000000001</v>
      </c>
      <c r="F142" s="125">
        <f>INDEX('Revised 2018 Lockdown'!H$5:H$253,MATCH(B142,'Revised 2018 Lockdown'!B$5:B$253,0))</f>
        <v>1084.1000000000001</v>
      </c>
      <c r="G142" s="125">
        <f t="shared" si="26"/>
        <v>0</v>
      </c>
      <c r="H142" s="5">
        <v>616356.31999999995</v>
      </c>
      <c r="I142" s="5">
        <f>INDEX('Revised 2018 Lockdown'!E$5:E$253,MATCH(B142,'Revised 2018 Lockdown'!B$5:B$253,0))</f>
        <v>616356.31999999995</v>
      </c>
      <c r="J142" s="5">
        <f t="shared" si="27"/>
        <v>0</v>
      </c>
      <c r="K142" s="5">
        <v>145860.79</v>
      </c>
      <c r="L142" s="5">
        <f>INDEX('Revised 2018 Lockdown'!F$5:F$253,MATCH(B142,'Revised 2018 Lockdown'!B$5:B$253,0))</f>
        <v>145860.79</v>
      </c>
      <c r="M142" s="5">
        <f t="shared" si="28"/>
        <v>0</v>
      </c>
      <c r="N142" s="5">
        <v>470495.52999999991</v>
      </c>
      <c r="O142" s="87">
        <f t="shared" si="29"/>
        <v>470495.52999999991</v>
      </c>
      <c r="P142" s="87">
        <f t="shared" si="30"/>
        <v>0</v>
      </c>
      <c r="Q142" s="85">
        <f t="shared" si="31"/>
        <v>433.99643021861436</v>
      </c>
      <c r="R142" s="6">
        <f t="shared" si="18"/>
        <v>433.99643021861436</v>
      </c>
      <c r="S142" s="5">
        <f t="shared" si="32"/>
        <v>470495.52999999991</v>
      </c>
      <c r="T142" s="113">
        <v>0.68411904761904752</v>
      </c>
      <c r="U142" s="87">
        <f t="shared" si="19"/>
        <v>103512.53019783722</v>
      </c>
      <c r="V142" s="87">
        <f t="shared" si="20"/>
        <v>61276.459341234731</v>
      </c>
      <c r="W142" s="87">
        <f t="shared" si="21"/>
        <v>21244.468072674685</v>
      </c>
      <c r="X142" s="87">
        <f t="shared" si="22"/>
        <v>5894.8396022951028</v>
      </c>
      <c r="Y142" s="87">
        <f t="shared" si="23"/>
        <v>191928.29721404173</v>
      </c>
      <c r="Z142" s="91">
        <f t="shared" si="24"/>
        <v>0.40792799288452702</v>
      </c>
      <c r="AA142" s="86">
        <f t="shared" si="25"/>
        <v>191928.29721404173</v>
      </c>
      <c r="AB142" s="87"/>
      <c r="AC142" s="86">
        <v>192124.4998536823</v>
      </c>
      <c r="AD142" s="147">
        <f t="shared" si="33"/>
        <v>-196.20263964057085</v>
      </c>
      <c r="AE142" s="147">
        <v>-74.966979807417374</v>
      </c>
      <c r="AF142" s="147">
        <f t="shared" si="34"/>
        <v>-121.23565983315348</v>
      </c>
      <c r="AG142" s="86"/>
    </row>
    <row r="143" spans="2:33" x14ac:dyDescent="0.3">
      <c r="B143">
        <v>238</v>
      </c>
      <c r="C143" s="25">
        <v>7</v>
      </c>
      <c r="D143" s="32" t="s">
        <v>292</v>
      </c>
      <c r="E143" s="125">
        <v>67.316412345260062</v>
      </c>
      <c r="F143" s="125">
        <f>INDEX('Revised 2018 Lockdown'!H$5:H$253,MATCH(B143,'Revised 2018 Lockdown'!B$5:B$253,0))</f>
        <v>67.316079956981483</v>
      </c>
      <c r="G143" s="125">
        <f t="shared" si="26"/>
        <v>3.3238827857928754E-4</v>
      </c>
      <c r="H143" s="5">
        <v>56188.56</v>
      </c>
      <c r="I143" s="5">
        <f>INDEX('Revised 2018 Lockdown'!E$5:E$253,MATCH(B143,'Revised 2018 Lockdown'!B$5:B$253,0))</f>
        <v>56188.56</v>
      </c>
      <c r="J143" s="5">
        <f t="shared" si="27"/>
        <v>0</v>
      </c>
      <c r="K143" s="5">
        <v>0</v>
      </c>
      <c r="L143" s="5">
        <f>INDEX('Revised 2018 Lockdown'!F$5:F$253,MATCH(B143,'Revised 2018 Lockdown'!B$5:B$253,0))</f>
        <v>0</v>
      </c>
      <c r="M143" s="5">
        <f t="shared" si="28"/>
        <v>0</v>
      </c>
      <c r="N143" s="5">
        <v>56188.56</v>
      </c>
      <c r="O143" s="87">
        <f t="shared" si="29"/>
        <v>56188.56</v>
      </c>
      <c r="P143" s="87">
        <f t="shared" si="30"/>
        <v>0</v>
      </c>
      <c r="Q143" s="85">
        <f t="shared" si="31"/>
        <v>834.69744577978167</v>
      </c>
      <c r="R143" s="6">
        <f t="shared" si="18"/>
        <v>724.17749136783868</v>
      </c>
      <c r="S143" s="5">
        <f t="shared" si="32"/>
        <v>48748.789911963693</v>
      </c>
      <c r="T143" s="113">
        <v>0.37378571428571428</v>
      </c>
      <c r="U143" s="87">
        <f t="shared" si="19"/>
        <v>10725.097830090257</v>
      </c>
      <c r="V143" s="87">
        <f t="shared" si="20"/>
        <v>3804.899028221826</v>
      </c>
      <c r="W143" s="87">
        <f t="shared" si="21"/>
        <v>1202.6665059613351</v>
      </c>
      <c r="X143" s="87">
        <f t="shared" si="22"/>
        <v>610.77370349726311</v>
      </c>
      <c r="Y143" s="87">
        <f t="shared" si="23"/>
        <v>16343.437067770681</v>
      </c>
      <c r="Z143" s="91">
        <f t="shared" si="24"/>
        <v>0.33525831302244802</v>
      </c>
      <c r="AA143" s="86">
        <f t="shared" si="25"/>
        <v>16343.437067770681</v>
      </c>
      <c r="AB143" s="87"/>
      <c r="AC143" s="86">
        <v>16430.056783574335</v>
      </c>
      <c r="AD143" s="147">
        <f t="shared" si="33"/>
        <v>-86.619715803653889</v>
      </c>
      <c r="AE143" s="147">
        <v>-72.874991170223439</v>
      </c>
      <c r="AF143" s="147">
        <f t="shared" si="34"/>
        <v>-13.744724633430451</v>
      </c>
      <c r="AG143" s="86"/>
    </row>
    <row r="144" spans="2:33" x14ac:dyDescent="0.3">
      <c r="B144">
        <v>239</v>
      </c>
      <c r="C144" s="25">
        <v>7</v>
      </c>
      <c r="D144" s="32" t="s">
        <v>157</v>
      </c>
      <c r="E144" s="125">
        <v>3252.7579008551165</v>
      </c>
      <c r="F144" s="125">
        <f>INDEX('Revised 2018 Lockdown'!H$5:H$253,MATCH(B144,'Revised 2018 Lockdown'!B$5:B$253,0))</f>
        <v>3252.7418397110114</v>
      </c>
      <c r="G144" s="125">
        <f t="shared" si="26"/>
        <v>1.606114410515147E-2</v>
      </c>
      <c r="H144" s="5">
        <v>1786444.75</v>
      </c>
      <c r="I144" s="5">
        <f>INDEX('Revised 2018 Lockdown'!E$5:E$253,MATCH(B144,'Revised 2018 Lockdown'!B$5:B$253,0))</f>
        <v>1786444.75</v>
      </c>
      <c r="J144" s="5">
        <f t="shared" si="27"/>
        <v>0</v>
      </c>
      <c r="K144" s="5">
        <v>419175.63</v>
      </c>
      <c r="L144" s="5">
        <f>INDEX('Revised 2018 Lockdown'!F$5:F$253,MATCH(B144,'Revised 2018 Lockdown'!B$5:B$253,0))</f>
        <v>419175.63</v>
      </c>
      <c r="M144" s="5">
        <f t="shared" si="28"/>
        <v>0</v>
      </c>
      <c r="N144" s="5">
        <v>1367269.12</v>
      </c>
      <c r="O144" s="87">
        <f t="shared" si="29"/>
        <v>1367269.12</v>
      </c>
      <c r="P144" s="87">
        <f t="shared" si="30"/>
        <v>0</v>
      </c>
      <c r="Q144" s="85">
        <f t="shared" si="31"/>
        <v>420.34357086311979</v>
      </c>
      <c r="R144" s="6">
        <f t="shared" si="18"/>
        <v>420.34357086311979</v>
      </c>
      <c r="S144" s="5">
        <f t="shared" si="32"/>
        <v>1367269.12</v>
      </c>
      <c r="T144" s="113">
        <v>0.833095238095238</v>
      </c>
      <c r="U144" s="87">
        <f t="shared" si="19"/>
        <v>300809.41698334599</v>
      </c>
      <c r="V144" s="87">
        <f t="shared" si="20"/>
        <v>183854.352078761</v>
      </c>
      <c r="W144" s="87">
        <f t="shared" si="21"/>
        <v>75180.8678589091</v>
      </c>
      <c r="X144" s="87">
        <f t="shared" si="22"/>
        <v>17130.518021225787</v>
      </c>
      <c r="Y144" s="87">
        <f t="shared" si="23"/>
        <v>576975.15494224185</v>
      </c>
      <c r="Z144" s="91">
        <f t="shared" si="24"/>
        <v>0.42199092080880302</v>
      </c>
      <c r="AA144" s="86">
        <f t="shared" si="25"/>
        <v>576975.15494224185</v>
      </c>
      <c r="AB144" s="87"/>
      <c r="AC144" s="86">
        <v>577565.90254230192</v>
      </c>
      <c r="AD144" s="147">
        <f t="shared" si="33"/>
        <v>-590.74760006007273</v>
      </c>
      <c r="AE144" s="147">
        <v>-225.00680932379328</v>
      </c>
      <c r="AF144" s="147">
        <f t="shared" si="34"/>
        <v>-365.74079073627945</v>
      </c>
      <c r="AG144" s="86"/>
    </row>
    <row r="145" spans="2:33" x14ac:dyDescent="0.3">
      <c r="B145">
        <v>249</v>
      </c>
      <c r="C145" s="25">
        <v>7</v>
      </c>
      <c r="D145" s="32" t="s">
        <v>158</v>
      </c>
      <c r="E145" s="125">
        <v>1154.9883434484898</v>
      </c>
      <c r="F145" s="125">
        <f>INDEX('Revised 2018 Lockdown'!H$5:H$253,MATCH(B145,'Revised 2018 Lockdown'!B$5:B$253,0))</f>
        <v>1154.9883434484898</v>
      </c>
      <c r="G145" s="125">
        <f t="shared" si="26"/>
        <v>0</v>
      </c>
      <c r="H145" s="5">
        <v>606310.29</v>
      </c>
      <c r="I145" s="5">
        <f>INDEX('Revised 2018 Lockdown'!E$5:E$253,MATCH(B145,'Revised 2018 Lockdown'!B$5:B$253,0))</f>
        <v>606310.29</v>
      </c>
      <c r="J145" s="5">
        <f t="shared" si="27"/>
        <v>0</v>
      </c>
      <c r="K145" s="5">
        <v>0</v>
      </c>
      <c r="L145" s="5">
        <f>INDEX('Revised 2018 Lockdown'!F$5:F$253,MATCH(B145,'Revised 2018 Lockdown'!B$5:B$253,0))</f>
        <v>0</v>
      </c>
      <c r="M145" s="5">
        <f t="shared" si="28"/>
        <v>0</v>
      </c>
      <c r="N145" s="5">
        <v>606310.29</v>
      </c>
      <c r="O145" s="87">
        <f t="shared" si="29"/>
        <v>606310.29</v>
      </c>
      <c r="P145" s="87">
        <f t="shared" si="30"/>
        <v>0</v>
      </c>
      <c r="Q145" s="85">
        <f t="shared" si="31"/>
        <v>524.94927194651837</v>
      </c>
      <c r="R145" s="6">
        <f t="shared" si="18"/>
        <v>524.94927194651837</v>
      </c>
      <c r="S145" s="5">
        <f t="shared" si="32"/>
        <v>606310.29</v>
      </c>
      <c r="T145" s="113">
        <v>0.70709970238095232</v>
      </c>
      <c r="U145" s="87">
        <f t="shared" si="19"/>
        <v>133392.79164434239</v>
      </c>
      <c r="V145" s="87">
        <f t="shared" si="20"/>
        <v>65283.273007030184</v>
      </c>
      <c r="W145" s="87">
        <f t="shared" si="21"/>
        <v>28296.600981443669</v>
      </c>
      <c r="X145" s="87">
        <f t="shared" si="22"/>
        <v>7596.4630498636816</v>
      </c>
      <c r="Y145" s="87">
        <f t="shared" si="23"/>
        <v>234569.12868267993</v>
      </c>
      <c r="Z145" s="91">
        <f t="shared" si="24"/>
        <v>0.38687967621773323</v>
      </c>
      <c r="AA145" s="86">
        <f t="shared" si="25"/>
        <v>234569.12868267993</v>
      </c>
      <c r="AB145" s="87"/>
      <c r="AC145" s="86">
        <v>234825.94761029346</v>
      </c>
      <c r="AD145" s="147">
        <f t="shared" si="33"/>
        <v>-256.81892761352356</v>
      </c>
      <c r="AE145" s="147">
        <v>-100.86747103484231</v>
      </c>
      <c r="AF145" s="147">
        <f t="shared" si="34"/>
        <v>-155.95145657868125</v>
      </c>
      <c r="AG145" s="86"/>
    </row>
    <row r="146" spans="2:33" x14ac:dyDescent="0.3">
      <c r="B146">
        <v>271</v>
      </c>
      <c r="C146" s="25">
        <v>7</v>
      </c>
      <c r="D146" s="32" t="s">
        <v>159</v>
      </c>
      <c r="E146" s="125">
        <v>1048.2</v>
      </c>
      <c r="F146" s="125">
        <f>INDEX('Revised 2018 Lockdown'!H$5:H$253,MATCH(B146,'Revised 2018 Lockdown'!B$5:B$253,0))</f>
        <v>1048.2</v>
      </c>
      <c r="G146" s="125">
        <f t="shared" si="26"/>
        <v>0</v>
      </c>
      <c r="H146" s="5">
        <v>988965.82</v>
      </c>
      <c r="I146" s="5">
        <f>INDEX('Revised 2018 Lockdown'!E$5:E$253,MATCH(B146,'Revised 2018 Lockdown'!B$5:B$253,0))</f>
        <v>933272.8</v>
      </c>
      <c r="J146" s="5">
        <f t="shared" si="27"/>
        <v>55693.019999999902</v>
      </c>
      <c r="K146" s="5">
        <v>90489.709999999992</v>
      </c>
      <c r="L146" s="5">
        <f>INDEX('Revised 2018 Lockdown'!F$5:F$253,MATCH(B146,'Revised 2018 Lockdown'!B$5:B$253,0))</f>
        <v>90489.709999999992</v>
      </c>
      <c r="M146" s="5">
        <f t="shared" si="28"/>
        <v>0</v>
      </c>
      <c r="N146" s="5">
        <v>898476.11</v>
      </c>
      <c r="O146" s="87">
        <f t="shared" si="29"/>
        <v>842783.09000000008</v>
      </c>
      <c r="P146" s="87">
        <f t="shared" si="30"/>
        <v>55693.019999999902</v>
      </c>
      <c r="Q146" s="85">
        <f t="shared" si="31"/>
        <v>804.02889715703111</v>
      </c>
      <c r="R146" s="6">
        <f t="shared" si="18"/>
        <v>724.17749136783868</v>
      </c>
      <c r="S146" s="5">
        <f t="shared" si="32"/>
        <v>759082.84645176854</v>
      </c>
      <c r="T146" s="113">
        <v>0.53657738095238094</v>
      </c>
      <c r="U146" s="87">
        <f t="shared" si="19"/>
        <v>167003.89494879777</v>
      </c>
      <c r="V146" s="87">
        <f t="shared" si="20"/>
        <v>59247.287779247519</v>
      </c>
      <c r="W146" s="87">
        <f t="shared" si="21"/>
        <v>26883.153768141739</v>
      </c>
      <c r="X146" s="87">
        <f t="shared" si="22"/>
        <v>9510.5507690727245</v>
      </c>
      <c r="Y146" s="87">
        <f t="shared" si="23"/>
        <v>262644.88726525975</v>
      </c>
      <c r="Z146" s="91">
        <f t="shared" si="24"/>
        <v>0.34600292773438135</v>
      </c>
      <c r="AA146" s="86">
        <f t="shared" si="25"/>
        <v>262644.88726525975</v>
      </c>
      <c r="AB146" s="87"/>
      <c r="AC146" s="86">
        <v>264048.75639186322</v>
      </c>
      <c r="AD146" s="147">
        <f t="shared" si="33"/>
        <v>-1403.869126603473</v>
      </c>
      <c r="AE146" s="147">
        <v>-1182.3582669809111</v>
      </c>
      <c r="AF146" s="147">
        <f t="shared" si="34"/>
        <v>-221.51085962256184</v>
      </c>
      <c r="AG146" s="86"/>
    </row>
    <row r="147" spans="2:33" x14ac:dyDescent="0.3">
      <c r="B147">
        <v>275</v>
      </c>
      <c r="C147" s="25">
        <v>7</v>
      </c>
      <c r="D147" s="32" t="s">
        <v>160</v>
      </c>
      <c r="E147" s="125">
        <v>710.94999999999993</v>
      </c>
      <c r="F147" s="125">
        <f>INDEX('Revised 2018 Lockdown'!H$5:H$253,MATCH(B147,'Revised 2018 Lockdown'!B$5:B$253,0))</f>
        <v>710.94999999999993</v>
      </c>
      <c r="G147" s="125">
        <f t="shared" si="26"/>
        <v>0</v>
      </c>
      <c r="H147" s="5">
        <v>324500.11</v>
      </c>
      <c r="I147" s="5">
        <f>INDEX('Revised 2018 Lockdown'!E$5:E$253,MATCH(B147,'Revised 2018 Lockdown'!B$5:B$253,0))</f>
        <v>324500.2</v>
      </c>
      <c r="J147" s="5">
        <f t="shared" si="27"/>
        <v>-9.0000000025611371E-2</v>
      </c>
      <c r="K147" s="5">
        <v>62912.880000000005</v>
      </c>
      <c r="L147" s="5">
        <f>INDEX('Revised 2018 Lockdown'!F$5:F$253,MATCH(B147,'Revised 2018 Lockdown'!B$5:B$253,0))</f>
        <v>62912.880000000005</v>
      </c>
      <c r="M147" s="5">
        <f t="shared" si="28"/>
        <v>0</v>
      </c>
      <c r="N147" s="5">
        <v>261587.22999999998</v>
      </c>
      <c r="O147" s="87">
        <f t="shared" si="29"/>
        <v>261587.32</v>
      </c>
      <c r="P147" s="87">
        <f t="shared" si="30"/>
        <v>-9.0000000025611371E-2</v>
      </c>
      <c r="Q147" s="85">
        <f t="shared" si="31"/>
        <v>367.9405302763908</v>
      </c>
      <c r="R147" s="6">
        <f t="shared" si="18"/>
        <v>367.9405302763908</v>
      </c>
      <c r="S147" s="5">
        <f t="shared" si="32"/>
        <v>261587.32</v>
      </c>
      <c r="T147" s="113">
        <v>0.58043154761904758</v>
      </c>
      <c r="U147" s="87">
        <f t="shared" si="19"/>
        <v>57551.163899200728</v>
      </c>
      <c r="V147" s="87">
        <f t="shared" si="20"/>
        <v>40184.944902362164</v>
      </c>
      <c r="W147" s="87">
        <f t="shared" si="21"/>
        <v>10021.353338787161</v>
      </c>
      <c r="X147" s="87">
        <f t="shared" si="22"/>
        <v>3277.4281477110785</v>
      </c>
      <c r="Y147" s="87">
        <f t="shared" si="23"/>
        <v>111034.89028806113</v>
      </c>
      <c r="Z147" s="91">
        <f t="shared" si="24"/>
        <v>0.42446587352957754</v>
      </c>
      <c r="AA147" s="86">
        <f t="shared" si="25"/>
        <v>111034.89028806113</v>
      </c>
      <c r="AB147" s="87"/>
      <c r="AC147" s="86">
        <v>111140.04306785561</v>
      </c>
      <c r="AD147" s="147">
        <f t="shared" si="33"/>
        <v>-105.15277979448729</v>
      </c>
      <c r="AE147" s="147">
        <v>-38.883219655530411</v>
      </c>
      <c r="AF147" s="147">
        <f t="shared" si="34"/>
        <v>-66.269560138956876</v>
      </c>
      <c r="AG147" s="86"/>
    </row>
    <row r="148" spans="2:33" x14ac:dyDescent="0.3">
      <c r="B148">
        <v>282</v>
      </c>
      <c r="C148" s="25">
        <v>7</v>
      </c>
      <c r="D148" s="32" t="s">
        <v>161</v>
      </c>
      <c r="E148" s="125">
        <v>145.34946417977184</v>
      </c>
      <c r="F148" s="125">
        <f>INDEX('Revised 2018 Lockdown'!H$5:H$253,MATCH(B148,'Revised 2018 Lockdown'!B$5:B$253,0))</f>
        <v>145.34946417977184</v>
      </c>
      <c r="G148" s="125">
        <f t="shared" si="26"/>
        <v>0</v>
      </c>
      <c r="H148" s="5">
        <v>55222.87</v>
      </c>
      <c r="I148" s="5">
        <f>INDEX('Revised 2018 Lockdown'!E$5:E$253,MATCH(B148,'Revised 2018 Lockdown'!B$5:B$253,0))</f>
        <v>55222.87</v>
      </c>
      <c r="J148" s="5">
        <f t="shared" si="27"/>
        <v>0</v>
      </c>
      <c r="K148" s="5">
        <v>0</v>
      </c>
      <c r="L148" s="5">
        <f>INDEX('Revised 2018 Lockdown'!F$5:F$253,MATCH(B148,'Revised 2018 Lockdown'!B$5:B$253,0))</f>
        <v>0</v>
      </c>
      <c r="M148" s="5">
        <f t="shared" si="28"/>
        <v>0</v>
      </c>
      <c r="N148" s="5">
        <v>55222.87</v>
      </c>
      <c r="O148" s="87">
        <f t="shared" si="29"/>
        <v>55222.87</v>
      </c>
      <c r="P148" s="87">
        <f t="shared" si="30"/>
        <v>0</v>
      </c>
      <c r="Q148" s="85">
        <f t="shared" si="31"/>
        <v>379.93170674299137</v>
      </c>
      <c r="R148" s="6">
        <f t="shared" si="18"/>
        <v>379.93170674299137</v>
      </c>
      <c r="S148" s="5">
        <f t="shared" si="32"/>
        <v>55222.87</v>
      </c>
      <c r="T148" s="113">
        <v>0.27853571428571428</v>
      </c>
      <c r="U148" s="87">
        <f t="shared" si="19"/>
        <v>12149.443797024471</v>
      </c>
      <c r="V148" s="87">
        <f t="shared" si="20"/>
        <v>8215.5710101301011</v>
      </c>
      <c r="W148" s="87">
        <f t="shared" si="21"/>
        <v>1015.2162018535053</v>
      </c>
      <c r="X148" s="87">
        <f t="shared" si="22"/>
        <v>691.88746815170441</v>
      </c>
      <c r="Y148" s="87">
        <f t="shared" si="23"/>
        <v>22072.11847715978</v>
      </c>
      <c r="Z148" s="91">
        <f t="shared" si="24"/>
        <v>0.39969162191606084</v>
      </c>
      <c r="AA148" s="86">
        <f t="shared" si="25"/>
        <v>22072.11847715978</v>
      </c>
      <c r="AB148" s="87"/>
      <c r="AC148" s="86">
        <v>22092.673576182508</v>
      </c>
      <c r="AD148" s="147">
        <f t="shared" si="33"/>
        <v>-20.555099022727518</v>
      </c>
      <c r="AE148" s="147">
        <v>-7.5680910318988026</v>
      </c>
      <c r="AF148" s="147">
        <f t="shared" si="34"/>
        <v>-12.987007990828715</v>
      </c>
      <c r="AG148" s="86"/>
    </row>
    <row r="149" spans="2:33" x14ac:dyDescent="0.3">
      <c r="B149">
        <v>287</v>
      </c>
      <c r="C149" s="25">
        <v>7</v>
      </c>
      <c r="D149" s="32" t="s">
        <v>162</v>
      </c>
      <c r="E149" s="125">
        <v>147.07202997933462</v>
      </c>
      <c r="F149" s="125">
        <f>INDEX('Revised 2018 Lockdown'!H$5:H$253,MATCH(B149,'Revised 2018 Lockdown'!B$5:B$253,0))</f>
        <v>147.07202997933462</v>
      </c>
      <c r="G149" s="125">
        <f t="shared" si="26"/>
        <v>0</v>
      </c>
      <c r="H149" s="5">
        <v>102363.95</v>
      </c>
      <c r="I149" s="5">
        <f>INDEX('Revised 2018 Lockdown'!E$5:E$253,MATCH(B149,'Revised 2018 Lockdown'!B$5:B$253,0))</f>
        <v>102363.95</v>
      </c>
      <c r="J149" s="5">
        <f t="shared" si="27"/>
        <v>0</v>
      </c>
      <c r="K149" s="5">
        <v>282</v>
      </c>
      <c r="L149" s="5">
        <f>INDEX('Revised 2018 Lockdown'!F$5:F$253,MATCH(B149,'Revised 2018 Lockdown'!B$5:B$253,0))</f>
        <v>282</v>
      </c>
      <c r="M149" s="5">
        <f t="shared" si="28"/>
        <v>0</v>
      </c>
      <c r="N149" s="5">
        <v>102081.95</v>
      </c>
      <c r="O149" s="87">
        <f t="shared" si="29"/>
        <v>102081.95</v>
      </c>
      <c r="P149" s="87">
        <f t="shared" si="30"/>
        <v>0</v>
      </c>
      <c r="Q149" s="85">
        <f t="shared" si="31"/>
        <v>694.09492759665955</v>
      </c>
      <c r="R149" s="6">
        <f t="shared" si="18"/>
        <v>694.09492759665955</v>
      </c>
      <c r="S149" s="5">
        <f t="shared" si="32"/>
        <v>102081.95</v>
      </c>
      <c r="T149" s="113">
        <v>0.20193749999999999</v>
      </c>
      <c r="U149" s="87">
        <f t="shared" si="19"/>
        <v>22458.791334381243</v>
      </c>
      <c r="V149" s="87">
        <f t="shared" si="20"/>
        <v>8312.9353982672746</v>
      </c>
      <c r="W149" s="87">
        <f t="shared" si="21"/>
        <v>1360.5816525259834</v>
      </c>
      <c r="X149" s="87">
        <f t="shared" si="22"/>
        <v>1278.9849917160927</v>
      </c>
      <c r="Y149" s="87">
        <f t="shared" si="23"/>
        <v>33411.293376890593</v>
      </c>
      <c r="Z149" s="91">
        <f t="shared" si="24"/>
        <v>0.32729873769937384</v>
      </c>
      <c r="AA149" s="86">
        <f t="shared" si="25"/>
        <v>33411.293376890593</v>
      </c>
      <c r="AB149" s="87"/>
      <c r="AC149" s="86">
        <v>33449.779997451478</v>
      </c>
      <c r="AD149" s="147">
        <f t="shared" si="33"/>
        <v>-38.486620560885058</v>
      </c>
      <c r="AE149" s="147">
        <v>-15.497380439570406</v>
      </c>
      <c r="AF149" s="147">
        <f t="shared" si="34"/>
        <v>-22.989240121314651</v>
      </c>
      <c r="AG149" s="86"/>
    </row>
    <row r="150" spans="2:33" x14ac:dyDescent="0.3">
      <c r="B150">
        <v>290</v>
      </c>
      <c r="C150" s="25">
        <v>7</v>
      </c>
      <c r="D150" s="32" t="s">
        <v>163</v>
      </c>
      <c r="E150" s="125">
        <v>335.89235607307199</v>
      </c>
      <c r="F150" s="125">
        <f>INDEX('Revised 2018 Lockdown'!H$5:H$253,MATCH(B150,'Revised 2018 Lockdown'!B$5:B$253,0))</f>
        <v>335.89235607307199</v>
      </c>
      <c r="G150" s="125">
        <f t="shared" si="26"/>
        <v>0</v>
      </c>
      <c r="H150" s="5">
        <v>134939.94</v>
      </c>
      <c r="I150" s="5">
        <f>INDEX('Revised 2018 Lockdown'!E$5:E$253,MATCH(B150,'Revised 2018 Lockdown'!B$5:B$253,0))</f>
        <v>135999.42000000001</v>
      </c>
      <c r="J150" s="5">
        <f t="shared" si="27"/>
        <v>-1059.4800000000105</v>
      </c>
      <c r="K150" s="5">
        <v>423.97</v>
      </c>
      <c r="L150" s="5">
        <f>INDEX('Revised 2018 Lockdown'!F$5:F$253,MATCH(B150,'Revised 2018 Lockdown'!B$5:B$253,0))</f>
        <v>423.97</v>
      </c>
      <c r="M150" s="5">
        <f t="shared" si="28"/>
        <v>0</v>
      </c>
      <c r="N150" s="5">
        <v>134515.97</v>
      </c>
      <c r="O150" s="87">
        <f t="shared" si="29"/>
        <v>135575.45000000001</v>
      </c>
      <c r="P150" s="87">
        <f t="shared" si="30"/>
        <v>-1059.4800000000105</v>
      </c>
      <c r="Q150" s="85">
        <f t="shared" si="31"/>
        <v>403.62767282059298</v>
      </c>
      <c r="R150" s="6">
        <f t="shared" si="18"/>
        <v>403.62767282059298</v>
      </c>
      <c r="S150" s="5">
        <f t="shared" si="32"/>
        <v>135575.45000000001</v>
      </c>
      <c r="T150" s="113">
        <v>0.83378571428571424</v>
      </c>
      <c r="U150" s="87">
        <f t="shared" si="19"/>
        <v>29827.611459370026</v>
      </c>
      <c r="V150" s="87">
        <f t="shared" si="20"/>
        <v>18985.604925692402</v>
      </c>
      <c r="W150" s="87">
        <f t="shared" si="21"/>
        <v>7460.9508978262766</v>
      </c>
      <c r="X150" s="87">
        <f t="shared" si="22"/>
        <v>1698.6251320155579</v>
      </c>
      <c r="Y150" s="87">
        <f t="shared" si="23"/>
        <v>57972.792414904259</v>
      </c>
      <c r="Z150" s="91">
        <f t="shared" si="24"/>
        <v>0.42760538441808049</v>
      </c>
      <c r="AA150" s="86">
        <f t="shared" si="25"/>
        <v>57972.792414904259</v>
      </c>
      <c r="AB150" s="87"/>
      <c r="AC150" s="86">
        <v>57725.991380618834</v>
      </c>
      <c r="AD150" s="147">
        <f t="shared" si="33"/>
        <v>246.80103428542498</v>
      </c>
      <c r="AE150" s="147">
        <v>283.04359002008277</v>
      </c>
      <c r="AF150" s="147">
        <f t="shared" si="34"/>
        <v>-36.242555734657799</v>
      </c>
      <c r="AG150" s="86"/>
    </row>
    <row r="151" spans="2:33" x14ac:dyDescent="0.3">
      <c r="B151">
        <v>294</v>
      </c>
      <c r="C151" s="25">
        <v>7</v>
      </c>
      <c r="D151" s="32" t="s">
        <v>164</v>
      </c>
      <c r="E151" s="125">
        <v>1221.8972650148394</v>
      </c>
      <c r="F151" s="125">
        <f>INDEX('Revised 2018 Lockdown'!H$5:H$253,MATCH(B151,'Revised 2018 Lockdown'!B$5:B$253,0))</f>
        <v>1221.8972650148394</v>
      </c>
      <c r="G151" s="125">
        <f t="shared" si="26"/>
        <v>0</v>
      </c>
      <c r="H151" s="5">
        <v>632461</v>
      </c>
      <c r="I151" s="5">
        <f>INDEX('Revised 2018 Lockdown'!E$5:E$253,MATCH(B151,'Revised 2018 Lockdown'!B$5:B$253,0))</f>
        <v>632460.91</v>
      </c>
      <c r="J151" s="5">
        <f t="shared" si="27"/>
        <v>8.999999996740371E-2</v>
      </c>
      <c r="K151" s="5">
        <v>637</v>
      </c>
      <c r="L151" s="5">
        <f>INDEX('Revised 2018 Lockdown'!F$5:F$253,MATCH(B151,'Revised 2018 Lockdown'!B$5:B$253,0))</f>
        <v>637</v>
      </c>
      <c r="M151" s="5">
        <f t="shared" si="28"/>
        <v>0</v>
      </c>
      <c r="N151" s="5">
        <v>631824</v>
      </c>
      <c r="O151" s="87">
        <f t="shared" si="29"/>
        <v>631823.91</v>
      </c>
      <c r="P151" s="87">
        <f t="shared" si="30"/>
        <v>8.999999996740371E-2</v>
      </c>
      <c r="Q151" s="85">
        <f t="shared" si="31"/>
        <v>517.08431477038027</v>
      </c>
      <c r="R151" s="6">
        <f t="shared" si="18"/>
        <v>517.08431477038027</v>
      </c>
      <c r="S151" s="5">
        <f t="shared" si="32"/>
        <v>631823.90999999992</v>
      </c>
      <c r="T151" s="113">
        <v>0.77281547619047608</v>
      </c>
      <c r="U151" s="87">
        <f t="shared" si="19"/>
        <v>139005.97857665212</v>
      </c>
      <c r="V151" s="87">
        <f t="shared" si="20"/>
        <v>69065.158268469429</v>
      </c>
      <c r="W151" s="87">
        <f t="shared" si="21"/>
        <v>32227.791458111555</v>
      </c>
      <c r="X151" s="87">
        <f t="shared" si="22"/>
        <v>7916.1232548690468</v>
      </c>
      <c r="Y151" s="87">
        <f t="shared" si="23"/>
        <v>248215.05155810216</v>
      </c>
      <c r="Z151" s="91">
        <f t="shared" si="24"/>
        <v>0.39285479328900708</v>
      </c>
      <c r="AA151" s="86">
        <f t="shared" si="25"/>
        <v>248215.05155810216</v>
      </c>
      <c r="AB151" s="87"/>
      <c r="AC151" s="86">
        <v>248486.73985195518</v>
      </c>
      <c r="AD151" s="147">
        <f t="shared" si="33"/>
        <v>-271.68829385301797</v>
      </c>
      <c r="AE151" s="147">
        <v>-106.60843311529607</v>
      </c>
      <c r="AF151" s="147">
        <f t="shared" si="34"/>
        <v>-165.0798607377219</v>
      </c>
      <c r="AG151" s="86"/>
    </row>
    <row r="152" spans="2:33" x14ac:dyDescent="0.3">
      <c r="B152">
        <v>296</v>
      </c>
      <c r="C152" s="25">
        <v>7</v>
      </c>
      <c r="D152" s="32" t="s">
        <v>165</v>
      </c>
      <c r="E152" s="125">
        <v>869.4000000000002</v>
      </c>
      <c r="F152" s="125">
        <f>INDEX('Revised 2018 Lockdown'!H$5:H$253,MATCH(B152,'Revised 2018 Lockdown'!B$5:B$253,0))</f>
        <v>869.4000000000002</v>
      </c>
      <c r="G152" s="125">
        <f t="shared" si="26"/>
        <v>0</v>
      </c>
      <c r="H152" s="5">
        <v>836673.68</v>
      </c>
      <c r="I152" s="5">
        <f>INDEX('Revised 2018 Lockdown'!E$5:E$253,MATCH(B152,'Revised 2018 Lockdown'!B$5:B$253,0))</f>
        <v>836673.68</v>
      </c>
      <c r="J152" s="5">
        <f t="shared" si="27"/>
        <v>0</v>
      </c>
      <c r="K152" s="5">
        <v>180195.59000000003</v>
      </c>
      <c r="L152" s="5">
        <f>INDEX('Revised 2018 Lockdown'!F$5:F$253,MATCH(B152,'Revised 2018 Lockdown'!B$5:B$253,0))</f>
        <v>180195.59000000003</v>
      </c>
      <c r="M152" s="5">
        <f t="shared" si="28"/>
        <v>0</v>
      </c>
      <c r="N152" s="5">
        <v>656478.09000000008</v>
      </c>
      <c r="O152" s="87">
        <f t="shared" si="29"/>
        <v>656478.09000000008</v>
      </c>
      <c r="P152" s="87">
        <f t="shared" si="30"/>
        <v>0</v>
      </c>
      <c r="Q152" s="85">
        <f t="shared" si="31"/>
        <v>755.09327122153206</v>
      </c>
      <c r="R152" s="6">
        <f t="shared" si="18"/>
        <v>724.17749136783868</v>
      </c>
      <c r="S152" s="5">
        <f t="shared" si="32"/>
        <v>629599.91099519911</v>
      </c>
      <c r="T152" s="113">
        <v>0.55525000000000002</v>
      </c>
      <c r="U152" s="87">
        <f t="shared" si="19"/>
        <v>138516.68218706813</v>
      </c>
      <c r="V152" s="87">
        <f t="shared" si="20"/>
        <v>49140.995988626026</v>
      </c>
      <c r="W152" s="87">
        <f t="shared" si="21"/>
        <v>23073.416335310871</v>
      </c>
      <c r="X152" s="87">
        <f t="shared" si="22"/>
        <v>7888.2587661055404</v>
      </c>
      <c r="Y152" s="87">
        <f t="shared" si="23"/>
        <v>218619.35327711058</v>
      </c>
      <c r="Z152" s="91">
        <f t="shared" si="24"/>
        <v>0.34723536242491243</v>
      </c>
      <c r="AA152" s="86">
        <f t="shared" si="25"/>
        <v>218619.35327711058</v>
      </c>
      <c r="AB152" s="87"/>
      <c r="AC152" s="86">
        <v>219789.11392463662</v>
      </c>
      <c r="AD152" s="147">
        <f t="shared" si="33"/>
        <v>-1169.76064752604</v>
      </c>
      <c r="AE152" s="147">
        <v>-985.20272129512159</v>
      </c>
      <c r="AF152" s="147">
        <f t="shared" si="34"/>
        <v>-184.55792623091838</v>
      </c>
      <c r="AG152" s="86"/>
    </row>
    <row r="153" spans="2:33" x14ac:dyDescent="0.3">
      <c r="B153">
        <v>301</v>
      </c>
      <c r="C153" s="25">
        <v>7</v>
      </c>
      <c r="D153" s="32" t="s">
        <v>166</v>
      </c>
      <c r="E153" s="125">
        <v>630.73820209822964</v>
      </c>
      <c r="F153" s="125">
        <f>INDEX('Revised 2018 Lockdown'!H$5:H$253,MATCH(B153,'Revised 2018 Lockdown'!B$5:B$253,0))</f>
        <v>630.73820209822964</v>
      </c>
      <c r="G153" s="125">
        <f t="shared" si="26"/>
        <v>0</v>
      </c>
      <c r="H153" s="5">
        <v>227243.7</v>
      </c>
      <c r="I153" s="5">
        <f>INDEX('Revised 2018 Lockdown'!E$5:E$253,MATCH(B153,'Revised 2018 Lockdown'!B$5:B$253,0))</f>
        <v>227243.71</v>
      </c>
      <c r="J153" s="5">
        <f t="shared" si="27"/>
        <v>-9.9999999802093953E-3</v>
      </c>
      <c r="K153" s="5">
        <v>424.62</v>
      </c>
      <c r="L153" s="5">
        <f>INDEX('Revised 2018 Lockdown'!F$5:F$253,MATCH(B153,'Revised 2018 Lockdown'!B$5:B$253,0))</f>
        <v>424.62</v>
      </c>
      <c r="M153" s="5">
        <f t="shared" si="28"/>
        <v>0</v>
      </c>
      <c r="N153" s="5">
        <v>226819.08000000002</v>
      </c>
      <c r="O153" s="87">
        <f t="shared" si="29"/>
        <v>226819.09</v>
      </c>
      <c r="P153" s="87">
        <f t="shared" si="30"/>
        <v>-9.9999999802093953E-3</v>
      </c>
      <c r="Q153" s="85">
        <f t="shared" si="31"/>
        <v>359.60893005284584</v>
      </c>
      <c r="R153" s="6">
        <f t="shared" si="18"/>
        <v>359.60893005284584</v>
      </c>
      <c r="S153" s="5">
        <f t="shared" si="32"/>
        <v>226819.09</v>
      </c>
      <c r="T153" s="113">
        <v>0.43376488095238097</v>
      </c>
      <c r="U153" s="87">
        <f t="shared" si="19"/>
        <v>49901.893654698397</v>
      </c>
      <c r="V153" s="87">
        <f t="shared" si="20"/>
        <v>35651.142695171715</v>
      </c>
      <c r="W153" s="87">
        <f t="shared" si="21"/>
        <v>6493.7066881285873</v>
      </c>
      <c r="X153" s="87">
        <f t="shared" si="22"/>
        <v>2841.8169122425825</v>
      </c>
      <c r="Y153" s="87">
        <f t="shared" si="23"/>
        <v>94888.559950241295</v>
      </c>
      <c r="Z153" s="91">
        <f t="shared" si="24"/>
        <v>0.41834468143859188</v>
      </c>
      <c r="AA153" s="86">
        <f t="shared" si="25"/>
        <v>94888.559950241295</v>
      </c>
      <c r="AB153" s="87"/>
      <c r="AC153" s="86">
        <v>94976.214620169354</v>
      </c>
      <c r="AD153" s="147">
        <f t="shared" si="33"/>
        <v>-87.654669928058865</v>
      </c>
      <c r="AE153" s="147">
        <v>-32.075247952525388</v>
      </c>
      <c r="AF153" s="147">
        <f t="shared" si="34"/>
        <v>-55.579421975533478</v>
      </c>
      <c r="AG153" s="86"/>
    </row>
    <row r="154" spans="2:33" x14ac:dyDescent="0.3">
      <c r="B154">
        <v>321</v>
      </c>
      <c r="C154" s="25">
        <v>7</v>
      </c>
      <c r="D154" s="32" t="s">
        <v>167</v>
      </c>
      <c r="E154" s="125">
        <v>443.65</v>
      </c>
      <c r="F154" s="125">
        <f>INDEX('Revised 2018 Lockdown'!H$5:H$253,MATCH(B154,'Revised 2018 Lockdown'!B$5:B$253,0))</f>
        <v>435.74</v>
      </c>
      <c r="G154" s="125">
        <f t="shared" si="26"/>
        <v>7.9099999999999682</v>
      </c>
      <c r="H154" s="5">
        <v>483134.14</v>
      </c>
      <c r="I154" s="5">
        <f>INDEX('Revised 2018 Lockdown'!E$5:E$253,MATCH(B154,'Revised 2018 Lockdown'!B$5:B$253,0))</f>
        <v>480503.47</v>
      </c>
      <c r="J154" s="5">
        <f t="shared" si="27"/>
        <v>2630.6700000000419</v>
      </c>
      <c r="K154" s="5">
        <v>39768.860000000008</v>
      </c>
      <c r="L154" s="5">
        <f>INDEX('Revised 2018 Lockdown'!F$5:F$253,MATCH(B154,'Revised 2018 Lockdown'!B$5:B$253,0))</f>
        <v>39100.69</v>
      </c>
      <c r="M154" s="5">
        <f t="shared" si="28"/>
        <v>668.17000000000553</v>
      </c>
      <c r="N154" s="5">
        <v>443365.28</v>
      </c>
      <c r="O154" s="87">
        <f t="shared" si="29"/>
        <v>441402.77999999997</v>
      </c>
      <c r="P154" s="87">
        <f t="shared" si="30"/>
        <v>1962.5000000000582</v>
      </c>
      <c r="Q154" s="85">
        <f t="shared" si="31"/>
        <v>1012.9957772983888</v>
      </c>
      <c r="R154" s="6">
        <f t="shared" ref="R154:R217" si="35">MIN(Q154,INDEX($V$3:$V$11,MATCH(C154,$S$3:$S$11,0)))</f>
        <v>724.17749136783868</v>
      </c>
      <c r="S154" s="5">
        <f t="shared" si="32"/>
        <v>315553.10008862201</v>
      </c>
      <c r="T154" s="113">
        <v>0.42442708333333334</v>
      </c>
      <c r="U154" s="87">
        <f t="shared" ref="U154:U217" si="36">$E$14*(S154/$S$24)</f>
        <v>69424.038527942321</v>
      </c>
      <c r="V154" s="87">
        <f t="shared" ref="V154:V217" si="37">$E$15*(F154/$F$24)</f>
        <v>24629.281794437433</v>
      </c>
      <c r="W154" s="87">
        <f t="shared" ref="W154:W217" si="38">IFERROR(T154*$E$16*(S154/$S$24),0)</f>
        <v>8839.632655690657</v>
      </c>
      <c r="X154" s="87">
        <f t="shared" ref="X154:X217" si="39">($W$23+$E$9)*(S154/$S$24)</f>
        <v>3953.5655334055987</v>
      </c>
      <c r="Y154" s="87">
        <f t="shared" ref="Y154:Y217" si="40">U154+V154+W154+X154</f>
        <v>106846.51851147601</v>
      </c>
      <c r="Z154" s="91">
        <f t="shared" ref="Z154:Z217" si="41">IFERROR((Y154/S154),0)</f>
        <v>0.33860075683448693</v>
      </c>
      <c r="AA154" s="86">
        <f t="shared" ref="AA154:AA217" si="42">IF(Z154&gt;$Z$19,$Z$19*S154,Y154+($Z$23*Y154/$Z$22))</f>
        <v>106846.51851147601</v>
      </c>
      <c r="AB154" s="87"/>
      <c r="AC154" s="86">
        <v>109363.86238516118</v>
      </c>
      <c r="AD154" s="147">
        <f t="shared" si="33"/>
        <v>-2517.3438736851676</v>
      </c>
      <c r="AE154" s="147">
        <v>-2427.7655776758475</v>
      </c>
      <c r="AF154" s="147">
        <f t="shared" si="34"/>
        <v>-89.578296009320184</v>
      </c>
      <c r="AG154" s="86"/>
    </row>
    <row r="155" spans="2:33" x14ac:dyDescent="0.3">
      <c r="B155">
        <v>325</v>
      </c>
      <c r="C155" s="25">
        <v>7</v>
      </c>
      <c r="D155" s="32" t="s">
        <v>168</v>
      </c>
      <c r="E155" s="125">
        <v>392.34692360749096</v>
      </c>
      <c r="F155" s="125">
        <f>INDEX('Revised 2018 Lockdown'!H$5:H$253,MATCH(B155,'Revised 2018 Lockdown'!B$5:B$253,0))</f>
        <v>394.42804250748418</v>
      </c>
      <c r="G155" s="125">
        <f t="shared" ref="G155:G218" si="43">E155-F155</f>
        <v>-2.0811188999932142</v>
      </c>
      <c r="H155" s="5">
        <v>173117.05</v>
      </c>
      <c r="I155" s="5">
        <f>INDEX('Revised 2018 Lockdown'!E$5:E$253,MATCH(B155,'Revised 2018 Lockdown'!B$5:B$253,0))</f>
        <v>182309.94</v>
      </c>
      <c r="J155" s="5">
        <f t="shared" ref="J155:J218" si="44">H155-I155</f>
        <v>-9192.890000000014</v>
      </c>
      <c r="K155" s="5">
        <v>304</v>
      </c>
      <c r="L155" s="5">
        <f>INDEX('Revised 2018 Lockdown'!F$5:F$253,MATCH(B155,'Revised 2018 Lockdown'!B$5:B$253,0))</f>
        <v>304</v>
      </c>
      <c r="M155" s="5">
        <f t="shared" ref="M155:M218" si="45">K155-L155</f>
        <v>0</v>
      </c>
      <c r="N155" s="5">
        <v>172813.05</v>
      </c>
      <c r="O155" s="87">
        <f t="shared" ref="O155:O218" si="46">I155-L155</f>
        <v>182005.94</v>
      </c>
      <c r="P155" s="87">
        <f t="shared" ref="P155:P218" si="47">N155-O155</f>
        <v>-9192.890000000014</v>
      </c>
      <c r="Q155" s="85">
        <f t="shared" ref="Q155:Q218" si="48">IFERROR(O155/F155,"n.a.")</f>
        <v>461.44269774263449</v>
      </c>
      <c r="R155" s="6">
        <f t="shared" si="35"/>
        <v>461.44269774263449</v>
      </c>
      <c r="S155" s="5">
        <f t="shared" ref="S155:S218" si="49">F155*R155</f>
        <v>182005.94</v>
      </c>
      <c r="T155" s="113">
        <v>0.24297321428571431</v>
      </c>
      <c r="U155" s="87">
        <f t="shared" si="36"/>
        <v>40042.665996073869</v>
      </c>
      <c r="V155" s="87">
        <f t="shared" si="37"/>
        <v>22294.21078290993</v>
      </c>
      <c r="W155" s="87">
        <f t="shared" si="38"/>
        <v>2918.7885796906021</v>
      </c>
      <c r="X155" s="87">
        <f t="shared" si="39"/>
        <v>2280.3528504616115</v>
      </c>
      <c r="Y155" s="87">
        <f t="shared" si="40"/>
        <v>67536.018209136018</v>
      </c>
      <c r="Z155" s="91">
        <f t="shared" si="41"/>
        <v>0.37106491254700819</v>
      </c>
      <c r="AA155" s="86">
        <f t="shared" si="42"/>
        <v>67536.018209136018</v>
      </c>
      <c r="AB155" s="87"/>
      <c r="AC155" s="86">
        <v>65197.64040988648</v>
      </c>
      <c r="AD155" s="147">
        <f t="shared" ref="AD155:AD218" si="50">AA155-AC155</f>
        <v>2338.3777992495379</v>
      </c>
      <c r="AE155" s="147">
        <v>2380.5217613907225</v>
      </c>
      <c r="AF155" s="147">
        <f t="shared" ref="AF155:AF218" si="51">AD155-AE155</f>
        <v>-42.143962141184602</v>
      </c>
      <c r="AG155" s="86"/>
    </row>
    <row r="156" spans="2:33" x14ac:dyDescent="0.3">
      <c r="B156">
        <v>346</v>
      </c>
      <c r="C156" s="25">
        <v>7</v>
      </c>
      <c r="D156" s="32" t="s">
        <v>169</v>
      </c>
      <c r="E156" s="125">
        <v>262.16879519273215</v>
      </c>
      <c r="F156" s="125">
        <f>INDEX('Revised 2018 Lockdown'!H$5:H$253,MATCH(B156,'Revised 2018 Lockdown'!B$5:B$253,0))</f>
        <v>262.16750068175787</v>
      </c>
      <c r="G156" s="125">
        <f t="shared" si="43"/>
        <v>1.2945109742759087E-3</v>
      </c>
      <c r="H156" s="5">
        <v>123092.65</v>
      </c>
      <c r="I156" s="5">
        <f>INDEX('Revised 2018 Lockdown'!E$5:E$253,MATCH(B156,'Revised 2018 Lockdown'!B$5:B$253,0))</f>
        <v>123092.65</v>
      </c>
      <c r="J156" s="5">
        <f t="shared" si="44"/>
        <v>0</v>
      </c>
      <c r="K156" s="5">
        <v>27381.15</v>
      </c>
      <c r="L156" s="5">
        <f>INDEX('Revised 2018 Lockdown'!F$5:F$253,MATCH(B156,'Revised 2018 Lockdown'!B$5:B$253,0))</f>
        <v>27381.15</v>
      </c>
      <c r="M156" s="5">
        <f t="shared" si="45"/>
        <v>0</v>
      </c>
      <c r="N156" s="5">
        <v>95711.5</v>
      </c>
      <c r="O156" s="87">
        <f t="shared" si="46"/>
        <v>95711.5</v>
      </c>
      <c r="P156" s="87">
        <f t="shared" si="47"/>
        <v>0</v>
      </c>
      <c r="Q156" s="85">
        <f t="shared" si="48"/>
        <v>365.07766886095885</v>
      </c>
      <c r="R156" s="6">
        <f t="shared" si="35"/>
        <v>365.07766886095885</v>
      </c>
      <c r="S156" s="5">
        <f t="shared" si="49"/>
        <v>95711.5</v>
      </c>
      <c r="T156" s="113">
        <v>0.51477380952380947</v>
      </c>
      <c r="U156" s="87">
        <f t="shared" si="36"/>
        <v>21057.244760710688</v>
      </c>
      <c r="V156" s="87">
        <f t="shared" si="37"/>
        <v>14818.463422303166</v>
      </c>
      <c r="W156" s="87">
        <f t="shared" si="38"/>
        <v>3251.9154310638955</v>
      </c>
      <c r="X156" s="87">
        <f t="shared" si="39"/>
        <v>1199.1696086784668</v>
      </c>
      <c r="Y156" s="87">
        <f t="shared" si="40"/>
        <v>40326.79322275622</v>
      </c>
      <c r="Z156" s="91">
        <f t="shared" si="41"/>
        <v>0.4213369681047337</v>
      </c>
      <c r="AA156" s="86">
        <f t="shared" si="42"/>
        <v>40326.79322275622</v>
      </c>
      <c r="AB156" s="87"/>
      <c r="AC156" s="86">
        <v>40364.687528515198</v>
      </c>
      <c r="AD156" s="147">
        <f t="shared" si="50"/>
        <v>-37.894305758978589</v>
      </c>
      <c r="AE156" s="147">
        <v>-13.927539447424351</v>
      </c>
      <c r="AF156" s="147">
        <f t="shared" si="51"/>
        <v>-23.966766311554238</v>
      </c>
      <c r="AG156" s="86"/>
    </row>
    <row r="157" spans="2:33" x14ac:dyDescent="0.3">
      <c r="B157">
        <v>358</v>
      </c>
      <c r="C157" s="25">
        <v>7</v>
      </c>
      <c r="D157" s="32" t="s">
        <v>170</v>
      </c>
      <c r="E157" s="125">
        <v>379.12</v>
      </c>
      <c r="F157" s="125">
        <f>INDEX('Revised 2018 Lockdown'!H$5:H$253,MATCH(B157,'Revised 2018 Lockdown'!B$5:B$253,0))</f>
        <v>379.12</v>
      </c>
      <c r="G157" s="125">
        <f t="shared" si="43"/>
        <v>0</v>
      </c>
      <c r="H157" s="5">
        <v>241699.7</v>
      </c>
      <c r="I157" s="5">
        <f>INDEX('Revised 2018 Lockdown'!E$5:E$253,MATCH(B157,'Revised 2018 Lockdown'!B$5:B$253,0))</f>
        <v>241699.7</v>
      </c>
      <c r="J157" s="5">
        <f t="shared" si="44"/>
        <v>0</v>
      </c>
      <c r="K157" s="5">
        <v>48918.26</v>
      </c>
      <c r="L157" s="5">
        <f>INDEX('Revised 2018 Lockdown'!F$5:F$253,MATCH(B157,'Revised 2018 Lockdown'!B$5:B$253,0))</f>
        <v>48918.26</v>
      </c>
      <c r="M157" s="5">
        <f t="shared" si="45"/>
        <v>0</v>
      </c>
      <c r="N157" s="5">
        <v>192781.44</v>
      </c>
      <c r="O157" s="87">
        <f t="shared" si="46"/>
        <v>192781.44</v>
      </c>
      <c r="P157" s="87">
        <f t="shared" si="47"/>
        <v>0</v>
      </c>
      <c r="Q157" s="85">
        <f t="shared" si="48"/>
        <v>508.49715129774216</v>
      </c>
      <c r="R157" s="6">
        <f t="shared" si="35"/>
        <v>508.49715129774216</v>
      </c>
      <c r="S157" s="5">
        <f t="shared" si="49"/>
        <v>192781.44</v>
      </c>
      <c r="T157" s="113">
        <v>0.79221428571428565</v>
      </c>
      <c r="U157" s="87">
        <f t="shared" si="36"/>
        <v>42413.356466070036</v>
      </c>
      <c r="V157" s="87">
        <f t="shared" si="37"/>
        <v>21428.95606074062</v>
      </c>
      <c r="W157" s="87">
        <f t="shared" si="38"/>
        <v>10080.140069253914</v>
      </c>
      <c r="X157" s="87">
        <f t="shared" si="39"/>
        <v>2415.3591153129078</v>
      </c>
      <c r="Y157" s="87">
        <f t="shared" si="40"/>
        <v>76337.811711377479</v>
      </c>
      <c r="Z157" s="91">
        <f t="shared" si="41"/>
        <v>0.39598112614667408</v>
      </c>
      <c r="AA157" s="86">
        <f t="shared" si="42"/>
        <v>76337.811711377479</v>
      </c>
      <c r="AB157" s="87"/>
      <c r="AC157" s="86">
        <v>76421.015596682962</v>
      </c>
      <c r="AD157" s="147">
        <f t="shared" si="50"/>
        <v>-83.203885305483709</v>
      </c>
      <c r="AE157" s="147">
        <v>-32.592662020615535</v>
      </c>
      <c r="AF157" s="147">
        <f t="shared" si="51"/>
        <v>-50.611223284868174</v>
      </c>
      <c r="AG157" s="86"/>
    </row>
    <row r="158" spans="2:33" x14ac:dyDescent="0.3">
      <c r="B158">
        <v>361</v>
      </c>
      <c r="C158" s="25">
        <v>7</v>
      </c>
      <c r="D158" s="32" t="s">
        <v>171</v>
      </c>
      <c r="E158" s="125">
        <v>1540.865013619775</v>
      </c>
      <c r="F158" s="125">
        <f>INDEX('Revised 2018 Lockdown'!H$5:H$253,MATCH(B158,'Revised 2018 Lockdown'!B$5:B$253,0))</f>
        <v>1540.8574052899257</v>
      </c>
      <c r="G158" s="125">
        <f t="shared" si="43"/>
        <v>7.608329849290385E-3</v>
      </c>
      <c r="H158" s="5">
        <v>911184.79</v>
      </c>
      <c r="I158" s="5">
        <f>INDEX('Revised 2018 Lockdown'!E$5:E$253,MATCH(B158,'Revised 2018 Lockdown'!B$5:B$253,0))</f>
        <v>911184.79</v>
      </c>
      <c r="J158" s="5">
        <f t="shared" si="44"/>
        <v>0</v>
      </c>
      <c r="K158" s="5">
        <v>7581.0599999999995</v>
      </c>
      <c r="L158" s="5">
        <f>INDEX('Revised 2018 Lockdown'!F$5:F$253,MATCH(B158,'Revised 2018 Lockdown'!B$5:B$253,0))</f>
        <v>7581.0599999999995</v>
      </c>
      <c r="M158" s="5">
        <f t="shared" si="45"/>
        <v>0</v>
      </c>
      <c r="N158" s="5">
        <v>903603.73</v>
      </c>
      <c r="O158" s="87">
        <f t="shared" si="46"/>
        <v>903603.73</v>
      </c>
      <c r="P158" s="87">
        <f t="shared" si="47"/>
        <v>0</v>
      </c>
      <c r="Q158" s="85">
        <f t="shared" si="48"/>
        <v>586.4291704721237</v>
      </c>
      <c r="R158" s="6">
        <f t="shared" si="35"/>
        <v>586.4291704721237</v>
      </c>
      <c r="S158" s="5">
        <f t="shared" si="49"/>
        <v>903603.7300000001</v>
      </c>
      <c r="T158" s="113">
        <v>0.36721428571428572</v>
      </c>
      <c r="U158" s="87">
        <f t="shared" si="36"/>
        <v>198799.56859208285</v>
      </c>
      <c r="V158" s="87">
        <f t="shared" si="37"/>
        <v>87093.705512303815</v>
      </c>
      <c r="W158" s="87">
        <f t="shared" si="38"/>
        <v>21900.612474254955</v>
      </c>
      <c r="X158" s="87">
        <f t="shared" si="39"/>
        <v>11321.253259059811</v>
      </c>
      <c r="Y158" s="87">
        <f t="shared" si="40"/>
        <v>319115.13983770146</v>
      </c>
      <c r="Z158" s="91">
        <f t="shared" si="41"/>
        <v>0.35315828082925399</v>
      </c>
      <c r="AA158" s="86">
        <f t="shared" si="42"/>
        <v>319115.13983770146</v>
      </c>
      <c r="AB158" s="87"/>
      <c r="AC158" s="86">
        <v>319468.93206341349</v>
      </c>
      <c r="AD158" s="147">
        <f t="shared" si="50"/>
        <v>-353.79222571203718</v>
      </c>
      <c r="AE158" s="147">
        <v>-139.93920715636341</v>
      </c>
      <c r="AF158" s="147">
        <f t="shared" si="51"/>
        <v>-213.85301855567377</v>
      </c>
      <c r="AG158" s="86"/>
    </row>
    <row r="159" spans="2:33" x14ac:dyDescent="0.3">
      <c r="B159">
        <v>376</v>
      </c>
      <c r="C159" s="25">
        <v>7</v>
      </c>
      <c r="D159" s="32" t="s">
        <v>172</v>
      </c>
      <c r="E159" s="125">
        <v>685.89220705089633</v>
      </c>
      <c r="F159" s="125">
        <f>INDEX('Revised 2018 Lockdown'!H$5:H$253,MATCH(B159,'Revised 2018 Lockdown'!B$5:B$253,0))</f>
        <v>685.89220705089633</v>
      </c>
      <c r="G159" s="125">
        <f t="shared" si="43"/>
        <v>0</v>
      </c>
      <c r="H159" s="5">
        <v>281309.96000000002</v>
      </c>
      <c r="I159" s="5">
        <f>INDEX('Revised 2018 Lockdown'!E$5:E$253,MATCH(B159,'Revised 2018 Lockdown'!B$5:B$253,0))</f>
        <v>281309.96000000002</v>
      </c>
      <c r="J159" s="5">
        <f t="shared" si="44"/>
        <v>0</v>
      </c>
      <c r="K159" s="5">
        <v>326</v>
      </c>
      <c r="L159" s="5">
        <f>INDEX('Revised 2018 Lockdown'!F$5:F$253,MATCH(B159,'Revised 2018 Lockdown'!B$5:B$253,0))</f>
        <v>326</v>
      </c>
      <c r="M159" s="5">
        <f t="shared" si="45"/>
        <v>0</v>
      </c>
      <c r="N159" s="5">
        <v>280983.96000000002</v>
      </c>
      <c r="O159" s="87">
        <f t="shared" si="46"/>
        <v>280983.96000000002</v>
      </c>
      <c r="P159" s="87">
        <f t="shared" si="47"/>
        <v>0</v>
      </c>
      <c r="Q159" s="85">
        <f t="shared" si="48"/>
        <v>409.6619805729178</v>
      </c>
      <c r="R159" s="6">
        <f t="shared" si="35"/>
        <v>409.6619805729178</v>
      </c>
      <c r="S159" s="5">
        <f t="shared" si="49"/>
        <v>280983.96000000002</v>
      </c>
      <c r="T159" s="113">
        <v>0.54914136904761901</v>
      </c>
      <c r="U159" s="87">
        <f t="shared" si="36"/>
        <v>61818.569550720043</v>
      </c>
      <c r="V159" s="87">
        <f t="shared" si="37"/>
        <v>38768.606159785995</v>
      </c>
      <c r="W159" s="87">
        <f t="shared" si="38"/>
        <v>10184.140174694357</v>
      </c>
      <c r="X159" s="87">
        <f t="shared" si="39"/>
        <v>3520.4486959051524</v>
      </c>
      <c r="Y159" s="87">
        <f t="shared" si="40"/>
        <v>114291.76458110556</v>
      </c>
      <c r="Z159" s="91">
        <f t="shared" si="41"/>
        <v>0.40675547665107126</v>
      </c>
      <c r="AA159" s="86">
        <f t="shared" si="42"/>
        <v>114291.76458110556</v>
      </c>
      <c r="AB159" s="87"/>
      <c r="AC159" s="86">
        <v>114404.66745428568</v>
      </c>
      <c r="AD159" s="147">
        <f t="shared" si="50"/>
        <v>-112.9028731801227</v>
      </c>
      <c r="AE159" s="147">
        <v>-42.568500685956678</v>
      </c>
      <c r="AF159" s="147">
        <f t="shared" si="51"/>
        <v>-70.334372494166018</v>
      </c>
      <c r="AG159" s="86"/>
    </row>
    <row r="160" spans="2:33" x14ac:dyDescent="0.3">
      <c r="B160">
        <v>382</v>
      </c>
      <c r="C160" s="33">
        <v>7</v>
      </c>
      <c r="D160" s="32" t="s">
        <v>173</v>
      </c>
      <c r="E160" s="125">
        <v>185.27</v>
      </c>
      <c r="F160" s="125">
        <f>INDEX('Revised 2018 Lockdown'!H$5:H$253,MATCH(B160,'Revised 2018 Lockdown'!B$5:B$253,0))</f>
        <v>185.27</v>
      </c>
      <c r="G160" s="125">
        <f t="shared" si="43"/>
        <v>0</v>
      </c>
      <c r="H160" s="5">
        <v>98656.37</v>
      </c>
      <c r="I160" s="5">
        <f>INDEX('Revised 2018 Lockdown'!E$5:E$253,MATCH(B160,'Revised 2018 Lockdown'!B$5:B$253,0))</f>
        <v>98656.37</v>
      </c>
      <c r="J160" s="5">
        <f t="shared" si="44"/>
        <v>0</v>
      </c>
      <c r="K160" s="5">
        <v>22015.520000000004</v>
      </c>
      <c r="L160" s="5">
        <f>INDEX('Revised 2018 Lockdown'!F$5:F$253,MATCH(B160,'Revised 2018 Lockdown'!B$5:B$253,0))</f>
        <v>22015.520000000004</v>
      </c>
      <c r="M160" s="5">
        <f t="shared" si="45"/>
        <v>0</v>
      </c>
      <c r="N160" s="5">
        <v>76640.849999999991</v>
      </c>
      <c r="O160" s="87">
        <f t="shared" si="46"/>
        <v>76640.849999999991</v>
      </c>
      <c r="P160" s="87">
        <f t="shared" si="47"/>
        <v>0</v>
      </c>
      <c r="Q160" s="85">
        <f t="shared" si="48"/>
        <v>413.67112862309057</v>
      </c>
      <c r="R160" s="6">
        <f t="shared" si="35"/>
        <v>413.67112862309057</v>
      </c>
      <c r="S160" s="5">
        <f t="shared" si="49"/>
        <v>76640.849999999991</v>
      </c>
      <c r="T160" s="113">
        <v>0.64454761904761904</v>
      </c>
      <c r="U160" s="87">
        <f t="shared" si="36"/>
        <v>16861.559343641187</v>
      </c>
      <c r="V160" s="87">
        <f t="shared" si="37"/>
        <v>10471.994854857077</v>
      </c>
      <c r="W160" s="87">
        <f t="shared" si="38"/>
        <v>3260.4233785122183</v>
      </c>
      <c r="X160" s="87">
        <f t="shared" si="39"/>
        <v>960.23338996134294</v>
      </c>
      <c r="Y160" s="87">
        <f t="shared" si="40"/>
        <v>31554.210966971827</v>
      </c>
      <c r="Z160" s="91">
        <f t="shared" si="41"/>
        <v>0.41171530544052981</v>
      </c>
      <c r="AA160" s="86">
        <f t="shared" si="42"/>
        <v>31554.210966971827</v>
      </c>
      <c r="AB160" s="87"/>
      <c r="AC160" s="86">
        <v>31585.770402452414</v>
      </c>
      <c r="AD160" s="147">
        <f t="shared" si="50"/>
        <v>-31.559435480587126</v>
      </c>
      <c r="AE160" s="147">
        <v>-11.95073192743439</v>
      </c>
      <c r="AF160" s="147">
        <f t="shared" si="51"/>
        <v>-19.608703553152736</v>
      </c>
      <c r="AG160" s="86"/>
    </row>
    <row r="161" spans="2:33" x14ac:dyDescent="0.3">
      <c r="B161">
        <v>389</v>
      </c>
      <c r="C161" s="25">
        <v>7</v>
      </c>
      <c r="D161" s="32" t="s">
        <v>174</v>
      </c>
      <c r="E161" s="125">
        <v>971.31315779571287</v>
      </c>
      <c r="F161" s="125">
        <f>INDEX('Revised 2018 Lockdown'!H$5:H$253,MATCH(B161,'Revised 2018 Lockdown'!B$5:B$253,0))</f>
        <v>971.30836174231024</v>
      </c>
      <c r="G161" s="125">
        <f t="shared" si="43"/>
        <v>4.796053402628786E-3</v>
      </c>
      <c r="H161" s="5">
        <v>166030.71</v>
      </c>
      <c r="I161" s="5">
        <f>INDEX('Revised 2018 Lockdown'!E$5:E$253,MATCH(B161,'Revised 2018 Lockdown'!B$5:B$253,0))</f>
        <v>166030.71</v>
      </c>
      <c r="J161" s="5">
        <f t="shared" si="44"/>
        <v>0</v>
      </c>
      <c r="K161" s="5">
        <v>944.5</v>
      </c>
      <c r="L161" s="5">
        <f>INDEX('Revised 2018 Lockdown'!F$5:F$253,MATCH(B161,'Revised 2018 Lockdown'!B$5:B$253,0))</f>
        <v>944.5</v>
      </c>
      <c r="M161" s="5">
        <f t="shared" si="45"/>
        <v>0</v>
      </c>
      <c r="N161" s="5">
        <v>165086.21</v>
      </c>
      <c r="O161" s="87">
        <f t="shared" si="46"/>
        <v>165086.21</v>
      </c>
      <c r="P161" s="87">
        <f t="shared" si="47"/>
        <v>0</v>
      </c>
      <c r="Q161" s="85">
        <f t="shared" si="48"/>
        <v>169.96271884643534</v>
      </c>
      <c r="R161" s="6">
        <f t="shared" si="35"/>
        <v>169.96271884643534</v>
      </c>
      <c r="S161" s="5">
        <f t="shared" si="49"/>
        <v>165086.21</v>
      </c>
      <c r="T161" s="113">
        <v>0.58776190476190471</v>
      </c>
      <c r="U161" s="87">
        <f t="shared" si="36"/>
        <v>36320.199041787921</v>
      </c>
      <c r="V161" s="87">
        <f t="shared" si="37"/>
        <v>54901.150572921302</v>
      </c>
      <c r="W161" s="87">
        <f t="shared" si="38"/>
        <v>6404.2888110398317</v>
      </c>
      <c r="X161" s="87">
        <f t="shared" si="39"/>
        <v>2068.3655134849123</v>
      </c>
      <c r="Y161" s="87">
        <f t="shared" si="40"/>
        <v>99694.003939233968</v>
      </c>
      <c r="Z161" s="91">
        <f t="shared" si="41"/>
        <v>0.60389056081203862</v>
      </c>
      <c r="AA161" s="86">
        <f t="shared" si="42"/>
        <v>99694.003939233968</v>
      </c>
      <c r="AB161" s="87"/>
      <c r="AC161" s="86">
        <v>99755.247147763643</v>
      </c>
      <c r="AD161" s="147">
        <f t="shared" si="50"/>
        <v>-61.24320852967503</v>
      </c>
      <c r="AE161" s="147">
        <v>-16.677014997243532</v>
      </c>
      <c r="AF161" s="147">
        <f t="shared" si="51"/>
        <v>-44.566193532431498</v>
      </c>
      <c r="AG161" s="86"/>
    </row>
    <row r="162" spans="2:33" x14ac:dyDescent="0.3">
      <c r="B162">
        <v>420</v>
      </c>
      <c r="C162" s="25">
        <v>7</v>
      </c>
      <c r="D162" s="32" t="s">
        <v>265</v>
      </c>
      <c r="E162" s="125">
        <v>439.19048015518462</v>
      </c>
      <c r="F162" s="125">
        <f>INDEX('Revised 2018 Lockdown'!H$5:H$253,MATCH(B162,'Revised 2018 Lockdown'!B$5:B$253,0))</f>
        <v>439.19048015518462</v>
      </c>
      <c r="G162" s="125">
        <f t="shared" si="43"/>
        <v>0</v>
      </c>
      <c r="H162" s="5">
        <v>181392.42</v>
      </c>
      <c r="I162" s="5">
        <f>INDEX('Revised 2018 Lockdown'!E$5:E$253,MATCH(B162,'Revised 2018 Lockdown'!B$5:B$253,0))</f>
        <v>181392.42</v>
      </c>
      <c r="J162" s="5">
        <f t="shared" si="44"/>
        <v>0</v>
      </c>
      <c r="K162" s="5">
        <v>158.49</v>
      </c>
      <c r="L162" s="5">
        <f>INDEX('Revised 2018 Lockdown'!F$5:F$253,MATCH(B162,'Revised 2018 Lockdown'!B$5:B$253,0))</f>
        <v>158.49</v>
      </c>
      <c r="M162" s="5">
        <f t="shared" si="45"/>
        <v>0</v>
      </c>
      <c r="N162" s="5">
        <v>181233.93000000002</v>
      </c>
      <c r="O162" s="87">
        <f t="shared" si="46"/>
        <v>181233.93000000002</v>
      </c>
      <c r="P162" s="87">
        <f t="shared" si="47"/>
        <v>0</v>
      </c>
      <c r="Q162" s="85">
        <f t="shared" si="48"/>
        <v>412.65450456932126</v>
      </c>
      <c r="R162" s="6">
        <f t="shared" si="35"/>
        <v>412.65450456932126</v>
      </c>
      <c r="S162" s="5">
        <f t="shared" si="49"/>
        <v>181233.93000000002</v>
      </c>
      <c r="T162" s="113">
        <v>0.57561607142857141</v>
      </c>
      <c r="U162" s="87">
        <f t="shared" si="36"/>
        <v>39872.8180308062</v>
      </c>
      <c r="V162" s="87">
        <f t="shared" si="37"/>
        <v>24824.312886529406</v>
      </c>
      <c r="W162" s="87">
        <f t="shared" si="38"/>
        <v>6885.4304615036917</v>
      </c>
      <c r="X162" s="87">
        <f t="shared" si="39"/>
        <v>2270.6803353553196</v>
      </c>
      <c r="Y162" s="87">
        <f t="shared" si="40"/>
        <v>73853.241714194621</v>
      </c>
      <c r="Z162" s="91">
        <f t="shared" si="41"/>
        <v>0.4075022911780074</v>
      </c>
      <c r="AA162" s="86">
        <f t="shared" si="42"/>
        <v>73853.241714194621</v>
      </c>
      <c r="AB162" s="87"/>
      <c r="AC162" s="86">
        <v>73926.586578640534</v>
      </c>
      <c r="AD162" s="147">
        <f t="shared" si="50"/>
        <v>-73.344864445913117</v>
      </c>
      <c r="AE162" s="147">
        <v>-27.710110485102632</v>
      </c>
      <c r="AF162" s="147">
        <f t="shared" si="51"/>
        <v>-45.634753960810485</v>
      </c>
      <c r="AG162" s="86"/>
    </row>
    <row r="163" spans="2:33" x14ac:dyDescent="0.3">
      <c r="B163">
        <v>434</v>
      </c>
      <c r="C163" s="25">
        <v>7</v>
      </c>
      <c r="D163" s="32" t="s">
        <v>175</v>
      </c>
      <c r="E163" s="125">
        <v>314.12901317026297</v>
      </c>
      <c r="F163" s="125">
        <f>INDEX('Revised 2018 Lockdown'!H$5:H$253,MATCH(B163,'Revised 2018 Lockdown'!B$5:B$253,0))</f>
        <v>314.12901317026297</v>
      </c>
      <c r="G163" s="125">
        <f t="shared" si="43"/>
        <v>0</v>
      </c>
      <c r="H163" s="5">
        <v>130973.72</v>
      </c>
      <c r="I163" s="5">
        <f>INDEX('Revised 2018 Lockdown'!E$5:E$253,MATCH(B163,'Revised 2018 Lockdown'!B$5:B$253,0))</f>
        <v>130973.72</v>
      </c>
      <c r="J163" s="5">
        <f t="shared" si="44"/>
        <v>0</v>
      </c>
      <c r="K163" s="5">
        <v>0</v>
      </c>
      <c r="L163" s="5">
        <f>INDEX('Revised 2018 Lockdown'!F$5:F$253,MATCH(B163,'Revised 2018 Lockdown'!B$5:B$253,0))</f>
        <v>0</v>
      </c>
      <c r="M163" s="5">
        <f t="shared" si="45"/>
        <v>0</v>
      </c>
      <c r="N163" s="5">
        <v>130973.72</v>
      </c>
      <c r="O163" s="87">
        <f t="shared" si="46"/>
        <v>130973.72</v>
      </c>
      <c r="P163" s="87">
        <f t="shared" si="47"/>
        <v>0</v>
      </c>
      <c r="Q163" s="85">
        <f t="shared" si="48"/>
        <v>416.94244883076158</v>
      </c>
      <c r="R163" s="6">
        <f t="shared" si="35"/>
        <v>416.94244883076158</v>
      </c>
      <c r="S163" s="5">
        <f t="shared" si="49"/>
        <v>130973.72</v>
      </c>
      <c r="T163" s="113">
        <v>0.35676785714285714</v>
      </c>
      <c r="U163" s="87">
        <f t="shared" si="36"/>
        <v>28815.196494264419</v>
      </c>
      <c r="V163" s="87">
        <f t="shared" si="37"/>
        <v>17755.47800334822</v>
      </c>
      <c r="W163" s="87">
        <f t="shared" si="38"/>
        <v>3084.1007719227255</v>
      </c>
      <c r="X163" s="87">
        <f t="shared" si="39"/>
        <v>1640.9700460191627</v>
      </c>
      <c r="Y163" s="87">
        <f t="shared" si="40"/>
        <v>51295.745315554523</v>
      </c>
      <c r="Z163" s="91">
        <f t="shared" si="41"/>
        <v>0.39164914393173317</v>
      </c>
      <c r="AA163" s="86">
        <f t="shared" si="42"/>
        <v>51295.745315554523</v>
      </c>
      <c r="AB163" s="87"/>
      <c r="AC163" s="86">
        <v>51345.864092234784</v>
      </c>
      <c r="AD163" s="147">
        <f t="shared" si="50"/>
        <v>-50.118776680261362</v>
      </c>
      <c r="AE163" s="147">
        <v>-18.8505035880371</v>
      </c>
      <c r="AF163" s="147">
        <f t="shared" si="51"/>
        <v>-31.268273092224263</v>
      </c>
      <c r="AG163" s="86"/>
    </row>
    <row r="164" spans="2:33" x14ac:dyDescent="0.3">
      <c r="B164">
        <v>437</v>
      </c>
      <c r="C164" s="25">
        <v>7</v>
      </c>
      <c r="D164" s="32" t="s">
        <v>176</v>
      </c>
      <c r="E164" s="125">
        <v>381.25325546155779</v>
      </c>
      <c r="F164" s="125">
        <f>INDEX('Revised 2018 Lockdown'!H$5:H$253,MATCH(B164,'Revised 2018 Lockdown'!B$5:B$253,0))</f>
        <v>381.25325546155779</v>
      </c>
      <c r="G164" s="125">
        <f t="shared" si="43"/>
        <v>0</v>
      </c>
      <c r="H164" s="5">
        <v>233460.45</v>
      </c>
      <c r="I164" s="5">
        <f>INDEX('Revised 2018 Lockdown'!E$5:E$253,MATCH(B164,'Revised 2018 Lockdown'!B$5:B$253,0))</f>
        <v>234070.56</v>
      </c>
      <c r="J164" s="5">
        <f t="shared" si="44"/>
        <v>-610.10999999998603</v>
      </c>
      <c r="K164" s="5">
        <v>0</v>
      </c>
      <c r="L164" s="5">
        <f>INDEX('Revised 2018 Lockdown'!F$5:F$253,MATCH(B164,'Revised 2018 Lockdown'!B$5:B$253,0))</f>
        <v>0</v>
      </c>
      <c r="M164" s="5">
        <f t="shared" si="45"/>
        <v>0</v>
      </c>
      <c r="N164" s="5">
        <v>233460.45</v>
      </c>
      <c r="O164" s="87">
        <f t="shared" si="46"/>
        <v>234070.56</v>
      </c>
      <c r="P164" s="87">
        <f t="shared" si="47"/>
        <v>-610.10999999998603</v>
      </c>
      <c r="Q164" s="85">
        <f t="shared" si="48"/>
        <v>613.95032474313291</v>
      </c>
      <c r="R164" s="6">
        <f t="shared" si="35"/>
        <v>613.95032474313291</v>
      </c>
      <c r="S164" s="5">
        <f t="shared" si="49"/>
        <v>234070.56000000003</v>
      </c>
      <c r="T164" s="113">
        <v>0.35997619047619045</v>
      </c>
      <c r="U164" s="87">
        <f t="shared" si="36"/>
        <v>51497.271207708764</v>
      </c>
      <c r="V164" s="87">
        <f t="shared" si="37"/>
        <v>21549.533813304606</v>
      </c>
      <c r="W164" s="87">
        <f t="shared" si="38"/>
        <v>5561.337452781062</v>
      </c>
      <c r="X164" s="87">
        <f t="shared" si="39"/>
        <v>2932.6705969329664</v>
      </c>
      <c r="Y164" s="87">
        <f t="shared" si="40"/>
        <v>81540.813070727396</v>
      </c>
      <c r="Z164" s="91">
        <f t="shared" si="41"/>
        <v>0.34835996919359441</v>
      </c>
      <c r="AA164" s="86">
        <f t="shared" si="42"/>
        <v>81540.813070727396</v>
      </c>
      <c r="AB164" s="87"/>
      <c r="AC164" s="86">
        <v>81475.747349474113</v>
      </c>
      <c r="AD164" s="147">
        <f t="shared" si="50"/>
        <v>65.065721253282391</v>
      </c>
      <c r="AE164" s="147">
        <v>120.16912203056563</v>
      </c>
      <c r="AF164" s="147">
        <f t="shared" si="51"/>
        <v>-55.103400777283241</v>
      </c>
      <c r="AG164" s="86"/>
    </row>
    <row r="165" spans="2:33" x14ac:dyDescent="0.3">
      <c r="B165">
        <v>502</v>
      </c>
      <c r="C165" s="25">
        <v>7</v>
      </c>
      <c r="D165" s="32" t="s">
        <v>177</v>
      </c>
      <c r="E165" s="125">
        <v>668.15033574141978</v>
      </c>
      <c r="F165" s="125">
        <f>INDEX('Revised 2018 Lockdown'!H$5:H$253,MATCH(B165,'Revised 2018 Lockdown'!B$5:B$253,0))</f>
        <v>668.14703661521571</v>
      </c>
      <c r="G165" s="125">
        <f t="shared" si="43"/>
        <v>3.2991262040695801E-3</v>
      </c>
      <c r="H165" s="5">
        <v>321308.17</v>
      </c>
      <c r="I165" s="5">
        <f>INDEX('Revised 2018 Lockdown'!E$5:E$253,MATCH(B165,'Revised 2018 Lockdown'!B$5:B$253,0))</f>
        <v>321308.17</v>
      </c>
      <c r="J165" s="5">
        <f t="shared" si="44"/>
        <v>0</v>
      </c>
      <c r="K165" s="5">
        <v>0</v>
      </c>
      <c r="L165" s="5">
        <f>INDEX('Revised 2018 Lockdown'!F$5:F$253,MATCH(B165,'Revised 2018 Lockdown'!B$5:B$253,0))</f>
        <v>0</v>
      </c>
      <c r="M165" s="5">
        <f t="shared" si="45"/>
        <v>0</v>
      </c>
      <c r="N165" s="5">
        <v>321308.17</v>
      </c>
      <c r="O165" s="87">
        <f t="shared" si="46"/>
        <v>321308.17</v>
      </c>
      <c r="P165" s="87">
        <f t="shared" si="47"/>
        <v>0</v>
      </c>
      <c r="Q165" s="85">
        <f t="shared" si="48"/>
        <v>480.89440256702147</v>
      </c>
      <c r="R165" s="6">
        <f t="shared" si="35"/>
        <v>480.89440256702147</v>
      </c>
      <c r="S165" s="5">
        <f t="shared" si="49"/>
        <v>321308.17</v>
      </c>
      <c r="T165" s="113">
        <v>0.36977678571428574</v>
      </c>
      <c r="U165" s="87">
        <f t="shared" si="36"/>
        <v>70690.196886539648</v>
      </c>
      <c r="V165" s="87">
        <f t="shared" si="37"/>
        <v>37765.597936646744</v>
      </c>
      <c r="W165" s="87">
        <f t="shared" si="38"/>
        <v>7841.8781358643901</v>
      </c>
      <c r="X165" s="87">
        <f t="shared" si="39"/>
        <v>4025.670817865087</v>
      </c>
      <c r="Y165" s="87">
        <f t="shared" si="40"/>
        <v>120323.34377691586</v>
      </c>
      <c r="Z165" s="91">
        <f t="shared" si="41"/>
        <v>0.37447956513809116</v>
      </c>
      <c r="AA165" s="86">
        <f t="shared" si="42"/>
        <v>120323.34377691586</v>
      </c>
      <c r="AB165" s="87"/>
      <c r="AC165" s="86">
        <v>120447.99274378917</v>
      </c>
      <c r="AD165" s="147">
        <f t="shared" si="50"/>
        <v>-124.64896687331202</v>
      </c>
      <c r="AE165" s="147">
        <v>-47.97481945315667</v>
      </c>
      <c r="AF165" s="147">
        <f t="shared" si="51"/>
        <v>-76.67414742015535</v>
      </c>
      <c r="AG165" s="86"/>
    </row>
    <row r="166" spans="2:33" x14ac:dyDescent="0.3">
      <c r="B166">
        <v>503</v>
      </c>
      <c r="C166" s="25">
        <v>7</v>
      </c>
      <c r="D166" s="32" t="s">
        <v>178</v>
      </c>
      <c r="E166" s="125">
        <v>362.80000000000007</v>
      </c>
      <c r="F166" s="125">
        <f>INDEX('Revised 2018 Lockdown'!H$5:H$253,MATCH(B166,'Revised 2018 Lockdown'!B$5:B$253,0))</f>
        <v>362.80000000000007</v>
      </c>
      <c r="G166" s="125">
        <f t="shared" si="43"/>
        <v>0</v>
      </c>
      <c r="H166" s="5">
        <v>200464.15</v>
      </c>
      <c r="I166" s="5">
        <f>INDEX('Revised 2018 Lockdown'!E$5:E$253,MATCH(B166,'Revised 2018 Lockdown'!B$5:B$253,0))</f>
        <v>200464.15</v>
      </c>
      <c r="J166" s="5">
        <f t="shared" si="44"/>
        <v>0</v>
      </c>
      <c r="K166" s="5">
        <v>51599.19000000001</v>
      </c>
      <c r="L166" s="5">
        <f>INDEX('Revised 2018 Lockdown'!F$5:F$253,MATCH(B166,'Revised 2018 Lockdown'!B$5:B$253,0))</f>
        <v>51599.19000000001</v>
      </c>
      <c r="M166" s="5">
        <f t="shared" si="45"/>
        <v>0</v>
      </c>
      <c r="N166" s="5">
        <v>148864.95999999999</v>
      </c>
      <c r="O166" s="87">
        <f t="shared" si="46"/>
        <v>148864.95999999999</v>
      </c>
      <c r="P166" s="87">
        <f t="shared" si="47"/>
        <v>0</v>
      </c>
      <c r="Q166" s="85">
        <f t="shared" si="48"/>
        <v>410.32238147739793</v>
      </c>
      <c r="R166" s="6">
        <f t="shared" si="35"/>
        <v>410.32238147739793</v>
      </c>
      <c r="S166" s="5">
        <f t="shared" si="49"/>
        <v>148864.95999999999</v>
      </c>
      <c r="T166" s="113">
        <v>0.75064285714285706</v>
      </c>
      <c r="U166" s="87">
        <f t="shared" si="36"/>
        <v>32751.402903657407</v>
      </c>
      <c r="V166" s="87">
        <f t="shared" si="37"/>
        <v>20506.502581865105</v>
      </c>
      <c r="W166" s="87">
        <f t="shared" si="38"/>
        <v>7375.3819953114771</v>
      </c>
      <c r="X166" s="87">
        <f t="shared" si="39"/>
        <v>1865.1294340715128</v>
      </c>
      <c r="Y166" s="87">
        <f t="shared" si="40"/>
        <v>62498.416914905501</v>
      </c>
      <c r="Z166" s="91">
        <f t="shared" si="41"/>
        <v>0.4198329607914818</v>
      </c>
      <c r="AA166" s="86">
        <f t="shared" si="42"/>
        <v>62498.416914905501</v>
      </c>
      <c r="AB166" s="87"/>
      <c r="AC166" s="86">
        <v>62561.295182994196</v>
      </c>
      <c r="AD166" s="147">
        <f t="shared" si="50"/>
        <v>-62.878268088694313</v>
      </c>
      <c r="AE166" s="147">
        <v>-23.842943564559391</v>
      </c>
      <c r="AF166" s="147">
        <f t="shared" si="51"/>
        <v>-39.035324524134921</v>
      </c>
      <c r="AG166" s="86"/>
    </row>
    <row r="167" spans="2:33" x14ac:dyDescent="0.3">
      <c r="B167">
        <v>510</v>
      </c>
      <c r="C167" s="25">
        <v>7</v>
      </c>
      <c r="D167" s="32" t="s">
        <v>179</v>
      </c>
      <c r="E167" s="125">
        <v>488.33931602748999</v>
      </c>
      <c r="F167" s="125">
        <f>INDEX('Revised 2018 Lockdown'!H$5:H$253,MATCH(B167,'Revised 2018 Lockdown'!B$5:B$253,0))</f>
        <v>488.33690475423634</v>
      </c>
      <c r="G167" s="125">
        <f t="shared" si="43"/>
        <v>2.4112732536423209E-3</v>
      </c>
      <c r="H167" s="5">
        <v>225129.38</v>
      </c>
      <c r="I167" s="5">
        <f>INDEX('Revised 2018 Lockdown'!E$5:E$253,MATCH(B167,'Revised 2018 Lockdown'!B$5:B$253,0))</f>
        <v>225129.38</v>
      </c>
      <c r="J167" s="5">
        <f t="shared" si="44"/>
        <v>0</v>
      </c>
      <c r="K167" s="5">
        <v>1049</v>
      </c>
      <c r="L167" s="5">
        <f>INDEX('Revised 2018 Lockdown'!F$5:F$253,MATCH(B167,'Revised 2018 Lockdown'!B$5:B$253,0))</f>
        <v>1049</v>
      </c>
      <c r="M167" s="5">
        <f t="shared" si="45"/>
        <v>0</v>
      </c>
      <c r="N167" s="5">
        <v>224080.38</v>
      </c>
      <c r="O167" s="87">
        <f t="shared" si="46"/>
        <v>224080.38</v>
      </c>
      <c r="P167" s="87">
        <f t="shared" si="47"/>
        <v>0</v>
      </c>
      <c r="Q167" s="85">
        <f t="shared" si="48"/>
        <v>458.86431645540324</v>
      </c>
      <c r="R167" s="6">
        <f t="shared" si="35"/>
        <v>458.86431645540324</v>
      </c>
      <c r="S167" s="5">
        <f t="shared" si="49"/>
        <v>224080.38</v>
      </c>
      <c r="T167" s="113">
        <v>0.56185119047619048</v>
      </c>
      <c r="U167" s="87">
        <f t="shared" si="36"/>
        <v>49299.357002377561</v>
      </c>
      <c r="V167" s="87">
        <f t="shared" si="37"/>
        <v>27602.210579279934</v>
      </c>
      <c r="W167" s="87">
        <f t="shared" si="38"/>
        <v>8309.6707264489651</v>
      </c>
      <c r="X167" s="87">
        <f t="shared" si="39"/>
        <v>2807.5036082092765</v>
      </c>
      <c r="Y167" s="87">
        <f t="shared" si="40"/>
        <v>88018.741916315732</v>
      </c>
      <c r="Z167" s="91">
        <f t="shared" si="41"/>
        <v>0.3927998601051807</v>
      </c>
      <c r="AA167" s="86">
        <f t="shared" si="42"/>
        <v>88018.741916315732</v>
      </c>
      <c r="AB167" s="87"/>
      <c r="AC167" s="86">
        <v>88109.827016026349</v>
      </c>
      <c r="AD167" s="147">
        <f t="shared" si="50"/>
        <v>-91.085099710617214</v>
      </c>
      <c r="AE167" s="147">
        <v>-34.95743467376451</v>
      </c>
      <c r="AF167" s="147">
        <f t="shared" si="51"/>
        <v>-56.127665036852704</v>
      </c>
      <c r="AG167" s="86"/>
    </row>
    <row r="168" spans="2:33" x14ac:dyDescent="0.3">
      <c r="B168">
        <v>531</v>
      </c>
      <c r="C168" s="25">
        <v>7</v>
      </c>
      <c r="D168" s="32" t="s">
        <v>180</v>
      </c>
      <c r="E168" s="125">
        <v>2134.37</v>
      </c>
      <c r="F168" s="125">
        <f>INDEX('Revised 2018 Lockdown'!H$5:H$253,MATCH(B168,'Revised 2018 Lockdown'!B$5:B$253,0))</f>
        <v>2134.37</v>
      </c>
      <c r="G168" s="125">
        <f t="shared" si="43"/>
        <v>0</v>
      </c>
      <c r="H168" s="5">
        <v>619077.55000000005</v>
      </c>
      <c r="I168" s="5">
        <f>INDEX('Revised 2018 Lockdown'!E$5:E$253,MATCH(B168,'Revised 2018 Lockdown'!B$5:B$253,0))</f>
        <v>619077.55000000005</v>
      </c>
      <c r="J168" s="5">
        <f t="shared" si="44"/>
        <v>0</v>
      </c>
      <c r="K168" s="5">
        <v>5174.5599999999995</v>
      </c>
      <c r="L168" s="5">
        <f>INDEX('Revised 2018 Lockdown'!F$5:F$253,MATCH(B168,'Revised 2018 Lockdown'!B$5:B$253,0))</f>
        <v>5174.5599999999995</v>
      </c>
      <c r="M168" s="5">
        <f t="shared" si="45"/>
        <v>0</v>
      </c>
      <c r="N168" s="5">
        <v>613902.99</v>
      </c>
      <c r="O168" s="87">
        <f t="shared" si="46"/>
        <v>613902.99</v>
      </c>
      <c r="P168" s="87">
        <f t="shared" si="47"/>
        <v>0</v>
      </c>
      <c r="Q168" s="85">
        <f t="shared" si="48"/>
        <v>287.62725769196533</v>
      </c>
      <c r="R168" s="6">
        <f t="shared" si="35"/>
        <v>287.62725769196533</v>
      </c>
      <c r="S168" s="5">
        <f t="shared" si="49"/>
        <v>613902.99</v>
      </c>
      <c r="T168" s="113">
        <v>0.84754166666666664</v>
      </c>
      <c r="U168" s="87">
        <f t="shared" si="36"/>
        <v>135063.24234561285</v>
      </c>
      <c r="V168" s="87">
        <f t="shared" si="37"/>
        <v>120640.74949188372</v>
      </c>
      <c r="W168" s="87">
        <f t="shared" si="38"/>
        <v>34341.517656901386</v>
      </c>
      <c r="X168" s="87">
        <f t="shared" si="39"/>
        <v>7691.5920060268691</v>
      </c>
      <c r="Y168" s="87">
        <f t="shared" si="40"/>
        <v>297737.10150042485</v>
      </c>
      <c r="Z168" s="91">
        <f t="shared" si="41"/>
        <v>0.48499047300685871</v>
      </c>
      <c r="AA168" s="86">
        <f t="shared" si="42"/>
        <v>297737.10150042485</v>
      </c>
      <c r="AB168" s="87"/>
      <c r="AC168" s="86">
        <v>297995.71520201332</v>
      </c>
      <c r="AD168" s="147">
        <f t="shared" si="50"/>
        <v>-258.61370158847421</v>
      </c>
      <c r="AE168" s="147">
        <v>-91.202951068698894</v>
      </c>
      <c r="AF168" s="147">
        <f t="shared" si="51"/>
        <v>-167.41075051977532</v>
      </c>
      <c r="AG168" s="86"/>
    </row>
    <row r="169" spans="2:33" x14ac:dyDescent="0.3">
      <c r="B169">
        <v>550</v>
      </c>
      <c r="C169" s="25">
        <v>7</v>
      </c>
      <c r="D169" s="32" t="s">
        <v>181</v>
      </c>
      <c r="E169" s="125">
        <v>257.69</v>
      </c>
      <c r="F169" s="125">
        <f>INDEX('Revised 2018 Lockdown'!H$5:H$253,MATCH(B169,'Revised 2018 Lockdown'!B$5:B$253,0))</f>
        <v>257.69</v>
      </c>
      <c r="G169" s="125">
        <f t="shared" si="43"/>
        <v>0</v>
      </c>
      <c r="H169" s="5">
        <v>412541.65</v>
      </c>
      <c r="I169" s="5">
        <f>INDEX('Revised 2018 Lockdown'!E$5:E$253,MATCH(B169,'Revised 2018 Lockdown'!B$5:B$253,0))</f>
        <v>412541.65</v>
      </c>
      <c r="J169" s="5">
        <f t="shared" si="44"/>
        <v>0</v>
      </c>
      <c r="K169" s="5">
        <v>100</v>
      </c>
      <c r="L169" s="5">
        <f>INDEX('Revised 2018 Lockdown'!F$5:F$253,MATCH(B169,'Revised 2018 Lockdown'!B$5:B$253,0))</f>
        <v>100</v>
      </c>
      <c r="M169" s="5">
        <f t="shared" si="45"/>
        <v>0</v>
      </c>
      <c r="N169" s="5">
        <v>412441.65</v>
      </c>
      <c r="O169" s="87">
        <f t="shared" si="46"/>
        <v>412441.65</v>
      </c>
      <c r="P169" s="87">
        <f t="shared" si="47"/>
        <v>0</v>
      </c>
      <c r="Q169" s="85">
        <f t="shared" si="48"/>
        <v>1600.5341689627073</v>
      </c>
      <c r="R169" s="6">
        <f t="shared" si="35"/>
        <v>724.17749136783868</v>
      </c>
      <c r="S169" s="5">
        <f t="shared" si="49"/>
        <v>186613.29775057835</v>
      </c>
      <c r="T169" s="113">
        <v>0.67488244047619039</v>
      </c>
      <c r="U169" s="87">
        <f t="shared" si="36"/>
        <v>41056.319108333999</v>
      </c>
      <c r="V169" s="87">
        <f t="shared" si="37"/>
        <v>14565.382167367196</v>
      </c>
      <c r="W169" s="87">
        <f t="shared" si="38"/>
        <v>8312.4566510405093</v>
      </c>
      <c r="X169" s="87">
        <f t="shared" si="39"/>
        <v>2338.0784465582428</v>
      </c>
      <c r="Y169" s="87">
        <f t="shared" si="40"/>
        <v>66272.236373299951</v>
      </c>
      <c r="Z169" s="91">
        <f t="shared" si="41"/>
        <v>0.35513137151607171</v>
      </c>
      <c r="AA169" s="86">
        <f t="shared" si="42"/>
        <v>66272.236373299951</v>
      </c>
      <c r="AB169" s="87"/>
      <c r="AC169" s="86">
        <v>66629.133479465963</v>
      </c>
      <c r="AD169" s="147">
        <f t="shared" si="50"/>
        <v>-356.89710616601224</v>
      </c>
      <c r="AE169" s="147">
        <v>-300.61426099938399</v>
      </c>
      <c r="AF169" s="147">
        <f t="shared" si="51"/>
        <v>-56.282845166628249</v>
      </c>
      <c r="AG169" s="86"/>
    </row>
    <row r="170" spans="2:33" x14ac:dyDescent="0.3">
      <c r="B170">
        <v>551</v>
      </c>
      <c r="C170" s="25">
        <v>7</v>
      </c>
      <c r="D170" s="32" t="s">
        <v>182</v>
      </c>
      <c r="E170" s="125">
        <v>172.97</v>
      </c>
      <c r="F170" s="125">
        <f>INDEX('Revised 2018 Lockdown'!H$5:H$253,MATCH(B170,'Revised 2018 Lockdown'!B$5:B$253,0))</f>
        <v>172.97</v>
      </c>
      <c r="G170" s="125">
        <f t="shared" si="43"/>
        <v>0</v>
      </c>
      <c r="H170" s="5">
        <v>85940.14</v>
      </c>
      <c r="I170" s="5">
        <f>INDEX('Revised 2018 Lockdown'!E$5:E$253,MATCH(B170,'Revised 2018 Lockdown'!B$5:B$253,0))</f>
        <v>85940.15</v>
      </c>
      <c r="J170" s="5">
        <f t="shared" si="44"/>
        <v>-9.9999999947613105E-3</v>
      </c>
      <c r="K170" s="5">
        <v>201</v>
      </c>
      <c r="L170" s="5">
        <f>INDEX('Revised 2018 Lockdown'!F$5:F$253,MATCH(B170,'Revised 2018 Lockdown'!B$5:B$253,0))</f>
        <v>201</v>
      </c>
      <c r="M170" s="5">
        <f t="shared" si="45"/>
        <v>0</v>
      </c>
      <c r="N170" s="5">
        <v>85739.14</v>
      </c>
      <c r="O170" s="87">
        <f t="shared" si="46"/>
        <v>85739.15</v>
      </c>
      <c r="P170" s="87">
        <f t="shared" si="47"/>
        <v>-9.9999999947613105E-3</v>
      </c>
      <c r="Q170" s="85">
        <f t="shared" si="48"/>
        <v>495.68798057466608</v>
      </c>
      <c r="R170" s="111">
        <f t="shared" si="35"/>
        <v>495.68798057466608</v>
      </c>
      <c r="S170" s="5">
        <f t="shared" si="49"/>
        <v>85739.15</v>
      </c>
      <c r="T170" s="113">
        <v>0.59501488095238098</v>
      </c>
      <c r="U170" s="87">
        <f t="shared" si="36"/>
        <v>18863.253288531552</v>
      </c>
      <c r="V170" s="87">
        <f t="shared" si="37"/>
        <v>9776.7633726163367</v>
      </c>
      <c r="W170" s="87">
        <f t="shared" si="38"/>
        <v>3367.1749229550628</v>
      </c>
      <c r="X170" s="87">
        <f t="shared" si="39"/>
        <v>1074.2260120667252</v>
      </c>
      <c r="Y170" s="87">
        <f t="shared" si="40"/>
        <v>33081.417596169675</v>
      </c>
      <c r="Z170" s="91">
        <f t="shared" si="41"/>
        <v>0.38583794679757938</v>
      </c>
      <c r="AA170" s="86">
        <f t="shared" si="42"/>
        <v>33081.417596169675</v>
      </c>
      <c r="AB170" s="87"/>
      <c r="AC170" s="86">
        <v>33116.650857175518</v>
      </c>
      <c r="AD170" s="147">
        <f t="shared" si="50"/>
        <v>-35.233261005843815</v>
      </c>
      <c r="AE170" s="147">
        <v>-13.704582705031498</v>
      </c>
      <c r="AF170" s="147">
        <f t="shared" si="51"/>
        <v>-21.528678300812317</v>
      </c>
      <c r="AG170" s="86"/>
    </row>
    <row r="171" spans="2:33" x14ac:dyDescent="0.3">
      <c r="B171">
        <v>555</v>
      </c>
      <c r="C171" s="25">
        <v>7</v>
      </c>
      <c r="D171" s="32" t="s">
        <v>183</v>
      </c>
      <c r="E171" s="125">
        <v>603.33664613851852</v>
      </c>
      <c r="F171" s="125">
        <f>INDEX('Revised 2018 Lockdown'!H$5:H$253,MATCH(B171,'Revised 2018 Lockdown'!B$5:B$253,0))</f>
        <v>603.33664613851852</v>
      </c>
      <c r="G171" s="125">
        <f t="shared" si="43"/>
        <v>0</v>
      </c>
      <c r="H171" s="5">
        <v>492787.09</v>
      </c>
      <c r="I171" s="5">
        <f>INDEX('Revised 2018 Lockdown'!E$5:E$253,MATCH(B171,'Revised 2018 Lockdown'!B$5:B$253,0))</f>
        <v>492787.09</v>
      </c>
      <c r="J171" s="5">
        <f t="shared" si="44"/>
        <v>0</v>
      </c>
      <c r="K171" s="5">
        <v>498</v>
      </c>
      <c r="L171" s="5">
        <f>INDEX('Revised 2018 Lockdown'!F$5:F$253,MATCH(B171,'Revised 2018 Lockdown'!B$5:B$253,0))</f>
        <v>498</v>
      </c>
      <c r="M171" s="5">
        <f t="shared" si="45"/>
        <v>0</v>
      </c>
      <c r="N171" s="5">
        <v>492289.09</v>
      </c>
      <c r="O171" s="87">
        <f t="shared" si="46"/>
        <v>492289.09</v>
      </c>
      <c r="P171" s="87">
        <f t="shared" si="47"/>
        <v>0</v>
      </c>
      <c r="Q171" s="85">
        <f t="shared" si="48"/>
        <v>815.94428773845209</v>
      </c>
      <c r="R171" s="6">
        <f t="shared" si="35"/>
        <v>724.17749136783868</v>
      </c>
      <c r="S171" s="5">
        <f t="shared" si="49"/>
        <v>436922.81885087775</v>
      </c>
      <c r="T171" s="113">
        <v>0.61139285714285707</v>
      </c>
      <c r="U171" s="87">
        <f t="shared" si="36"/>
        <v>96126.283028503269</v>
      </c>
      <c r="V171" s="87">
        <f t="shared" si="37"/>
        <v>34102.327706100776</v>
      </c>
      <c r="W171" s="87">
        <f t="shared" si="38"/>
        <v>17631.276848195863</v>
      </c>
      <c r="X171" s="87">
        <f t="shared" si="39"/>
        <v>5474.2070253219281</v>
      </c>
      <c r="Y171" s="87">
        <f t="shared" si="40"/>
        <v>153334.09460812181</v>
      </c>
      <c r="Z171" s="91">
        <f t="shared" si="41"/>
        <v>0.35094091677655065</v>
      </c>
      <c r="AA171" s="86">
        <f t="shared" si="42"/>
        <v>153334.09460812181</v>
      </c>
      <c r="AB171" s="87"/>
      <c r="AC171" s="86">
        <v>154157.0580249812</v>
      </c>
      <c r="AD171" s="147">
        <f t="shared" si="50"/>
        <v>-822.96341685939115</v>
      </c>
      <c r="AE171" s="147">
        <v>-693.14997681221575</v>
      </c>
      <c r="AF171" s="147">
        <f t="shared" si="51"/>
        <v>-129.81344004717539</v>
      </c>
      <c r="AG171" s="86"/>
    </row>
    <row r="172" spans="2:33" x14ac:dyDescent="0.3">
      <c r="B172">
        <v>556</v>
      </c>
      <c r="C172" s="25">
        <v>7</v>
      </c>
      <c r="D172" s="32" t="s">
        <v>184</v>
      </c>
      <c r="E172" s="125">
        <v>391.24677594424628</v>
      </c>
      <c r="F172" s="125">
        <f>INDEX('Revised 2018 Lockdown'!H$5:H$253,MATCH(B172,'Revised 2018 Lockdown'!B$5:B$253,0))</f>
        <v>391.24484408487012</v>
      </c>
      <c r="G172" s="125">
        <f t="shared" si="43"/>
        <v>1.9318593761568081E-3</v>
      </c>
      <c r="H172" s="5">
        <v>144657.59</v>
      </c>
      <c r="I172" s="5">
        <f>INDEX('Revised 2018 Lockdown'!E$5:E$253,MATCH(B172,'Revised 2018 Lockdown'!B$5:B$253,0))</f>
        <v>144657.59</v>
      </c>
      <c r="J172" s="5">
        <f t="shared" si="44"/>
        <v>0</v>
      </c>
      <c r="K172" s="5">
        <v>350.51</v>
      </c>
      <c r="L172" s="5">
        <f>INDEX('Revised 2018 Lockdown'!F$5:F$253,MATCH(B172,'Revised 2018 Lockdown'!B$5:B$253,0))</f>
        <v>350.51</v>
      </c>
      <c r="M172" s="5">
        <f t="shared" si="45"/>
        <v>0</v>
      </c>
      <c r="N172" s="5">
        <v>144307.07999999999</v>
      </c>
      <c r="O172" s="87">
        <f t="shared" si="46"/>
        <v>144307.07999999999</v>
      </c>
      <c r="P172" s="87">
        <f t="shared" si="47"/>
        <v>0</v>
      </c>
      <c r="Q172" s="85">
        <f t="shared" si="48"/>
        <v>368.84084782647363</v>
      </c>
      <c r="R172" s="6">
        <f t="shared" si="35"/>
        <v>368.84084782647363</v>
      </c>
      <c r="S172" s="5">
        <f t="shared" si="49"/>
        <v>144307.07999999999</v>
      </c>
      <c r="T172" s="113">
        <v>0.80136904761904759</v>
      </c>
      <c r="U172" s="87">
        <f t="shared" si="36"/>
        <v>31748.635266017751</v>
      </c>
      <c r="V172" s="87">
        <f t="shared" si="37"/>
        <v>22114.28722537982</v>
      </c>
      <c r="W172" s="87">
        <f t="shared" si="38"/>
        <v>7632.7120818999447</v>
      </c>
      <c r="X172" s="87">
        <f t="shared" si="39"/>
        <v>1808.0237448282828</v>
      </c>
      <c r="Y172" s="87">
        <f t="shared" si="40"/>
        <v>63303.658318125803</v>
      </c>
      <c r="Z172" s="91">
        <f t="shared" si="41"/>
        <v>0.4386732675772097</v>
      </c>
      <c r="AA172" s="86">
        <f t="shared" si="42"/>
        <v>63303.658318125803</v>
      </c>
      <c r="AB172" s="87"/>
      <c r="AC172" s="86">
        <v>63365.048067884949</v>
      </c>
      <c r="AD172" s="147">
        <f t="shared" si="50"/>
        <v>-61.389749759146071</v>
      </c>
      <c r="AE172" s="147">
        <v>-22.826691763169947</v>
      </c>
      <c r="AF172" s="147">
        <f t="shared" si="51"/>
        <v>-38.563057995976123</v>
      </c>
      <c r="AG172" s="86"/>
    </row>
    <row r="173" spans="2:33" x14ac:dyDescent="0.3">
      <c r="B173">
        <v>558</v>
      </c>
      <c r="C173" s="25">
        <v>7</v>
      </c>
      <c r="D173" s="32" t="s">
        <v>185</v>
      </c>
      <c r="E173" s="125">
        <v>347.54359974511453</v>
      </c>
      <c r="F173" s="125">
        <f>INDEX('Revised 2018 Lockdown'!H$5:H$253,MATCH(B173,'Revised 2018 Lockdown'!B$5:B$253,0))</f>
        <v>347.54359974511453</v>
      </c>
      <c r="G173" s="125">
        <f t="shared" si="43"/>
        <v>0</v>
      </c>
      <c r="H173" s="5">
        <v>230639.34</v>
      </c>
      <c r="I173" s="5">
        <f>INDEX('Revised 2018 Lockdown'!E$5:E$253,MATCH(B173,'Revised 2018 Lockdown'!B$5:B$253,0))</f>
        <v>230639.34</v>
      </c>
      <c r="J173" s="5">
        <f t="shared" si="44"/>
        <v>0</v>
      </c>
      <c r="K173" s="5">
        <v>26698.63</v>
      </c>
      <c r="L173" s="5">
        <f>INDEX('Revised 2018 Lockdown'!F$5:F$253,MATCH(B173,'Revised 2018 Lockdown'!B$5:B$253,0))</f>
        <v>26698.63</v>
      </c>
      <c r="M173" s="5">
        <f t="shared" si="45"/>
        <v>0</v>
      </c>
      <c r="N173" s="5">
        <v>203940.71</v>
      </c>
      <c r="O173" s="87">
        <f t="shared" si="46"/>
        <v>203940.71</v>
      </c>
      <c r="P173" s="87">
        <f t="shared" si="47"/>
        <v>0</v>
      </c>
      <c r="Q173" s="85">
        <f t="shared" si="48"/>
        <v>586.80611626733548</v>
      </c>
      <c r="R173" s="6">
        <f t="shared" si="35"/>
        <v>586.80611626733548</v>
      </c>
      <c r="S173" s="5">
        <f t="shared" si="49"/>
        <v>203940.71</v>
      </c>
      <c r="T173" s="113">
        <v>0.4269122023809524</v>
      </c>
      <c r="U173" s="87">
        <f t="shared" si="36"/>
        <v>44868.479202009345</v>
      </c>
      <c r="V173" s="87">
        <f t="shared" si="37"/>
        <v>19644.166828786885</v>
      </c>
      <c r="W173" s="87">
        <f t="shared" si="38"/>
        <v>5746.4703820841296</v>
      </c>
      <c r="X173" s="87">
        <f t="shared" si="39"/>
        <v>2555.1736353970909</v>
      </c>
      <c r="Y173" s="87">
        <f t="shared" si="40"/>
        <v>72814.290048277442</v>
      </c>
      <c r="Z173" s="91">
        <f t="shared" si="41"/>
        <v>0.35703656248072024</v>
      </c>
      <c r="AA173" s="86">
        <f t="shared" si="42"/>
        <v>72814.290048277442</v>
      </c>
      <c r="AB173" s="87"/>
      <c r="AC173" s="86">
        <v>72895.285703199028</v>
      </c>
      <c r="AD173" s="147">
        <f t="shared" si="50"/>
        <v>-80.99565492158581</v>
      </c>
      <c r="AE173" s="147">
        <v>-32.107344126940006</v>
      </c>
      <c r="AF173" s="147">
        <f t="shared" si="51"/>
        <v>-48.888310794645804</v>
      </c>
      <c r="AG173" s="86"/>
    </row>
    <row r="174" spans="2:33" x14ac:dyDescent="0.3">
      <c r="B174">
        <v>600</v>
      </c>
      <c r="C174" s="25">
        <v>7</v>
      </c>
      <c r="D174" s="32" t="s">
        <v>186</v>
      </c>
      <c r="E174" s="125">
        <v>804.36</v>
      </c>
      <c r="F174" s="125">
        <f>INDEX('Revised 2018 Lockdown'!H$5:H$253,MATCH(B174,'Revised 2018 Lockdown'!B$5:B$253,0))</f>
        <v>804.36</v>
      </c>
      <c r="G174" s="125">
        <f t="shared" si="43"/>
        <v>0</v>
      </c>
      <c r="H174" s="5">
        <v>251152.74</v>
      </c>
      <c r="I174" s="5">
        <f>INDEX('Revised 2018 Lockdown'!E$5:E$253,MATCH(B174,'Revised 2018 Lockdown'!B$5:B$253,0))</f>
        <v>251152.74</v>
      </c>
      <c r="J174" s="5">
        <f t="shared" si="44"/>
        <v>0</v>
      </c>
      <c r="K174" s="5">
        <v>0</v>
      </c>
      <c r="L174" s="5">
        <f>INDEX('Revised 2018 Lockdown'!F$5:F$253,MATCH(B174,'Revised 2018 Lockdown'!B$5:B$253,0))</f>
        <v>0</v>
      </c>
      <c r="M174" s="5">
        <f t="shared" si="45"/>
        <v>0</v>
      </c>
      <c r="N174" s="5">
        <v>251152.74</v>
      </c>
      <c r="O174" s="87">
        <f t="shared" si="46"/>
        <v>251152.74</v>
      </c>
      <c r="P174" s="87">
        <f t="shared" si="47"/>
        <v>0</v>
      </c>
      <c r="Q174" s="85">
        <f t="shared" si="48"/>
        <v>312.23922124421898</v>
      </c>
      <c r="R174" s="6">
        <f t="shared" si="35"/>
        <v>312.23922124421898</v>
      </c>
      <c r="S174" s="5">
        <f t="shared" si="49"/>
        <v>251152.74</v>
      </c>
      <c r="T174" s="113">
        <v>0.80371726190476178</v>
      </c>
      <c r="U174" s="87">
        <f t="shared" si="36"/>
        <v>55255.478375149629</v>
      </c>
      <c r="V174" s="87">
        <f t="shared" si="37"/>
        <v>45464.74756546034</v>
      </c>
      <c r="W174" s="87">
        <f t="shared" si="38"/>
        <v>13322.934535473909</v>
      </c>
      <c r="X174" s="87">
        <f t="shared" si="39"/>
        <v>3146.6932703418579</v>
      </c>
      <c r="Y174" s="87">
        <f t="shared" si="40"/>
        <v>117189.85374642572</v>
      </c>
      <c r="Z174" s="91">
        <f t="shared" si="41"/>
        <v>0.46660790460189971</v>
      </c>
      <c r="AA174" s="86">
        <f t="shared" si="42"/>
        <v>117189.85374642572</v>
      </c>
      <c r="AB174" s="87"/>
      <c r="AC174" s="86">
        <v>117295.26127961944</v>
      </c>
      <c r="AD174" s="147">
        <f t="shared" si="50"/>
        <v>-105.40753319372016</v>
      </c>
      <c r="AE174" s="147">
        <v>-37.883892138910596</v>
      </c>
      <c r="AF174" s="147">
        <f t="shared" si="51"/>
        <v>-67.523641054809559</v>
      </c>
      <c r="AG174" s="86"/>
    </row>
    <row r="175" spans="2:33" x14ac:dyDescent="0.3">
      <c r="B175">
        <v>604</v>
      </c>
      <c r="C175" s="25">
        <v>7</v>
      </c>
      <c r="D175" s="32" t="s">
        <v>187</v>
      </c>
      <c r="E175" s="125">
        <v>727.41720759868917</v>
      </c>
      <c r="F175" s="125">
        <f>INDEX('Revised 2018 Lockdown'!H$5:H$253,MATCH(B175,'Revised 2018 Lockdown'!B$5:B$253,0))</f>
        <v>727.41720759868917</v>
      </c>
      <c r="G175" s="125">
        <f t="shared" si="43"/>
        <v>0</v>
      </c>
      <c r="H175" s="5">
        <v>238868.16</v>
      </c>
      <c r="I175" s="5">
        <f>INDEX('Revised 2018 Lockdown'!E$5:E$253,MATCH(B175,'Revised 2018 Lockdown'!B$5:B$253,0))</f>
        <v>238868.16</v>
      </c>
      <c r="J175" s="5">
        <f t="shared" si="44"/>
        <v>0</v>
      </c>
      <c r="K175" s="5">
        <v>30079.71</v>
      </c>
      <c r="L175" s="5">
        <f>INDEX('Revised 2018 Lockdown'!F$5:F$253,MATCH(B175,'Revised 2018 Lockdown'!B$5:B$253,0))</f>
        <v>30079.71</v>
      </c>
      <c r="M175" s="5">
        <f t="shared" si="45"/>
        <v>0</v>
      </c>
      <c r="N175" s="5">
        <v>208788.45</v>
      </c>
      <c r="O175" s="87">
        <f t="shared" si="46"/>
        <v>208788.45</v>
      </c>
      <c r="P175" s="87">
        <f t="shared" si="47"/>
        <v>0</v>
      </c>
      <c r="Q175" s="85">
        <f t="shared" si="48"/>
        <v>287.02709781810262</v>
      </c>
      <c r="R175" s="6">
        <f t="shared" si="35"/>
        <v>287.02709781810262</v>
      </c>
      <c r="S175" s="5">
        <f t="shared" si="49"/>
        <v>208788.45</v>
      </c>
      <c r="T175" s="113">
        <v>0.64301190476190473</v>
      </c>
      <c r="U175" s="87">
        <f t="shared" si="36"/>
        <v>45935.018204284817</v>
      </c>
      <c r="V175" s="87">
        <f t="shared" si="37"/>
        <v>41115.718979370511</v>
      </c>
      <c r="W175" s="87">
        <f t="shared" si="38"/>
        <v>8861.0290652429831</v>
      </c>
      <c r="X175" s="87">
        <f t="shared" si="39"/>
        <v>2615.9109812622692</v>
      </c>
      <c r="Y175" s="87">
        <f t="shared" si="40"/>
        <v>98527.677230160567</v>
      </c>
      <c r="Z175" s="91">
        <f t="shared" si="41"/>
        <v>0.47190195257525291</v>
      </c>
      <c r="AA175" s="86">
        <f t="shared" si="42"/>
        <v>98527.677230160567</v>
      </c>
      <c r="AB175" s="87"/>
      <c r="AC175" s="86">
        <v>98611.264755285491</v>
      </c>
      <c r="AD175" s="147">
        <f t="shared" si="50"/>
        <v>-83.587525124923559</v>
      </c>
      <c r="AE175" s="147">
        <v>-29.17100271077652</v>
      </c>
      <c r="AF175" s="147">
        <f t="shared" si="51"/>
        <v>-54.416522414147039</v>
      </c>
      <c r="AG175" s="86"/>
    </row>
    <row r="176" spans="2:33" x14ac:dyDescent="0.3">
      <c r="B176">
        <v>612</v>
      </c>
      <c r="C176" s="25">
        <v>7</v>
      </c>
      <c r="D176" s="32" t="s">
        <v>188</v>
      </c>
      <c r="E176" s="125">
        <v>488.86576888424196</v>
      </c>
      <c r="F176" s="125">
        <f>INDEX('Revised 2018 Lockdown'!H$5:H$253,MATCH(B176,'Revised 2018 Lockdown'!B$5:B$253,0))</f>
        <v>488.86576888424196</v>
      </c>
      <c r="G176" s="125">
        <f t="shared" si="43"/>
        <v>0</v>
      </c>
      <c r="H176" s="5">
        <v>278008.61</v>
      </c>
      <c r="I176" s="5">
        <f>INDEX('Revised 2018 Lockdown'!E$5:E$253,MATCH(B176,'Revised 2018 Lockdown'!B$5:B$253,0))</f>
        <v>278541.06</v>
      </c>
      <c r="J176" s="5">
        <f t="shared" si="44"/>
        <v>-532.45000000001164</v>
      </c>
      <c r="K176" s="5">
        <v>7776.44</v>
      </c>
      <c r="L176" s="5">
        <f>INDEX('Revised 2018 Lockdown'!F$5:F$253,MATCH(B176,'Revised 2018 Lockdown'!B$5:B$253,0))</f>
        <v>7776.44</v>
      </c>
      <c r="M176" s="5">
        <f t="shared" si="45"/>
        <v>0</v>
      </c>
      <c r="N176" s="5">
        <v>270232.17</v>
      </c>
      <c r="O176" s="87">
        <f t="shared" si="46"/>
        <v>270764.62</v>
      </c>
      <c r="P176" s="87">
        <f t="shared" si="47"/>
        <v>-532.45000000001164</v>
      </c>
      <c r="Q176" s="85">
        <f t="shared" si="48"/>
        <v>553.86291541331889</v>
      </c>
      <c r="R176" s="6">
        <f t="shared" si="35"/>
        <v>553.86291541331889</v>
      </c>
      <c r="S176" s="5">
        <f t="shared" si="49"/>
        <v>270764.62</v>
      </c>
      <c r="T176" s="113">
        <v>0.79236904761904747</v>
      </c>
      <c r="U176" s="87">
        <f t="shared" si="36"/>
        <v>59570.238434052546</v>
      </c>
      <c r="V176" s="87">
        <f t="shared" si="37"/>
        <v>27632.10350554073</v>
      </c>
      <c r="W176" s="87">
        <f t="shared" si="38"/>
        <v>14160.483928328937</v>
      </c>
      <c r="X176" s="87">
        <f t="shared" si="39"/>
        <v>3392.4105610023225</v>
      </c>
      <c r="Y176" s="87">
        <f t="shared" si="40"/>
        <v>104755.23642892453</v>
      </c>
      <c r="Z176" s="91">
        <f t="shared" si="41"/>
        <v>0.38688672260402607</v>
      </c>
      <c r="AA176" s="86">
        <f t="shared" si="42"/>
        <v>104755.23642892453</v>
      </c>
      <c r="AB176" s="87"/>
      <c r="AC176" s="86">
        <v>104720.66212138144</v>
      </c>
      <c r="AD176" s="147">
        <f t="shared" si="50"/>
        <v>34.574307543094619</v>
      </c>
      <c r="AE176" s="147">
        <v>-46.336078631633427</v>
      </c>
      <c r="AF176" s="147">
        <f t="shared" si="51"/>
        <v>80.910386174728046</v>
      </c>
      <c r="AG176" s="86"/>
    </row>
    <row r="177" spans="2:33" x14ac:dyDescent="0.3">
      <c r="B177">
        <v>635</v>
      </c>
      <c r="C177" s="25">
        <v>7</v>
      </c>
      <c r="D177" s="32" t="s">
        <v>293</v>
      </c>
      <c r="E177" s="125">
        <v>48.589999999999996</v>
      </c>
      <c r="F177" s="125">
        <f>INDEX('Revised 2018 Lockdown'!H$5:H$253,MATCH(B177,'Revised 2018 Lockdown'!B$5:B$253,0))</f>
        <v>48.589999999999996</v>
      </c>
      <c r="G177" s="125">
        <f t="shared" si="43"/>
        <v>0</v>
      </c>
      <c r="H177" s="5">
        <v>41866.43</v>
      </c>
      <c r="I177" s="5">
        <f>INDEX('Revised 2018 Lockdown'!E$5:E$253,MATCH(B177,'Revised 2018 Lockdown'!B$5:B$253,0))</f>
        <v>41866.43</v>
      </c>
      <c r="J177" s="5">
        <f t="shared" si="44"/>
        <v>0</v>
      </c>
      <c r="K177" s="5">
        <v>7688.1000000000013</v>
      </c>
      <c r="L177" s="5">
        <f>INDEX('Revised 2018 Lockdown'!F$5:F$253,MATCH(B177,'Revised 2018 Lockdown'!B$5:B$253,0))</f>
        <v>7688.1000000000013</v>
      </c>
      <c r="M177" s="5">
        <f t="shared" si="45"/>
        <v>0</v>
      </c>
      <c r="N177" s="5">
        <v>34178.33</v>
      </c>
      <c r="O177" s="87">
        <f t="shared" si="46"/>
        <v>34178.33</v>
      </c>
      <c r="P177" s="87">
        <f t="shared" si="47"/>
        <v>0</v>
      </c>
      <c r="Q177" s="85">
        <f t="shared" si="48"/>
        <v>703.40255196542512</v>
      </c>
      <c r="R177" s="6">
        <f t="shared" si="35"/>
        <v>703.40255196542512</v>
      </c>
      <c r="S177" s="5">
        <f t="shared" si="49"/>
        <v>34178.33</v>
      </c>
      <c r="T177" s="113">
        <v>0.54884226190476193</v>
      </c>
      <c r="U177" s="87">
        <f t="shared" si="36"/>
        <v>7519.4878392078381</v>
      </c>
      <c r="V177" s="87">
        <f t="shared" si="37"/>
        <v>2746.4469692746006</v>
      </c>
      <c r="W177" s="87">
        <f t="shared" si="38"/>
        <v>1238.1038142108541</v>
      </c>
      <c r="X177" s="87">
        <f t="shared" si="39"/>
        <v>428.22037698065026</v>
      </c>
      <c r="Y177" s="87">
        <f t="shared" si="40"/>
        <v>11932.258999673943</v>
      </c>
      <c r="Z177" s="91">
        <f t="shared" si="41"/>
        <v>0.3491176719188428</v>
      </c>
      <c r="AA177" s="86">
        <f t="shared" si="42"/>
        <v>11932.258999673943</v>
      </c>
      <c r="AB177" s="87"/>
      <c r="AC177" s="86">
        <v>11946.359744475221</v>
      </c>
      <c r="AD177" s="147">
        <f t="shared" si="50"/>
        <v>-14.100744801278779</v>
      </c>
      <c r="AE177" s="147">
        <v>-5.7050596790904819</v>
      </c>
      <c r="AF177" s="147">
        <f t="shared" si="51"/>
        <v>-8.3956851221882971</v>
      </c>
      <c r="AG177" s="86"/>
    </row>
    <row r="178" spans="2:33" x14ac:dyDescent="0.3">
      <c r="B178">
        <v>711</v>
      </c>
      <c r="C178" s="25">
        <v>7</v>
      </c>
      <c r="D178" s="32" t="s">
        <v>189</v>
      </c>
      <c r="E178" s="125">
        <v>420.12</v>
      </c>
      <c r="F178" s="125">
        <f>INDEX('Revised 2018 Lockdown'!H$5:H$253,MATCH(B178,'Revised 2018 Lockdown'!B$5:B$253,0))</f>
        <v>420.12</v>
      </c>
      <c r="G178" s="125">
        <f t="shared" si="43"/>
        <v>0</v>
      </c>
      <c r="H178" s="5">
        <v>219303.41</v>
      </c>
      <c r="I178" s="5">
        <f>INDEX('Revised 2018 Lockdown'!E$5:E$253,MATCH(B178,'Revised 2018 Lockdown'!B$5:B$253,0))</f>
        <v>219303.41</v>
      </c>
      <c r="J178" s="5">
        <f t="shared" si="44"/>
        <v>0</v>
      </c>
      <c r="K178" s="5">
        <v>15317.63</v>
      </c>
      <c r="L178" s="5">
        <f>INDEX('Revised 2018 Lockdown'!F$5:F$253,MATCH(B178,'Revised 2018 Lockdown'!B$5:B$253,0))</f>
        <v>15317.63</v>
      </c>
      <c r="M178" s="5">
        <f t="shared" si="45"/>
        <v>0</v>
      </c>
      <c r="N178" s="5">
        <v>203985.78</v>
      </c>
      <c r="O178" s="87">
        <f t="shared" si="46"/>
        <v>203985.78</v>
      </c>
      <c r="P178" s="87">
        <f t="shared" si="47"/>
        <v>0</v>
      </c>
      <c r="Q178" s="85">
        <f t="shared" si="48"/>
        <v>485.54170237075118</v>
      </c>
      <c r="R178" s="6">
        <f t="shared" si="35"/>
        <v>485.54170237075118</v>
      </c>
      <c r="S178" s="5">
        <f t="shared" si="49"/>
        <v>203985.78</v>
      </c>
      <c r="T178" s="113">
        <v>0.71113690476190472</v>
      </c>
      <c r="U178" s="87">
        <f t="shared" si="36"/>
        <v>44878.394938586098</v>
      </c>
      <c r="V178" s="87">
        <f t="shared" si="37"/>
        <v>23746.394334876422</v>
      </c>
      <c r="W178" s="87">
        <f t="shared" si="38"/>
        <v>9574.4048601925351</v>
      </c>
      <c r="X178" s="87">
        <f t="shared" si="39"/>
        <v>2555.7383175331265</v>
      </c>
      <c r="Y178" s="87">
        <f t="shared" si="40"/>
        <v>80754.932451188171</v>
      </c>
      <c r="Z178" s="91">
        <f t="shared" si="41"/>
        <v>0.39588510753635953</v>
      </c>
      <c r="AA178" s="86">
        <f t="shared" si="42"/>
        <v>80754.932451188171</v>
      </c>
      <c r="AB178" s="87"/>
      <c r="AC178" s="86">
        <v>80841.086412134857</v>
      </c>
      <c r="AD178" s="147">
        <f t="shared" si="50"/>
        <v>-86.153960946685402</v>
      </c>
      <c r="AE178" s="147">
        <v>-33.493278243127861</v>
      </c>
      <c r="AF178" s="147">
        <f t="shared" si="51"/>
        <v>-52.660682703557541</v>
      </c>
      <c r="AG178" s="86"/>
    </row>
    <row r="179" spans="2:33" x14ac:dyDescent="0.3">
      <c r="B179">
        <v>712</v>
      </c>
      <c r="C179" s="25">
        <v>7</v>
      </c>
      <c r="D179" s="32" t="s">
        <v>190</v>
      </c>
      <c r="E179" s="125">
        <v>743.30000000000007</v>
      </c>
      <c r="F179" s="125">
        <f>INDEX('Revised 2018 Lockdown'!H$5:H$253,MATCH(B179,'Revised 2018 Lockdown'!B$5:B$253,0))</f>
        <v>743.30000000000007</v>
      </c>
      <c r="G179" s="125">
        <f t="shared" si="43"/>
        <v>0</v>
      </c>
      <c r="H179" s="5">
        <v>285648.96000000002</v>
      </c>
      <c r="I179" s="5">
        <f>INDEX('Revised 2018 Lockdown'!E$5:E$253,MATCH(B179,'Revised 2018 Lockdown'!B$5:B$253,0))</f>
        <v>285648.96000000002</v>
      </c>
      <c r="J179" s="5">
        <f t="shared" si="44"/>
        <v>0</v>
      </c>
      <c r="K179" s="5">
        <v>0</v>
      </c>
      <c r="L179" s="5">
        <f>INDEX('Revised 2018 Lockdown'!F$5:F$253,MATCH(B179,'Revised 2018 Lockdown'!B$5:B$253,0))</f>
        <v>0</v>
      </c>
      <c r="M179" s="5">
        <f t="shared" si="45"/>
        <v>0</v>
      </c>
      <c r="N179" s="5">
        <v>285648.96000000002</v>
      </c>
      <c r="O179" s="87">
        <f t="shared" si="46"/>
        <v>285648.96000000002</v>
      </c>
      <c r="P179" s="87">
        <f t="shared" si="47"/>
        <v>0</v>
      </c>
      <c r="Q179" s="85">
        <f t="shared" si="48"/>
        <v>384.29834521727429</v>
      </c>
      <c r="R179" s="6">
        <f t="shared" si="35"/>
        <v>384.29834521727429</v>
      </c>
      <c r="S179" s="5">
        <f t="shared" si="49"/>
        <v>285648.96000000002</v>
      </c>
      <c r="T179" s="113">
        <v>0.80012499999999998</v>
      </c>
      <c r="U179" s="87">
        <f t="shared" si="36"/>
        <v>62844.904388317576</v>
      </c>
      <c r="V179" s="87">
        <f t="shared" si="37"/>
        <v>42013.460223540053</v>
      </c>
      <c r="W179" s="87">
        <f t="shared" si="38"/>
        <v>15085.133737110778</v>
      </c>
      <c r="X179" s="87">
        <f t="shared" si="39"/>
        <v>3578.8964918804018</v>
      </c>
      <c r="Y179" s="87">
        <f t="shared" si="40"/>
        <v>123522.39484084881</v>
      </c>
      <c r="Z179" s="91">
        <f t="shared" si="41"/>
        <v>0.43242725210989319</v>
      </c>
      <c r="AA179" s="86">
        <f t="shared" si="42"/>
        <v>123522.39484084881</v>
      </c>
      <c r="AB179" s="87"/>
      <c r="AC179" s="86">
        <v>123643.99007725436</v>
      </c>
      <c r="AD179" s="147">
        <f t="shared" si="50"/>
        <v>-121.59523640555562</v>
      </c>
      <c r="AE179" s="147">
        <v>-45.640895883436315</v>
      </c>
      <c r="AF179" s="147">
        <f t="shared" si="51"/>
        <v>-75.95434052211931</v>
      </c>
      <c r="AG179" s="86"/>
    </row>
    <row r="180" spans="2:33" x14ac:dyDescent="0.3">
      <c r="B180">
        <v>718</v>
      </c>
      <c r="C180" s="25">
        <v>7</v>
      </c>
      <c r="D180" s="32" t="s">
        <v>191</v>
      </c>
      <c r="E180" s="125">
        <v>29.977429817390671</v>
      </c>
      <c r="F180" s="125">
        <f>INDEX('Revised 2018 Lockdown'!H$5:H$253,MATCH(B180,'Revised 2018 Lockdown'!B$5:B$253,0))</f>
        <v>29.977429817390671</v>
      </c>
      <c r="G180" s="125">
        <f t="shared" si="43"/>
        <v>0</v>
      </c>
      <c r="H180" s="5">
        <v>22733.55</v>
      </c>
      <c r="I180" s="5">
        <f>INDEX('Revised 2018 Lockdown'!E$5:E$253,MATCH(B180,'Revised 2018 Lockdown'!B$5:B$253,0))</f>
        <v>22733.55</v>
      </c>
      <c r="J180" s="5">
        <f t="shared" si="44"/>
        <v>0</v>
      </c>
      <c r="K180" s="5">
        <v>0</v>
      </c>
      <c r="L180" s="5">
        <f>INDEX('Revised 2018 Lockdown'!F$5:F$253,MATCH(B180,'Revised 2018 Lockdown'!B$5:B$253,0))</f>
        <v>0</v>
      </c>
      <c r="M180" s="5">
        <f t="shared" si="45"/>
        <v>0</v>
      </c>
      <c r="N180" s="5">
        <v>22733.55</v>
      </c>
      <c r="O180" s="87">
        <f t="shared" si="46"/>
        <v>22733.55</v>
      </c>
      <c r="P180" s="87">
        <f t="shared" si="47"/>
        <v>0</v>
      </c>
      <c r="Q180" s="85">
        <f t="shared" si="48"/>
        <v>758.35554076793096</v>
      </c>
      <c r="R180" s="6">
        <f t="shared" si="35"/>
        <v>724.17749136783868</v>
      </c>
      <c r="S180" s="5">
        <f t="shared" si="49"/>
        <v>21708.979922813422</v>
      </c>
      <c r="T180" s="113">
        <v>0.11225</v>
      </c>
      <c r="U180" s="87">
        <f t="shared" si="36"/>
        <v>4776.1377027842673</v>
      </c>
      <c r="V180" s="87">
        <f t="shared" si="37"/>
        <v>1694.4108102205118</v>
      </c>
      <c r="W180" s="87">
        <f t="shared" si="38"/>
        <v>160.83643714126023</v>
      </c>
      <c r="X180" s="87">
        <f t="shared" si="39"/>
        <v>271.9918605271975</v>
      </c>
      <c r="Y180" s="87">
        <f t="shared" si="40"/>
        <v>6903.3768106732368</v>
      </c>
      <c r="Z180" s="91">
        <f t="shared" si="41"/>
        <v>0.317996369945446</v>
      </c>
      <c r="AA180" s="86">
        <f t="shared" si="42"/>
        <v>6903.3768106732368</v>
      </c>
      <c r="AB180" s="87"/>
      <c r="AC180" s="86">
        <v>6939.3254395059785</v>
      </c>
      <c r="AD180" s="147">
        <f t="shared" si="50"/>
        <v>-35.948628832741633</v>
      </c>
      <c r="AE180" s="147">
        <v>-30.265548982981272</v>
      </c>
      <c r="AF180" s="147">
        <f t="shared" si="51"/>
        <v>-5.683079849760361</v>
      </c>
      <c r="AG180" s="86"/>
    </row>
    <row r="181" spans="2:33" x14ac:dyDescent="0.3">
      <c r="B181">
        <v>736</v>
      </c>
      <c r="C181" s="25">
        <v>7</v>
      </c>
      <c r="D181" s="32" t="s">
        <v>192</v>
      </c>
      <c r="E181" s="125">
        <v>138.56449994605035</v>
      </c>
      <c r="F181" s="125">
        <f>INDEX('Revised 2018 Lockdown'!H$5:H$253,MATCH(B181,'Revised 2018 Lockdown'!B$5:B$253,0))</f>
        <v>138.56381575605857</v>
      </c>
      <c r="G181" s="125">
        <f t="shared" si="43"/>
        <v>6.841899917731098E-4</v>
      </c>
      <c r="H181" s="5">
        <v>55322.1</v>
      </c>
      <c r="I181" s="5">
        <f>INDEX('Revised 2018 Lockdown'!E$5:E$253,MATCH(B181,'Revised 2018 Lockdown'!B$5:B$253,0))</f>
        <v>55322.1</v>
      </c>
      <c r="J181" s="5">
        <f t="shared" si="44"/>
        <v>0</v>
      </c>
      <c r="K181" s="5">
        <v>161</v>
      </c>
      <c r="L181" s="5">
        <f>INDEX('Revised 2018 Lockdown'!F$5:F$253,MATCH(B181,'Revised 2018 Lockdown'!B$5:B$253,0))</f>
        <v>161</v>
      </c>
      <c r="M181" s="5">
        <f t="shared" si="45"/>
        <v>0</v>
      </c>
      <c r="N181" s="5">
        <v>55161.1</v>
      </c>
      <c r="O181" s="87">
        <f t="shared" si="46"/>
        <v>55161.1</v>
      </c>
      <c r="P181" s="87">
        <f t="shared" si="47"/>
        <v>0</v>
      </c>
      <c r="Q181" s="85">
        <f t="shared" si="48"/>
        <v>398.09166411172629</v>
      </c>
      <c r="R181" s="6">
        <f t="shared" si="35"/>
        <v>398.09166411172629</v>
      </c>
      <c r="S181" s="5">
        <f t="shared" si="49"/>
        <v>55161.1</v>
      </c>
      <c r="T181" s="113">
        <v>0.4411101190476191</v>
      </c>
      <c r="U181" s="87">
        <f t="shared" si="36"/>
        <v>12135.853935734351</v>
      </c>
      <c r="V181" s="87">
        <f t="shared" si="37"/>
        <v>7832.0265864241883</v>
      </c>
      <c r="W181" s="87">
        <f t="shared" si="38"/>
        <v>1605.9743923008887</v>
      </c>
      <c r="X181" s="87">
        <f t="shared" si="39"/>
        <v>691.1135516763793</v>
      </c>
      <c r="Y181" s="87">
        <f t="shared" si="40"/>
        <v>22264.968466135808</v>
      </c>
      <c r="Z181" s="91">
        <f t="shared" si="41"/>
        <v>0.40363532391732232</v>
      </c>
      <c r="AA181" s="86">
        <f t="shared" si="42"/>
        <v>22264.968466135808</v>
      </c>
      <c r="AB181" s="87"/>
      <c r="AC181" s="86">
        <v>22286.522997137239</v>
      </c>
      <c r="AD181" s="147">
        <f t="shared" si="50"/>
        <v>-21.554531001431315</v>
      </c>
      <c r="AE181" s="147">
        <v>-8.0429733204618969</v>
      </c>
      <c r="AF181" s="147">
        <f t="shared" si="51"/>
        <v>-13.511557680969418</v>
      </c>
      <c r="AG181" s="86"/>
    </row>
    <row r="182" spans="2:33" x14ac:dyDescent="0.3">
      <c r="B182">
        <v>757</v>
      </c>
      <c r="C182" s="25">
        <v>7</v>
      </c>
      <c r="D182" s="32" t="s">
        <v>193</v>
      </c>
      <c r="E182" s="125">
        <v>535.91999999999996</v>
      </c>
      <c r="F182" s="125">
        <f>INDEX('Revised 2018 Lockdown'!H$5:H$253,MATCH(B182,'Revised 2018 Lockdown'!B$5:B$253,0))</f>
        <v>535.91999999999996</v>
      </c>
      <c r="G182" s="125">
        <f t="shared" si="43"/>
        <v>0</v>
      </c>
      <c r="H182" s="5">
        <v>325864.53000000003</v>
      </c>
      <c r="I182" s="5">
        <f>INDEX('Revised 2018 Lockdown'!E$5:E$253,MATCH(B182,'Revised 2018 Lockdown'!B$5:B$253,0))</f>
        <v>334652.7</v>
      </c>
      <c r="J182" s="5">
        <f t="shared" si="44"/>
        <v>-8788.1699999999837</v>
      </c>
      <c r="K182" s="5">
        <v>65666.5</v>
      </c>
      <c r="L182" s="5">
        <f>INDEX('Revised 2018 Lockdown'!F$5:F$253,MATCH(B182,'Revised 2018 Lockdown'!B$5:B$253,0))</f>
        <v>65666.5</v>
      </c>
      <c r="M182" s="5">
        <f t="shared" si="45"/>
        <v>0</v>
      </c>
      <c r="N182" s="5">
        <v>260198.03000000003</v>
      </c>
      <c r="O182" s="87">
        <f t="shared" si="46"/>
        <v>268986.2</v>
      </c>
      <c r="P182" s="87">
        <f t="shared" si="47"/>
        <v>-8788.1699999999837</v>
      </c>
      <c r="Q182" s="85">
        <f t="shared" si="48"/>
        <v>501.91483803552774</v>
      </c>
      <c r="R182" s="6">
        <f t="shared" si="35"/>
        <v>501.91483803552774</v>
      </c>
      <c r="S182" s="5">
        <f t="shared" si="49"/>
        <v>268986.2</v>
      </c>
      <c r="T182" s="113">
        <v>0.83378571428571413</v>
      </c>
      <c r="U182" s="87">
        <f t="shared" si="36"/>
        <v>59178.972753049296</v>
      </c>
      <c r="V182" s="87">
        <f t="shared" si="37"/>
        <v>30291.744387191688</v>
      </c>
      <c r="W182" s="87">
        <f t="shared" si="38"/>
        <v>14802.774620278806</v>
      </c>
      <c r="X182" s="87">
        <f t="shared" si="39"/>
        <v>3370.1287326382708</v>
      </c>
      <c r="Y182" s="87">
        <f t="shared" si="40"/>
        <v>107643.62049315807</v>
      </c>
      <c r="Z182" s="91">
        <f t="shared" si="41"/>
        <v>0.40018268778531413</v>
      </c>
      <c r="AA182" s="86">
        <f t="shared" si="42"/>
        <v>107643.62049315807</v>
      </c>
      <c r="AB182" s="87"/>
      <c r="AC182" s="86">
        <v>105229.56891511349</v>
      </c>
      <c r="AD182" s="147">
        <f t="shared" si="50"/>
        <v>2414.0515780445858</v>
      </c>
      <c r="AE182" s="147">
        <v>2485.3622887944075</v>
      </c>
      <c r="AF182" s="147">
        <f t="shared" si="51"/>
        <v>-71.310710749821737</v>
      </c>
      <c r="AG182" s="86"/>
    </row>
    <row r="183" spans="2:33" x14ac:dyDescent="0.3">
      <c r="B183">
        <v>786</v>
      </c>
      <c r="C183" s="25">
        <v>7</v>
      </c>
      <c r="D183" s="32" t="s">
        <v>194</v>
      </c>
      <c r="E183" s="125">
        <v>3145.58</v>
      </c>
      <c r="F183" s="125">
        <f>INDEX('Revised 2018 Lockdown'!H$5:H$253,MATCH(B183,'Revised 2018 Lockdown'!B$5:B$253,0))</f>
        <v>3145.58</v>
      </c>
      <c r="G183" s="125">
        <f t="shared" si="43"/>
        <v>0</v>
      </c>
      <c r="H183" s="5">
        <v>1566858.3</v>
      </c>
      <c r="I183" s="5">
        <f>INDEX('Revised 2018 Lockdown'!E$5:E$253,MATCH(B183,'Revised 2018 Lockdown'!B$5:B$253,0))</f>
        <v>1566858.3</v>
      </c>
      <c r="J183" s="5">
        <f t="shared" si="44"/>
        <v>0</v>
      </c>
      <c r="K183" s="5">
        <v>287163.78999999998</v>
      </c>
      <c r="L183" s="5">
        <f>INDEX('Revised 2018 Lockdown'!F$5:F$253,MATCH(B183,'Revised 2018 Lockdown'!B$5:B$253,0))</f>
        <v>287163.78999999998</v>
      </c>
      <c r="M183" s="5">
        <f t="shared" si="45"/>
        <v>0</v>
      </c>
      <c r="N183" s="5">
        <v>1279694.51</v>
      </c>
      <c r="O183" s="87">
        <f t="shared" si="46"/>
        <v>1279694.51</v>
      </c>
      <c r="P183" s="87">
        <f t="shared" si="47"/>
        <v>0</v>
      </c>
      <c r="Q183" s="85">
        <f t="shared" si="48"/>
        <v>406.82306919550609</v>
      </c>
      <c r="R183" s="6">
        <f t="shared" si="35"/>
        <v>406.82306919550609</v>
      </c>
      <c r="S183" s="5">
        <f t="shared" si="49"/>
        <v>1279694.51</v>
      </c>
      <c r="T183" s="113">
        <v>0.83378571428571413</v>
      </c>
      <c r="U183" s="87">
        <f t="shared" si="36"/>
        <v>281542.34878784401</v>
      </c>
      <c r="V183" s="87">
        <f t="shared" si="37"/>
        <v>177797.25576478287</v>
      </c>
      <c r="W183" s="87">
        <f t="shared" si="38"/>
        <v>70423.796515725044</v>
      </c>
      <c r="X183" s="87">
        <f t="shared" si="39"/>
        <v>16033.295526500811</v>
      </c>
      <c r="Y183" s="87">
        <f t="shared" si="40"/>
        <v>545796.69659485272</v>
      </c>
      <c r="Z183" s="91">
        <f t="shared" si="41"/>
        <v>0.42650546074066747</v>
      </c>
      <c r="AA183" s="86">
        <f t="shared" si="42"/>
        <v>545796.69659485272</v>
      </c>
      <c r="AB183" s="87"/>
      <c r="AC183" s="86">
        <v>546347.77672255819</v>
      </c>
      <c r="AD183" s="147">
        <f t="shared" si="50"/>
        <v>-551.08012770547066</v>
      </c>
      <c r="AE183" s="147">
        <v>-209.10089967469685</v>
      </c>
      <c r="AF183" s="147">
        <f t="shared" si="51"/>
        <v>-341.97922803077381</v>
      </c>
      <c r="AG183" s="86"/>
    </row>
    <row r="184" spans="2:33" x14ac:dyDescent="0.3">
      <c r="B184">
        <v>854</v>
      </c>
      <c r="C184" s="25">
        <v>7</v>
      </c>
      <c r="D184" s="32" t="s">
        <v>195</v>
      </c>
      <c r="E184" s="125">
        <v>839.93</v>
      </c>
      <c r="F184" s="125">
        <f>INDEX('Revised 2018 Lockdown'!H$5:H$253,MATCH(B184,'Revised 2018 Lockdown'!B$5:B$253,0))</f>
        <v>839.93</v>
      </c>
      <c r="G184" s="125">
        <f t="shared" si="43"/>
        <v>0</v>
      </c>
      <c r="H184" s="5">
        <v>490740.21</v>
      </c>
      <c r="I184" s="5">
        <f>INDEX('Revised 2018 Lockdown'!E$5:E$253,MATCH(B184,'Revised 2018 Lockdown'!B$5:B$253,0))</f>
        <v>490740.21</v>
      </c>
      <c r="J184" s="5">
        <f t="shared" si="44"/>
        <v>0</v>
      </c>
      <c r="K184" s="5">
        <v>37547.699999999997</v>
      </c>
      <c r="L184" s="5">
        <f>INDEX('Revised 2018 Lockdown'!F$5:F$253,MATCH(B184,'Revised 2018 Lockdown'!B$5:B$253,0))</f>
        <v>37547.699999999997</v>
      </c>
      <c r="M184" s="5">
        <f t="shared" si="45"/>
        <v>0</v>
      </c>
      <c r="N184" s="5">
        <v>453192.51</v>
      </c>
      <c r="O184" s="87">
        <f t="shared" si="46"/>
        <v>453192.51</v>
      </c>
      <c r="P184" s="87">
        <f t="shared" si="47"/>
        <v>0</v>
      </c>
      <c r="Q184" s="85">
        <f t="shared" si="48"/>
        <v>539.55985617849115</v>
      </c>
      <c r="R184" s="6">
        <f t="shared" si="35"/>
        <v>539.55985617849115</v>
      </c>
      <c r="S184" s="5">
        <f t="shared" si="49"/>
        <v>453192.51000000007</v>
      </c>
      <c r="T184" s="113">
        <v>0.73996279761904749</v>
      </c>
      <c r="U184" s="87">
        <f t="shared" si="36"/>
        <v>99705.73658119273</v>
      </c>
      <c r="V184" s="87">
        <f t="shared" si="37"/>
        <v>47475.266575484995</v>
      </c>
      <c r="W184" s="87">
        <f t="shared" si="38"/>
        <v>22133.560733786151</v>
      </c>
      <c r="X184" s="87">
        <f t="shared" si="39"/>
        <v>5678.0500240066476</v>
      </c>
      <c r="Y184" s="87">
        <f t="shared" si="40"/>
        <v>174992.61391447054</v>
      </c>
      <c r="Z184" s="91">
        <f t="shared" si="41"/>
        <v>0.38613306719140283</v>
      </c>
      <c r="AA184" s="86">
        <f t="shared" si="42"/>
        <v>174992.61391447054</v>
      </c>
      <c r="AB184" s="87"/>
      <c r="AC184" s="86">
        <v>175186.34041899326</v>
      </c>
      <c r="AD184" s="147">
        <f t="shared" si="50"/>
        <v>-193.72650452272501</v>
      </c>
      <c r="AE184" s="147">
        <v>-76.38453448144719</v>
      </c>
      <c r="AF184" s="147">
        <f t="shared" si="51"/>
        <v>-117.34197004127782</v>
      </c>
      <c r="AG184" s="86"/>
    </row>
    <row r="185" spans="2:33" x14ac:dyDescent="0.3">
      <c r="B185">
        <v>855</v>
      </c>
      <c r="C185" s="25">
        <v>7</v>
      </c>
      <c r="D185" s="32" t="s">
        <v>196</v>
      </c>
      <c r="E185" s="125">
        <v>208.08754355551341</v>
      </c>
      <c r="F185" s="125">
        <f>INDEX('Revised 2018 Lockdown'!H$5:H$253,MATCH(B185,'Revised 2018 Lockdown'!B$5:B$253,0))</f>
        <v>208.08754355551341</v>
      </c>
      <c r="G185" s="125">
        <f t="shared" si="43"/>
        <v>0</v>
      </c>
      <c r="H185" s="5">
        <v>140079.48000000001</v>
      </c>
      <c r="I185" s="5">
        <f>INDEX('Revised 2018 Lockdown'!E$5:E$253,MATCH(B185,'Revised 2018 Lockdown'!B$5:B$253,0))</f>
        <v>140079.48000000001</v>
      </c>
      <c r="J185" s="5">
        <f t="shared" si="44"/>
        <v>0</v>
      </c>
      <c r="K185" s="5">
        <v>12090</v>
      </c>
      <c r="L185" s="5">
        <f>INDEX('Revised 2018 Lockdown'!F$5:F$253,MATCH(B185,'Revised 2018 Lockdown'!B$5:B$253,0))</f>
        <v>12090</v>
      </c>
      <c r="M185" s="5">
        <f t="shared" si="45"/>
        <v>0</v>
      </c>
      <c r="N185" s="5">
        <v>127989.48000000001</v>
      </c>
      <c r="O185" s="87">
        <f t="shared" si="46"/>
        <v>127989.48000000001</v>
      </c>
      <c r="P185" s="87">
        <f t="shared" si="47"/>
        <v>0</v>
      </c>
      <c r="Q185" s="85">
        <f t="shared" si="48"/>
        <v>615.07516410205062</v>
      </c>
      <c r="R185" s="6">
        <f t="shared" si="35"/>
        <v>615.07516410205062</v>
      </c>
      <c r="S185" s="5">
        <f t="shared" si="49"/>
        <v>127989.48000000001</v>
      </c>
      <c r="T185" s="113">
        <v>0.58269494047619053</v>
      </c>
      <c r="U185" s="87">
        <f t="shared" si="36"/>
        <v>28158.6414083583</v>
      </c>
      <c r="V185" s="87">
        <f t="shared" si="37"/>
        <v>11761.708239181649</v>
      </c>
      <c r="W185" s="87">
        <f t="shared" si="38"/>
        <v>4922.3693638001205</v>
      </c>
      <c r="X185" s="87">
        <f t="shared" si="39"/>
        <v>1603.5804960382029</v>
      </c>
      <c r="Y185" s="87">
        <f t="shared" si="40"/>
        <v>46446.299507378273</v>
      </c>
      <c r="Z185" s="91">
        <f t="shared" si="41"/>
        <v>0.36289154004984059</v>
      </c>
      <c r="AA185" s="86">
        <f t="shared" si="42"/>
        <v>46446.299507378273</v>
      </c>
      <c r="AB185" s="87"/>
      <c r="AC185" s="86">
        <v>46499.268429709664</v>
      </c>
      <c r="AD185" s="147">
        <f t="shared" si="50"/>
        <v>-52.968922331390786</v>
      </c>
      <c r="AE185" s="147">
        <v>-21.153480488261266</v>
      </c>
      <c r="AF185" s="147">
        <f t="shared" si="51"/>
        <v>-31.81544184312952</v>
      </c>
      <c r="AG185" s="86"/>
    </row>
    <row r="186" spans="2:33" x14ac:dyDescent="0.3">
      <c r="B186">
        <v>862</v>
      </c>
      <c r="C186" s="25">
        <v>7</v>
      </c>
      <c r="D186" s="32" t="s">
        <v>197</v>
      </c>
      <c r="E186" s="125">
        <v>13.057490298183062</v>
      </c>
      <c r="F186" s="125">
        <f>INDEX('Revised 2018 Lockdown'!H$5:H$253,MATCH(B186,'Revised 2018 Lockdown'!B$5:B$253,0))</f>
        <v>13.057425824207526</v>
      </c>
      <c r="G186" s="125">
        <f t="shared" si="43"/>
        <v>6.4473975536216699E-5</v>
      </c>
      <c r="H186" s="5">
        <v>10884.05</v>
      </c>
      <c r="I186" s="5">
        <f>INDEX('Revised 2018 Lockdown'!E$5:E$253,MATCH(B186,'Revised 2018 Lockdown'!B$5:B$253,0))</f>
        <v>10884.05</v>
      </c>
      <c r="J186" s="5">
        <f t="shared" si="44"/>
        <v>0</v>
      </c>
      <c r="K186" s="5">
        <v>8152.2</v>
      </c>
      <c r="L186" s="5">
        <f>INDEX('Revised 2018 Lockdown'!F$5:F$253,MATCH(B186,'Revised 2018 Lockdown'!B$5:B$253,0))</f>
        <v>8152.2</v>
      </c>
      <c r="M186" s="5">
        <f t="shared" si="45"/>
        <v>0</v>
      </c>
      <c r="N186" s="5">
        <v>2731.8499999999995</v>
      </c>
      <c r="O186" s="87">
        <f t="shared" si="46"/>
        <v>2731.8499999999995</v>
      </c>
      <c r="P186" s="87">
        <f t="shared" si="47"/>
        <v>0</v>
      </c>
      <c r="Q186" s="85">
        <f t="shared" si="48"/>
        <v>209.21811364498404</v>
      </c>
      <c r="R186" s="6">
        <f t="shared" si="35"/>
        <v>209.21811364498404</v>
      </c>
      <c r="S186" s="5">
        <f t="shared" si="49"/>
        <v>2731.8499999999995</v>
      </c>
      <c r="T186" s="113">
        <v>0.33395238095238095</v>
      </c>
      <c r="U186" s="87">
        <f t="shared" si="36"/>
        <v>601.0274010912741</v>
      </c>
      <c r="V186" s="87">
        <f t="shared" si="37"/>
        <v>738.04337479774995</v>
      </c>
      <c r="W186" s="87">
        <f t="shared" si="38"/>
        <v>60.21435948361578</v>
      </c>
      <c r="X186" s="87">
        <f t="shared" si="39"/>
        <v>34.227355077166997</v>
      </c>
      <c r="Y186" s="87">
        <f t="shared" si="40"/>
        <v>1433.5124904498066</v>
      </c>
      <c r="Z186" s="91">
        <f t="shared" si="41"/>
        <v>0.5247405569302146</v>
      </c>
      <c r="AA186" s="86">
        <f t="shared" si="42"/>
        <v>1433.5124904498066</v>
      </c>
      <c r="AB186" s="87"/>
      <c r="AC186" s="86">
        <v>1434.4863548119063</v>
      </c>
      <c r="AD186" s="147">
        <f t="shared" si="50"/>
        <v>-0.97386436209967542</v>
      </c>
      <c r="AE186" s="147">
        <v>-0.29201814192310849</v>
      </c>
      <c r="AF186" s="147">
        <f t="shared" si="51"/>
        <v>-0.68184622017656693</v>
      </c>
      <c r="AG186" s="86"/>
    </row>
    <row r="187" spans="2:33" x14ac:dyDescent="0.3">
      <c r="B187">
        <v>958</v>
      </c>
      <c r="C187" s="25">
        <v>7</v>
      </c>
      <c r="D187" s="32" t="s">
        <v>198</v>
      </c>
      <c r="E187" s="125">
        <v>510.68493823667342</v>
      </c>
      <c r="F187" s="125">
        <f>INDEX('Revised 2018 Lockdown'!H$5:H$253,MATCH(B187,'Revised 2018 Lockdown'!B$5:B$253,0))</f>
        <v>510.68241662743128</v>
      </c>
      <c r="G187" s="125">
        <f t="shared" si="43"/>
        <v>2.5216092421374015E-3</v>
      </c>
      <c r="H187" s="5">
        <v>165631.01</v>
      </c>
      <c r="I187" s="5">
        <f>INDEX('Revised 2018 Lockdown'!E$5:E$253,MATCH(B187,'Revised 2018 Lockdown'!B$5:B$253,0))</f>
        <v>165631.01</v>
      </c>
      <c r="J187" s="5">
        <f t="shared" si="44"/>
        <v>0</v>
      </c>
      <c r="K187" s="5">
        <v>290.27999999999997</v>
      </c>
      <c r="L187" s="5">
        <f>INDEX('Revised 2018 Lockdown'!F$5:F$253,MATCH(B187,'Revised 2018 Lockdown'!B$5:B$253,0))</f>
        <v>290.27999999999997</v>
      </c>
      <c r="M187" s="5">
        <f t="shared" si="45"/>
        <v>0</v>
      </c>
      <c r="N187" s="5">
        <v>165340.73000000001</v>
      </c>
      <c r="O187" s="87">
        <f t="shared" si="46"/>
        <v>165340.73000000001</v>
      </c>
      <c r="P187" s="87">
        <f t="shared" si="47"/>
        <v>0</v>
      </c>
      <c r="Q187" s="85">
        <f t="shared" si="48"/>
        <v>323.76428993172965</v>
      </c>
      <c r="R187" s="6">
        <f t="shared" si="35"/>
        <v>323.76428993172965</v>
      </c>
      <c r="S187" s="5">
        <f t="shared" si="49"/>
        <v>165340.73000000001</v>
      </c>
      <c r="T187" s="113">
        <v>0.82454166666666651</v>
      </c>
      <c r="U187" s="87">
        <f t="shared" si="36"/>
        <v>36376.195342509323</v>
      </c>
      <c r="V187" s="87">
        <f t="shared" si="37"/>
        <v>28865.243371233541</v>
      </c>
      <c r="W187" s="87">
        <f t="shared" si="38"/>
        <v>8998.1066204114595</v>
      </c>
      <c r="X187" s="87">
        <f t="shared" si="39"/>
        <v>2071.5543951637164</v>
      </c>
      <c r="Y187" s="87">
        <f t="shared" si="40"/>
        <v>76311.099729318041</v>
      </c>
      <c r="Z187" s="91">
        <f t="shared" si="41"/>
        <v>0.46153842268216694</v>
      </c>
      <c r="AA187" s="86">
        <f t="shared" si="42"/>
        <v>76311.099729318041</v>
      </c>
      <c r="AB187" s="87"/>
      <c r="AC187" s="86">
        <v>76381.185083149539</v>
      </c>
      <c r="AD187" s="147">
        <f t="shared" si="50"/>
        <v>-70.085353831498651</v>
      </c>
      <c r="AE187" s="147">
        <v>-25.372464267769828</v>
      </c>
      <c r="AF187" s="147">
        <f t="shared" si="51"/>
        <v>-44.712889563728822</v>
      </c>
      <c r="AG187" s="86"/>
    </row>
    <row r="188" spans="2:33" x14ac:dyDescent="0.3">
      <c r="B188">
        <v>967</v>
      </c>
      <c r="C188" s="25">
        <v>7</v>
      </c>
      <c r="D188" s="32" t="s">
        <v>199</v>
      </c>
      <c r="E188" s="125">
        <v>180.72179769743559</v>
      </c>
      <c r="F188" s="125">
        <f>INDEX('Revised 2018 Lockdown'!H$5:H$253,MATCH(B188,'Revised 2018 Lockdown'!B$5:B$253,0))</f>
        <v>180.72090534733633</v>
      </c>
      <c r="G188" s="125">
        <f t="shared" si="43"/>
        <v>8.9235009926369457E-4</v>
      </c>
      <c r="H188" s="5">
        <v>79646.62</v>
      </c>
      <c r="I188" s="5">
        <f>INDEX('Revised 2018 Lockdown'!E$5:E$253,MATCH(B188,'Revised 2018 Lockdown'!B$5:B$253,0))</f>
        <v>85175.039999999994</v>
      </c>
      <c r="J188" s="5">
        <f t="shared" si="44"/>
        <v>-5528.4199999999983</v>
      </c>
      <c r="K188" s="5">
        <v>0</v>
      </c>
      <c r="L188" s="5">
        <f>INDEX('Revised 2018 Lockdown'!F$5:F$253,MATCH(B188,'Revised 2018 Lockdown'!B$5:B$253,0))</f>
        <v>0</v>
      </c>
      <c r="M188" s="5">
        <f t="shared" si="45"/>
        <v>0</v>
      </c>
      <c r="N188" s="5">
        <v>79646.62</v>
      </c>
      <c r="O188" s="87">
        <f t="shared" si="46"/>
        <v>85175.039999999994</v>
      </c>
      <c r="P188" s="87">
        <f t="shared" si="47"/>
        <v>-5528.4199999999983</v>
      </c>
      <c r="Q188" s="85">
        <f t="shared" si="48"/>
        <v>471.3070678585741</v>
      </c>
      <c r="R188" s="6">
        <f t="shared" si="35"/>
        <v>471.3070678585741</v>
      </c>
      <c r="S188" s="5">
        <f t="shared" si="49"/>
        <v>85175.039999999994</v>
      </c>
      <c r="T188" s="113">
        <v>0.34667857142857139</v>
      </c>
      <c r="U188" s="87">
        <f t="shared" si="36"/>
        <v>18739.144875833346</v>
      </c>
      <c r="V188" s="87">
        <f t="shared" si="37"/>
        <v>10214.866902155874</v>
      </c>
      <c r="W188" s="87">
        <f t="shared" si="38"/>
        <v>1948.9379926040813</v>
      </c>
      <c r="X188" s="87">
        <f t="shared" si="39"/>
        <v>1067.1582765495552</v>
      </c>
      <c r="Y188" s="87">
        <f t="shared" si="40"/>
        <v>31970.108047142858</v>
      </c>
      <c r="Z188" s="91">
        <f t="shared" si="41"/>
        <v>0.37534597045264506</v>
      </c>
      <c r="AA188" s="86">
        <f t="shared" si="42"/>
        <v>31970.108047142858</v>
      </c>
      <c r="AB188" s="87"/>
      <c r="AC188" s="86">
        <v>30588.605233991217</v>
      </c>
      <c r="AD188" s="147">
        <f t="shared" si="50"/>
        <v>1381.502813151641</v>
      </c>
      <c r="AE188" s="147">
        <v>-11.584896987711545</v>
      </c>
      <c r="AF188" s="147">
        <f t="shared" si="51"/>
        <v>1393.0877101393526</v>
      </c>
      <c r="AG188" s="86"/>
    </row>
    <row r="189" spans="2:33" x14ac:dyDescent="0.3">
      <c r="B189">
        <v>971</v>
      </c>
      <c r="C189" s="25">
        <v>7</v>
      </c>
      <c r="D189" s="32" t="s">
        <v>200</v>
      </c>
      <c r="E189" s="125">
        <v>976</v>
      </c>
      <c r="F189" s="125">
        <f>INDEX('Revised 2018 Lockdown'!H$5:H$253,MATCH(B189,'Revised 2018 Lockdown'!B$5:B$253,0))</f>
        <v>976</v>
      </c>
      <c r="G189" s="125">
        <f t="shared" si="43"/>
        <v>0</v>
      </c>
      <c r="H189" s="5">
        <v>536513.62</v>
      </c>
      <c r="I189" s="5">
        <f>INDEX('Revised 2018 Lockdown'!E$5:E$253,MATCH(B189,'Revised 2018 Lockdown'!B$5:B$253,0))</f>
        <v>536513.62</v>
      </c>
      <c r="J189" s="5">
        <f t="shared" si="44"/>
        <v>0</v>
      </c>
      <c r="K189" s="5">
        <v>137200.55999999997</v>
      </c>
      <c r="L189" s="5">
        <f>INDEX('Revised 2018 Lockdown'!F$5:F$253,MATCH(B189,'Revised 2018 Lockdown'!B$5:B$253,0))</f>
        <v>137200.55999999997</v>
      </c>
      <c r="M189" s="5">
        <f t="shared" si="45"/>
        <v>0</v>
      </c>
      <c r="N189" s="5">
        <v>399313.06000000006</v>
      </c>
      <c r="O189" s="87">
        <f t="shared" si="46"/>
        <v>399313.06000000006</v>
      </c>
      <c r="P189" s="87">
        <f t="shared" si="47"/>
        <v>0</v>
      </c>
      <c r="Q189" s="85">
        <f t="shared" si="48"/>
        <v>409.13223360655741</v>
      </c>
      <c r="R189" s="6">
        <f t="shared" si="35"/>
        <v>409.13223360655741</v>
      </c>
      <c r="S189" s="5">
        <f t="shared" si="49"/>
        <v>399313.06000000006</v>
      </c>
      <c r="T189" s="113">
        <v>0.55844345238095239</v>
      </c>
      <c r="U189" s="87">
        <f t="shared" si="36"/>
        <v>87851.85521664955</v>
      </c>
      <c r="V189" s="87">
        <f t="shared" si="37"/>
        <v>55166.335501379108</v>
      </c>
      <c r="W189" s="87">
        <f t="shared" si="38"/>
        <v>14718.087997577206</v>
      </c>
      <c r="X189" s="87">
        <f t="shared" si="39"/>
        <v>5002.9942681955799</v>
      </c>
      <c r="Y189" s="87">
        <f t="shared" si="40"/>
        <v>162739.27298380146</v>
      </c>
      <c r="Z189" s="91">
        <f t="shared" si="41"/>
        <v>0.40754808516355923</v>
      </c>
      <c r="AA189" s="86">
        <f t="shared" si="42"/>
        <v>162739.27298380146</v>
      </c>
      <c r="AB189" s="87"/>
      <c r="AC189" s="86">
        <v>162900.08707813147</v>
      </c>
      <c r="AD189" s="147">
        <f t="shared" si="50"/>
        <v>-160.81409433000954</v>
      </c>
      <c r="AE189" s="147">
        <v>-60.634677466528956</v>
      </c>
      <c r="AF189" s="147">
        <f t="shared" si="51"/>
        <v>-100.17941686348058</v>
      </c>
      <c r="AG189" s="86"/>
    </row>
    <row r="190" spans="2:33" x14ac:dyDescent="0.3">
      <c r="B190">
        <v>975</v>
      </c>
      <c r="C190" s="25">
        <v>7</v>
      </c>
      <c r="D190" s="32" t="s">
        <v>201</v>
      </c>
      <c r="E190" s="125">
        <v>19.270619314376521</v>
      </c>
      <c r="F190" s="125">
        <f>INDEX('Revised 2018 Lockdown'!H$5:H$253,MATCH(B190,'Revised 2018 Lockdown'!B$5:B$253,0))</f>
        <v>19.270524161831133</v>
      </c>
      <c r="G190" s="125">
        <f t="shared" si="43"/>
        <v>9.5152545387833243E-5</v>
      </c>
      <c r="H190" s="5">
        <v>55760.17</v>
      </c>
      <c r="I190" s="5">
        <f>INDEX('Revised 2018 Lockdown'!E$5:E$253,MATCH(B190,'Revised 2018 Lockdown'!B$5:B$253,0))</f>
        <v>55760.17</v>
      </c>
      <c r="J190" s="5">
        <f t="shared" si="44"/>
        <v>0</v>
      </c>
      <c r="K190" s="5">
        <v>0</v>
      </c>
      <c r="L190" s="5">
        <f>INDEX('Revised 2018 Lockdown'!F$5:F$253,MATCH(B190,'Revised 2018 Lockdown'!B$5:B$253,0))</f>
        <v>0</v>
      </c>
      <c r="M190" s="5">
        <f t="shared" si="45"/>
        <v>0</v>
      </c>
      <c r="N190" s="5">
        <v>55760.17</v>
      </c>
      <c r="O190" s="87">
        <f t="shared" si="46"/>
        <v>55760.17</v>
      </c>
      <c r="P190" s="87">
        <f t="shared" si="47"/>
        <v>0</v>
      </c>
      <c r="Q190" s="85">
        <f t="shared" si="48"/>
        <v>2893.5471361201171</v>
      </c>
      <c r="R190" s="6">
        <f t="shared" si="35"/>
        <v>724.17749136783868</v>
      </c>
      <c r="S190" s="5">
        <f t="shared" si="49"/>
        <v>13955.279844858193</v>
      </c>
      <c r="T190" s="113">
        <v>0.20508333333333334</v>
      </c>
      <c r="U190" s="87">
        <f t="shared" si="36"/>
        <v>3070.2657820365539</v>
      </c>
      <c r="V190" s="87">
        <f t="shared" si="37"/>
        <v>1089.2256159825909</v>
      </c>
      <c r="W190" s="87">
        <f t="shared" si="38"/>
        <v>188.89810223979899</v>
      </c>
      <c r="X190" s="87">
        <f t="shared" si="39"/>
        <v>174.84573400852662</v>
      </c>
      <c r="Y190" s="87">
        <f t="shared" si="40"/>
        <v>4523.2352342674712</v>
      </c>
      <c r="Z190" s="91">
        <f t="shared" si="41"/>
        <v>0.32412357792552993</v>
      </c>
      <c r="AA190" s="86">
        <f t="shared" si="42"/>
        <v>4523.2352342674712</v>
      </c>
      <c r="AB190" s="87"/>
      <c r="AC190" s="86">
        <v>4546.9574608851344</v>
      </c>
      <c r="AD190" s="147">
        <f t="shared" si="50"/>
        <v>-23.722226617663182</v>
      </c>
      <c r="AE190" s="147">
        <v>-19.954912388194316</v>
      </c>
      <c r="AF190" s="147">
        <f t="shared" si="51"/>
        <v>-3.767314229468866</v>
      </c>
      <c r="AG190" s="86"/>
    </row>
    <row r="191" spans="2:33" x14ac:dyDescent="0.3">
      <c r="B191">
        <v>976</v>
      </c>
      <c r="C191" s="25">
        <v>7</v>
      </c>
      <c r="D191" s="32" t="s">
        <v>202</v>
      </c>
      <c r="E191" s="125">
        <v>29.487564416476946</v>
      </c>
      <c r="F191" s="125">
        <f>INDEX('Revised 2018 Lockdown'!H$5:H$253,MATCH(B191,'Revised 2018 Lockdown'!B$5:B$253,0))</f>
        <v>29.487418815717273</v>
      </c>
      <c r="G191" s="125">
        <f t="shared" si="43"/>
        <v>1.4560075967295916E-4</v>
      </c>
      <c r="H191" s="5">
        <v>25941.279999999999</v>
      </c>
      <c r="I191" s="5">
        <f>INDEX('Revised 2018 Lockdown'!E$5:E$253,MATCH(B191,'Revised 2018 Lockdown'!B$5:B$253,0))</f>
        <v>25941.279999999999</v>
      </c>
      <c r="J191" s="5">
        <f t="shared" si="44"/>
        <v>0</v>
      </c>
      <c r="K191" s="5">
        <v>0</v>
      </c>
      <c r="L191" s="5">
        <f>INDEX('Revised 2018 Lockdown'!F$5:F$253,MATCH(B191,'Revised 2018 Lockdown'!B$5:B$253,0))</f>
        <v>0</v>
      </c>
      <c r="M191" s="5">
        <f t="shared" si="45"/>
        <v>0</v>
      </c>
      <c r="N191" s="5">
        <v>25941.279999999999</v>
      </c>
      <c r="O191" s="87">
        <f t="shared" si="46"/>
        <v>25941.279999999999</v>
      </c>
      <c r="P191" s="87">
        <f t="shared" si="47"/>
        <v>0</v>
      </c>
      <c r="Q191" s="85">
        <f t="shared" si="48"/>
        <v>879.74061623097623</v>
      </c>
      <c r="R191" s="6">
        <f t="shared" si="35"/>
        <v>724.17749136783868</v>
      </c>
      <c r="S191" s="5">
        <f t="shared" si="49"/>
        <v>21354.124984878941</v>
      </c>
      <c r="T191" s="113">
        <v>0.32545833333333335</v>
      </c>
      <c r="U191" s="87">
        <f t="shared" si="36"/>
        <v>4698.0669664293555</v>
      </c>
      <c r="V191" s="87">
        <f t="shared" si="37"/>
        <v>1666.7139748540349</v>
      </c>
      <c r="W191" s="87">
        <f t="shared" si="38"/>
        <v>458.7075134347462</v>
      </c>
      <c r="X191" s="87">
        <f t="shared" si="39"/>
        <v>267.54588217495655</v>
      </c>
      <c r="Y191" s="87">
        <f t="shared" si="40"/>
        <v>7091.0343368930926</v>
      </c>
      <c r="Z191" s="91">
        <f t="shared" si="41"/>
        <v>0.33206859760886109</v>
      </c>
      <c r="AA191" s="86">
        <f t="shared" si="42"/>
        <v>7091.0343368930926</v>
      </c>
      <c r="AB191" s="87"/>
      <c r="AC191" s="86">
        <v>7128.5066730094013</v>
      </c>
      <c r="AD191" s="147">
        <f t="shared" si="50"/>
        <v>-37.472336116308725</v>
      </c>
      <c r="AE191" s="147">
        <v>-31.524908245456572</v>
      </c>
      <c r="AF191" s="147">
        <f t="shared" si="51"/>
        <v>-5.9474278708521524</v>
      </c>
      <c r="AG191" s="86"/>
    </row>
    <row r="192" spans="2:33" x14ac:dyDescent="0.3">
      <c r="B192">
        <v>977</v>
      </c>
      <c r="C192" s="25">
        <v>7</v>
      </c>
      <c r="D192" s="32" t="s">
        <v>203</v>
      </c>
      <c r="E192" s="125">
        <v>40.759415747987155</v>
      </c>
      <c r="F192" s="125">
        <f>INDEX('Revised 2018 Lockdown'!H$5:H$253,MATCH(B192,'Revised 2018 Lockdown'!B$5:B$253,0))</f>
        <v>40.759415747987155</v>
      </c>
      <c r="G192" s="125">
        <f t="shared" si="43"/>
        <v>0</v>
      </c>
      <c r="H192" s="5">
        <v>31893.51</v>
      </c>
      <c r="I192" s="5">
        <f>INDEX('Revised 2018 Lockdown'!E$5:E$253,MATCH(B192,'Revised 2018 Lockdown'!B$5:B$253,0))</f>
        <v>31893.51</v>
      </c>
      <c r="J192" s="5">
        <f t="shared" si="44"/>
        <v>0</v>
      </c>
      <c r="K192" s="5">
        <v>0</v>
      </c>
      <c r="L192" s="5">
        <f>INDEX('Revised 2018 Lockdown'!F$5:F$253,MATCH(B192,'Revised 2018 Lockdown'!B$5:B$253,0))</f>
        <v>0</v>
      </c>
      <c r="M192" s="5">
        <f t="shared" si="45"/>
        <v>0</v>
      </c>
      <c r="N192" s="5">
        <v>31893.51</v>
      </c>
      <c r="O192" s="87">
        <f t="shared" si="46"/>
        <v>31893.51</v>
      </c>
      <c r="P192" s="87">
        <f t="shared" si="47"/>
        <v>0</v>
      </c>
      <c r="Q192" s="85">
        <f t="shared" si="48"/>
        <v>782.4820207727098</v>
      </c>
      <c r="R192" s="6">
        <f t="shared" si="35"/>
        <v>724.17749136783868</v>
      </c>
      <c r="S192" s="5">
        <f t="shared" si="49"/>
        <v>29517.051445996116</v>
      </c>
      <c r="T192" s="113">
        <v>0.36066071428571428</v>
      </c>
      <c r="U192" s="87">
        <f t="shared" si="36"/>
        <v>6493.9717475207217</v>
      </c>
      <c r="V192" s="87">
        <f t="shared" si="37"/>
        <v>2303.8397581902195</v>
      </c>
      <c r="W192" s="87">
        <f t="shared" si="38"/>
        <v>702.63614670362153</v>
      </c>
      <c r="X192" s="87">
        <f t="shared" si="39"/>
        <v>369.8192070110419</v>
      </c>
      <c r="Y192" s="87">
        <f t="shared" si="40"/>
        <v>9870.2668594256047</v>
      </c>
      <c r="Z192" s="91">
        <f t="shared" si="41"/>
        <v>0.33439203361772341</v>
      </c>
      <c r="AA192" s="86">
        <f t="shared" si="42"/>
        <v>9870.2668594256047</v>
      </c>
      <c r="AB192" s="87"/>
      <c r="AC192" s="86">
        <v>9922.4887094049936</v>
      </c>
      <c r="AD192" s="147">
        <f t="shared" si="50"/>
        <v>-52.221849979388935</v>
      </c>
      <c r="AE192" s="147">
        <v>-43.975835650606314</v>
      </c>
      <c r="AF192" s="147">
        <f t="shared" si="51"/>
        <v>-8.2460143287826213</v>
      </c>
      <c r="AG192" s="86"/>
    </row>
    <row r="193" spans="2:33" x14ac:dyDescent="0.3">
      <c r="B193">
        <v>979</v>
      </c>
      <c r="C193" s="25">
        <v>7</v>
      </c>
      <c r="D193" s="32" t="s">
        <v>287</v>
      </c>
      <c r="E193" s="125">
        <v>68.082908668012507</v>
      </c>
      <c r="F193" s="125">
        <f>INDEX('Revised 2018 Lockdown'!H$5:H$253,MATCH(B193,'Revised 2018 Lockdown'!B$5:B$253,0))</f>
        <v>68.082572495004712</v>
      </c>
      <c r="G193" s="125">
        <f t="shared" si="43"/>
        <v>3.3617300779553716E-4</v>
      </c>
      <c r="H193" s="5">
        <v>116196.12</v>
      </c>
      <c r="I193" s="5">
        <f>INDEX('Revised 2018 Lockdown'!E$5:E$253,MATCH(B193,'Revised 2018 Lockdown'!B$5:B$253,0))</f>
        <v>116196.12</v>
      </c>
      <c r="J193" s="5">
        <f t="shared" si="44"/>
        <v>0</v>
      </c>
      <c r="K193" s="5">
        <v>0</v>
      </c>
      <c r="L193" s="5">
        <f>INDEX('Revised 2018 Lockdown'!F$5:F$253,MATCH(B193,'Revised 2018 Lockdown'!B$5:B$253,0))</f>
        <v>0</v>
      </c>
      <c r="M193" s="5">
        <f t="shared" si="45"/>
        <v>0</v>
      </c>
      <c r="N193" s="5">
        <v>116196.12</v>
      </c>
      <c r="O193" s="87">
        <f t="shared" si="46"/>
        <v>116196.12</v>
      </c>
      <c r="P193" s="87">
        <f t="shared" si="47"/>
        <v>0</v>
      </c>
      <c r="Q193" s="85">
        <f t="shared" si="48"/>
        <v>1706.6940296435689</v>
      </c>
      <c r="R193" s="6">
        <f t="shared" si="35"/>
        <v>724.17749136783868</v>
      </c>
      <c r="S193" s="5">
        <f t="shared" si="49"/>
        <v>49303.866555301523</v>
      </c>
      <c r="T193" s="113">
        <v>0.77766071428571415</v>
      </c>
      <c r="U193" s="87">
        <f t="shared" si="36"/>
        <v>10847.218836862885</v>
      </c>
      <c r="V193" s="87">
        <f t="shared" si="37"/>
        <v>3848.2233975987656</v>
      </c>
      <c r="W193" s="87">
        <f t="shared" si="38"/>
        <v>2530.6367846064732</v>
      </c>
      <c r="X193" s="87">
        <f t="shared" si="39"/>
        <v>617.72826006756009</v>
      </c>
      <c r="Y193" s="87">
        <f t="shared" si="40"/>
        <v>17843.807279135683</v>
      </c>
      <c r="Z193" s="91">
        <f t="shared" si="41"/>
        <v>0.36191496784783062</v>
      </c>
      <c r="AA193" s="86">
        <f t="shared" si="42"/>
        <v>17843.807279135683</v>
      </c>
      <c r="AB193" s="87"/>
      <c r="AC193" s="86">
        <v>17940.50002402698</v>
      </c>
      <c r="AD193" s="147">
        <f t="shared" si="50"/>
        <v>-96.69274489129748</v>
      </c>
      <c r="AE193" s="147">
        <v>-81.375832659410662</v>
      </c>
      <c r="AF193" s="147">
        <f t="shared" si="51"/>
        <v>-15.316912231886818</v>
      </c>
      <c r="AG193" s="86"/>
    </row>
    <row r="194" spans="2:33" x14ac:dyDescent="0.3">
      <c r="B194">
        <v>983</v>
      </c>
      <c r="C194" s="25">
        <v>7</v>
      </c>
      <c r="D194" s="32" t="s">
        <v>205</v>
      </c>
      <c r="E194" s="125">
        <v>86.136151469782178</v>
      </c>
      <c r="F194" s="125">
        <f>INDEX('Revised 2018 Lockdown'!H$5:H$253,MATCH(B194,'Revised 2018 Lockdown'!B$5:B$253,0))</f>
        <v>86.135726155269523</v>
      </c>
      <c r="G194" s="125">
        <f t="shared" si="43"/>
        <v>4.253145126540403E-4</v>
      </c>
      <c r="H194" s="5">
        <v>30825.599999999999</v>
      </c>
      <c r="I194" s="5">
        <f>INDEX('Revised 2018 Lockdown'!E$5:E$253,MATCH(B194,'Revised 2018 Lockdown'!B$5:B$253,0))</f>
        <v>30825.599999999999</v>
      </c>
      <c r="J194" s="5">
        <f t="shared" si="44"/>
        <v>0</v>
      </c>
      <c r="K194" s="5">
        <v>250</v>
      </c>
      <c r="L194" s="5">
        <f>INDEX('Revised 2018 Lockdown'!F$5:F$253,MATCH(B194,'Revised 2018 Lockdown'!B$5:B$253,0))</f>
        <v>250</v>
      </c>
      <c r="M194" s="5">
        <f t="shared" si="45"/>
        <v>0</v>
      </c>
      <c r="N194" s="5">
        <v>30575.599999999999</v>
      </c>
      <c r="O194" s="87">
        <f t="shared" si="46"/>
        <v>30575.599999999999</v>
      </c>
      <c r="P194" s="87">
        <f t="shared" si="47"/>
        <v>0</v>
      </c>
      <c r="Q194" s="85">
        <f t="shared" si="48"/>
        <v>354.97001493763429</v>
      </c>
      <c r="R194" s="6">
        <f t="shared" si="35"/>
        <v>354.97001493763429</v>
      </c>
      <c r="S194" s="5">
        <f t="shared" si="49"/>
        <v>30575.599999999999</v>
      </c>
      <c r="T194" s="113">
        <v>0.37552380952380954</v>
      </c>
      <c r="U194" s="87">
        <f t="shared" si="36"/>
        <v>6726.8603345009296</v>
      </c>
      <c r="V194" s="87">
        <f t="shared" si="37"/>
        <v>4868.6397210415098</v>
      </c>
      <c r="W194" s="87">
        <f t="shared" si="38"/>
        <v>757.82886568391905</v>
      </c>
      <c r="X194" s="87">
        <f t="shared" si="39"/>
        <v>383.08176433458186</v>
      </c>
      <c r="Y194" s="87">
        <f t="shared" si="40"/>
        <v>12736.410685560941</v>
      </c>
      <c r="Z194" s="91">
        <f t="shared" si="41"/>
        <v>0.41655472617253436</v>
      </c>
      <c r="AA194" s="86">
        <f t="shared" si="42"/>
        <v>12736.410685560941</v>
      </c>
      <c r="AB194" s="87"/>
      <c r="AC194" s="86">
        <v>12748.057882966292</v>
      </c>
      <c r="AD194" s="147">
        <f t="shared" si="50"/>
        <v>-11.647197405351108</v>
      </c>
      <c r="AE194" s="147">
        <v>-4.2312518407852622</v>
      </c>
      <c r="AF194" s="147">
        <f t="shared" si="51"/>
        <v>-7.4159455645658454</v>
      </c>
      <c r="AG194" s="86"/>
    </row>
    <row r="195" spans="2:33" x14ac:dyDescent="0.3">
      <c r="B195">
        <v>188</v>
      </c>
      <c r="C195" s="25">
        <v>8</v>
      </c>
      <c r="D195" s="32" t="s">
        <v>206</v>
      </c>
      <c r="E195" s="125">
        <v>287.33</v>
      </c>
      <c r="F195" s="125">
        <f>INDEX('Revised 2018 Lockdown'!H$5:H$253,MATCH(B195,'Revised 2018 Lockdown'!B$5:B$253,0))</f>
        <v>187.63</v>
      </c>
      <c r="G195" s="125">
        <f t="shared" si="43"/>
        <v>99.699999999999989</v>
      </c>
      <c r="H195" s="5">
        <v>125246.14</v>
      </c>
      <c r="I195" s="5">
        <f>INDEX('Revised 2018 Lockdown'!E$5:E$253,MATCH(B195,'Revised 2018 Lockdown'!B$5:B$253,0))</f>
        <v>125246.14</v>
      </c>
      <c r="J195" s="5">
        <f t="shared" si="44"/>
        <v>0</v>
      </c>
      <c r="K195" s="5">
        <v>23903.22</v>
      </c>
      <c r="L195" s="5">
        <f>INDEX('Revised 2018 Lockdown'!F$5:F$253,MATCH(B195,'Revised 2018 Lockdown'!B$5:B$253,0))</f>
        <v>23903.22</v>
      </c>
      <c r="M195" s="5">
        <f t="shared" si="45"/>
        <v>0</v>
      </c>
      <c r="N195" s="5">
        <v>101342.92</v>
      </c>
      <c r="O195" s="87">
        <f t="shared" si="46"/>
        <v>101342.92</v>
      </c>
      <c r="P195" s="87">
        <f t="shared" si="47"/>
        <v>0</v>
      </c>
      <c r="Q195" s="85">
        <f t="shared" si="48"/>
        <v>540.12108937803123</v>
      </c>
      <c r="R195" s="6">
        <f t="shared" si="35"/>
        <v>540.12108937803123</v>
      </c>
      <c r="S195" s="5">
        <f t="shared" si="49"/>
        <v>101342.92</v>
      </c>
      <c r="T195" s="113">
        <v>0.79112499999999997</v>
      </c>
      <c r="U195" s="87">
        <f t="shared" si="36"/>
        <v>22296.199215403816</v>
      </c>
      <c r="V195" s="87">
        <f t="shared" si="37"/>
        <v>10605.388862831724</v>
      </c>
      <c r="W195" s="87">
        <f t="shared" si="38"/>
        <v>5291.7241812859029</v>
      </c>
      <c r="X195" s="87">
        <f t="shared" si="39"/>
        <v>1269.7256831073921</v>
      </c>
      <c r="Y195" s="87">
        <f t="shared" si="40"/>
        <v>39463.037942628827</v>
      </c>
      <c r="Z195" s="91">
        <f t="shared" si="41"/>
        <v>0.38940103504644258</v>
      </c>
      <c r="AA195" s="86">
        <f t="shared" si="42"/>
        <v>39463.037942628827</v>
      </c>
      <c r="AB195" s="87"/>
      <c r="AC195" s="86">
        <v>45141.166503343193</v>
      </c>
      <c r="AD195" s="147">
        <f t="shared" si="50"/>
        <v>-5678.1285607143654</v>
      </c>
      <c r="AE195" s="147">
        <v>-5651.5826391382725</v>
      </c>
      <c r="AF195" s="147">
        <f t="shared" si="51"/>
        <v>-26.545921576092951</v>
      </c>
      <c r="AG195" s="86"/>
    </row>
    <row r="196" spans="2:33" x14ac:dyDescent="0.3">
      <c r="B196">
        <v>232</v>
      </c>
      <c r="C196" s="25">
        <v>8</v>
      </c>
      <c r="D196" s="32" t="s">
        <v>207</v>
      </c>
      <c r="E196" s="125">
        <v>97.381103404750618</v>
      </c>
      <c r="F196" s="125">
        <f>INDEX('Revised 2018 Lockdown'!H$5:H$253,MATCH(B196,'Revised 2018 Lockdown'!B$5:B$253,0))</f>
        <v>97.380622566033892</v>
      </c>
      <c r="G196" s="125">
        <f t="shared" si="43"/>
        <v>4.808387167258843E-4</v>
      </c>
      <c r="H196" s="5">
        <v>101873.03</v>
      </c>
      <c r="I196" s="5">
        <f>INDEX('Revised 2018 Lockdown'!E$5:E$253,MATCH(B196,'Revised 2018 Lockdown'!B$5:B$253,0))</f>
        <v>101873.03</v>
      </c>
      <c r="J196" s="5">
        <f t="shared" si="44"/>
        <v>0</v>
      </c>
      <c r="K196" s="5">
        <v>0</v>
      </c>
      <c r="L196" s="5">
        <f>INDEX('Revised 2018 Lockdown'!F$5:F$253,MATCH(B196,'Revised 2018 Lockdown'!B$5:B$253,0))</f>
        <v>0</v>
      </c>
      <c r="M196" s="5">
        <f t="shared" si="45"/>
        <v>0</v>
      </c>
      <c r="N196" s="5">
        <v>101873.03</v>
      </c>
      <c r="O196" s="87">
        <f t="shared" si="46"/>
        <v>101873.03</v>
      </c>
      <c r="P196" s="87">
        <f t="shared" si="47"/>
        <v>0</v>
      </c>
      <c r="Q196" s="85">
        <f t="shared" si="48"/>
        <v>1046.1324575217191</v>
      </c>
      <c r="R196" s="6">
        <f t="shared" si="35"/>
        <v>1046.1324575217191</v>
      </c>
      <c r="S196" s="5">
        <f t="shared" si="49"/>
        <v>101873.03000000001</v>
      </c>
      <c r="T196" s="113">
        <v>0.27853571428571428</v>
      </c>
      <c r="U196" s="87">
        <f t="shared" si="36"/>
        <v>22412.827374194563</v>
      </c>
      <c r="V196" s="87">
        <f t="shared" si="37"/>
        <v>5504.2337047243791</v>
      </c>
      <c r="W196" s="87">
        <f t="shared" si="38"/>
        <v>1872.8318645501076</v>
      </c>
      <c r="X196" s="87">
        <f t="shared" si="39"/>
        <v>1276.3674325445713</v>
      </c>
      <c r="Y196" s="87">
        <f t="shared" si="40"/>
        <v>31066.260376013623</v>
      </c>
      <c r="Z196" s="91">
        <f t="shared" si="41"/>
        <v>0.30495078408891557</v>
      </c>
      <c r="AA196" s="86">
        <f t="shared" si="42"/>
        <v>31066.260376013623</v>
      </c>
      <c r="AB196" s="87"/>
      <c r="AC196" s="86">
        <v>31106.012861361993</v>
      </c>
      <c r="AD196" s="147">
        <f t="shared" si="50"/>
        <v>-39.752485348370101</v>
      </c>
      <c r="AE196" s="147">
        <v>-16.546845604378177</v>
      </c>
      <c r="AF196" s="147">
        <f t="shared" si="51"/>
        <v>-23.205639743991924</v>
      </c>
      <c r="AG196" s="86"/>
    </row>
    <row r="197" spans="2:33" x14ac:dyDescent="0.3">
      <c r="B197">
        <v>245</v>
      </c>
      <c r="C197" s="25">
        <v>8</v>
      </c>
      <c r="D197" s="32" t="s">
        <v>208</v>
      </c>
      <c r="E197" s="125">
        <v>182.45317762647645</v>
      </c>
      <c r="F197" s="125">
        <f>INDEX('Revised 2018 Lockdown'!H$5:H$253,MATCH(B197,'Revised 2018 Lockdown'!B$5:B$253,0))</f>
        <v>182.45227672734177</v>
      </c>
      <c r="G197" s="125">
        <f t="shared" si="43"/>
        <v>9.0089913467750193E-4</v>
      </c>
      <c r="H197" s="5">
        <v>620305.29</v>
      </c>
      <c r="I197" s="5">
        <f>INDEX('Revised 2018 Lockdown'!E$5:E$253,MATCH(B197,'Revised 2018 Lockdown'!B$5:B$253,0))</f>
        <v>620305.29</v>
      </c>
      <c r="J197" s="5">
        <f t="shared" si="44"/>
        <v>0</v>
      </c>
      <c r="K197" s="5">
        <v>0</v>
      </c>
      <c r="L197" s="5">
        <f>INDEX('Revised 2018 Lockdown'!F$5:F$253,MATCH(B197,'Revised 2018 Lockdown'!B$5:B$253,0))</f>
        <v>0</v>
      </c>
      <c r="M197" s="5">
        <f t="shared" si="45"/>
        <v>0</v>
      </c>
      <c r="N197" s="5">
        <v>620305.29</v>
      </c>
      <c r="O197" s="87">
        <f t="shared" si="46"/>
        <v>620305.29</v>
      </c>
      <c r="P197" s="87">
        <f t="shared" si="47"/>
        <v>0</v>
      </c>
      <c r="Q197" s="85">
        <f t="shared" si="48"/>
        <v>3399.8221404876713</v>
      </c>
      <c r="R197" s="6">
        <f t="shared" si="35"/>
        <v>1721.6726653359638</v>
      </c>
      <c r="S197" s="5">
        <f t="shared" si="49"/>
        <v>314123.09756977734</v>
      </c>
      <c r="T197" s="113">
        <v>0.61271428571428577</v>
      </c>
      <c r="U197" s="87">
        <f t="shared" si="36"/>
        <v>69109.427294728492</v>
      </c>
      <c r="V197" s="87">
        <f t="shared" si="37"/>
        <v>10312.729007101434</v>
      </c>
      <c r="W197" s="87">
        <f t="shared" si="38"/>
        <v>12703.300014303879</v>
      </c>
      <c r="X197" s="87">
        <f t="shared" si="39"/>
        <v>3935.6490284826564</v>
      </c>
      <c r="Y197" s="87">
        <f t="shared" si="40"/>
        <v>96061.105344616459</v>
      </c>
      <c r="Z197" s="91">
        <f t="shared" si="41"/>
        <v>0.30580720134175438</v>
      </c>
      <c r="AA197" s="86">
        <f t="shared" si="42"/>
        <v>96061.105344616459</v>
      </c>
      <c r="AB197" s="87"/>
      <c r="AC197" s="86">
        <v>95814.429057713176</v>
      </c>
      <c r="AD197" s="147">
        <f t="shared" si="50"/>
        <v>246.67628690328274</v>
      </c>
      <c r="AE197" s="147">
        <v>794.30260113766417</v>
      </c>
      <c r="AF197" s="147">
        <f t="shared" si="51"/>
        <v>-547.62631423438143</v>
      </c>
      <c r="AG197" s="86"/>
    </row>
    <row r="198" spans="2:33" x14ac:dyDescent="0.3">
      <c r="B198">
        <v>372</v>
      </c>
      <c r="C198" s="25">
        <v>8</v>
      </c>
      <c r="D198" s="32" t="s">
        <v>209</v>
      </c>
      <c r="E198" s="125">
        <v>120.44</v>
      </c>
      <c r="F198" s="125">
        <f>INDEX('Revised 2018 Lockdown'!H$5:H$253,MATCH(B198,'Revised 2018 Lockdown'!B$5:B$253,0))</f>
        <v>120.44</v>
      </c>
      <c r="G198" s="125">
        <f t="shared" si="43"/>
        <v>0</v>
      </c>
      <c r="H198" s="5">
        <v>83312.27</v>
      </c>
      <c r="I198" s="5">
        <f>INDEX('Revised 2018 Lockdown'!E$5:E$253,MATCH(B198,'Revised 2018 Lockdown'!B$5:B$253,0))</f>
        <v>83312.27</v>
      </c>
      <c r="J198" s="5">
        <f t="shared" si="44"/>
        <v>0</v>
      </c>
      <c r="K198" s="5">
        <v>0</v>
      </c>
      <c r="L198" s="5">
        <f>INDEX('Revised 2018 Lockdown'!F$5:F$253,MATCH(B198,'Revised 2018 Lockdown'!B$5:B$253,0))</f>
        <v>0</v>
      </c>
      <c r="M198" s="5">
        <f t="shared" si="45"/>
        <v>0</v>
      </c>
      <c r="N198" s="5">
        <v>83312.27</v>
      </c>
      <c r="O198" s="87">
        <f t="shared" si="46"/>
        <v>83312.27</v>
      </c>
      <c r="P198" s="87">
        <f t="shared" si="47"/>
        <v>0</v>
      </c>
      <c r="Q198" s="85">
        <f t="shared" si="48"/>
        <v>691.73256393224847</v>
      </c>
      <c r="R198" s="6">
        <f t="shared" si="35"/>
        <v>691.73256393224847</v>
      </c>
      <c r="S198" s="5">
        <f t="shared" si="49"/>
        <v>83312.27</v>
      </c>
      <c r="T198" s="113">
        <v>0.34667857142857139</v>
      </c>
      <c r="U198" s="87">
        <f t="shared" si="36"/>
        <v>18329.321564915546</v>
      </c>
      <c r="V198" s="87">
        <f t="shared" si="37"/>
        <v>6807.6162374857577</v>
      </c>
      <c r="W198" s="87">
        <f t="shared" si="38"/>
        <v>1906.3149046139483</v>
      </c>
      <c r="X198" s="87">
        <f t="shared" si="39"/>
        <v>1043.8196268370548</v>
      </c>
      <c r="Y198" s="87">
        <f t="shared" si="40"/>
        <v>28087.072333852309</v>
      </c>
      <c r="Z198" s="91">
        <f t="shared" si="41"/>
        <v>0.33713008100550262</v>
      </c>
      <c r="AA198" s="86">
        <f t="shared" si="42"/>
        <v>28087.072333852309</v>
      </c>
      <c r="AB198" s="87"/>
      <c r="AC198" s="86">
        <v>28119.706766796731</v>
      </c>
      <c r="AD198" s="147">
        <f t="shared" si="50"/>
        <v>-32.63443294442186</v>
      </c>
      <c r="AE198" s="147">
        <v>-13.156796197854419</v>
      </c>
      <c r="AF198" s="147">
        <f t="shared" si="51"/>
        <v>-19.477636746567441</v>
      </c>
      <c r="AG198" s="86"/>
    </row>
    <row r="199" spans="2:33" x14ac:dyDescent="0.3">
      <c r="B199">
        <v>375</v>
      </c>
      <c r="C199" s="33">
        <v>8</v>
      </c>
      <c r="D199" s="32" t="s">
        <v>210</v>
      </c>
      <c r="E199" s="125">
        <v>165.84</v>
      </c>
      <c r="F199" s="125">
        <f>INDEX('Revised 2018 Lockdown'!H$5:H$253,MATCH(B199,'Revised 2018 Lockdown'!B$5:B$253,0))</f>
        <v>165.84</v>
      </c>
      <c r="G199" s="125">
        <f t="shared" si="43"/>
        <v>0</v>
      </c>
      <c r="H199" s="5">
        <v>245447.76</v>
      </c>
      <c r="I199" s="5">
        <f>INDEX('Revised 2018 Lockdown'!E$5:E$253,MATCH(B199,'Revised 2018 Lockdown'!B$5:B$253,0))</f>
        <v>245447.76</v>
      </c>
      <c r="J199" s="5">
        <f t="shared" si="44"/>
        <v>0</v>
      </c>
      <c r="K199" s="5">
        <v>0</v>
      </c>
      <c r="L199" s="5">
        <f>INDEX('Revised 2018 Lockdown'!F$5:F$253,MATCH(B199,'Revised 2018 Lockdown'!B$5:B$253,0))</f>
        <v>0</v>
      </c>
      <c r="M199" s="5">
        <f t="shared" si="45"/>
        <v>0</v>
      </c>
      <c r="N199" s="5">
        <v>245447.76</v>
      </c>
      <c r="O199" s="87">
        <f t="shared" si="46"/>
        <v>245447.76</v>
      </c>
      <c r="P199" s="87">
        <f t="shared" si="47"/>
        <v>0</v>
      </c>
      <c r="Q199" s="85">
        <f t="shared" si="48"/>
        <v>1480.027496382055</v>
      </c>
      <c r="R199" s="6">
        <f t="shared" si="35"/>
        <v>1480.027496382055</v>
      </c>
      <c r="S199" s="5">
        <f t="shared" si="49"/>
        <v>245447.76</v>
      </c>
      <c r="T199" s="113">
        <v>0.41974702380952378</v>
      </c>
      <c r="U199" s="87">
        <f t="shared" si="36"/>
        <v>54000.340171120239</v>
      </c>
      <c r="V199" s="87">
        <f t="shared" si="37"/>
        <v>9373.7552044556469</v>
      </c>
      <c r="W199" s="87">
        <f t="shared" si="38"/>
        <v>6799.9446214588761</v>
      </c>
      <c r="X199" s="87">
        <f t="shared" si="39"/>
        <v>3075.2155624998695</v>
      </c>
      <c r="Y199" s="87">
        <f t="shared" si="40"/>
        <v>73249.255559534635</v>
      </c>
      <c r="Z199" s="91">
        <f t="shared" si="41"/>
        <v>0.298431142983479</v>
      </c>
      <c r="AA199" s="86">
        <f t="shared" si="42"/>
        <v>73249.255559534635</v>
      </c>
      <c r="AB199" s="87"/>
      <c r="AC199" s="86">
        <v>73349.226682058506</v>
      </c>
      <c r="AD199" s="147">
        <f t="shared" si="50"/>
        <v>-99.9711225238716</v>
      </c>
      <c r="AE199" s="147">
        <v>-42.389224926140741</v>
      </c>
      <c r="AF199" s="147">
        <f t="shared" si="51"/>
        <v>-57.581897597730858</v>
      </c>
      <c r="AG199" s="86"/>
    </row>
    <row r="200" spans="2:33" x14ac:dyDescent="0.3">
      <c r="B200">
        <v>404</v>
      </c>
      <c r="C200" s="25">
        <v>8</v>
      </c>
      <c r="D200" s="32" t="s">
        <v>211</v>
      </c>
      <c r="E200" s="125">
        <v>471.43130890795055</v>
      </c>
      <c r="F200" s="125">
        <f>INDEX('Revised 2018 Lockdown'!H$5:H$253,MATCH(B200,'Revised 2018 Lockdown'!B$5:B$253,0))</f>
        <v>471.42898112137107</v>
      </c>
      <c r="G200" s="125">
        <f t="shared" si="43"/>
        <v>2.3277865794852914E-3</v>
      </c>
      <c r="H200" s="5">
        <v>260768.05</v>
      </c>
      <c r="I200" s="5">
        <f>INDEX('Revised 2018 Lockdown'!E$5:E$253,MATCH(B200,'Revised 2018 Lockdown'!B$5:B$253,0))</f>
        <v>260768.05</v>
      </c>
      <c r="J200" s="5">
        <f t="shared" si="44"/>
        <v>0</v>
      </c>
      <c r="K200" s="5">
        <v>28484.19</v>
      </c>
      <c r="L200" s="5">
        <f>INDEX('Revised 2018 Lockdown'!F$5:F$253,MATCH(B200,'Revised 2018 Lockdown'!B$5:B$253,0))</f>
        <v>28484.19</v>
      </c>
      <c r="M200" s="5">
        <f t="shared" si="45"/>
        <v>0</v>
      </c>
      <c r="N200" s="5">
        <v>232283.86</v>
      </c>
      <c r="O200" s="87">
        <f t="shared" si="46"/>
        <v>232283.86</v>
      </c>
      <c r="P200" s="87">
        <f t="shared" si="47"/>
        <v>0</v>
      </c>
      <c r="Q200" s="85">
        <f t="shared" si="48"/>
        <v>492.72291119539312</v>
      </c>
      <c r="R200" s="6">
        <f t="shared" si="35"/>
        <v>492.72291119539312</v>
      </c>
      <c r="S200" s="5">
        <f t="shared" si="49"/>
        <v>232283.86</v>
      </c>
      <c r="T200" s="113">
        <v>0.3676875</v>
      </c>
      <c r="U200" s="87">
        <f t="shared" si="36"/>
        <v>51104.183864871564</v>
      </c>
      <c r="V200" s="87">
        <f t="shared" si="37"/>
        <v>26646.525960670977</v>
      </c>
      <c r="W200" s="87">
        <f t="shared" si="38"/>
        <v>5637.1108814444879</v>
      </c>
      <c r="X200" s="87">
        <f t="shared" si="39"/>
        <v>2910.2850284294336</v>
      </c>
      <c r="Y200" s="87">
        <f t="shared" si="40"/>
        <v>86298.105735416466</v>
      </c>
      <c r="Z200" s="91">
        <f t="shared" si="41"/>
        <v>0.3715200261241417</v>
      </c>
      <c r="AA200" s="86">
        <f t="shared" si="42"/>
        <v>86298.105735416466</v>
      </c>
      <c r="AB200" s="87"/>
      <c r="AC200" s="86">
        <v>86388.288388314191</v>
      </c>
      <c r="AD200" s="147">
        <f t="shared" si="50"/>
        <v>-90.182652897725347</v>
      </c>
      <c r="AE200" s="147">
        <v>-34.837367276457371</v>
      </c>
      <c r="AF200" s="147">
        <f t="shared" si="51"/>
        <v>-55.345285621267976</v>
      </c>
      <c r="AG200" s="86"/>
    </row>
    <row r="201" spans="2:33" x14ac:dyDescent="0.3">
      <c r="B201">
        <v>413</v>
      </c>
      <c r="C201" s="25">
        <v>8</v>
      </c>
      <c r="D201" s="32" t="s">
        <v>212</v>
      </c>
      <c r="E201" s="125">
        <v>73.969999999999985</v>
      </c>
      <c r="F201" s="125">
        <f>INDEX('Revised 2018 Lockdown'!H$5:H$253,MATCH(B201,'Revised 2018 Lockdown'!B$5:B$253,0))</f>
        <v>73.969999999999985</v>
      </c>
      <c r="G201" s="125">
        <f t="shared" si="43"/>
        <v>0</v>
      </c>
      <c r="H201" s="5">
        <v>59936.91</v>
      </c>
      <c r="I201" s="5">
        <f>INDEX('Revised 2018 Lockdown'!E$5:E$253,MATCH(B201,'Revised 2018 Lockdown'!B$5:B$253,0))</f>
        <v>59936.91</v>
      </c>
      <c r="J201" s="5">
        <f t="shared" si="44"/>
        <v>0</v>
      </c>
      <c r="K201" s="5">
        <v>95</v>
      </c>
      <c r="L201" s="5">
        <f>INDEX('Revised 2018 Lockdown'!F$5:F$253,MATCH(B201,'Revised 2018 Lockdown'!B$5:B$253,0))</f>
        <v>95</v>
      </c>
      <c r="M201" s="5">
        <f t="shared" si="45"/>
        <v>0</v>
      </c>
      <c r="N201" s="5">
        <v>59841.91</v>
      </c>
      <c r="O201" s="87">
        <f t="shared" si="46"/>
        <v>59841.91</v>
      </c>
      <c r="P201" s="87">
        <f t="shared" si="47"/>
        <v>0</v>
      </c>
      <c r="Q201" s="85">
        <f t="shared" si="48"/>
        <v>809.00243341895384</v>
      </c>
      <c r="R201" s="6">
        <f t="shared" si="35"/>
        <v>809.00243341895384</v>
      </c>
      <c r="S201" s="5">
        <f t="shared" si="49"/>
        <v>59841.91</v>
      </c>
      <c r="T201" s="113">
        <v>0.46349404761904761</v>
      </c>
      <c r="U201" s="87">
        <f t="shared" si="36"/>
        <v>13165.667091398846</v>
      </c>
      <c r="V201" s="87">
        <f t="shared" si="37"/>
        <v>4180.9977838493969</v>
      </c>
      <c r="W201" s="87">
        <f t="shared" si="38"/>
        <v>1830.6624989392033</v>
      </c>
      <c r="X201" s="87">
        <f t="shared" si="39"/>
        <v>749.75943117882423</v>
      </c>
      <c r="Y201" s="87">
        <f t="shared" si="40"/>
        <v>19927.086805366271</v>
      </c>
      <c r="Z201" s="91">
        <f t="shared" si="41"/>
        <v>0.33299550106883735</v>
      </c>
      <c r="AA201" s="86">
        <f t="shared" si="42"/>
        <v>19927.086805366271</v>
      </c>
      <c r="AB201" s="87"/>
      <c r="AC201" s="86">
        <v>19951.372490657635</v>
      </c>
      <c r="AD201" s="147">
        <f t="shared" si="50"/>
        <v>-24.285685291364643</v>
      </c>
      <c r="AE201" s="147">
        <v>-9.9388117731723469</v>
      </c>
      <c r="AF201" s="147">
        <f t="shared" si="51"/>
        <v>-14.346873518192297</v>
      </c>
      <c r="AG201" s="86"/>
    </row>
    <row r="202" spans="2:33" x14ac:dyDescent="0.3">
      <c r="B202">
        <v>537</v>
      </c>
      <c r="C202" s="25">
        <v>8</v>
      </c>
      <c r="D202" s="32" t="s">
        <v>213</v>
      </c>
      <c r="E202" s="125">
        <v>21.43637439455869</v>
      </c>
      <c r="F202" s="125">
        <f>INDEX('Revised 2018 Lockdown'!H$5:H$253,MATCH(B202,'Revised 2018 Lockdown'!B$5:B$253,0))</f>
        <v>21.43637439455869</v>
      </c>
      <c r="G202" s="125">
        <f t="shared" si="43"/>
        <v>0</v>
      </c>
      <c r="H202" s="5">
        <v>7779.28</v>
      </c>
      <c r="I202" s="5">
        <f>INDEX('Revised 2018 Lockdown'!E$5:E$253,MATCH(B202,'Revised 2018 Lockdown'!B$5:B$253,0))</f>
        <v>7779.28</v>
      </c>
      <c r="J202" s="5">
        <f t="shared" si="44"/>
        <v>0</v>
      </c>
      <c r="K202" s="5">
        <v>0</v>
      </c>
      <c r="L202" s="5">
        <f>INDEX('Revised 2018 Lockdown'!F$5:F$253,MATCH(B202,'Revised 2018 Lockdown'!B$5:B$253,0))</f>
        <v>0</v>
      </c>
      <c r="M202" s="5">
        <f t="shared" si="45"/>
        <v>0</v>
      </c>
      <c r="N202" s="5">
        <v>7779.28</v>
      </c>
      <c r="O202" s="87">
        <f t="shared" si="46"/>
        <v>7779.28</v>
      </c>
      <c r="P202" s="87">
        <f t="shared" si="47"/>
        <v>0</v>
      </c>
      <c r="Q202" s="85">
        <f t="shared" si="48"/>
        <v>362.90092050149377</v>
      </c>
      <c r="R202" s="6">
        <f t="shared" si="35"/>
        <v>362.90092050149377</v>
      </c>
      <c r="S202" s="5">
        <f t="shared" si="49"/>
        <v>7779.28</v>
      </c>
      <c r="T202" s="113">
        <v>0.50063690476190481</v>
      </c>
      <c r="U202" s="87">
        <f t="shared" si="36"/>
        <v>1711.4996946250078</v>
      </c>
      <c r="V202" s="87">
        <f t="shared" si="37"/>
        <v>1211.645719040366</v>
      </c>
      <c r="W202" s="87">
        <f t="shared" si="38"/>
        <v>257.05197288540273</v>
      </c>
      <c r="X202" s="87">
        <f t="shared" si="39"/>
        <v>97.466617422151188</v>
      </c>
      <c r="Y202" s="87">
        <f t="shared" si="40"/>
        <v>3277.6640039729277</v>
      </c>
      <c r="Z202" s="91">
        <f t="shared" si="41"/>
        <v>0.42133256599234475</v>
      </c>
      <c r="AA202" s="86">
        <f t="shared" si="42"/>
        <v>3277.6640039729277</v>
      </c>
      <c r="AB202" s="87"/>
      <c r="AC202" s="86">
        <v>3280.7254905185996</v>
      </c>
      <c r="AD202" s="147">
        <f t="shared" si="50"/>
        <v>-3.061486545671869</v>
      </c>
      <c r="AE202" s="147">
        <v>-1.1253770007492676</v>
      </c>
      <c r="AF202" s="147">
        <f t="shared" si="51"/>
        <v>-1.9361095449226013</v>
      </c>
      <c r="AG202" s="86"/>
    </row>
    <row r="203" spans="2:33" x14ac:dyDescent="0.3">
      <c r="B203">
        <v>545</v>
      </c>
      <c r="C203" s="25">
        <v>8</v>
      </c>
      <c r="D203" s="32" t="s">
        <v>214</v>
      </c>
      <c r="E203" s="125">
        <v>14.770835019629734</v>
      </c>
      <c r="F203" s="125">
        <f>INDEX('Revised 2018 Lockdown'!H$5:H$253,MATCH(B203,'Revised 2018 Lockdown'!B$5:B$253,0))</f>
        <v>14.770762085671219</v>
      </c>
      <c r="G203" s="125">
        <f t="shared" si="43"/>
        <v>7.2933958515264408E-5</v>
      </c>
      <c r="H203" s="5">
        <v>6792.3</v>
      </c>
      <c r="I203" s="5">
        <f>INDEX('Revised 2018 Lockdown'!E$5:E$253,MATCH(B203,'Revised 2018 Lockdown'!B$5:B$253,0))</f>
        <v>6792.3</v>
      </c>
      <c r="J203" s="5">
        <f t="shared" si="44"/>
        <v>0</v>
      </c>
      <c r="K203" s="5">
        <v>0</v>
      </c>
      <c r="L203" s="5">
        <f>INDEX('Revised 2018 Lockdown'!F$5:F$253,MATCH(B203,'Revised 2018 Lockdown'!B$5:B$253,0))</f>
        <v>0</v>
      </c>
      <c r="M203" s="5">
        <f t="shared" si="45"/>
        <v>0</v>
      </c>
      <c r="N203" s="5">
        <v>6792.3</v>
      </c>
      <c r="O203" s="87">
        <f t="shared" si="46"/>
        <v>6792.3</v>
      </c>
      <c r="P203" s="87">
        <f t="shared" si="47"/>
        <v>0</v>
      </c>
      <c r="Q203" s="85">
        <f t="shared" si="48"/>
        <v>459.84763417109372</v>
      </c>
      <c r="R203" s="6">
        <f t="shared" si="35"/>
        <v>459.84763417109372</v>
      </c>
      <c r="S203" s="5">
        <f t="shared" si="49"/>
        <v>6792.3</v>
      </c>
      <c r="T203" s="113">
        <v>0.55693238095238096</v>
      </c>
      <c r="U203" s="87">
        <f t="shared" si="36"/>
        <v>1494.356723990066</v>
      </c>
      <c r="V203" s="87">
        <f t="shared" si="37"/>
        <v>834.88608281679171</v>
      </c>
      <c r="W203" s="87">
        <f t="shared" si="38"/>
        <v>249.67669448519621</v>
      </c>
      <c r="X203" s="87">
        <f t="shared" si="39"/>
        <v>85.10074268010375</v>
      </c>
      <c r="Y203" s="87">
        <f t="shared" si="40"/>
        <v>2664.0202439721575</v>
      </c>
      <c r="Z203" s="91">
        <f t="shared" si="41"/>
        <v>0.39221180512818299</v>
      </c>
      <c r="AA203" s="86">
        <f t="shared" si="42"/>
        <v>2664.0202439721575</v>
      </c>
      <c r="AB203" s="87"/>
      <c r="AC203" s="86">
        <v>2666.7781274478916</v>
      </c>
      <c r="AD203" s="147">
        <f t="shared" si="50"/>
        <v>-2.757883475734161</v>
      </c>
      <c r="AE203" s="147">
        <v>-1.0586780622370497</v>
      </c>
      <c r="AF203" s="147">
        <f t="shared" si="51"/>
        <v>-1.6992054134971113</v>
      </c>
      <c r="AG203" s="86"/>
    </row>
    <row r="204" spans="2:33" x14ac:dyDescent="0.3">
      <c r="B204">
        <v>602</v>
      </c>
      <c r="C204" s="25">
        <v>8</v>
      </c>
      <c r="D204" s="32" t="s">
        <v>215</v>
      </c>
      <c r="E204" s="125">
        <v>12.767721505092435</v>
      </c>
      <c r="F204" s="125">
        <f>INDEX('Revised 2018 Lockdown'!H$5:H$253,MATCH(B204,'Revised 2018 Lockdown'!B$5:B$253,0))</f>
        <v>19.642035020014156</v>
      </c>
      <c r="G204" s="125">
        <f t="shared" si="43"/>
        <v>-6.8743135149217203</v>
      </c>
      <c r="H204" s="5">
        <v>15846.15</v>
      </c>
      <c r="I204" s="5">
        <f>INDEX('Revised 2018 Lockdown'!E$5:E$253,MATCH(B204,'Revised 2018 Lockdown'!B$5:B$253,0))</f>
        <v>28173.42</v>
      </c>
      <c r="J204" s="5">
        <f t="shared" si="44"/>
        <v>-12327.269999999999</v>
      </c>
      <c r="K204" s="5">
        <v>0</v>
      </c>
      <c r="L204" s="5">
        <f>INDEX('Revised 2018 Lockdown'!F$5:F$253,MATCH(B204,'Revised 2018 Lockdown'!B$5:B$253,0))</f>
        <v>0</v>
      </c>
      <c r="M204" s="5">
        <f t="shared" si="45"/>
        <v>0</v>
      </c>
      <c r="N204" s="5">
        <v>15846.15</v>
      </c>
      <c r="O204" s="87">
        <f t="shared" si="46"/>
        <v>28173.42</v>
      </c>
      <c r="P204" s="87">
        <f t="shared" si="47"/>
        <v>-12327.269999999999</v>
      </c>
      <c r="Q204" s="85">
        <f t="shared" si="48"/>
        <v>1434.3432323225586</v>
      </c>
      <c r="R204" s="6">
        <f t="shared" si="35"/>
        <v>1434.3432323225586</v>
      </c>
      <c r="S204" s="5">
        <f t="shared" si="49"/>
        <v>28173.419999999995</v>
      </c>
      <c r="T204" s="113">
        <v>0.611375</v>
      </c>
      <c r="U204" s="87">
        <f t="shared" si="36"/>
        <v>6198.3627953412242</v>
      </c>
      <c r="V204" s="87">
        <f t="shared" si="37"/>
        <v>1110.224481397478</v>
      </c>
      <c r="W204" s="87">
        <f t="shared" si="38"/>
        <v>1136.8572162005223</v>
      </c>
      <c r="X204" s="87">
        <f t="shared" si="39"/>
        <v>352.98484546302257</v>
      </c>
      <c r="Y204" s="87">
        <f t="shared" si="40"/>
        <v>8798.4293384022476</v>
      </c>
      <c r="Z204" s="91">
        <f t="shared" si="41"/>
        <v>0.31229539539048684</v>
      </c>
      <c r="AA204" s="86">
        <f t="shared" si="42"/>
        <v>8798.4293384022476</v>
      </c>
      <c r="AB204" s="87"/>
      <c r="AC204" s="86">
        <v>5052.6437223440062</v>
      </c>
      <c r="AD204" s="147">
        <f t="shared" si="50"/>
        <v>3745.7856160582414</v>
      </c>
      <c r="AE204" s="147">
        <v>3752.7173055511721</v>
      </c>
      <c r="AF204" s="147">
        <f t="shared" si="51"/>
        <v>-6.9316894929306727</v>
      </c>
      <c r="AG204" s="86"/>
    </row>
    <row r="205" spans="2:33" x14ac:dyDescent="0.3">
      <c r="B205">
        <v>605</v>
      </c>
      <c r="C205" s="25">
        <v>8</v>
      </c>
      <c r="D205" s="32" t="s">
        <v>216</v>
      </c>
      <c r="E205" s="125">
        <v>10.431092897352221</v>
      </c>
      <c r="F205" s="125">
        <f>INDEX('Revised 2018 Lockdown'!H$5:H$253,MATCH(B205,'Revised 2018 Lockdown'!B$5:B$253,0))</f>
        <v>10.431092897352221</v>
      </c>
      <c r="G205" s="125">
        <f t="shared" si="43"/>
        <v>0</v>
      </c>
      <c r="H205" s="5">
        <v>7392.31</v>
      </c>
      <c r="I205" s="5">
        <f>INDEX('Revised 2018 Lockdown'!E$5:E$253,MATCH(B205,'Revised 2018 Lockdown'!B$5:B$253,0))</f>
        <v>7392.31</v>
      </c>
      <c r="J205" s="5">
        <f t="shared" si="44"/>
        <v>0</v>
      </c>
      <c r="K205" s="5">
        <v>0</v>
      </c>
      <c r="L205" s="5">
        <f>INDEX('Revised 2018 Lockdown'!F$5:F$253,MATCH(B205,'Revised 2018 Lockdown'!B$5:B$253,0))</f>
        <v>0</v>
      </c>
      <c r="M205" s="5">
        <f t="shared" si="45"/>
        <v>0</v>
      </c>
      <c r="N205" s="5">
        <v>7392.31</v>
      </c>
      <c r="O205" s="87">
        <f t="shared" si="46"/>
        <v>7392.31</v>
      </c>
      <c r="P205" s="87">
        <f t="shared" si="47"/>
        <v>0</v>
      </c>
      <c r="Q205" s="85">
        <f t="shared" si="48"/>
        <v>708.68029579876804</v>
      </c>
      <c r="R205" s="6">
        <f t="shared" si="35"/>
        <v>708.68029579876804</v>
      </c>
      <c r="S205" s="5">
        <f t="shared" si="49"/>
        <v>7392.31</v>
      </c>
      <c r="T205" s="113">
        <v>0.30421428571428571</v>
      </c>
      <c r="U205" s="87">
        <f t="shared" si="36"/>
        <v>1626.3634047846836</v>
      </c>
      <c r="V205" s="87">
        <f t="shared" si="37"/>
        <v>589.59546149732103</v>
      </c>
      <c r="W205" s="87">
        <f t="shared" si="38"/>
        <v>148.42889444952786</v>
      </c>
      <c r="X205" s="87">
        <f t="shared" si="39"/>
        <v>92.618269381734876</v>
      </c>
      <c r="Y205" s="87">
        <f t="shared" si="40"/>
        <v>2457.0060301132676</v>
      </c>
      <c r="Z205" s="91">
        <f t="shared" si="41"/>
        <v>0.33237324058559065</v>
      </c>
      <c r="AA205" s="86">
        <f t="shared" si="42"/>
        <v>2457.0060301132676</v>
      </c>
      <c r="AB205" s="87"/>
      <c r="AC205" s="86">
        <v>2459.8724077570209</v>
      </c>
      <c r="AD205" s="147">
        <f t="shared" si="50"/>
        <v>-2.866377643753367</v>
      </c>
      <c r="AE205" s="147">
        <v>-1.1578650733263203</v>
      </c>
      <c r="AF205" s="147">
        <f t="shared" si="51"/>
        <v>-1.7085125704270467</v>
      </c>
      <c r="AG205" s="86"/>
    </row>
    <row r="206" spans="2:33" x14ac:dyDescent="0.3">
      <c r="B206">
        <v>607</v>
      </c>
      <c r="C206" s="25">
        <v>8</v>
      </c>
      <c r="D206" s="32" t="s">
        <v>217</v>
      </c>
      <c r="E206" s="125">
        <v>15.646639346028332</v>
      </c>
      <c r="F206" s="125">
        <f>INDEX('Revised 2018 Lockdown'!H$5:H$253,MATCH(B206,'Revised 2018 Lockdown'!B$5:B$253,0))</f>
        <v>15.646639346028332</v>
      </c>
      <c r="G206" s="125">
        <f t="shared" si="43"/>
        <v>0</v>
      </c>
      <c r="H206" s="5">
        <v>11273.44</v>
      </c>
      <c r="I206" s="5">
        <f>INDEX('Revised 2018 Lockdown'!E$5:E$253,MATCH(B206,'Revised 2018 Lockdown'!B$5:B$253,0))</f>
        <v>11273.44</v>
      </c>
      <c r="J206" s="5">
        <f t="shared" si="44"/>
        <v>0</v>
      </c>
      <c r="K206" s="5">
        <v>0</v>
      </c>
      <c r="L206" s="5">
        <f>INDEX('Revised 2018 Lockdown'!F$5:F$253,MATCH(B206,'Revised 2018 Lockdown'!B$5:B$253,0))</f>
        <v>0</v>
      </c>
      <c r="M206" s="5">
        <f t="shared" si="45"/>
        <v>0</v>
      </c>
      <c r="N206" s="5">
        <v>11273.44</v>
      </c>
      <c r="O206" s="87">
        <f t="shared" si="46"/>
        <v>11273.44</v>
      </c>
      <c r="P206" s="87">
        <f t="shared" si="47"/>
        <v>0</v>
      </c>
      <c r="Q206" s="85">
        <f t="shared" si="48"/>
        <v>720.50232325841887</v>
      </c>
      <c r="R206" s="6">
        <f t="shared" si="35"/>
        <v>720.50232325841887</v>
      </c>
      <c r="S206" s="5">
        <f t="shared" si="49"/>
        <v>11273.44</v>
      </c>
      <c r="T206" s="113">
        <v>0.26264285714285712</v>
      </c>
      <c r="U206" s="87">
        <f t="shared" si="36"/>
        <v>2480.2409885456432</v>
      </c>
      <c r="V206" s="87">
        <f t="shared" si="37"/>
        <v>884.39319224598137</v>
      </c>
      <c r="W206" s="87">
        <f t="shared" si="38"/>
        <v>195.4252738903356</v>
      </c>
      <c r="X206" s="87">
        <f t="shared" si="39"/>
        <v>141.24495628278919</v>
      </c>
      <c r="Y206" s="87">
        <f t="shared" si="40"/>
        <v>3701.3044109647494</v>
      </c>
      <c r="Z206" s="91">
        <f t="shared" si="41"/>
        <v>0.32832076198256693</v>
      </c>
      <c r="AA206" s="86">
        <f t="shared" si="42"/>
        <v>3701.3044109647494</v>
      </c>
      <c r="AB206" s="87"/>
      <c r="AC206" s="86">
        <v>3705.6307124318323</v>
      </c>
      <c r="AD206" s="147">
        <f t="shared" si="50"/>
        <v>-4.3263014670828852</v>
      </c>
      <c r="AE206" s="147">
        <v>-1.7497033961558373</v>
      </c>
      <c r="AF206" s="147">
        <f t="shared" si="51"/>
        <v>-2.576598070927048</v>
      </c>
      <c r="AG206" s="86"/>
    </row>
    <row r="207" spans="2:33" x14ac:dyDescent="0.3">
      <c r="B207">
        <v>610</v>
      </c>
      <c r="C207" s="25">
        <v>8</v>
      </c>
      <c r="D207" s="32" t="s">
        <v>218</v>
      </c>
      <c r="E207" s="125">
        <v>73.259013247540878</v>
      </c>
      <c r="F207" s="125">
        <f>INDEX('Revised 2018 Lockdown'!H$5:H$253,MATCH(B207,'Revised 2018 Lockdown'!B$5:B$253,0))</f>
        <v>73.258651516479233</v>
      </c>
      <c r="G207" s="125">
        <f t="shared" si="43"/>
        <v>3.6173106164483215E-4</v>
      </c>
      <c r="H207" s="5">
        <v>31778.68</v>
      </c>
      <c r="I207" s="5">
        <f>INDEX('Revised 2018 Lockdown'!E$5:E$253,MATCH(B207,'Revised 2018 Lockdown'!B$5:B$253,0))</f>
        <v>31778.68</v>
      </c>
      <c r="J207" s="5">
        <f t="shared" si="44"/>
        <v>0</v>
      </c>
      <c r="K207" s="5">
        <v>0</v>
      </c>
      <c r="L207" s="5">
        <f>INDEX('Revised 2018 Lockdown'!F$5:F$253,MATCH(B207,'Revised 2018 Lockdown'!B$5:B$253,0))</f>
        <v>0</v>
      </c>
      <c r="M207" s="5">
        <f t="shared" si="45"/>
        <v>0</v>
      </c>
      <c r="N207" s="5">
        <v>31778.68</v>
      </c>
      <c r="O207" s="87">
        <f t="shared" si="46"/>
        <v>31778.68</v>
      </c>
      <c r="P207" s="87">
        <f t="shared" si="47"/>
        <v>0</v>
      </c>
      <c r="Q207" s="85">
        <f t="shared" si="48"/>
        <v>433.78740042534793</v>
      </c>
      <c r="R207" s="6">
        <f t="shared" si="35"/>
        <v>433.78740042534793</v>
      </c>
      <c r="S207" s="5">
        <f t="shared" si="49"/>
        <v>31778.68</v>
      </c>
      <c r="T207" s="113">
        <v>0.24982738095238097</v>
      </c>
      <c r="U207" s="87">
        <f t="shared" si="36"/>
        <v>6991.5469189418363</v>
      </c>
      <c r="V207" s="87">
        <f t="shared" si="37"/>
        <v>4140.7903155089225</v>
      </c>
      <c r="W207" s="87">
        <f t="shared" si="38"/>
        <v>524.00395666947816</v>
      </c>
      <c r="X207" s="87">
        <f t="shared" si="39"/>
        <v>398.15515648504328</v>
      </c>
      <c r="Y207" s="87">
        <f t="shared" si="40"/>
        <v>12054.49634760528</v>
      </c>
      <c r="Z207" s="91">
        <f t="shared" si="41"/>
        <v>0.37932652796167998</v>
      </c>
      <c r="AA207" s="86">
        <f t="shared" si="42"/>
        <v>12054.49634760528</v>
      </c>
      <c r="AB207" s="87"/>
      <c r="AC207" s="86">
        <v>12066.362356745711</v>
      </c>
      <c r="AD207" s="147">
        <f t="shared" si="50"/>
        <v>-11.866009140430833</v>
      </c>
      <c r="AE207" s="147">
        <v>-4.4734144900394313</v>
      </c>
      <c r="AF207" s="147">
        <f t="shared" si="51"/>
        <v>-7.392594650391402</v>
      </c>
      <c r="AG207" s="86"/>
    </row>
    <row r="208" spans="2:33" x14ac:dyDescent="0.3">
      <c r="B208">
        <v>611</v>
      </c>
      <c r="C208" s="25">
        <v>8</v>
      </c>
      <c r="D208" s="32" t="s">
        <v>219</v>
      </c>
      <c r="E208" s="125">
        <v>19.550165032086241</v>
      </c>
      <c r="F208" s="125">
        <f>INDEX('Revised 2018 Lockdown'!H$5:H$253,MATCH(B208,'Revised 2018 Lockdown'!B$5:B$253,0))</f>
        <v>19.550068499227841</v>
      </c>
      <c r="G208" s="125">
        <f t="shared" si="43"/>
        <v>9.6532858400166788E-5</v>
      </c>
      <c r="H208" s="5">
        <v>31143.71</v>
      </c>
      <c r="I208" s="5">
        <f>INDEX('Revised 2018 Lockdown'!E$5:E$253,MATCH(B208,'Revised 2018 Lockdown'!B$5:B$253,0))</f>
        <v>31143.71</v>
      </c>
      <c r="J208" s="5">
        <f t="shared" si="44"/>
        <v>0</v>
      </c>
      <c r="K208" s="5">
        <v>0</v>
      </c>
      <c r="L208" s="5">
        <f>INDEX('Revised 2018 Lockdown'!F$5:F$253,MATCH(B208,'Revised 2018 Lockdown'!B$5:B$253,0))</f>
        <v>0</v>
      </c>
      <c r="M208" s="5">
        <f t="shared" si="45"/>
        <v>0</v>
      </c>
      <c r="N208" s="5">
        <v>31143.71</v>
      </c>
      <c r="O208" s="87">
        <f t="shared" si="46"/>
        <v>31143.71</v>
      </c>
      <c r="P208" s="87">
        <f t="shared" si="47"/>
        <v>0</v>
      </c>
      <c r="Q208" s="85">
        <f t="shared" si="48"/>
        <v>1593.0230628721361</v>
      </c>
      <c r="R208" s="6">
        <f t="shared" si="35"/>
        <v>1593.0230628721361</v>
      </c>
      <c r="S208" s="5">
        <f t="shared" si="49"/>
        <v>31143.71</v>
      </c>
      <c r="T208" s="113">
        <v>0.53668749999999998</v>
      </c>
      <c r="U208" s="87">
        <f t="shared" si="36"/>
        <v>6851.8487770706033</v>
      </c>
      <c r="V208" s="87">
        <f t="shared" si="37"/>
        <v>1105.0262683435924</v>
      </c>
      <c r="W208" s="87">
        <f t="shared" si="38"/>
        <v>1103.1904771632237</v>
      </c>
      <c r="X208" s="87">
        <f t="shared" si="39"/>
        <v>390.1996158611625</v>
      </c>
      <c r="Y208" s="87">
        <f t="shared" si="40"/>
        <v>9450.2651384385808</v>
      </c>
      <c r="Z208" s="91">
        <f t="shared" si="41"/>
        <v>0.30344057077459885</v>
      </c>
      <c r="AA208" s="86">
        <f t="shared" si="42"/>
        <v>9450.2651384385808</v>
      </c>
      <c r="AB208" s="87"/>
      <c r="AC208" s="86">
        <v>9463.3423166646135</v>
      </c>
      <c r="AD208" s="147">
        <f t="shared" si="50"/>
        <v>-13.077178226032629</v>
      </c>
      <c r="AE208" s="147">
        <v>-5.5567400934323814</v>
      </c>
      <c r="AF208" s="147">
        <f t="shared" si="51"/>
        <v>-7.5204381326002476</v>
      </c>
      <c r="AG208" s="86"/>
    </row>
    <row r="209" spans="2:33" x14ac:dyDescent="0.3">
      <c r="B209">
        <v>616</v>
      </c>
      <c r="C209" s="25">
        <v>8</v>
      </c>
      <c r="D209" s="32" t="s">
        <v>220</v>
      </c>
      <c r="E209" s="125">
        <v>186.85</v>
      </c>
      <c r="F209" s="125">
        <f>INDEX('Revised 2018 Lockdown'!H$5:H$253,MATCH(B209,'Revised 2018 Lockdown'!B$5:B$253,0))</f>
        <v>186.85</v>
      </c>
      <c r="G209" s="125">
        <f t="shared" si="43"/>
        <v>0</v>
      </c>
      <c r="H209" s="5">
        <v>256312.37</v>
      </c>
      <c r="I209" s="5">
        <f>INDEX('Revised 2018 Lockdown'!E$5:E$253,MATCH(B209,'Revised 2018 Lockdown'!B$5:B$253,0))</f>
        <v>256312.37</v>
      </c>
      <c r="J209" s="5">
        <f t="shared" si="44"/>
        <v>0</v>
      </c>
      <c r="K209" s="5">
        <v>0</v>
      </c>
      <c r="L209" s="5">
        <f>INDEX('Revised 2018 Lockdown'!F$5:F$253,MATCH(B209,'Revised 2018 Lockdown'!B$5:B$253,0))</f>
        <v>0</v>
      </c>
      <c r="M209" s="5">
        <f t="shared" si="45"/>
        <v>0</v>
      </c>
      <c r="N209" s="5">
        <v>256312.37</v>
      </c>
      <c r="O209" s="87">
        <f t="shared" si="46"/>
        <v>256312.37</v>
      </c>
      <c r="P209" s="87">
        <f t="shared" si="47"/>
        <v>0</v>
      </c>
      <c r="Q209" s="85">
        <f t="shared" si="48"/>
        <v>1371.7547230398716</v>
      </c>
      <c r="R209" s="6">
        <f t="shared" si="35"/>
        <v>1371.7547230398716</v>
      </c>
      <c r="S209" s="5">
        <f t="shared" si="49"/>
        <v>256312.37</v>
      </c>
      <c r="T209" s="113">
        <v>0.43639285714285708</v>
      </c>
      <c r="U209" s="87">
        <f t="shared" si="36"/>
        <v>56390.635506577994</v>
      </c>
      <c r="V209" s="87">
        <f t="shared" si="37"/>
        <v>10561.301012738408</v>
      </c>
      <c r="W209" s="87">
        <f t="shared" si="38"/>
        <v>7382.5411634451029</v>
      </c>
      <c r="X209" s="87">
        <f t="shared" si="39"/>
        <v>3211.3382867508126</v>
      </c>
      <c r="Y209" s="87">
        <f t="shared" si="40"/>
        <v>77545.815969512318</v>
      </c>
      <c r="Z209" s="91">
        <f t="shared" si="41"/>
        <v>0.3025441806398666</v>
      </c>
      <c r="AA209" s="86">
        <f t="shared" si="42"/>
        <v>77545.815969512318</v>
      </c>
      <c r="AB209" s="87"/>
      <c r="AC209" s="86">
        <v>77650.502388528956</v>
      </c>
      <c r="AD209" s="147">
        <f t="shared" si="50"/>
        <v>-104.68641901663796</v>
      </c>
      <c r="AE209" s="147">
        <v>-44.240836319324444</v>
      </c>
      <c r="AF209" s="147">
        <f t="shared" si="51"/>
        <v>-60.445582697313512</v>
      </c>
      <c r="AG209" s="86"/>
    </row>
    <row r="210" spans="2:33" x14ac:dyDescent="0.3">
      <c r="B210">
        <v>637</v>
      </c>
      <c r="C210" s="33">
        <v>8</v>
      </c>
      <c r="D210" s="32" t="s">
        <v>295</v>
      </c>
      <c r="E210" s="125">
        <v>2.2728298744230755</v>
      </c>
      <c r="F210" s="125">
        <f>INDEX('Revised 2018 Lockdown'!H$5:H$253,MATCH(B210,'Revised 2018 Lockdown'!B$5:B$253,0))</f>
        <v>2.2728298744230755</v>
      </c>
      <c r="G210" s="125">
        <f t="shared" si="43"/>
        <v>0</v>
      </c>
      <c r="H210" s="5">
        <v>7158.52</v>
      </c>
      <c r="I210" s="5">
        <f>INDEX('Revised 2018 Lockdown'!E$5:E$253,MATCH(B210,'Revised 2018 Lockdown'!B$5:B$253,0))</f>
        <v>7158.52</v>
      </c>
      <c r="J210" s="5">
        <f t="shared" si="44"/>
        <v>0</v>
      </c>
      <c r="K210" s="5">
        <v>0</v>
      </c>
      <c r="L210" s="5">
        <f>INDEX('Revised 2018 Lockdown'!F$5:F$253,MATCH(B210,'Revised 2018 Lockdown'!B$5:B$253,0))</f>
        <v>0</v>
      </c>
      <c r="M210" s="5">
        <f t="shared" si="45"/>
        <v>0</v>
      </c>
      <c r="N210" s="5">
        <v>7158.52</v>
      </c>
      <c r="O210" s="87">
        <f t="shared" si="46"/>
        <v>7158.52</v>
      </c>
      <c r="P210" s="87">
        <f t="shared" si="47"/>
        <v>0</v>
      </c>
      <c r="Q210" s="85">
        <f t="shared" si="48"/>
        <v>3149.6066118090275</v>
      </c>
      <c r="R210" s="6">
        <f t="shared" si="35"/>
        <v>1721.6726653359638</v>
      </c>
      <c r="S210" s="5">
        <f t="shared" si="49"/>
        <v>3913.0690677531802</v>
      </c>
      <c r="T210" s="113">
        <v>0.19537500000000002</v>
      </c>
      <c r="U210" s="87">
        <f t="shared" si="36"/>
        <v>860.90441718335535</v>
      </c>
      <c r="V210" s="87">
        <f t="shared" si="37"/>
        <v>128.46690101432449</v>
      </c>
      <c r="W210" s="87">
        <f t="shared" si="38"/>
        <v>50.459760152159419</v>
      </c>
      <c r="X210" s="87">
        <f t="shared" si="39"/>
        <v>49.026851556076274</v>
      </c>
      <c r="Y210" s="87">
        <f t="shared" si="40"/>
        <v>1088.8579299059154</v>
      </c>
      <c r="Z210" s="91">
        <f t="shared" si="41"/>
        <v>0.27826187349438219</v>
      </c>
      <c r="AA210" s="86">
        <f t="shared" si="42"/>
        <v>1088.8579299059154</v>
      </c>
      <c r="AB210" s="87"/>
      <c r="AC210" s="86">
        <v>1086.0924021110336</v>
      </c>
      <c r="AD210" s="147">
        <f t="shared" si="50"/>
        <v>2.7655277948817911</v>
      </c>
      <c r="AE210" s="147">
        <v>8.8939943173709253</v>
      </c>
      <c r="AF210" s="147">
        <f t="shared" si="51"/>
        <v>-6.1284665224891341</v>
      </c>
      <c r="AG210" s="86"/>
    </row>
    <row r="211" spans="2:33" x14ac:dyDescent="0.3">
      <c r="B211">
        <v>638</v>
      </c>
      <c r="C211" s="25">
        <v>8</v>
      </c>
      <c r="D211" s="32" t="s">
        <v>296</v>
      </c>
      <c r="E211" s="125">
        <v>10.470967105675433</v>
      </c>
      <c r="F211" s="125">
        <f>INDEX('Revised 2018 Lockdown'!H$5:H$253,MATCH(B211,'Revised 2018 Lockdown'!B$5:B$253,0))</f>
        <v>10.470967105675433</v>
      </c>
      <c r="G211" s="125">
        <f t="shared" si="43"/>
        <v>0</v>
      </c>
      <c r="H211" s="5">
        <v>20375.98</v>
      </c>
      <c r="I211" s="5">
        <f>INDEX('Revised 2018 Lockdown'!E$5:E$253,MATCH(B211,'Revised 2018 Lockdown'!B$5:B$253,0))</f>
        <v>20375.98</v>
      </c>
      <c r="J211" s="5">
        <f t="shared" si="44"/>
        <v>0</v>
      </c>
      <c r="K211" s="5">
        <v>0</v>
      </c>
      <c r="L211" s="5">
        <f>INDEX('Revised 2018 Lockdown'!F$5:F$253,MATCH(B211,'Revised 2018 Lockdown'!B$5:B$253,0))</f>
        <v>0</v>
      </c>
      <c r="M211" s="5">
        <f t="shared" si="45"/>
        <v>0</v>
      </c>
      <c r="N211" s="5">
        <v>20375.98</v>
      </c>
      <c r="O211" s="87">
        <f t="shared" si="46"/>
        <v>20375.98</v>
      </c>
      <c r="P211" s="87">
        <f t="shared" si="47"/>
        <v>0</v>
      </c>
      <c r="Q211" s="85">
        <f t="shared" si="48"/>
        <v>1945.9501490512648</v>
      </c>
      <c r="R211" s="6">
        <f t="shared" si="35"/>
        <v>1721.6726653359638</v>
      </c>
      <c r="S211" s="5">
        <f t="shared" si="49"/>
        <v>18027.577845473425</v>
      </c>
      <c r="T211" s="113">
        <v>0.53468749999999998</v>
      </c>
      <c r="U211" s="87">
        <f t="shared" si="36"/>
        <v>3966.2017535499849</v>
      </c>
      <c r="V211" s="87">
        <f t="shared" si="37"/>
        <v>591.849266778274</v>
      </c>
      <c r="W211" s="87">
        <f t="shared" si="38"/>
        <v>636.20355003037719</v>
      </c>
      <c r="X211" s="87">
        <f t="shared" si="39"/>
        <v>225.86756523904614</v>
      </c>
      <c r="Y211" s="87">
        <f t="shared" si="40"/>
        <v>5420.1221355976832</v>
      </c>
      <c r="Z211" s="91">
        <f t="shared" si="41"/>
        <v>0.30065725867652437</v>
      </c>
      <c r="AA211" s="86">
        <f t="shared" si="42"/>
        <v>5420.1221355976832</v>
      </c>
      <c r="AB211" s="87"/>
      <c r="AC211" s="86">
        <v>5406.2079976761415</v>
      </c>
      <c r="AD211" s="147">
        <f t="shared" si="50"/>
        <v>13.914137921541624</v>
      </c>
      <c r="AE211" s="147">
        <v>44.723011219225555</v>
      </c>
      <c r="AF211" s="147">
        <f t="shared" si="51"/>
        <v>-30.808873297683931</v>
      </c>
      <c r="AG211" s="86"/>
    </row>
    <row r="212" spans="2:33" x14ac:dyDescent="0.3">
      <c r="B212">
        <v>639</v>
      </c>
      <c r="C212" s="25">
        <v>8</v>
      </c>
      <c r="D212" s="32" t="s">
        <v>297</v>
      </c>
      <c r="E212" s="125">
        <v>21.173204619625494</v>
      </c>
      <c r="F212" s="125">
        <f>INDEX('Revised 2018 Lockdown'!H$5:H$253,MATCH(B212,'Revised 2018 Lockdown'!B$5:B$253,0))</f>
        <v>21.173204619625494</v>
      </c>
      <c r="G212" s="125">
        <f t="shared" si="43"/>
        <v>0</v>
      </c>
      <c r="H212" s="5">
        <v>17243.23</v>
      </c>
      <c r="I212" s="5">
        <f>INDEX('Revised 2018 Lockdown'!E$5:E$253,MATCH(B212,'Revised 2018 Lockdown'!B$5:B$253,0))</f>
        <v>17243.23</v>
      </c>
      <c r="J212" s="5">
        <f t="shared" si="44"/>
        <v>0</v>
      </c>
      <c r="K212" s="5">
        <v>0</v>
      </c>
      <c r="L212" s="5">
        <f>INDEX('Revised 2018 Lockdown'!F$5:F$253,MATCH(B212,'Revised 2018 Lockdown'!B$5:B$253,0))</f>
        <v>0</v>
      </c>
      <c r="M212" s="5">
        <f t="shared" si="45"/>
        <v>0</v>
      </c>
      <c r="N212" s="5">
        <v>17243.23</v>
      </c>
      <c r="O212" s="87">
        <f t="shared" si="46"/>
        <v>17243.23</v>
      </c>
      <c r="P212" s="87">
        <f t="shared" si="47"/>
        <v>0</v>
      </c>
      <c r="Q212" s="85">
        <f t="shared" si="48"/>
        <v>814.3892391243038</v>
      </c>
      <c r="R212" s="6">
        <f t="shared" si="35"/>
        <v>814.3892391243038</v>
      </c>
      <c r="S212" s="5">
        <f t="shared" si="49"/>
        <v>17243.23</v>
      </c>
      <c r="T212" s="113">
        <v>0.67771130952380954</v>
      </c>
      <c r="U212" s="87">
        <f t="shared" si="36"/>
        <v>3793.639370140781</v>
      </c>
      <c r="V212" s="87">
        <f t="shared" si="37"/>
        <v>1196.7706041860758</v>
      </c>
      <c r="W212" s="87">
        <f t="shared" si="38"/>
        <v>771.29769161975651</v>
      </c>
      <c r="X212" s="87">
        <f t="shared" si="39"/>
        <v>216.04046923779066</v>
      </c>
      <c r="Y212" s="87">
        <f t="shared" si="40"/>
        <v>5977.7481351844044</v>
      </c>
      <c r="Z212" s="91">
        <f t="shared" si="41"/>
        <v>0.346672180048889</v>
      </c>
      <c r="AA212" s="86">
        <f t="shared" si="42"/>
        <v>5977.7481351844044</v>
      </c>
      <c r="AB212" s="87"/>
      <c r="AC212" s="86">
        <v>5985.1238115189308</v>
      </c>
      <c r="AD212" s="147">
        <f t="shared" si="50"/>
        <v>-7.3756763345263607</v>
      </c>
      <c r="AE212" s="147">
        <v>-3.0237537646025885</v>
      </c>
      <c r="AF212" s="147">
        <f t="shared" si="51"/>
        <v>-4.3519225699237722</v>
      </c>
      <c r="AG212" s="86"/>
    </row>
    <row r="213" spans="2:33" x14ac:dyDescent="0.3">
      <c r="B213">
        <v>709</v>
      </c>
      <c r="C213" s="25">
        <v>8</v>
      </c>
      <c r="D213" s="32" t="s">
        <v>222</v>
      </c>
      <c r="E213" s="125">
        <v>74.93628755379919</v>
      </c>
      <c r="F213" s="125">
        <f>INDEX('Revised 2018 Lockdown'!H$5:H$253,MATCH(B213,'Revised 2018 Lockdown'!B$5:B$253,0))</f>
        <v>74.935917540859478</v>
      </c>
      <c r="G213" s="125">
        <f t="shared" si="43"/>
        <v>3.70012939711728E-4</v>
      </c>
      <c r="H213" s="5">
        <v>45634.17</v>
      </c>
      <c r="I213" s="5">
        <f>INDEX('Revised 2018 Lockdown'!E$5:E$253,MATCH(B213,'Revised 2018 Lockdown'!B$5:B$253,0))</f>
        <v>45634.17</v>
      </c>
      <c r="J213" s="5">
        <f t="shared" si="44"/>
        <v>0</v>
      </c>
      <c r="K213" s="5">
        <v>0</v>
      </c>
      <c r="L213" s="5">
        <f>INDEX('Revised 2018 Lockdown'!F$5:F$253,MATCH(B213,'Revised 2018 Lockdown'!B$5:B$253,0))</f>
        <v>0</v>
      </c>
      <c r="M213" s="5">
        <f t="shared" si="45"/>
        <v>0</v>
      </c>
      <c r="N213" s="5">
        <v>45634.17</v>
      </c>
      <c r="O213" s="87">
        <f t="shared" si="46"/>
        <v>45634.17</v>
      </c>
      <c r="P213" s="87">
        <f t="shared" si="47"/>
        <v>0</v>
      </c>
      <c r="Q213" s="85">
        <f t="shared" si="48"/>
        <v>608.97592900117036</v>
      </c>
      <c r="R213" s="6">
        <f t="shared" si="35"/>
        <v>608.97592900117036</v>
      </c>
      <c r="S213" s="5">
        <f t="shared" si="49"/>
        <v>45634.17</v>
      </c>
      <c r="T213" s="113">
        <v>0.40323214285714287</v>
      </c>
      <c r="U213" s="87">
        <f t="shared" si="36"/>
        <v>10039.85818989234</v>
      </c>
      <c r="V213" s="87">
        <f t="shared" si="37"/>
        <v>4235.5942296749317</v>
      </c>
      <c r="W213" s="87">
        <f t="shared" si="38"/>
        <v>1214.5180595676372</v>
      </c>
      <c r="X213" s="87">
        <f t="shared" si="39"/>
        <v>571.75062329256809</v>
      </c>
      <c r="Y213" s="87">
        <f t="shared" si="40"/>
        <v>16061.721102427477</v>
      </c>
      <c r="Z213" s="91">
        <f t="shared" si="41"/>
        <v>0.35196698225096407</v>
      </c>
      <c r="AA213" s="86">
        <f t="shared" si="42"/>
        <v>16061.721102427477</v>
      </c>
      <c r="AB213" s="87"/>
      <c r="AC213" s="86">
        <v>16079.785600522575</v>
      </c>
      <c r="AD213" s="147">
        <f t="shared" si="50"/>
        <v>-18.064498095098315</v>
      </c>
      <c r="AE213" s="147">
        <v>-7.1811039582953526</v>
      </c>
      <c r="AF213" s="147">
        <f t="shared" si="51"/>
        <v>-10.883394136802963</v>
      </c>
      <c r="AG213" s="86"/>
    </row>
    <row r="214" spans="2:33" x14ac:dyDescent="0.3">
      <c r="B214">
        <v>714</v>
      </c>
      <c r="C214" s="25">
        <v>8</v>
      </c>
      <c r="D214" s="32" t="s">
        <v>223</v>
      </c>
      <c r="E214" s="125">
        <v>57.802840339332469</v>
      </c>
      <c r="F214" s="125">
        <f>INDEX('Revised 2018 Lockdown'!H$5:H$253,MATCH(B214,'Revised 2018 Lockdown'!B$5:B$253,0))</f>
        <v>57.802554926222534</v>
      </c>
      <c r="G214" s="125">
        <f t="shared" si="43"/>
        <v>2.8541310993546176E-4</v>
      </c>
      <c r="H214" s="5">
        <v>49120.9</v>
      </c>
      <c r="I214" s="5">
        <f>INDEX('Revised 2018 Lockdown'!E$5:E$253,MATCH(B214,'Revised 2018 Lockdown'!B$5:B$253,0))</f>
        <v>49120.9</v>
      </c>
      <c r="J214" s="5">
        <f t="shared" si="44"/>
        <v>0</v>
      </c>
      <c r="K214" s="5">
        <v>0</v>
      </c>
      <c r="L214" s="5">
        <f>INDEX('Revised 2018 Lockdown'!F$5:F$253,MATCH(B214,'Revised 2018 Lockdown'!B$5:B$253,0))</f>
        <v>0</v>
      </c>
      <c r="M214" s="5">
        <f t="shared" si="45"/>
        <v>0</v>
      </c>
      <c r="N214" s="5">
        <v>49120.9</v>
      </c>
      <c r="O214" s="87">
        <f t="shared" si="46"/>
        <v>49120.9</v>
      </c>
      <c r="P214" s="87">
        <f t="shared" si="47"/>
        <v>0</v>
      </c>
      <c r="Q214" s="85">
        <f t="shared" si="48"/>
        <v>849.80499672888959</v>
      </c>
      <c r="R214" s="6">
        <f t="shared" si="35"/>
        <v>849.80499672888959</v>
      </c>
      <c r="S214" s="5">
        <f t="shared" si="49"/>
        <v>49120.9</v>
      </c>
      <c r="T214" s="113">
        <v>0.39608630952380952</v>
      </c>
      <c r="U214" s="87">
        <f t="shared" si="36"/>
        <v>10806.964828326729</v>
      </c>
      <c r="V214" s="87">
        <f t="shared" si="37"/>
        <v>3267.1671494845141</v>
      </c>
      <c r="W214" s="87">
        <f t="shared" si="38"/>
        <v>1284.147244801663</v>
      </c>
      <c r="X214" s="87">
        <f t="shared" si="39"/>
        <v>615.4358716657257</v>
      </c>
      <c r="Y214" s="87">
        <f t="shared" si="40"/>
        <v>15973.715094278632</v>
      </c>
      <c r="Z214" s="91">
        <f t="shared" si="41"/>
        <v>0.32519182454471784</v>
      </c>
      <c r="AA214" s="86">
        <f t="shared" si="42"/>
        <v>15973.715094278632</v>
      </c>
      <c r="AB214" s="87"/>
      <c r="AC214" s="86">
        <v>15993.359465207373</v>
      </c>
      <c r="AD214" s="147">
        <f t="shared" si="50"/>
        <v>-19.644370928741409</v>
      </c>
      <c r="AE214" s="147">
        <v>-8.0609171741325554</v>
      </c>
      <c r="AF214" s="147">
        <f t="shared" si="51"/>
        <v>-11.583453754608854</v>
      </c>
      <c r="AG214" s="86"/>
    </row>
    <row r="215" spans="2:33" x14ac:dyDescent="0.3">
      <c r="B215">
        <v>749</v>
      </c>
      <c r="C215" s="25">
        <v>8</v>
      </c>
      <c r="D215" s="32" t="s">
        <v>224</v>
      </c>
      <c r="E215" s="125">
        <v>22.43579824715432</v>
      </c>
      <c r="F215" s="125">
        <f>INDEX('Revised 2018 Lockdown'!H$5:H$253,MATCH(B215,'Revised 2018 Lockdown'!B$5:B$253,0))</f>
        <v>22.435687465903538</v>
      </c>
      <c r="G215" s="125">
        <f t="shared" si="43"/>
        <v>1.1078125078256562E-4</v>
      </c>
      <c r="H215" s="5">
        <v>4850.01</v>
      </c>
      <c r="I215" s="5">
        <f>INDEX('Revised 2018 Lockdown'!E$5:E$253,MATCH(B215,'Revised 2018 Lockdown'!B$5:B$253,0))</f>
        <v>4850.01</v>
      </c>
      <c r="J215" s="5">
        <f t="shared" si="44"/>
        <v>0</v>
      </c>
      <c r="K215" s="5">
        <v>0</v>
      </c>
      <c r="L215" s="5">
        <f>INDEX('Revised 2018 Lockdown'!F$5:F$253,MATCH(B215,'Revised 2018 Lockdown'!B$5:B$253,0))</f>
        <v>0</v>
      </c>
      <c r="M215" s="5">
        <f t="shared" si="45"/>
        <v>0</v>
      </c>
      <c r="N215" s="5">
        <v>4850.01</v>
      </c>
      <c r="O215" s="87">
        <f t="shared" si="46"/>
        <v>4850.01</v>
      </c>
      <c r="P215" s="87">
        <f t="shared" si="47"/>
        <v>0</v>
      </c>
      <c r="Q215" s="85">
        <f t="shared" si="48"/>
        <v>216.17389738427963</v>
      </c>
      <c r="R215" s="6">
        <f t="shared" si="35"/>
        <v>216.17389738427963</v>
      </c>
      <c r="S215" s="5">
        <f t="shared" si="49"/>
        <v>4850.01</v>
      </c>
      <c r="T215" s="113">
        <v>0.33324404761904758</v>
      </c>
      <c r="U215" s="87">
        <f t="shared" si="36"/>
        <v>1067.0384192275164</v>
      </c>
      <c r="V215" s="87">
        <f t="shared" si="37"/>
        <v>1268.1297765861891</v>
      </c>
      <c r="W215" s="87">
        <f t="shared" si="38"/>
        <v>106.67526053652233</v>
      </c>
      <c r="X215" s="87">
        <f t="shared" si="39"/>
        <v>60.765786700518234</v>
      </c>
      <c r="Y215" s="87">
        <f t="shared" si="40"/>
        <v>2502.609243050746</v>
      </c>
      <c r="Z215" s="91">
        <f t="shared" si="41"/>
        <v>0.51600084186439743</v>
      </c>
      <c r="AA215" s="86">
        <f t="shared" si="42"/>
        <v>2502.609243050746</v>
      </c>
      <c r="AB215" s="87"/>
      <c r="AC215" s="86">
        <v>2504.3455315618921</v>
      </c>
      <c r="AD215" s="147">
        <f t="shared" si="50"/>
        <v>-1.7362885111460855</v>
      </c>
      <c r="AE215" s="147">
        <v>-0.52958427171779476</v>
      </c>
      <c r="AF215" s="147">
        <f t="shared" si="51"/>
        <v>-1.2067042394282907</v>
      </c>
      <c r="AG215" s="86"/>
    </row>
    <row r="216" spans="2:33" x14ac:dyDescent="0.3">
      <c r="B216">
        <v>764</v>
      </c>
      <c r="C216" s="25">
        <v>8</v>
      </c>
      <c r="D216" s="32" t="s">
        <v>225</v>
      </c>
      <c r="E216" s="125">
        <v>34.6</v>
      </c>
      <c r="F216" s="125">
        <f>INDEX('Revised 2018 Lockdown'!H$5:H$253,MATCH(B216,'Revised 2018 Lockdown'!B$5:B$253,0))</f>
        <v>34.6</v>
      </c>
      <c r="G216" s="125">
        <f t="shared" si="43"/>
        <v>0</v>
      </c>
      <c r="H216" s="5">
        <v>12986.28</v>
      </c>
      <c r="I216" s="5">
        <f>INDEX('Revised 2018 Lockdown'!E$5:E$253,MATCH(B216,'Revised 2018 Lockdown'!B$5:B$253,0))</f>
        <v>12986.28</v>
      </c>
      <c r="J216" s="5">
        <f t="shared" si="44"/>
        <v>0</v>
      </c>
      <c r="K216" s="5">
        <v>0</v>
      </c>
      <c r="L216" s="5">
        <f>INDEX('Revised 2018 Lockdown'!F$5:F$253,MATCH(B216,'Revised 2018 Lockdown'!B$5:B$253,0))</f>
        <v>0</v>
      </c>
      <c r="M216" s="5">
        <f t="shared" si="45"/>
        <v>0</v>
      </c>
      <c r="N216" s="5">
        <v>12986.28</v>
      </c>
      <c r="O216" s="87">
        <f t="shared" si="46"/>
        <v>12986.28</v>
      </c>
      <c r="P216" s="87">
        <f t="shared" si="47"/>
        <v>0</v>
      </c>
      <c r="Q216" s="85">
        <f t="shared" si="48"/>
        <v>375.32601156069364</v>
      </c>
      <c r="R216" s="6">
        <f t="shared" si="35"/>
        <v>375.32601156069364</v>
      </c>
      <c r="S216" s="5">
        <f t="shared" si="49"/>
        <v>12986.28</v>
      </c>
      <c r="T216" s="113">
        <v>0.24982738095238097</v>
      </c>
      <c r="U216" s="87">
        <f t="shared" si="36"/>
        <v>2857.0785798062093</v>
      </c>
      <c r="V216" s="87">
        <f t="shared" si="37"/>
        <v>1955.6918118316776</v>
      </c>
      <c r="W216" s="87">
        <f t="shared" si="38"/>
        <v>214.13293763044001</v>
      </c>
      <c r="X216" s="87">
        <f t="shared" si="39"/>
        <v>162.70513267255242</v>
      </c>
      <c r="Y216" s="87">
        <f t="shared" si="40"/>
        <v>5189.6084619408794</v>
      </c>
      <c r="Z216" s="91">
        <f t="shared" si="41"/>
        <v>0.39962240625805689</v>
      </c>
      <c r="AA216" s="86">
        <f t="shared" si="42"/>
        <v>5189.6084619408794</v>
      </c>
      <c r="AB216" s="87"/>
      <c r="AC216" s="86">
        <v>5194.3998034750048</v>
      </c>
      <c r="AD216" s="147">
        <f t="shared" si="50"/>
        <v>-4.7913415341254222</v>
      </c>
      <c r="AE216" s="147">
        <v>-1.7574454981204326</v>
      </c>
      <c r="AF216" s="147">
        <f t="shared" si="51"/>
        <v>-3.0338960360049896</v>
      </c>
      <c r="AG216" s="86"/>
    </row>
    <row r="217" spans="2:33" x14ac:dyDescent="0.3">
      <c r="B217">
        <v>775</v>
      </c>
      <c r="C217" s="25">
        <v>8</v>
      </c>
      <c r="D217" s="32" t="s">
        <v>226</v>
      </c>
      <c r="E217" s="125">
        <v>125.81110210139802</v>
      </c>
      <c r="F217" s="125">
        <f>INDEX('Revised 2018 Lockdown'!H$5:H$253,MATCH(B217,'Revised 2018 Lockdown'!B$5:B$253,0))</f>
        <v>188.94792356037169</v>
      </c>
      <c r="G217" s="125">
        <f t="shared" si="43"/>
        <v>-63.136821458973671</v>
      </c>
      <c r="H217" s="5">
        <v>62319.01</v>
      </c>
      <c r="I217" s="5">
        <f>INDEX('Revised 2018 Lockdown'!E$5:E$253,MATCH(B217,'Revised 2018 Lockdown'!B$5:B$253,0))</f>
        <v>102121.4</v>
      </c>
      <c r="J217" s="5">
        <f t="shared" si="44"/>
        <v>-39802.389999999992</v>
      </c>
      <c r="K217" s="5">
        <v>0</v>
      </c>
      <c r="L217" s="5">
        <f>INDEX('Revised 2018 Lockdown'!F$5:F$253,MATCH(B217,'Revised 2018 Lockdown'!B$5:B$253,0))</f>
        <v>0</v>
      </c>
      <c r="M217" s="5">
        <f t="shared" si="45"/>
        <v>0</v>
      </c>
      <c r="N217" s="5">
        <v>62319.01</v>
      </c>
      <c r="O217" s="87">
        <f t="shared" si="46"/>
        <v>102121.4</v>
      </c>
      <c r="P217" s="87">
        <f t="shared" si="47"/>
        <v>-39802.389999999992</v>
      </c>
      <c r="Q217" s="85">
        <f t="shared" si="48"/>
        <v>540.47378809839461</v>
      </c>
      <c r="R217" s="6">
        <f t="shared" si="35"/>
        <v>540.47378809839461</v>
      </c>
      <c r="S217" s="5">
        <f t="shared" si="49"/>
        <v>102121.4</v>
      </c>
      <c r="T217" s="113">
        <v>0.68297321428571423</v>
      </c>
      <c r="U217" s="87">
        <f t="shared" si="36"/>
        <v>22467.47062898858</v>
      </c>
      <c r="V217" s="87">
        <f t="shared" si="37"/>
        <v>10679.881704324178</v>
      </c>
      <c r="W217" s="87">
        <f t="shared" si="38"/>
        <v>4603.404189705062</v>
      </c>
      <c r="X217" s="87">
        <f t="shared" si="39"/>
        <v>1279.4792608589059</v>
      </c>
      <c r="Y217" s="87">
        <f t="shared" si="40"/>
        <v>39030.235783876728</v>
      </c>
      <c r="Z217" s="91">
        <f t="shared" si="41"/>
        <v>0.38219448405404477</v>
      </c>
      <c r="AA217" s="86">
        <f t="shared" si="42"/>
        <v>39030.235783876728</v>
      </c>
      <c r="AB217" s="87"/>
      <c r="AC217" s="86">
        <v>24438.019180061958</v>
      </c>
      <c r="AD217" s="147">
        <f t="shared" si="50"/>
        <v>14592.21660381477</v>
      </c>
      <c r="AE217" s="147">
        <v>-10.195880714240047</v>
      </c>
      <c r="AF217" s="147">
        <f t="shared" si="51"/>
        <v>14602.41248452901</v>
      </c>
      <c r="AG217" s="86"/>
    </row>
    <row r="218" spans="2:33" x14ac:dyDescent="0.3">
      <c r="B218">
        <v>790</v>
      </c>
      <c r="C218" s="25">
        <v>8</v>
      </c>
      <c r="D218" s="32" t="s">
        <v>227</v>
      </c>
      <c r="E218" s="125">
        <v>21.43637439455869</v>
      </c>
      <c r="F218" s="125">
        <f>INDEX('Revised 2018 Lockdown'!H$5:H$253,MATCH(B218,'Revised 2018 Lockdown'!B$5:B$253,0))</f>
        <v>21.43637439455869</v>
      </c>
      <c r="G218" s="125">
        <f t="shared" si="43"/>
        <v>0</v>
      </c>
      <c r="H218" s="5">
        <v>7906.08</v>
      </c>
      <c r="I218" s="5">
        <f>INDEX('Revised 2018 Lockdown'!E$5:E$253,MATCH(B218,'Revised 2018 Lockdown'!B$5:B$253,0))</f>
        <v>7906.08</v>
      </c>
      <c r="J218" s="5">
        <f t="shared" si="44"/>
        <v>0</v>
      </c>
      <c r="K218" s="5">
        <v>0</v>
      </c>
      <c r="L218" s="5">
        <f>INDEX('Revised 2018 Lockdown'!F$5:F$253,MATCH(B218,'Revised 2018 Lockdown'!B$5:B$253,0))</f>
        <v>0</v>
      </c>
      <c r="M218" s="5">
        <f t="shared" si="45"/>
        <v>0</v>
      </c>
      <c r="N218" s="5">
        <v>7906.08</v>
      </c>
      <c r="O218" s="87">
        <f t="shared" si="46"/>
        <v>7906.08</v>
      </c>
      <c r="P218" s="87">
        <f t="shared" si="47"/>
        <v>0</v>
      </c>
      <c r="Q218" s="85">
        <f t="shared" si="48"/>
        <v>368.81609989079323</v>
      </c>
      <c r="R218" s="6">
        <f t="shared" ref="R218:R266" si="52">MIN(Q218,INDEX($V$3:$V$11,MATCH(C218,$S$3:$S$11,0)))</f>
        <v>368.81609989079323</v>
      </c>
      <c r="S218" s="5">
        <f t="shared" si="49"/>
        <v>7906.08</v>
      </c>
      <c r="T218" s="113">
        <v>0.24982738095238097</v>
      </c>
      <c r="U218" s="87">
        <f t="shared" ref="U218:U266" si="53">$E$14*(S218/$S$24)</f>
        <v>1739.3966415504883</v>
      </c>
      <c r="V218" s="87">
        <f t="shared" ref="V218:V266" si="54">$E$15*(F218/$F$24)</f>
        <v>1211.645719040366</v>
      </c>
      <c r="W218" s="87">
        <f t="shared" ref="W218:W266" si="55">IFERROR(T218*$E$16*(S218/$S$24),0)</f>
        <v>130.36467221877774</v>
      </c>
      <c r="X218" s="87">
        <f t="shared" ref="X218:X266" si="56">($W$23+$E$9)*(S218/$S$24)</f>
        <v>99.055294920470928</v>
      </c>
      <c r="Y218" s="87">
        <f t="shared" ref="Y218:Y266" si="57">U218+V218+W218+X218</f>
        <v>3180.462327730103</v>
      </c>
      <c r="Z218" s="91">
        <f t="shared" ref="Z218:Z266" si="58">IFERROR((Y218/S218),0)</f>
        <v>0.40228056479697943</v>
      </c>
      <c r="AA218" s="86">
        <f t="shared" ref="AA218:AA266" si="59">IF(Z218&gt;$Z$19,$Z$19*S218,Y218+($Z$23*Y218/$Z$22))</f>
        <v>3180.462327730103</v>
      </c>
      <c r="AB218" s="87"/>
      <c r="AC218" s="86">
        <v>3183.3753759634837</v>
      </c>
      <c r="AD218" s="147">
        <f t="shared" si="50"/>
        <v>-2.9130482333807777</v>
      </c>
      <c r="AE218" s="147">
        <v>-1.0643074220406561</v>
      </c>
      <c r="AF218" s="147">
        <f t="shared" si="51"/>
        <v>-1.8487408113401216</v>
      </c>
      <c r="AG218" s="86"/>
    </row>
    <row r="219" spans="2:33" x14ac:dyDescent="0.3">
      <c r="B219">
        <v>795</v>
      </c>
      <c r="C219" s="25">
        <v>8</v>
      </c>
      <c r="D219" s="32" t="s">
        <v>298</v>
      </c>
      <c r="E219" s="125">
        <v>330.20629396618199</v>
      </c>
      <c r="F219" s="125">
        <f>INDEX('Revised 2018 Lockdown'!H$5:H$253,MATCH(B219,'Revised 2018 Lockdown'!B$5:B$253,0))</f>
        <v>330.20629396618199</v>
      </c>
      <c r="G219" s="125">
        <f t="shared" ref="G219:G266" si="60">E219-F219</f>
        <v>0</v>
      </c>
      <c r="H219" s="5">
        <v>328034.84000000003</v>
      </c>
      <c r="I219" s="5">
        <f>INDEX('Revised 2018 Lockdown'!E$5:E$253,MATCH(B219,'Revised 2018 Lockdown'!B$5:B$253,0))</f>
        <v>328034.84000000003</v>
      </c>
      <c r="J219" s="5">
        <f t="shared" ref="J219:J266" si="61">H219-I219</f>
        <v>0</v>
      </c>
      <c r="K219" s="5">
        <v>121984.66</v>
      </c>
      <c r="L219" s="5">
        <f>INDEX('Revised 2018 Lockdown'!F$5:F$253,MATCH(B219,'Revised 2018 Lockdown'!B$5:B$253,0))</f>
        <v>121984.66</v>
      </c>
      <c r="M219" s="5">
        <f t="shared" ref="M219:M266" si="62">K219-L219</f>
        <v>0</v>
      </c>
      <c r="N219" s="5">
        <v>206050.18000000002</v>
      </c>
      <c r="O219" s="87">
        <f t="shared" ref="O219:O266" si="63">I219-L219</f>
        <v>206050.18000000002</v>
      </c>
      <c r="P219" s="87">
        <f t="shared" ref="P219:P266" si="64">N219-O219</f>
        <v>0</v>
      </c>
      <c r="Q219" s="85">
        <f t="shared" ref="Q219:Q266" si="65">IFERROR(O219/F219,"n.a.")</f>
        <v>624.00439896249407</v>
      </c>
      <c r="R219" s="6">
        <f t="shared" si="52"/>
        <v>624.00439896249407</v>
      </c>
      <c r="S219" s="5">
        <f t="shared" ref="S219:S274" si="66">F219*R219</f>
        <v>206050.18000000002</v>
      </c>
      <c r="T219" s="113">
        <v>0.68104464285714283</v>
      </c>
      <c r="U219" s="87">
        <f t="shared" si="53"/>
        <v>45332.578355249832</v>
      </c>
      <c r="V219" s="87">
        <f t="shared" si="54"/>
        <v>18664.212292628494</v>
      </c>
      <c r="W219" s="87">
        <f t="shared" si="55"/>
        <v>9262.0528907233693</v>
      </c>
      <c r="X219" s="87">
        <f t="shared" si="56"/>
        <v>2581.6031899899976</v>
      </c>
      <c r="Y219" s="87">
        <f t="shared" si="57"/>
        <v>75840.446728591691</v>
      </c>
      <c r="Z219" s="91">
        <f t="shared" si="58"/>
        <v>0.36806784992176023</v>
      </c>
      <c r="AA219" s="86">
        <f t="shared" si="59"/>
        <v>75840.446728591691</v>
      </c>
      <c r="AB219" s="87"/>
      <c r="AC219" s="86">
        <v>75927.836817350573</v>
      </c>
      <c r="AD219" s="147">
        <f t="shared" ref="AD219:AD274" si="67">AA219-AC219</f>
        <v>-87.390088758882484</v>
      </c>
      <c r="AE219" s="147">
        <v>-34.993209779669996</v>
      </c>
      <c r="AF219" s="147">
        <f t="shared" ref="AF219:AF274" si="68">AD219-AE219</f>
        <v>-52.396878979212488</v>
      </c>
      <c r="AG219" s="86"/>
    </row>
    <row r="220" spans="2:33" x14ac:dyDescent="0.3">
      <c r="B220">
        <v>796</v>
      </c>
      <c r="C220" s="25">
        <v>8</v>
      </c>
      <c r="D220" s="32" t="s">
        <v>228</v>
      </c>
      <c r="E220" s="125">
        <v>23.924524993927111</v>
      </c>
      <c r="F220" s="125">
        <f>INDEX('Revised 2018 Lockdown'!H$5:H$253,MATCH(B220,'Revised 2018 Lockdown'!B$5:B$253,0))</f>
        <v>23.924524993927111</v>
      </c>
      <c r="G220" s="125">
        <f t="shared" si="60"/>
        <v>0</v>
      </c>
      <c r="H220" s="5">
        <v>19423.14</v>
      </c>
      <c r="I220" s="5">
        <f>INDEX('Revised 2018 Lockdown'!E$5:E$253,MATCH(B220,'Revised 2018 Lockdown'!B$5:B$253,0))</f>
        <v>19423.14</v>
      </c>
      <c r="J220" s="5">
        <f t="shared" si="61"/>
        <v>0</v>
      </c>
      <c r="K220" s="5">
        <v>0</v>
      </c>
      <c r="L220" s="5">
        <f>INDEX('Revised 2018 Lockdown'!F$5:F$253,MATCH(B220,'Revised 2018 Lockdown'!B$5:B$253,0))</f>
        <v>0</v>
      </c>
      <c r="M220" s="5">
        <f t="shared" si="62"/>
        <v>0</v>
      </c>
      <c r="N220" s="5">
        <v>19423.14</v>
      </c>
      <c r="O220" s="87">
        <f t="shared" si="63"/>
        <v>19423.14</v>
      </c>
      <c r="P220" s="87">
        <f t="shared" si="64"/>
        <v>0</v>
      </c>
      <c r="Q220" s="85">
        <f t="shared" si="65"/>
        <v>811.85060121069398</v>
      </c>
      <c r="R220" s="6">
        <f t="shared" si="52"/>
        <v>811.85060121069398</v>
      </c>
      <c r="S220" s="5">
        <f t="shared" si="66"/>
        <v>19423.14</v>
      </c>
      <c r="T220" s="113">
        <v>0.30553571428571424</v>
      </c>
      <c r="U220" s="87">
        <f t="shared" si="53"/>
        <v>4273.2358494177834</v>
      </c>
      <c r="V220" s="87">
        <f t="shared" si="54"/>
        <v>1352.2831685718372</v>
      </c>
      <c r="W220" s="87">
        <f t="shared" si="55"/>
        <v>391.687850268955</v>
      </c>
      <c r="X220" s="87">
        <f t="shared" si="56"/>
        <v>243.35256675641983</v>
      </c>
      <c r="Y220" s="87">
        <f t="shared" si="57"/>
        <v>6260.5594350149959</v>
      </c>
      <c r="Z220" s="91">
        <f t="shared" si="58"/>
        <v>0.32232478554008243</v>
      </c>
      <c r="AA220" s="86">
        <f t="shared" si="59"/>
        <v>6260.5594350149959</v>
      </c>
      <c r="AB220" s="87"/>
      <c r="AC220" s="86">
        <v>6268.1302363207024</v>
      </c>
      <c r="AD220" s="147">
        <f t="shared" si="67"/>
        <v>-7.5708013057064818</v>
      </c>
      <c r="AE220" s="147">
        <v>-3.0961008155545642</v>
      </c>
      <c r="AF220" s="147">
        <f t="shared" si="68"/>
        <v>-4.4747004901519176</v>
      </c>
      <c r="AG220" s="86"/>
    </row>
    <row r="221" spans="2:33" x14ac:dyDescent="0.3">
      <c r="B221">
        <v>797</v>
      </c>
      <c r="C221" s="25">
        <v>8</v>
      </c>
      <c r="D221" s="32" t="s">
        <v>229</v>
      </c>
      <c r="E221" s="125">
        <v>27.819307714015707</v>
      </c>
      <c r="F221" s="125">
        <f>INDEX('Revised 2018 Lockdown'!H$5:H$253,MATCH(B221,'Revised 2018 Lockdown'!B$5:B$253,0))</f>
        <v>27.81917035060788</v>
      </c>
      <c r="G221" s="125">
        <f t="shared" si="60"/>
        <v>1.3736340782699585E-4</v>
      </c>
      <c r="H221" s="5">
        <v>39509.410000000003</v>
      </c>
      <c r="I221" s="5">
        <f>INDEX('Revised 2018 Lockdown'!E$5:E$253,MATCH(B221,'Revised 2018 Lockdown'!B$5:B$253,0))</f>
        <v>39509.410000000003</v>
      </c>
      <c r="J221" s="5">
        <f t="shared" si="61"/>
        <v>0</v>
      </c>
      <c r="K221" s="5">
        <v>1800</v>
      </c>
      <c r="L221" s="5">
        <f>INDEX('Revised 2018 Lockdown'!F$5:F$253,MATCH(B221,'Revised 2018 Lockdown'!B$5:B$253,0))</f>
        <v>1800</v>
      </c>
      <c r="M221" s="5">
        <f t="shared" si="62"/>
        <v>0</v>
      </c>
      <c r="N221" s="5">
        <v>37709.410000000003</v>
      </c>
      <c r="O221" s="87">
        <f t="shared" si="63"/>
        <v>37709.410000000003</v>
      </c>
      <c r="P221" s="87">
        <f t="shared" si="64"/>
        <v>0</v>
      </c>
      <c r="Q221" s="85">
        <f t="shared" si="65"/>
        <v>1355.5188571314102</v>
      </c>
      <c r="R221" s="6">
        <f t="shared" si="52"/>
        <v>1355.5188571314102</v>
      </c>
      <c r="S221" s="5">
        <f t="shared" si="66"/>
        <v>37709.410000000003</v>
      </c>
      <c r="T221" s="113">
        <v>0.13926785714285714</v>
      </c>
      <c r="U221" s="87">
        <f t="shared" si="53"/>
        <v>8296.3518088421079</v>
      </c>
      <c r="V221" s="87">
        <f t="shared" si="54"/>
        <v>1572.4197591512832</v>
      </c>
      <c r="W221" s="87">
        <f t="shared" si="55"/>
        <v>346.62454155621202</v>
      </c>
      <c r="X221" s="87">
        <f t="shared" si="56"/>
        <v>472.46128660814918</v>
      </c>
      <c r="Y221" s="87">
        <f t="shared" si="57"/>
        <v>10687.857396157753</v>
      </c>
      <c r="Z221" s="91">
        <f t="shared" si="58"/>
        <v>0.28342679973401208</v>
      </c>
      <c r="AA221" s="86">
        <f t="shared" si="59"/>
        <v>10687.857396157753</v>
      </c>
      <c r="AB221" s="87"/>
      <c r="AC221" s="86">
        <v>10702.121850015819</v>
      </c>
      <c r="AD221" s="147">
        <f t="shared" si="67"/>
        <v>-14.26445385806619</v>
      </c>
      <c r="AE221" s="147">
        <v>-6.0252369857716985</v>
      </c>
      <c r="AF221" s="147">
        <f t="shared" si="68"/>
        <v>-8.2392168722944916</v>
      </c>
      <c r="AG221" s="86"/>
    </row>
    <row r="222" spans="2:33" x14ac:dyDescent="0.3">
      <c r="B222">
        <v>801</v>
      </c>
      <c r="C222" s="25">
        <v>8</v>
      </c>
      <c r="D222" s="32" t="s">
        <v>230</v>
      </c>
      <c r="E222" s="125">
        <v>143.33481235470978</v>
      </c>
      <c r="F222" s="125">
        <f>INDEX('Revised 2018 Lockdown'!H$5:H$253,MATCH(B222,'Revised 2018 Lockdown'!B$5:B$253,0))</f>
        <v>143.33410461034433</v>
      </c>
      <c r="G222" s="125">
        <f t="shared" si="60"/>
        <v>7.0774436545661956E-4</v>
      </c>
      <c r="H222" s="5">
        <v>102578.78</v>
      </c>
      <c r="I222" s="5">
        <f>INDEX('Revised 2018 Lockdown'!E$5:E$253,MATCH(B222,'Revised 2018 Lockdown'!B$5:B$253,0))</f>
        <v>102578.78</v>
      </c>
      <c r="J222" s="5">
        <f t="shared" si="61"/>
        <v>0</v>
      </c>
      <c r="K222" s="5">
        <v>0</v>
      </c>
      <c r="L222" s="5">
        <f>INDEX('Revised 2018 Lockdown'!F$5:F$253,MATCH(B222,'Revised 2018 Lockdown'!B$5:B$253,0))</f>
        <v>0</v>
      </c>
      <c r="M222" s="5">
        <f t="shared" si="62"/>
        <v>0</v>
      </c>
      <c r="N222" s="5">
        <v>102578.78</v>
      </c>
      <c r="O222" s="87">
        <f t="shared" si="63"/>
        <v>102578.78</v>
      </c>
      <c r="P222" s="87">
        <f t="shared" si="64"/>
        <v>0</v>
      </c>
      <c r="Q222" s="85">
        <f t="shared" si="65"/>
        <v>715.66205599750162</v>
      </c>
      <c r="R222" s="6">
        <f t="shared" si="52"/>
        <v>715.66205599750162</v>
      </c>
      <c r="S222" s="5">
        <f t="shared" si="66"/>
        <v>102578.78</v>
      </c>
      <c r="T222" s="113">
        <v>0.62729464285714287</v>
      </c>
      <c r="U222" s="87">
        <f t="shared" si="53"/>
        <v>22568.097644641388</v>
      </c>
      <c r="V222" s="87">
        <f t="shared" si="54"/>
        <v>8101.6570734877296</v>
      </c>
      <c r="W222" s="87">
        <f t="shared" si="55"/>
        <v>4247.0540255881333</v>
      </c>
      <c r="X222" s="87">
        <f t="shared" si="56"/>
        <v>1285.2097759549745</v>
      </c>
      <c r="Y222" s="87">
        <f t="shared" si="57"/>
        <v>36202.018519672223</v>
      </c>
      <c r="Z222" s="91">
        <f t="shared" si="58"/>
        <v>0.35291917606811296</v>
      </c>
      <c r="AA222" s="86">
        <f t="shared" si="59"/>
        <v>36202.018519672223</v>
      </c>
      <c r="AB222" s="87"/>
      <c r="AC222" s="86">
        <v>36245.225186020311</v>
      </c>
      <c r="AD222" s="147">
        <f t="shared" si="67"/>
        <v>-43.20666634808731</v>
      </c>
      <c r="AE222" s="147">
        <v>-17.50406791416026</v>
      </c>
      <c r="AF222" s="147">
        <f t="shared" si="68"/>
        <v>-25.702598433927051</v>
      </c>
      <c r="AG222" s="86"/>
    </row>
    <row r="223" spans="2:33" x14ac:dyDescent="0.3">
      <c r="B223">
        <v>810</v>
      </c>
      <c r="C223" s="25">
        <v>8</v>
      </c>
      <c r="D223" s="32" t="s">
        <v>231</v>
      </c>
      <c r="E223" s="125">
        <v>129.91</v>
      </c>
      <c r="F223" s="125">
        <f>INDEX('Revised 2018 Lockdown'!H$5:H$253,MATCH(B223,'Revised 2018 Lockdown'!B$5:B$253,0))</f>
        <v>129.91</v>
      </c>
      <c r="G223" s="125">
        <f t="shared" si="60"/>
        <v>0</v>
      </c>
      <c r="H223" s="5">
        <v>133935.18</v>
      </c>
      <c r="I223" s="5">
        <f>INDEX('Revised 2018 Lockdown'!E$5:E$253,MATCH(B223,'Revised 2018 Lockdown'!B$5:B$253,0))</f>
        <v>133935.18</v>
      </c>
      <c r="J223" s="5">
        <f t="shared" si="61"/>
        <v>0</v>
      </c>
      <c r="K223" s="5">
        <v>0</v>
      </c>
      <c r="L223" s="5">
        <f>INDEX('Revised 2018 Lockdown'!F$5:F$253,MATCH(B223,'Revised 2018 Lockdown'!B$5:B$253,0))</f>
        <v>0</v>
      </c>
      <c r="M223" s="5">
        <f t="shared" si="62"/>
        <v>0</v>
      </c>
      <c r="N223" s="5">
        <v>133935.18</v>
      </c>
      <c r="O223" s="87">
        <f t="shared" si="63"/>
        <v>133935.18</v>
      </c>
      <c r="P223" s="87">
        <f t="shared" si="64"/>
        <v>0</v>
      </c>
      <c r="Q223" s="85">
        <f t="shared" si="65"/>
        <v>1030.9843737972442</v>
      </c>
      <c r="R223" s="6">
        <f t="shared" si="52"/>
        <v>1030.9843737972442</v>
      </c>
      <c r="S223" s="5">
        <f t="shared" si="66"/>
        <v>133935.18</v>
      </c>
      <c r="T223" s="113">
        <v>0.61243154761904761</v>
      </c>
      <c r="U223" s="87">
        <f t="shared" si="53"/>
        <v>29466.739810052532</v>
      </c>
      <c r="V223" s="87">
        <f t="shared" si="54"/>
        <v>7342.8879559263924</v>
      </c>
      <c r="W223" s="87">
        <f t="shared" si="55"/>
        <v>5413.9083195474814</v>
      </c>
      <c r="X223" s="87">
        <f t="shared" si="56"/>
        <v>1678.0741853265283</v>
      </c>
      <c r="Y223" s="87">
        <f t="shared" si="57"/>
        <v>43901.610270852936</v>
      </c>
      <c r="Z223" s="91">
        <f t="shared" si="58"/>
        <v>0.32778251592190294</v>
      </c>
      <c r="AA223" s="86">
        <f t="shared" si="59"/>
        <v>43901.610270852936</v>
      </c>
      <c r="AB223" s="87"/>
      <c r="AC223" s="86">
        <v>43958.374759324281</v>
      </c>
      <c r="AD223" s="147">
        <f t="shared" si="67"/>
        <v>-56.764488471344521</v>
      </c>
      <c r="AE223" s="147">
        <v>-23.636405764205847</v>
      </c>
      <c r="AF223" s="147">
        <f t="shared" si="68"/>
        <v>-33.128082707138674</v>
      </c>
      <c r="AG223" s="86"/>
    </row>
    <row r="224" spans="2:33" x14ac:dyDescent="0.3">
      <c r="B224">
        <v>812</v>
      </c>
      <c r="C224" s="25">
        <v>8</v>
      </c>
      <c r="D224" s="32" t="s">
        <v>232</v>
      </c>
      <c r="E224" s="125">
        <v>52.402684578365019</v>
      </c>
      <c r="F224" s="125">
        <f>INDEX('Revised 2018 Lockdown'!H$5:H$253,MATCH(B224,'Revised 2018 Lockdown'!B$5:B$253,0))</f>
        <v>52.402684578365019</v>
      </c>
      <c r="G224" s="125">
        <f t="shared" si="60"/>
        <v>0</v>
      </c>
      <c r="H224" s="5">
        <v>75414.47</v>
      </c>
      <c r="I224" s="5">
        <f>INDEX('Revised 2018 Lockdown'!E$5:E$253,MATCH(B224,'Revised 2018 Lockdown'!B$5:B$253,0))</f>
        <v>75414.47</v>
      </c>
      <c r="J224" s="5">
        <f t="shared" si="61"/>
        <v>0</v>
      </c>
      <c r="K224" s="5">
        <v>196</v>
      </c>
      <c r="L224" s="5">
        <f>INDEX('Revised 2018 Lockdown'!F$5:F$253,MATCH(B224,'Revised 2018 Lockdown'!B$5:B$253,0))</f>
        <v>196</v>
      </c>
      <c r="M224" s="5">
        <f t="shared" si="62"/>
        <v>0</v>
      </c>
      <c r="N224" s="5">
        <v>75218.47</v>
      </c>
      <c r="O224" s="87">
        <f t="shared" si="63"/>
        <v>75218.47</v>
      </c>
      <c r="P224" s="87">
        <f t="shared" si="64"/>
        <v>0</v>
      </c>
      <c r="Q224" s="85">
        <f t="shared" si="65"/>
        <v>1435.3934460650651</v>
      </c>
      <c r="R224" s="6">
        <f t="shared" si="52"/>
        <v>1435.3934460650651</v>
      </c>
      <c r="S224" s="5">
        <f t="shared" si="66"/>
        <v>75218.47</v>
      </c>
      <c r="T224" s="113">
        <v>0.5734434523809524</v>
      </c>
      <c r="U224" s="87">
        <f t="shared" si="53"/>
        <v>16548.625121497145</v>
      </c>
      <c r="V224" s="87">
        <f t="shared" si="54"/>
        <v>2961.9509002285135</v>
      </c>
      <c r="W224" s="87">
        <f t="shared" si="55"/>
        <v>2846.9102165488443</v>
      </c>
      <c r="X224" s="87">
        <f t="shared" si="56"/>
        <v>942.41238759493888</v>
      </c>
      <c r="Y224" s="87">
        <f t="shared" si="57"/>
        <v>23299.898625869439</v>
      </c>
      <c r="Z224" s="91">
        <f t="shared" si="58"/>
        <v>0.30976299605495083</v>
      </c>
      <c r="AA224" s="86">
        <f t="shared" si="59"/>
        <v>23299.898625869439</v>
      </c>
      <c r="AB224" s="87"/>
      <c r="AC224" s="86">
        <v>23331.696375243941</v>
      </c>
      <c r="AD224" s="147">
        <f t="shared" si="67"/>
        <v>-31.797749374502018</v>
      </c>
      <c r="AE224" s="147">
        <v>-13.460260318399378</v>
      </c>
      <c r="AF224" s="147">
        <f t="shared" si="68"/>
        <v>-18.33748905610264</v>
      </c>
      <c r="AG224" s="86"/>
    </row>
    <row r="225" spans="2:33" x14ac:dyDescent="0.3">
      <c r="B225">
        <v>818</v>
      </c>
      <c r="C225" s="25">
        <v>8</v>
      </c>
      <c r="D225" s="32" t="s">
        <v>233</v>
      </c>
      <c r="E225" s="125">
        <v>39.084698998412264</v>
      </c>
      <c r="F225" s="125">
        <f>INDEX('Revised 2018 Lockdown'!H$5:H$253,MATCH(B225,'Revised 2018 Lockdown'!B$5:B$253,0))</f>
        <v>39.084698998412264</v>
      </c>
      <c r="G225" s="125">
        <f t="shared" si="60"/>
        <v>0</v>
      </c>
      <c r="H225" s="5">
        <v>16701.97</v>
      </c>
      <c r="I225" s="5">
        <f>INDEX('Revised 2018 Lockdown'!E$5:E$253,MATCH(B225,'Revised 2018 Lockdown'!B$5:B$253,0))</f>
        <v>16701.97</v>
      </c>
      <c r="J225" s="5">
        <f t="shared" si="61"/>
        <v>0</v>
      </c>
      <c r="K225" s="5">
        <v>0</v>
      </c>
      <c r="L225" s="5">
        <f>INDEX('Revised 2018 Lockdown'!F$5:F$253,MATCH(B225,'Revised 2018 Lockdown'!B$5:B$253,0))</f>
        <v>0</v>
      </c>
      <c r="M225" s="5">
        <f t="shared" si="62"/>
        <v>0</v>
      </c>
      <c r="N225" s="5">
        <v>16701.97</v>
      </c>
      <c r="O225" s="87">
        <f t="shared" si="63"/>
        <v>16701.97</v>
      </c>
      <c r="P225" s="87">
        <f t="shared" si="64"/>
        <v>0</v>
      </c>
      <c r="Q225" s="85">
        <f t="shared" si="65"/>
        <v>427.32758414433442</v>
      </c>
      <c r="R225" s="6">
        <f t="shared" si="52"/>
        <v>427.32758414433442</v>
      </c>
      <c r="S225" s="5">
        <f t="shared" si="66"/>
        <v>16701.97</v>
      </c>
      <c r="T225" s="113">
        <v>0.22241071428571429</v>
      </c>
      <c r="U225" s="87">
        <f t="shared" si="53"/>
        <v>3674.5581280833248</v>
      </c>
      <c r="V225" s="87">
        <f t="shared" si="54"/>
        <v>2209.1799363901914</v>
      </c>
      <c r="W225" s="87">
        <f t="shared" si="55"/>
        <v>245.17832938541682</v>
      </c>
      <c r="X225" s="87">
        <f t="shared" si="56"/>
        <v>209.25902142437945</v>
      </c>
      <c r="Y225" s="87">
        <f t="shared" si="57"/>
        <v>6338.1754152833128</v>
      </c>
      <c r="Z225" s="91">
        <f t="shared" si="58"/>
        <v>0.379486696197114</v>
      </c>
      <c r="AA225" s="86">
        <f t="shared" si="59"/>
        <v>6338.1754152833128</v>
      </c>
      <c r="AB225" s="87"/>
      <c r="AC225" s="86">
        <v>6344.3482963844654</v>
      </c>
      <c r="AD225" s="147">
        <f t="shared" si="67"/>
        <v>-6.1728811011525977</v>
      </c>
      <c r="AE225" s="147">
        <v>-2.322728736400677</v>
      </c>
      <c r="AF225" s="147">
        <f t="shared" si="68"/>
        <v>-3.8501523647519207</v>
      </c>
      <c r="AG225" s="86"/>
    </row>
    <row r="226" spans="2:33" x14ac:dyDescent="0.3">
      <c r="B226">
        <v>833</v>
      </c>
      <c r="C226" s="33">
        <v>8</v>
      </c>
      <c r="D226" s="32" t="s">
        <v>234</v>
      </c>
      <c r="E226" s="125">
        <v>68.497718442678561</v>
      </c>
      <c r="F226" s="125">
        <f>INDEX('Revised 2018 Lockdown'!H$5:H$253,MATCH(B226,'Revised 2018 Lockdown'!B$5:B$253,0))</f>
        <v>68.49738022146434</v>
      </c>
      <c r="G226" s="125">
        <f t="shared" si="60"/>
        <v>3.3822121422133478E-4</v>
      </c>
      <c r="H226" s="5">
        <v>53144.45</v>
      </c>
      <c r="I226" s="5">
        <f>INDEX('Revised 2018 Lockdown'!E$5:E$253,MATCH(B226,'Revised 2018 Lockdown'!B$5:B$253,0))</f>
        <v>37369.64</v>
      </c>
      <c r="J226" s="5">
        <f t="shared" si="61"/>
        <v>15774.809999999998</v>
      </c>
      <c r="K226" s="5">
        <v>0</v>
      </c>
      <c r="L226" s="5">
        <f>INDEX('Revised 2018 Lockdown'!F$5:F$253,MATCH(B226,'Revised 2018 Lockdown'!B$5:B$253,0))</f>
        <v>0</v>
      </c>
      <c r="M226" s="5">
        <f t="shared" si="62"/>
        <v>0</v>
      </c>
      <c r="N226" s="5">
        <v>53144.45</v>
      </c>
      <c r="O226" s="87">
        <f t="shared" si="63"/>
        <v>37369.64</v>
      </c>
      <c r="P226" s="87">
        <f t="shared" si="64"/>
        <v>15774.809999999998</v>
      </c>
      <c r="Q226" s="85">
        <f t="shared" si="65"/>
        <v>545.56305480847936</v>
      </c>
      <c r="R226" s="6">
        <f t="shared" si="52"/>
        <v>545.56305480847936</v>
      </c>
      <c r="S226" s="5">
        <f t="shared" si="66"/>
        <v>37369.64</v>
      </c>
      <c r="T226" s="113">
        <v>0.25010119047619045</v>
      </c>
      <c r="U226" s="87">
        <f t="shared" si="53"/>
        <v>8221.599871485083</v>
      </c>
      <c r="V226" s="87">
        <f t="shared" si="54"/>
        <v>3871.6695269086385</v>
      </c>
      <c r="W226" s="87">
        <f t="shared" si="55"/>
        <v>616.86957464319414</v>
      </c>
      <c r="X226" s="87">
        <f t="shared" si="56"/>
        <v>468.2043074787793</v>
      </c>
      <c r="Y226" s="87">
        <f t="shared" si="57"/>
        <v>13178.343280515695</v>
      </c>
      <c r="Z226" s="91">
        <f t="shared" si="58"/>
        <v>0.35264838731429299</v>
      </c>
      <c r="AA226" s="86">
        <f t="shared" si="59"/>
        <v>13178.343280515695</v>
      </c>
      <c r="AB226" s="87"/>
      <c r="AC226" s="86">
        <v>17127.362085022323</v>
      </c>
      <c r="AD226" s="147">
        <f t="shared" si="67"/>
        <v>-3949.0188045066279</v>
      </c>
      <c r="AE226" s="147">
        <v>-3940.410489932261</v>
      </c>
      <c r="AF226" s="147">
        <f t="shared" si="68"/>
        <v>-8.6083145743668865</v>
      </c>
      <c r="AG226" s="86"/>
    </row>
    <row r="227" spans="2:33" x14ac:dyDescent="0.3">
      <c r="B227">
        <v>834</v>
      </c>
      <c r="C227" s="25">
        <v>8</v>
      </c>
      <c r="D227" s="32" t="s">
        <v>235</v>
      </c>
      <c r="E227" s="125">
        <v>93.830000000000013</v>
      </c>
      <c r="F227" s="125">
        <f>INDEX('Revised 2018 Lockdown'!H$5:H$253,MATCH(B227,'Revised 2018 Lockdown'!B$5:B$253,0))</f>
        <v>93.830000000000013</v>
      </c>
      <c r="G227" s="125">
        <f t="shared" si="60"/>
        <v>0</v>
      </c>
      <c r="H227" s="5">
        <v>64791.31</v>
      </c>
      <c r="I227" s="5">
        <f>INDEX('Revised 2018 Lockdown'!E$5:E$253,MATCH(B227,'Revised 2018 Lockdown'!B$5:B$253,0))</f>
        <v>64791.31</v>
      </c>
      <c r="J227" s="5">
        <f t="shared" si="61"/>
        <v>0</v>
      </c>
      <c r="K227" s="5">
        <v>5551.2800000000007</v>
      </c>
      <c r="L227" s="5">
        <f>INDEX('Revised 2018 Lockdown'!F$5:F$253,MATCH(B227,'Revised 2018 Lockdown'!B$5:B$253,0))</f>
        <v>5551.2800000000007</v>
      </c>
      <c r="M227" s="5">
        <f t="shared" si="62"/>
        <v>0</v>
      </c>
      <c r="N227" s="5">
        <v>59240.03</v>
      </c>
      <c r="O227" s="87">
        <f t="shared" si="63"/>
        <v>59240.03</v>
      </c>
      <c r="P227" s="87">
        <f t="shared" si="64"/>
        <v>0</v>
      </c>
      <c r="Q227" s="85">
        <f t="shared" si="65"/>
        <v>631.35489715442816</v>
      </c>
      <c r="R227" s="6">
        <f t="shared" si="52"/>
        <v>631.35489715442816</v>
      </c>
      <c r="S227" s="5">
        <f t="shared" si="66"/>
        <v>59240.03</v>
      </c>
      <c r="T227" s="113">
        <v>0.66815773809523804</v>
      </c>
      <c r="U227" s="87">
        <f t="shared" si="53"/>
        <v>13033.248996639317</v>
      </c>
      <c r="V227" s="87">
        <f t="shared" si="54"/>
        <v>5303.5422746868871</v>
      </c>
      <c r="W227" s="87">
        <f t="shared" si="55"/>
        <v>2612.4798508879667</v>
      </c>
      <c r="X227" s="87">
        <f t="shared" si="56"/>
        <v>742.2184752427936</v>
      </c>
      <c r="Y227" s="87">
        <f t="shared" si="57"/>
        <v>21691.489597456966</v>
      </c>
      <c r="Z227" s="91">
        <f t="shared" si="58"/>
        <v>0.36616270446616866</v>
      </c>
      <c r="AA227" s="86">
        <f t="shared" si="59"/>
        <v>21691.489597456966</v>
      </c>
      <c r="AB227" s="87"/>
      <c r="AC227" s="86">
        <v>21716.548411014406</v>
      </c>
      <c r="AD227" s="147">
        <f t="shared" si="67"/>
        <v>-25.058813557439862</v>
      </c>
      <c r="AE227" s="147">
        <v>-10.044775417951314</v>
      </c>
      <c r="AF227" s="147">
        <f t="shared" si="68"/>
        <v>-15.014038139488548</v>
      </c>
      <c r="AG227" s="86"/>
    </row>
    <row r="228" spans="2:33" x14ac:dyDescent="0.3">
      <c r="B228">
        <v>837</v>
      </c>
      <c r="C228" s="25">
        <v>8</v>
      </c>
      <c r="D228" s="32" t="s">
        <v>236</v>
      </c>
      <c r="E228" s="125">
        <v>191.19000000000003</v>
      </c>
      <c r="F228" s="125">
        <f>INDEX('Revised 2018 Lockdown'!H$5:H$253,MATCH(B228,'Revised 2018 Lockdown'!B$5:B$253,0))</f>
        <v>191.19000000000003</v>
      </c>
      <c r="G228" s="125">
        <f t="shared" si="60"/>
        <v>0</v>
      </c>
      <c r="H228" s="5">
        <v>133882.48000000001</v>
      </c>
      <c r="I228" s="5">
        <f>INDEX('Revised 2018 Lockdown'!E$5:E$253,MATCH(B228,'Revised 2018 Lockdown'!B$5:B$253,0))</f>
        <v>133882.48000000001</v>
      </c>
      <c r="J228" s="5">
        <f t="shared" si="61"/>
        <v>0</v>
      </c>
      <c r="K228" s="5">
        <v>0</v>
      </c>
      <c r="L228" s="5">
        <f>INDEX('Revised 2018 Lockdown'!F$5:F$253,MATCH(B228,'Revised 2018 Lockdown'!B$5:B$253,0))</f>
        <v>0</v>
      </c>
      <c r="M228" s="5">
        <f t="shared" si="62"/>
        <v>0</v>
      </c>
      <c r="N228" s="5">
        <v>133882.48000000001</v>
      </c>
      <c r="O228" s="87">
        <f t="shared" si="63"/>
        <v>133882.48000000001</v>
      </c>
      <c r="P228" s="87">
        <f t="shared" si="64"/>
        <v>0</v>
      </c>
      <c r="Q228" s="85">
        <f t="shared" si="65"/>
        <v>700.25880014645111</v>
      </c>
      <c r="R228" s="6">
        <f t="shared" si="52"/>
        <v>700.25880014645111</v>
      </c>
      <c r="S228" s="5">
        <f t="shared" si="66"/>
        <v>133882.48000000001</v>
      </c>
      <c r="T228" s="113">
        <v>0.58590773809523811</v>
      </c>
      <c r="U228" s="87">
        <f t="shared" si="53"/>
        <v>29455.145416495969</v>
      </c>
      <c r="V228" s="87">
        <f t="shared" si="54"/>
        <v>10806.610332488395</v>
      </c>
      <c r="W228" s="87">
        <f t="shared" si="55"/>
        <v>5177.3992878736417</v>
      </c>
      <c r="X228" s="87">
        <f t="shared" si="56"/>
        <v>1677.4139069025423</v>
      </c>
      <c r="Y228" s="87">
        <f t="shared" si="57"/>
        <v>47116.56894376054</v>
      </c>
      <c r="Z228" s="91">
        <f t="shared" si="58"/>
        <v>0.35192482947552611</v>
      </c>
      <c r="AA228" s="86">
        <f t="shared" si="59"/>
        <v>47116.56894376054</v>
      </c>
      <c r="AB228" s="87"/>
      <c r="AC228" s="86">
        <v>47172.300592330619</v>
      </c>
      <c r="AD228" s="147">
        <f t="shared" si="67"/>
        <v>-55.731648570079415</v>
      </c>
      <c r="AE228" s="147">
        <v>-22.546752705347899</v>
      </c>
      <c r="AF228" s="147">
        <f t="shared" si="68"/>
        <v>-33.184895864731516</v>
      </c>
      <c r="AG228" s="86"/>
    </row>
    <row r="229" spans="2:33" x14ac:dyDescent="0.3">
      <c r="B229">
        <v>845</v>
      </c>
      <c r="C229" s="25">
        <v>8</v>
      </c>
      <c r="D229" s="32" t="s">
        <v>300</v>
      </c>
      <c r="E229" s="125">
        <v>5.5265652735971607</v>
      </c>
      <c r="F229" s="125">
        <f>INDEX('Revised 2018 Lockdown'!H$5:H$253,MATCH(B229,'Revised 2018 Lockdown'!B$5:B$253,0))</f>
        <v>5.5265652735971607</v>
      </c>
      <c r="G229" s="125">
        <f t="shared" si="60"/>
        <v>0</v>
      </c>
      <c r="H229" s="5">
        <v>9336.9500000000007</v>
      </c>
      <c r="I229" s="5">
        <f>INDEX('Revised 2018 Lockdown'!E$5:E$253,MATCH(B229,'Revised 2018 Lockdown'!B$5:B$253,0))</f>
        <v>9336.9500000000007</v>
      </c>
      <c r="J229" s="5">
        <f t="shared" si="61"/>
        <v>0</v>
      </c>
      <c r="K229" s="5">
        <v>0</v>
      </c>
      <c r="L229" s="5">
        <f>INDEX('Revised 2018 Lockdown'!F$5:F$253,MATCH(B229,'Revised 2018 Lockdown'!B$5:B$253,0))</f>
        <v>0</v>
      </c>
      <c r="M229" s="5">
        <f t="shared" si="62"/>
        <v>0</v>
      </c>
      <c r="N229" s="5">
        <v>9336.9500000000007</v>
      </c>
      <c r="O229" s="87">
        <f t="shared" si="63"/>
        <v>9336.9500000000007</v>
      </c>
      <c r="P229" s="87">
        <f t="shared" si="64"/>
        <v>0</v>
      </c>
      <c r="Q229" s="85">
        <f t="shared" si="65"/>
        <v>1689.4670627716509</v>
      </c>
      <c r="R229" s="6">
        <f t="shared" si="52"/>
        <v>1689.4670627716509</v>
      </c>
      <c r="S229" s="5">
        <f t="shared" si="66"/>
        <v>9336.9500000000007</v>
      </c>
      <c r="T229" s="113">
        <v>0.2215</v>
      </c>
      <c r="U229" s="87">
        <f t="shared" si="53"/>
        <v>2054.1987270967193</v>
      </c>
      <c r="V229" s="87">
        <f t="shared" si="54"/>
        <v>312.37741194009419</v>
      </c>
      <c r="W229" s="87">
        <f t="shared" si="55"/>
        <v>136.50150541557699</v>
      </c>
      <c r="X229" s="87">
        <f t="shared" si="56"/>
        <v>116.98266851684919</v>
      </c>
      <c r="Y229" s="87">
        <f t="shared" si="57"/>
        <v>2620.0603129692395</v>
      </c>
      <c r="Z229" s="91">
        <f t="shared" si="58"/>
        <v>0.28061201066400049</v>
      </c>
      <c r="AA229" s="86">
        <f t="shared" si="59"/>
        <v>2620.0603129692395</v>
      </c>
      <c r="AB229" s="87"/>
      <c r="AC229" s="86">
        <v>2623.682937524391</v>
      </c>
      <c r="AD229" s="147">
        <f t="shared" si="67"/>
        <v>-3.6226245551515603</v>
      </c>
      <c r="AE229" s="147">
        <v>-1.5452789364685486</v>
      </c>
      <c r="AF229" s="147">
        <f t="shared" si="68"/>
        <v>-2.0773456186830117</v>
      </c>
      <c r="AG229" s="86"/>
    </row>
    <row r="230" spans="2:33" x14ac:dyDescent="0.3">
      <c r="B230">
        <v>847</v>
      </c>
      <c r="C230" s="25">
        <v>8</v>
      </c>
      <c r="D230" s="32" t="s">
        <v>237</v>
      </c>
      <c r="E230" s="125">
        <v>70.589802523602913</v>
      </c>
      <c r="F230" s="125">
        <f>INDEX('Revised 2018 Lockdown'!H$5:H$253,MATCH(B230,'Revised 2018 Lockdown'!B$5:B$253,0))</f>
        <v>70.589453972304213</v>
      </c>
      <c r="G230" s="125">
        <f t="shared" si="60"/>
        <v>3.4855129869981738E-4</v>
      </c>
      <c r="H230" s="5">
        <v>114871.03</v>
      </c>
      <c r="I230" s="5">
        <f>INDEX('Revised 2018 Lockdown'!E$5:E$253,MATCH(B230,'Revised 2018 Lockdown'!B$5:B$253,0))</f>
        <v>114871.03</v>
      </c>
      <c r="J230" s="5">
        <f t="shared" si="61"/>
        <v>0</v>
      </c>
      <c r="K230" s="5">
        <v>0</v>
      </c>
      <c r="L230" s="5">
        <f>INDEX('Revised 2018 Lockdown'!F$5:F$253,MATCH(B230,'Revised 2018 Lockdown'!B$5:B$253,0))</f>
        <v>0</v>
      </c>
      <c r="M230" s="5">
        <f t="shared" si="62"/>
        <v>0</v>
      </c>
      <c r="N230" s="5">
        <v>114871.03</v>
      </c>
      <c r="O230" s="87">
        <f t="shared" si="63"/>
        <v>114871.03</v>
      </c>
      <c r="P230" s="87">
        <f t="shared" si="64"/>
        <v>0</v>
      </c>
      <c r="Q230" s="85">
        <f t="shared" si="65"/>
        <v>1627.3114967721619</v>
      </c>
      <c r="R230" s="6">
        <f t="shared" si="52"/>
        <v>1627.3114967721619</v>
      </c>
      <c r="S230" s="5">
        <f t="shared" si="66"/>
        <v>114871.03</v>
      </c>
      <c r="T230" s="113">
        <v>0.3290892857142857</v>
      </c>
      <c r="U230" s="87">
        <f t="shared" si="53"/>
        <v>25272.484441524164</v>
      </c>
      <c r="V230" s="87">
        <f t="shared" si="54"/>
        <v>3989.9195703845207</v>
      </c>
      <c r="W230" s="87">
        <f t="shared" si="55"/>
        <v>2495.0711559259757</v>
      </c>
      <c r="X230" s="87">
        <f t="shared" si="56"/>
        <v>1439.2194051246968</v>
      </c>
      <c r="Y230" s="87">
        <f t="shared" si="57"/>
        <v>33196.694572959357</v>
      </c>
      <c r="Z230" s="91">
        <f t="shared" si="58"/>
        <v>0.28899100646141468</v>
      </c>
      <c r="AA230" s="86">
        <f t="shared" si="59"/>
        <v>33196.694572959357</v>
      </c>
      <c r="AB230" s="87"/>
      <c r="AC230" s="86">
        <v>33242.514603286385</v>
      </c>
      <c r="AD230" s="147">
        <f t="shared" si="67"/>
        <v>-45.82003032702778</v>
      </c>
      <c r="AE230" s="147">
        <v>-19.499925233933027</v>
      </c>
      <c r="AF230" s="147">
        <f t="shared" si="68"/>
        <v>-26.320105093094753</v>
      </c>
      <c r="AG230" s="86"/>
    </row>
    <row r="231" spans="2:33" x14ac:dyDescent="0.3">
      <c r="B231">
        <v>866</v>
      </c>
      <c r="C231" s="25">
        <v>8</v>
      </c>
      <c r="D231" s="32" t="s">
        <v>238</v>
      </c>
      <c r="E231" s="125">
        <v>160.53138279575614</v>
      </c>
      <c r="F231" s="125">
        <f>INDEX('Revised 2018 Lockdown'!H$5:H$253,MATCH(B231,'Revised 2018 Lockdown'!B$5:B$253,0))</f>
        <v>160.53059013987732</v>
      </c>
      <c r="G231" s="125">
        <f t="shared" si="60"/>
        <v>7.9265587882559885E-4</v>
      </c>
      <c r="H231" s="5">
        <v>63164.800000000003</v>
      </c>
      <c r="I231" s="5">
        <f>INDEX('Revised 2018 Lockdown'!E$5:E$253,MATCH(B231,'Revised 2018 Lockdown'!B$5:B$253,0))</f>
        <v>63164.800000000003</v>
      </c>
      <c r="J231" s="5">
        <f t="shared" si="61"/>
        <v>0</v>
      </c>
      <c r="K231" s="5">
        <v>0</v>
      </c>
      <c r="L231" s="5">
        <f>INDEX('Revised 2018 Lockdown'!F$5:F$253,MATCH(B231,'Revised 2018 Lockdown'!B$5:B$253,0))</f>
        <v>0</v>
      </c>
      <c r="M231" s="5">
        <f t="shared" si="62"/>
        <v>0</v>
      </c>
      <c r="N231" s="5">
        <v>63164.800000000003</v>
      </c>
      <c r="O231" s="87">
        <f t="shared" si="63"/>
        <v>63164.800000000003</v>
      </c>
      <c r="P231" s="87">
        <f t="shared" si="64"/>
        <v>0</v>
      </c>
      <c r="Q231" s="85">
        <f t="shared" si="65"/>
        <v>393.47516224142544</v>
      </c>
      <c r="R231" s="6">
        <f t="shared" si="52"/>
        <v>393.47516224142544</v>
      </c>
      <c r="S231" s="5">
        <f t="shared" si="66"/>
        <v>63164.799999999996</v>
      </c>
      <c r="T231" s="113">
        <v>0.68916666666666659</v>
      </c>
      <c r="U231" s="87">
        <f t="shared" si="53"/>
        <v>13896.727706297972</v>
      </c>
      <c r="V231" s="87">
        <f t="shared" si="54"/>
        <v>9073.6520429209559</v>
      </c>
      <c r="W231" s="87">
        <f t="shared" si="55"/>
        <v>2873.1484532771051</v>
      </c>
      <c r="X231" s="87">
        <f t="shared" si="56"/>
        <v>791.39192780651877</v>
      </c>
      <c r="Y231" s="87">
        <f t="shared" si="57"/>
        <v>26634.920130302551</v>
      </c>
      <c r="Z231" s="91">
        <f t="shared" si="58"/>
        <v>0.42167346576420023</v>
      </c>
      <c r="AA231" s="86">
        <f t="shared" si="59"/>
        <v>26634.920130302551</v>
      </c>
      <c r="AB231" s="87"/>
      <c r="AC231" s="86">
        <v>26661.179407052012</v>
      </c>
      <c r="AD231" s="147">
        <f t="shared" si="67"/>
        <v>-26.259276749460696</v>
      </c>
      <c r="AE231" s="147">
        <v>-9.8510969990747981</v>
      </c>
      <c r="AF231" s="147">
        <f t="shared" si="68"/>
        <v>-16.408179750385898</v>
      </c>
      <c r="AG231" s="86"/>
    </row>
    <row r="232" spans="2:33" x14ac:dyDescent="0.3">
      <c r="B232">
        <v>871</v>
      </c>
      <c r="C232" s="33">
        <v>8</v>
      </c>
      <c r="D232" s="32" t="s">
        <v>239</v>
      </c>
      <c r="E232" s="125">
        <v>16.078387570207461</v>
      </c>
      <c r="F232" s="125">
        <f>INDEX('Revised 2018 Lockdown'!H$5:H$253,MATCH(B232,'Revised 2018 Lockdown'!B$5:B$253,0))</f>
        <v>16.078308179946145</v>
      </c>
      <c r="G232" s="125">
        <f t="shared" si="60"/>
        <v>7.9390261316092392E-5</v>
      </c>
      <c r="H232" s="5">
        <v>11872.16</v>
      </c>
      <c r="I232" s="5">
        <f>INDEX('Revised 2018 Lockdown'!E$5:E$253,MATCH(B232,'Revised 2018 Lockdown'!B$5:B$253,0))</f>
        <v>11872.16</v>
      </c>
      <c r="J232" s="5">
        <f t="shared" si="61"/>
        <v>0</v>
      </c>
      <c r="K232" s="5">
        <v>0</v>
      </c>
      <c r="L232" s="5">
        <f>INDEX('Revised 2018 Lockdown'!F$5:F$253,MATCH(B232,'Revised 2018 Lockdown'!B$5:B$253,0))</f>
        <v>0</v>
      </c>
      <c r="M232" s="5">
        <f t="shared" si="62"/>
        <v>0</v>
      </c>
      <c r="N232" s="5">
        <v>11872.16</v>
      </c>
      <c r="O232" s="87">
        <f t="shared" si="63"/>
        <v>11872.16</v>
      </c>
      <c r="P232" s="87">
        <f t="shared" si="64"/>
        <v>0</v>
      </c>
      <c r="Q232" s="85">
        <f t="shared" si="65"/>
        <v>738.39609659974599</v>
      </c>
      <c r="R232" s="6">
        <f t="shared" si="52"/>
        <v>738.39609659974599</v>
      </c>
      <c r="S232" s="5">
        <f t="shared" si="66"/>
        <v>11872.16</v>
      </c>
      <c r="T232" s="113">
        <v>0.22280952380952382</v>
      </c>
      <c r="U232" s="87">
        <f t="shared" si="53"/>
        <v>2611.9638597067124</v>
      </c>
      <c r="V232" s="87">
        <f t="shared" si="54"/>
        <v>908.79235998921831</v>
      </c>
      <c r="W232" s="87">
        <f t="shared" si="55"/>
        <v>174.59112713668151</v>
      </c>
      <c r="X232" s="87">
        <f t="shared" si="56"/>
        <v>148.74632057138533</v>
      </c>
      <c r="Y232" s="87">
        <f t="shared" si="57"/>
        <v>3844.0936674039972</v>
      </c>
      <c r="Z232" s="91">
        <f t="shared" si="58"/>
        <v>0.32379058801464916</v>
      </c>
      <c r="AA232" s="86">
        <f t="shared" si="59"/>
        <v>3844.0936674039972</v>
      </c>
      <c r="AB232" s="87"/>
      <c r="AC232" s="86">
        <v>3848.6102604372259</v>
      </c>
      <c r="AD232" s="147">
        <f t="shared" si="67"/>
        <v>-4.5165930332286734</v>
      </c>
      <c r="AE232" s="147">
        <v>-1.8284722475532362</v>
      </c>
      <c r="AF232" s="147">
        <f t="shared" si="68"/>
        <v>-2.6881207856754372</v>
      </c>
      <c r="AG232" s="86"/>
    </row>
    <row r="233" spans="2:33" x14ac:dyDescent="0.3">
      <c r="B233">
        <v>873</v>
      </c>
      <c r="C233" s="33">
        <v>8</v>
      </c>
      <c r="D233" s="32" t="s">
        <v>240</v>
      </c>
      <c r="E233" s="125">
        <v>159.24</v>
      </c>
      <c r="F233" s="125">
        <f>INDEX('Revised 2018 Lockdown'!H$5:H$253,MATCH(B233,'Revised 2018 Lockdown'!B$5:B$253,0))</f>
        <v>159.24</v>
      </c>
      <c r="G233" s="125">
        <f t="shared" si="60"/>
        <v>0</v>
      </c>
      <c r="H233" s="5">
        <v>68071.05</v>
      </c>
      <c r="I233" s="5">
        <f>INDEX('Revised 2018 Lockdown'!E$5:E$253,MATCH(B233,'Revised 2018 Lockdown'!B$5:B$253,0))</f>
        <v>68071.05</v>
      </c>
      <c r="J233" s="5">
        <f t="shared" si="61"/>
        <v>0</v>
      </c>
      <c r="K233" s="5">
        <v>0</v>
      </c>
      <c r="L233" s="5">
        <f>INDEX('Revised 2018 Lockdown'!F$5:F$253,MATCH(B233,'Revised 2018 Lockdown'!B$5:B$253,0))</f>
        <v>0</v>
      </c>
      <c r="M233" s="5">
        <f t="shared" si="62"/>
        <v>0</v>
      </c>
      <c r="N233" s="5">
        <v>68071.05</v>
      </c>
      <c r="O233" s="87">
        <f t="shared" si="63"/>
        <v>68071.05</v>
      </c>
      <c r="P233" s="87">
        <f t="shared" si="64"/>
        <v>0</v>
      </c>
      <c r="Q233" s="85">
        <f t="shared" si="65"/>
        <v>427.47456669178598</v>
      </c>
      <c r="R233" s="6">
        <f t="shared" si="52"/>
        <v>427.47456669178598</v>
      </c>
      <c r="S233" s="5">
        <f t="shared" si="66"/>
        <v>68071.05</v>
      </c>
      <c r="T233" s="113">
        <v>0.47672363095238091</v>
      </c>
      <c r="U233" s="87">
        <f t="shared" si="53"/>
        <v>14976.139345518306</v>
      </c>
      <c r="V233" s="87">
        <f t="shared" si="54"/>
        <v>9000.7041652045173</v>
      </c>
      <c r="W233" s="87">
        <f t="shared" si="55"/>
        <v>2141.8438579332901</v>
      </c>
      <c r="X233" s="87">
        <f t="shared" si="56"/>
        <v>852.86234559935167</v>
      </c>
      <c r="Y233" s="87">
        <f t="shared" si="57"/>
        <v>26971.549714255463</v>
      </c>
      <c r="Z233" s="91">
        <f t="shared" si="58"/>
        <v>0.39622643861458667</v>
      </c>
      <c r="AA233" s="86">
        <f t="shared" si="59"/>
        <v>26971.549714255463</v>
      </c>
      <c r="AB233" s="87"/>
      <c r="AC233" s="86">
        <v>26998.472487383002</v>
      </c>
      <c r="AD233" s="147">
        <f t="shared" si="67"/>
        <v>-26.922773127538676</v>
      </c>
      <c r="AE233" s="147">
        <v>-10.206893571819819</v>
      </c>
      <c r="AF233" s="147">
        <f t="shared" si="68"/>
        <v>-16.715879555718857</v>
      </c>
      <c r="AG233" s="86"/>
    </row>
    <row r="234" spans="2:33" x14ac:dyDescent="0.3">
      <c r="B234">
        <v>895</v>
      </c>
      <c r="C234" s="25">
        <v>8</v>
      </c>
      <c r="D234" s="32" t="s">
        <v>241</v>
      </c>
      <c r="E234" s="125">
        <v>9.8090552475101163</v>
      </c>
      <c r="F234" s="125">
        <f>INDEX('Revised 2018 Lockdown'!H$5:H$253,MATCH(B234,'Revised 2018 Lockdown'!B$5:B$253,0))</f>
        <v>9.8090552475101163</v>
      </c>
      <c r="G234" s="125">
        <f t="shared" si="60"/>
        <v>0</v>
      </c>
      <c r="H234" s="5">
        <v>4417.1099999999997</v>
      </c>
      <c r="I234" s="5">
        <f>INDEX('Revised 2018 Lockdown'!E$5:E$253,MATCH(B234,'Revised 2018 Lockdown'!B$5:B$253,0))</f>
        <v>4417.1099999999997</v>
      </c>
      <c r="J234" s="5">
        <f t="shared" si="61"/>
        <v>0</v>
      </c>
      <c r="K234" s="5">
        <v>0</v>
      </c>
      <c r="L234" s="5">
        <f>INDEX('Revised 2018 Lockdown'!F$5:F$253,MATCH(B234,'Revised 2018 Lockdown'!B$5:B$253,0))</f>
        <v>0</v>
      </c>
      <c r="M234" s="5">
        <f t="shared" si="62"/>
        <v>0</v>
      </c>
      <c r="N234" s="5">
        <v>4417.1099999999997</v>
      </c>
      <c r="O234" s="87">
        <f t="shared" si="63"/>
        <v>4417.1099999999997</v>
      </c>
      <c r="P234" s="87">
        <f t="shared" si="64"/>
        <v>0</v>
      </c>
      <c r="Q234" s="85">
        <f t="shared" si="65"/>
        <v>450.30942211496034</v>
      </c>
      <c r="R234" s="6">
        <f t="shared" si="52"/>
        <v>450.30942211496034</v>
      </c>
      <c r="S234" s="5">
        <f t="shared" si="66"/>
        <v>4417.1099999999997</v>
      </c>
      <c r="T234" s="113">
        <v>0.16628571428571429</v>
      </c>
      <c r="U234" s="87">
        <f t="shared" si="53"/>
        <v>971.79718638808072</v>
      </c>
      <c r="V234" s="87">
        <f t="shared" si="54"/>
        <v>554.43609911445321</v>
      </c>
      <c r="W234" s="87">
        <f t="shared" si="55"/>
        <v>48.478796783816826</v>
      </c>
      <c r="X234" s="87">
        <f t="shared" si="56"/>
        <v>55.34198158204336</v>
      </c>
      <c r="Y234" s="87">
        <f t="shared" si="57"/>
        <v>1630.054063868394</v>
      </c>
      <c r="Z234" s="91">
        <f t="shared" si="58"/>
        <v>0.36903180221194265</v>
      </c>
      <c r="AA234" s="86">
        <f t="shared" si="59"/>
        <v>1630.054063868394</v>
      </c>
      <c r="AB234" s="87"/>
      <c r="AC234" s="86">
        <v>1631.6669042167639</v>
      </c>
      <c r="AD234" s="147">
        <f t="shared" si="67"/>
        <v>-1.6128403483699003</v>
      </c>
      <c r="AE234" s="147">
        <v>-0.61168166836591809</v>
      </c>
      <c r="AF234" s="147">
        <f t="shared" si="68"/>
        <v>-1.0011586800039822</v>
      </c>
      <c r="AG234" s="86"/>
    </row>
    <row r="235" spans="2:33" x14ac:dyDescent="0.3">
      <c r="B235">
        <v>905</v>
      </c>
      <c r="C235" s="25">
        <v>8</v>
      </c>
      <c r="D235" s="32" t="s">
        <v>243</v>
      </c>
      <c r="E235" s="125">
        <v>92.836231091018377</v>
      </c>
      <c r="F235" s="125">
        <f>INDEX('Revised 2018 Lockdown'!H$5:H$253,MATCH(B235,'Revised 2018 Lockdown'!B$5:B$253,0))</f>
        <v>92.835772693519658</v>
      </c>
      <c r="G235" s="125">
        <f t="shared" si="60"/>
        <v>4.583974987184547E-4</v>
      </c>
      <c r="H235" s="5">
        <v>57092.91</v>
      </c>
      <c r="I235" s="5">
        <f>INDEX('Revised 2018 Lockdown'!E$5:E$253,MATCH(B235,'Revised 2018 Lockdown'!B$5:B$253,0))</f>
        <v>57092.91</v>
      </c>
      <c r="J235" s="5">
        <f t="shared" si="61"/>
        <v>0</v>
      </c>
      <c r="K235" s="5">
        <v>0</v>
      </c>
      <c r="L235" s="5">
        <f>INDEX('Revised 2018 Lockdown'!F$5:F$253,MATCH(B235,'Revised 2018 Lockdown'!B$5:B$253,0))</f>
        <v>0</v>
      </c>
      <c r="M235" s="5">
        <f t="shared" si="62"/>
        <v>0</v>
      </c>
      <c r="N235" s="5">
        <v>57092.91</v>
      </c>
      <c r="O235" s="87">
        <f t="shared" si="63"/>
        <v>57092.91</v>
      </c>
      <c r="P235" s="87">
        <f t="shared" si="64"/>
        <v>0</v>
      </c>
      <c r="Q235" s="85">
        <f t="shared" si="65"/>
        <v>614.9882566118323</v>
      </c>
      <c r="R235" s="6">
        <f t="shared" si="52"/>
        <v>614.9882566118323</v>
      </c>
      <c r="S235" s="5">
        <f t="shared" si="66"/>
        <v>57092.91</v>
      </c>
      <c r="T235" s="113">
        <v>0.2362559523809524</v>
      </c>
      <c r="U235" s="87">
        <f t="shared" si="53"/>
        <v>12560.866562233659</v>
      </c>
      <c r="V235" s="87">
        <f t="shared" si="54"/>
        <v>5247.3456792422894</v>
      </c>
      <c r="W235" s="87">
        <f t="shared" si="55"/>
        <v>890.27384771717175</v>
      </c>
      <c r="X235" s="87">
        <f t="shared" si="56"/>
        <v>715.31720371130871</v>
      </c>
      <c r="Y235" s="87">
        <f t="shared" si="57"/>
        <v>19413.803292904431</v>
      </c>
      <c r="Z235" s="91">
        <f t="shared" si="58"/>
        <v>0.34003877701985114</v>
      </c>
      <c r="AA235" s="86">
        <f t="shared" si="59"/>
        <v>19413.803292904431</v>
      </c>
      <c r="AB235" s="87"/>
      <c r="AC235" s="86">
        <v>19435.441913004903</v>
      </c>
      <c r="AD235" s="147">
        <f t="shared" si="67"/>
        <v>-21.638620100471599</v>
      </c>
      <c r="AE235" s="147">
        <v>-8.590933768900868</v>
      </c>
      <c r="AF235" s="147">
        <f t="shared" si="68"/>
        <v>-13.047686331570731</v>
      </c>
      <c r="AG235" s="86"/>
    </row>
    <row r="236" spans="2:33" x14ac:dyDescent="0.3">
      <c r="B236">
        <v>907</v>
      </c>
      <c r="C236" s="25">
        <v>8</v>
      </c>
      <c r="D236" s="32" t="s">
        <v>244</v>
      </c>
      <c r="E236" s="125">
        <v>17.277728875220131</v>
      </c>
      <c r="F236" s="125">
        <f>INDEX('Revised 2018 Lockdown'!H$5:H$253,MATCH(B236,'Revised 2018 Lockdown'!B$5:B$253,0))</f>
        <v>17.277643562970734</v>
      </c>
      <c r="G236" s="125">
        <f t="shared" si="60"/>
        <v>8.5312249396451989E-5</v>
      </c>
      <c r="H236" s="5">
        <v>19453.25</v>
      </c>
      <c r="I236" s="5">
        <f>INDEX('Revised 2018 Lockdown'!E$5:E$253,MATCH(B236,'Revised 2018 Lockdown'!B$5:B$253,0))</f>
        <v>19453.25</v>
      </c>
      <c r="J236" s="5">
        <f t="shared" si="61"/>
        <v>0</v>
      </c>
      <c r="K236" s="5">
        <v>0</v>
      </c>
      <c r="L236" s="5">
        <f>INDEX('Revised 2018 Lockdown'!F$5:F$253,MATCH(B236,'Revised 2018 Lockdown'!B$5:B$253,0))</f>
        <v>0</v>
      </c>
      <c r="M236" s="5">
        <f t="shared" si="62"/>
        <v>0</v>
      </c>
      <c r="N236" s="5">
        <v>19453.25</v>
      </c>
      <c r="O236" s="87">
        <f t="shared" si="63"/>
        <v>19453.25</v>
      </c>
      <c r="P236" s="87">
        <f t="shared" si="64"/>
        <v>0</v>
      </c>
      <c r="Q236" s="85">
        <f t="shared" si="65"/>
        <v>1125.9203217788336</v>
      </c>
      <c r="R236" s="6">
        <f t="shared" si="52"/>
        <v>1125.9203217788336</v>
      </c>
      <c r="S236" s="5">
        <f t="shared" si="66"/>
        <v>19453.25</v>
      </c>
      <c r="T236" s="113">
        <v>0.168375</v>
      </c>
      <c r="U236" s="87">
        <f t="shared" si="53"/>
        <v>4279.8602742752455</v>
      </c>
      <c r="V236" s="87">
        <f t="shared" si="54"/>
        <v>976.58225560254778</v>
      </c>
      <c r="W236" s="87">
        <f t="shared" si="55"/>
        <v>216.18644210432834</v>
      </c>
      <c r="X236" s="87">
        <f t="shared" si="56"/>
        <v>243.729815017259</v>
      </c>
      <c r="Y236" s="87">
        <f t="shared" si="57"/>
        <v>5716.3587869993808</v>
      </c>
      <c r="Z236" s="91">
        <f t="shared" si="58"/>
        <v>0.29385109362185652</v>
      </c>
      <c r="AA236" s="86">
        <f t="shared" si="59"/>
        <v>5716.3587869993808</v>
      </c>
      <c r="AB236" s="87"/>
      <c r="AC236" s="86">
        <v>5723.7449824580099</v>
      </c>
      <c r="AD236" s="147">
        <f t="shared" si="67"/>
        <v>-7.3861954586291176</v>
      </c>
      <c r="AE236" s="147">
        <v>-3.0881291576924923</v>
      </c>
      <c r="AF236" s="147">
        <f t="shared" si="68"/>
        <v>-4.2980663009366253</v>
      </c>
      <c r="AG236" s="86"/>
    </row>
    <row r="237" spans="2:33" x14ac:dyDescent="0.3">
      <c r="B237">
        <v>918</v>
      </c>
      <c r="C237" s="25">
        <v>8</v>
      </c>
      <c r="D237" s="32" t="s">
        <v>245</v>
      </c>
      <c r="E237" s="125">
        <v>63.790529260598753</v>
      </c>
      <c r="F237" s="125">
        <f>INDEX('Revised 2018 Lockdown'!H$5:H$253,MATCH(B237,'Revised 2018 Lockdown'!B$5:B$253,0))</f>
        <v>63.790214282074615</v>
      </c>
      <c r="G237" s="125">
        <f t="shared" si="60"/>
        <v>3.1497852413764349E-4</v>
      </c>
      <c r="H237" s="5">
        <v>58594.77</v>
      </c>
      <c r="I237" s="5">
        <f>INDEX('Revised 2018 Lockdown'!E$5:E$253,MATCH(B237,'Revised 2018 Lockdown'!B$5:B$253,0))</f>
        <v>58594.77</v>
      </c>
      <c r="J237" s="5">
        <f t="shared" si="61"/>
        <v>0</v>
      </c>
      <c r="K237" s="5">
        <v>0</v>
      </c>
      <c r="L237" s="5">
        <f>INDEX('Revised 2018 Lockdown'!F$5:F$253,MATCH(B237,'Revised 2018 Lockdown'!B$5:B$253,0))</f>
        <v>0</v>
      </c>
      <c r="M237" s="5">
        <f t="shared" si="62"/>
        <v>0</v>
      </c>
      <c r="N237" s="5">
        <v>58594.77</v>
      </c>
      <c r="O237" s="87">
        <f t="shared" si="63"/>
        <v>58594.77</v>
      </c>
      <c r="P237" s="87">
        <f t="shared" si="64"/>
        <v>0</v>
      </c>
      <c r="Q237" s="85">
        <f t="shared" si="65"/>
        <v>918.55421179335076</v>
      </c>
      <c r="R237" s="6">
        <f t="shared" si="52"/>
        <v>918.55421179335076</v>
      </c>
      <c r="S237" s="5">
        <f t="shared" si="66"/>
        <v>58594.77</v>
      </c>
      <c r="T237" s="113">
        <v>0.43569345238095236</v>
      </c>
      <c r="U237" s="87">
        <f t="shared" si="53"/>
        <v>12891.286977923737</v>
      </c>
      <c r="V237" s="87">
        <f t="shared" si="54"/>
        <v>3605.6069290879027</v>
      </c>
      <c r="W237" s="87">
        <f t="shared" si="55"/>
        <v>1684.994798713562</v>
      </c>
      <c r="X237" s="87">
        <f t="shared" si="56"/>
        <v>734.1340111847037</v>
      </c>
      <c r="Y237" s="87">
        <f t="shared" si="57"/>
        <v>18916.022716909902</v>
      </c>
      <c r="Z237" s="91">
        <f t="shared" si="58"/>
        <v>0.32282783458165126</v>
      </c>
      <c r="AA237" s="86">
        <f t="shared" si="59"/>
        <v>18916.022716909902</v>
      </c>
      <c r="AB237" s="87"/>
      <c r="AC237" s="86">
        <v>18939.745468132602</v>
      </c>
      <c r="AD237" s="147">
        <f t="shared" si="67"/>
        <v>-23.722751222700026</v>
      </c>
      <c r="AE237" s="147">
        <v>-9.7928904012551357</v>
      </c>
      <c r="AF237" s="147">
        <f t="shared" si="68"/>
        <v>-13.92986082144489</v>
      </c>
      <c r="AG237" s="86"/>
    </row>
    <row r="238" spans="2:33" x14ac:dyDescent="0.3">
      <c r="B238">
        <v>922</v>
      </c>
      <c r="C238" s="25">
        <v>8</v>
      </c>
      <c r="D238" s="32" t="s">
        <v>246</v>
      </c>
      <c r="E238" s="125">
        <v>137.06999999999996</v>
      </c>
      <c r="F238" s="125">
        <f>INDEX('Revised 2018 Lockdown'!H$5:H$253,MATCH(B238,'Revised 2018 Lockdown'!B$5:B$253,0))</f>
        <v>137.07</v>
      </c>
      <c r="G238" s="125">
        <f t="shared" si="60"/>
        <v>0</v>
      </c>
      <c r="H238" s="5">
        <v>138545.48000000001</v>
      </c>
      <c r="I238" s="5">
        <f>INDEX('Revised 2018 Lockdown'!E$5:E$253,MATCH(B238,'Revised 2018 Lockdown'!B$5:B$253,0))</f>
        <v>138545.48000000001</v>
      </c>
      <c r="J238" s="5">
        <f t="shared" si="61"/>
        <v>0</v>
      </c>
      <c r="K238" s="5">
        <v>12389.89</v>
      </c>
      <c r="L238" s="5">
        <f>INDEX('Revised 2018 Lockdown'!F$5:F$253,MATCH(B238,'Revised 2018 Lockdown'!B$5:B$253,0))</f>
        <v>12389.89</v>
      </c>
      <c r="M238" s="5">
        <f t="shared" si="62"/>
        <v>0</v>
      </c>
      <c r="N238" s="5">
        <v>126155.59000000001</v>
      </c>
      <c r="O238" s="87">
        <f t="shared" si="63"/>
        <v>126155.59000000001</v>
      </c>
      <c r="P238" s="87">
        <f t="shared" si="64"/>
        <v>0</v>
      </c>
      <c r="Q238" s="85">
        <f t="shared" si="65"/>
        <v>920.37345881666317</v>
      </c>
      <c r="R238" s="6">
        <f t="shared" si="52"/>
        <v>920.37345881666317</v>
      </c>
      <c r="S238" s="5">
        <f t="shared" si="66"/>
        <v>126155.59000000001</v>
      </c>
      <c r="T238" s="113">
        <v>0.41308630952380954</v>
      </c>
      <c r="U238" s="87">
        <f t="shared" si="53"/>
        <v>27755.171913112488</v>
      </c>
      <c r="V238" s="87">
        <f t="shared" si="54"/>
        <v>7747.5918106291329</v>
      </c>
      <c r="W238" s="87">
        <f t="shared" si="55"/>
        <v>3439.5844607359591</v>
      </c>
      <c r="X238" s="87">
        <f t="shared" si="56"/>
        <v>1580.603683913648</v>
      </c>
      <c r="Y238" s="87">
        <f t="shared" si="57"/>
        <v>40522.951868391232</v>
      </c>
      <c r="Z238" s="91">
        <f t="shared" si="58"/>
        <v>0.32121408071090013</v>
      </c>
      <c r="AA238" s="86">
        <f t="shared" si="59"/>
        <v>40522.951868391232</v>
      </c>
      <c r="AB238" s="87"/>
      <c r="AC238" s="86">
        <v>40573.701338576378</v>
      </c>
      <c r="AD238" s="147">
        <f t="shared" si="67"/>
        <v>-50.749470185146492</v>
      </c>
      <c r="AE238" s="147">
        <v>-20.966561041488603</v>
      </c>
      <c r="AF238" s="147">
        <f t="shared" si="68"/>
        <v>-29.782909143657889</v>
      </c>
      <c r="AG238" s="86"/>
    </row>
    <row r="239" spans="2:33" x14ac:dyDescent="0.3">
      <c r="B239">
        <v>924</v>
      </c>
      <c r="C239" s="25">
        <v>8</v>
      </c>
      <c r="D239" s="32" t="s">
        <v>247</v>
      </c>
      <c r="E239" s="125">
        <v>101.88088769949739</v>
      </c>
      <c r="F239" s="125">
        <f>INDEX('Revised 2018 Lockdown'!H$5:H$253,MATCH(B239,'Revised 2018 Lockdown'!B$5:B$253,0))</f>
        <v>101.88038464219379</v>
      </c>
      <c r="G239" s="125">
        <f t="shared" si="60"/>
        <v>5.030573036037822E-4</v>
      </c>
      <c r="H239" s="5">
        <v>59433.15</v>
      </c>
      <c r="I239" s="5">
        <f>INDEX('Revised 2018 Lockdown'!E$5:E$253,MATCH(B239,'Revised 2018 Lockdown'!B$5:B$253,0))</f>
        <v>59433.15</v>
      </c>
      <c r="J239" s="5">
        <f t="shared" si="61"/>
        <v>0</v>
      </c>
      <c r="K239" s="5">
        <v>0</v>
      </c>
      <c r="L239" s="5">
        <f>INDEX('Revised 2018 Lockdown'!F$5:F$253,MATCH(B239,'Revised 2018 Lockdown'!B$5:B$253,0))</f>
        <v>0</v>
      </c>
      <c r="M239" s="5">
        <f t="shared" si="62"/>
        <v>0</v>
      </c>
      <c r="N239" s="5">
        <v>59433.15</v>
      </c>
      <c r="O239" s="87">
        <f t="shared" si="63"/>
        <v>59433.15</v>
      </c>
      <c r="P239" s="87">
        <f t="shared" si="64"/>
        <v>0</v>
      </c>
      <c r="Q239" s="85">
        <f t="shared" si="65"/>
        <v>583.36204961073292</v>
      </c>
      <c r="R239" s="6">
        <f t="shared" si="52"/>
        <v>583.36204961073292</v>
      </c>
      <c r="S239" s="5">
        <f t="shared" si="66"/>
        <v>59433.150000000009</v>
      </c>
      <c r="T239" s="113">
        <v>0.30095238095238092</v>
      </c>
      <c r="U239" s="87">
        <f t="shared" si="53"/>
        <v>13075.736838833711</v>
      </c>
      <c r="V239" s="87">
        <f t="shared" si="54"/>
        <v>5758.5732378901785</v>
      </c>
      <c r="W239" s="87">
        <f t="shared" si="55"/>
        <v>1180.5522403061289</v>
      </c>
      <c r="X239" s="87">
        <f t="shared" si="56"/>
        <v>744.63807617714315</v>
      </c>
      <c r="Y239" s="87">
        <f t="shared" si="57"/>
        <v>20759.500393207163</v>
      </c>
      <c r="Z239" s="91">
        <f t="shared" si="58"/>
        <v>0.34929160566463596</v>
      </c>
      <c r="AA239" s="86">
        <f t="shared" si="59"/>
        <v>20759.500393207163</v>
      </c>
      <c r="AB239" s="87"/>
      <c r="AC239" s="86">
        <v>20782.363797550395</v>
      </c>
      <c r="AD239" s="147">
        <f t="shared" si="67"/>
        <v>-22.863404343232105</v>
      </c>
      <c r="AE239" s="147">
        <v>-9.0279940408108814</v>
      </c>
      <c r="AF239" s="147">
        <f t="shared" si="68"/>
        <v>-13.835410302421224</v>
      </c>
      <c r="AG239" s="86"/>
    </row>
    <row r="240" spans="2:33" x14ac:dyDescent="0.3">
      <c r="B240">
        <v>929</v>
      </c>
      <c r="C240" s="25">
        <v>8</v>
      </c>
      <c r="D240" s="32" t="s">
        <v>248</v>
      </c>
      <c r="E240" s="125">
        <v>63.123226579614247</v>
      </c>
      <c r="F240" s="125">
        <f>INDEX('Revised 2018 Lockdown'!H$5:H$253,MATCH(B240,'Revised 2018 Lockdown'!B$5:B$253,0))</f>
        <v>63.122914896030849</v>
      </c>
      <c r="G240" s="125">
        <f t="shared" si="60"/>
        <v>3.1168358339783708E-4</v>
      </c>
      <c r="H240" s="5">
        <v>48337.61</v>
      </c>
      <c r="I240" s="5">
        <f>INDEX('Revised 2018 Lockdown'!E$5:E$253,MATCH(B240,'Revised 2018 Lockdown'!B$5:B$253,0))</f>
        <v>48337.61</v>
      </c>
      <c r="J240" s="5">
        <f t="shared" si="61"/>
        <v>0</v>
      </c>
      <c r="K240" s="5">
        <v>0</v>
      </c>
      <c r="L240" s="5">
        <f>INDEX('Revised 2018 Lockdown'!F$5:F$253,MATCH(B240,'Revised 2018 Lockdown'!B$5:B$253,0))</f>
        <v>0</v>
      </c>
      <c r="M240" s="5">
        <f t="shared" si="62"/>
        <v>0</v>
      </c>
      <c r="N240" s="5">
        <v>48337.61</v>
      </c>
      <c r="O240" s="87">
        <f t="shared" si="63"/>
        <v>48337.61</v>
      </c>
      <c r="P240" s="87">
        <f t="shared" si="64"/>
        <v>0</v>
      </c>
      <c r="Q240" s="85">
        <f t="shared" si="65"/>
        <v>765.76961123573608</v>
      </c>
      <c r="R240" s="6">
        <f t="shared" si="52"/>
        <v>765.76961123573608</v>
      </c>
      <c r="S240" s="5">
        <f t="shared" si="66"/>
        <v>48337.61</v>
      </c>
      <c r="T240" s="113">
        <v>0.38105952380952385</v>
      </c>
      <c r="U240" s="87">
        <f t="shared" si="53"/>
        <v>10634.635178821527</v>
      </c>
      <c r="V240" s="87">
        <f t="shared" si="54"/>
        <v>3567.889242806802</v>
      </c>
      <c r="W240" s="87">
        <f t="shared" si="55"/>
        <v>1215.7287051389224</v>
      </c>
      <c r="X240" s="87">
        <f t="shared" si="56"/>
        <v>605.62202941289547</v>
      </c>
      <c r="Y240" s="87">
        <f t="shared" si="57"/>
        <v>16023.875156180147</v>
      </c>
      <c r="Z240" s="91">
        <f t="shared" si="58"/>
        <v>0.3314991195505973</v>
      </c>
      <c r="AA240" s="86">
        <f t="shared" si="59"/>
        <v>16023.875156180147</v>
      </c>
      <c r="AB240" s="87"/>
      <c r="AC240" s="86">
        <v>16043.067987434661</v>
      </c>
      <c r="AD240" s="147">
        <f t="shared" si="67"/>
        <v>-19.192831254513294</v>
      </c>
      <c r="AE240" s="147">
        <v>-7.8068320070760819</v>
      </c>
      <c r="AF240" s="147">
        <f t="shared" si="68"/>
        <v>-11.385999247437212</v>
      </c>
      <c r="AG240" s="86"/>
    </row>
    <row r="241" spans="2:33" x14ac:dyDescent="0.3">
      <c r="B241">
        <v>955</v>
      </c>
      <c r="C241" s="25">
        <v>8</v>
      </c>
      <c r="D241" s="32" t="s">
        <v>249</v>
      </c>
      <c r="E241" s="125">
        <v>40.67169248967609</v>
      </c>
      <c r="F241" s="125">
        <f>INDEX('Revised 2018 Lockdown'!H$5:H$253,MATCH(B241,'Revised 2018 Lockdown'!B$5:B$253,0))</f>
        <v>40.67169248967609</v>
      </c>
      <c r="G241" s="125">
        <f t="shared" si="60"/>
        <v>0</v>
      </c>
      <c r="H241" s="5">
        <v>22678.11</v>
      </c>
      <c r="I241" s="5">
        <f>INDEX('Revised 2018 Lockdown'!E$5:E$253,MATCH(B241,'Revised 2018 Lockdown'!B$5:B$253,0))</f>
        <v>22678.11</v>
      </c>
      <c r="J241" s="5">
        <f t="shared" si="61"/>
        <v>0</v>
      </c>
      <c r="K241" s="5">
        <v>0</v>
      </c>
      <c r="L241" s="5">
        <f>INDEX('Revised 2018 Lockdown'!F$5:F$253,MATCH(B241,'Revised 2018 Lockdown'!B$5:B$253,0))</f>
        <v>0</v>
      </c>
      <c r="M241" s="5">
        <f t="shared" si="62"/>
        <v>0</v>
      </c>
      <c r="N241" s="5">
        <v>22678.11</v>
      </c>
      <c r="O241" s="87">
        <f t="shared" si="63"/>
        <v>22678.11</v>
      </c>
      <c r="P241" s="87">
        <f t="shared" si="64"/>
        <v>0</v>
      </c>
      <c r="Q241" s="85">
        <f t="shared" si="65"/>
        <v>557.58953246798137</v>
      </c>
      <c r="R241" s="6">
        <f t="shared" si="52"/>
        <v>557.58953246798137</v>
      </c>
      <c r="S241" s="5">
        <f t="shared" si="66"/>
        <v>22678.11</v>
      </c>
      <c r="T241" s="113">
        <v>0.16628571428571429</v>
      </c>
      <c r="U241" s="87">
        <f t="shared" si="53"/>
        <v>4989.3535570994154</v>
      </c>
      <c r="V241" s="87">
        <f t="shared" si="54"/>
        <v>2298.8813865721231</v>
      </c>
      <c r="W241" s="87">
        <f t="shared" si="55"/>
        <v>248.89746601987369</v>
      </c>
      <c r="X241" s="87">
        <f t="shared" si="56"/>
        <v>284.13409354432048</v>
      </c>
      <c r="Y241" s="87">
        <f t="shared" si="57"/>
        <v>7821.2665032357327</v>
      </c>
      <c r="Z241" s="91">
        <f t="shared" si="58"/>
        <v>0.34488176057157022</v>
      </c>
      <c r="AA241" s="86">
        <f t="shared" si="59"/>
        <v>7821.2665032357327</v>
      </c>
      <c r="AB241" s="87"/>
      <c r="AC241" s="86">
        <v>7829.6495539617144</v>
      </c>
      <c r="AD241" s="147">
        <f t="shared" si="67"/>
        <v>-8.383050725981775</v>
      </c>
      <c r="AE241" s="147">
        <v>-3.2871821754579287</v>
      </c>
      <c r="AF241" s="147">
        <f t="shared" si="68"/>
        <v>-5.0958685505238464</v>
      </c>
      <c r="AG241" s="86"/>
    </row>
    <row r="242" spans="2:33" x14ac:dyDescent="0.3">
      <c r="B242">
        <v>973</v>
      </c>
      <c r="C242" s="25">
        <v>8</v>
      </c>
      <c r="D242" s="32" t="s">
        <v>250</v>
      </c>
      <c r="E242" s="125">
        <v>7.5601498980809678</v>
      </c>
      <c r="F242" s="125">
        <f>INDEX('Revised 2018 Lockdown'!H$5:H$253,MATCH(B242,'Revised 2018 Lockdown'!B$5:B$253,0))</f>
        <v>7.5601498980809678</v>
      </c>
      <c r="G242" s="125">
        <f t="shared" si="60"/>
        <v>0</v>
      </c>
      <c r="H242" s="5">
        <v>10497.69</v>
      </c>
      <c r="I242" s="5">
        <f>INDEX('Revised 2018 Lockdown'!E$5:E$253,MATCH(B242,'Revised 2018 Lockdown'!B$5:B$253,0))</f>
        <v>10497.69</v>
      </c>
      <c r="J242" s="5">
        <f t="shared" si="61"/>
        <v>0</v>
      </c>
      <c r="K242" s="5">
        <v>0</v>
      </c>
      <c r="L242" s="5">
        <f>INDEX('Revised 2018 Lockdown'!F$5:F$253,MATCH(B242,'Revised 2018 Lockdown'!B$5:B$253,0))</f>
        <v>0</v>
      </c>
      <c r="M242" s="5">
        <f t="shared" si="62"/>
        <v>0</v>
      </c>
      <c r="N242" s="5">
        <v>10497.69</v>
      </c>
      <c r="O242" s="87">
        <f t="shared" si="63"/>
        <v>10497.69</v>
      </c>
      <c r="P242" s="87">
        <f t="shared" si="64"/>
        <v>0</v>
      </c>
      <c r="Q242" s="85">
        <f t="shared" si="65"/>
        <v>1388.5558013426009</v>
      </c>
      <c r="R242" s="6">
        <f t="shared" si="52"/>
        <v>1388.5558013426009</v>
      </c>
      <c r="S242" s="5">
        <f t="shared" si="66"/>
        <v>10497.69</v>
      </c>
      <c r="T242" s="113">
        <v>0.11225</v>
      </c>
      <c r="U242" s="87">
        <f t="shared" si="53"/>
        <v>2309.5701953481557</v>
      </c>
      <c r="V242" s="87">
        <f t="shared" si="54"/>
        <v>427.3214812687005</v>
      </c>
      <c r="W242" s="87">
        <f t="shared" si="55"/>
        <v>77.774776328349148</v>
      </c>
      <c r="X242" s="87">
        <f t="shared" si="56"/>
        <v>131.52558270769819</v>
      </c>
      <c r="Y242" s="87">
        <f t="shared" si="57"/>
        <v>2946.1920356529035</v>
      </c>
      <c r="Z242" s="91">
        <f t="shared" si="58"/>
        <v>0.28065146100264948</v>
      </c>
      <c r="AA242" s="86">
        <f t="shared" si="59"/>
        <v>2946.1920356529035</v>
      </c>
      <c r="AB242" s="87"/>
      <c r="AC242" s="86">
        <v>2950.1339188882603</v>
      </c>
      <c r="AD242" s="147">
        <f t="shared" si="67"/>
        <v>-3.9418832353567268</v>
      </c>
      <c r="AE242" s="147">
        <v>-1.6680036267321157</v>
      </c>
      <c r="AF242" s="147">
        <f t="shared" si="68"/>
        <v>-2.2738796086246111</v>
      </c>
      <c r="AG242" s="86"/>
    </row>
    <row r="243" spans="2:33" x14ac:dyDescent="0.3">
      <c r="B243">
        <v>974</v>
      </c>
      <c r="C243" s="25">
        <v>8</v>
      </c>
      <c r="D243" s="32" t="s">
        <v>251</v>
      </c>
      <c r="E243" s="125">
        <v>15.839999999999998</v>
      </c>
      <c r="F243" s="125">
        <f>INDEX('Revised 2018 Lockdown'!H$5:H$253,MATCH(B243,'Revised 2018 Lockdown'!B$5:B$253,0))</f>
        <v>15.839999999999998</v>
      </c>
      <c r="G243" s="125">
        <f t="shared" si="60"/>
        <v>0</v>
      </c>
      <c r="H243" s="5">
        <v>14226.72</v>
      </c>
      <c r="I243" s="5">
        <f>INDEX('Revised 2018 Lockdown'!E$5:E$253,MATCH(B243,'Revised 2018 Lockdown'!B$5:B$253,0))</f>
        <v>14226.72</v>
      </c>
      <c r="J243" s="5">
        <f t="shared" si="61"/>
        <v>0</v>
      </c>
      <c r="K243" s="5">
        <v>0</v>
      </c>
      <c r="L243" s="5">
        <f>INDEX('Revised 2018 Lockdown'!F$5:F$253,MATCH(B243,'Revised 2018 Lockdown'!B$5:B$253,0))</f>
        <v>0</v>
      </c>
      <c r="M243" s="5">
        <f t="shared" si="62"/>
        <v>0</v>
      </c>
      <c r="N243" s="5">
        <v>14226.72</v>
      </c>
      <c r="O243" s="87">
        <f t="shared" si="63"/>
        <v>14226.72</v>
      </c>
      <c r="P243" s="87">
        <f t="shared" si="64"/>
        <v>0</v>
      </c>
      <c r="Q243" s="85">
        <f t="shared" si="65"/>
        <v>898.15151515151524</v>
      </c>
      <c r="R243" s="6">
        <f t="shared" si="52"/>
        <v>898.15151515151524</v>
      </c>
      <c r="S243" s="5">
        <f t="shared" si="66"/>
        <v>14226.72</v>
      </c>
      <c r="T243" s="113">
        <v>0.28751785714285716</v>
      </c>
      <c r="U243" s="87">
        <f t="shared" si="53"/>
        <v>3129.9846432466102</v>
      </c>
      <c r="V243" s="87">
        <f t="shared" si="54"/>
        <v>895.32249420271</v>
      </c>
      <c r="W243" s="87">
        <f t="shared" si="55"/>
        <v>269.97794325489468</v>
      </c>
      <c r="X243" s="87">
        <f t="shared" si="56"/>
        <v>178.24660835090995</v>
      </c>
      <c r="Y243" s="87">
        <f t="shared" si="57"/>
        <v>4473.5316890551248</v>
      </c>
      <c r="Z243" s="91">
        <f t="shared" si="58"/>
        <v>0.31444575341717029</v>
      </c>
      <c r="AA243" s="86">
        <f t="shared" si="59"/>
        <v>4473.5316890551248</v>
      </c>
      <c r="AB243" s="87"/>
      <c r="AC243" s="86">
        <v>4479.0687086123107</v>
      </c>
      <c r="AD243" s="147">
        <f t="shared" si="67"/>
        <v>-5.5370195571858858</v>
      </c>
      <c r="AE243" s="147">
        <v>-2.282323707750038</v>
      </c>
      <c r="AF243" s="147">
        <f t="shared" si="68"/>
        <v>-3.2546958494358478</v>
      </c>
      <c r="AG243" s="86"/>
    </row>
    <row r="244" spans="2:33" x14ac:dyDescent="0.3">
      <c r="B244">
        <v>985</v>
      </c>
      <c r="C244" s="25">
        <v>8</v>
      </c>
      <c r="D244" s="32" t="s">
        <v>253</v>
      </c>
      <c r="E244" s="125">
        <v>44.348575474077556</v>
      </c>
      <c r="F244" s="125">
        <f>INDEX('Revised 2018 Lockdown'!H$5:H$253,MATCH(B244,'Revised 2018 Lockdown'!B$5:B$253,0))</f>
        <v>44.348356494097104</v>
      </c>
      <c r="G244" s="125">
        <f t="shared" si="60"/>
        <v>2.1897998045261602E-4</v>
      </c>
      <c r="H244" s="5">
        <v>97273.34</v>
      </c>
      <c r="I244" s="5">
        <f>INDEX('Revised 2018 Lockdown'!E$5:E$253,MATCH(B244,'Revised 2018 Lockdown'!B$5:B$253,0))</f>
        <v>97273.34</v>
      </c>
      <c r="J244" s="5">
        <f t="shared" si="61"/>
        <v>0</v>
      </c>
      <c r="K244" s="5">
        <v>0</v>
      </c>
      <c r="L244" s="5">
        <f>INDEX('Revised 2018 Lockdown'!F$5:F$253,MATCH(B244,'Revised 2018 Lockdown'!B$5:B$253,0))</f>
        <v>0</v>
      </c>
      <c r="M244" s="5">
        <f t="shared" si="62"/>
        <v>0</v>
      </c>
      <c r="N244" s="5">
        <v>97273.34</v>
      </c>
      <c r="O244" s="87">
        <f t="shared" si="63"/>
        <v>97273.34</v>
      </c>
      <c r="P244" s="87">
        <f t="shared" si="64"/>
        <v>0</v>
      </c>
      <c r="Q244" s="85">
        <f t="shared" si="65"/>
        <v>2193.3922176563042</v>
      </c>
      <c r="R244" s="6">
        <f t="shared" si="52"/>
        <v>1721.6726653359638</v>
      </c>
      <c r="S244" s="5">
        <f t="shared" si="66"/>
        <v>76353.353128461662</v>
      </c>
      <c r="T244" s="113">
        <v>0.28862500000000002</v>
      </c>
      <c r="U244" s="87">
        <f t="shared" si="53"/>
        <v>16798.30788491448</v>
      </c>
      <c r="V244" s="87">
        <f t="shared" si="54"/>
        <v>2506.6970423034072</v>
      </c>
      <c r="W244" s="87">
        <f t="shared" si="55"/>
        <v>1454.5234839850325</v>
      </c>
      <c r="X244" s="87">
        <f t="shared" si="56"/>
        <v>956.6313409814511</v>
      </c>
      <c r="Y244" s="87">
        <f t="shared" si="57"/>
        <v>21716.159752184369</v>
      </c>
      <c r="Z244" s="91">
        <f t="shared" si="58"/>
        <v>0.28441658240794926</v>
      </c>
      <c r="AA244" s="86">
        <f t="shared" si="59"/>
        <v>21716.159752184369</v>
      </c>
      <c r="AB244" s="87"/>
      <c r="AC244" s="86">
        <v>21660.938951188615</v>
      </c>
      <c r="AD244" s="147">
        <f t="shared" si="67"/>
        <v>55.220800995753962</v>
      </c>
      <c r="AE244" s="147">
        <v>177.9068161185096</v>
      </c>
      <c r="AF244" s="147">
        <f t="shared" si="68"/>
        <v>-122.68601512275563</v>
      </c>
      <c r="AG244" s="86"/>
    </row>
    <row r="245" spans="2:33" x14ac:dyDescent="0.3">
      <c r="B245">
        <v>159</v>
      </c>
      <c r="C245" s="25">
        <v>9</v>
      </c>
      <c r="D245" s="32" t="s">
        <v>255</v>
      </c>
      <c r="E245" s="125">
        <v>836.31061134951221</v>
      </c>
      <c r="F245" s="125">
        <f>INDEX('Revised 2018 Lockdown'!H$5:H$253,MATCH(B245,'Revised 2018 Lockdown'!B$5:B$253,0))</f>
        <v>836.30648189824205</v>
      </c>
      <c r="G245" s="125">
        <f t="shared" si="60"/>
        <v>4.1294512701597341E-3</v>
      </c>
      <c r="H245" s="5">
        <v>185850.32</v>
      </c>
      <c r="I245" s="5">
        <f>INDEX('Revised 2018 Lockdown'!E$5:E$253,MATCH(B245,'Revised 2018 Lockdown'!B$5:B$253,0))</f>
        <v>185850.32</v>
      </c>
      <c r="J245" s="5">
        <f t="shared" si="61"/>
        <v>0</v>
      </c>
      <c r="K245" s="5">
        <v>0</v>
      </c>
      <c r="L245" s="5">
        <f>INDEX('Revised 2018 Lockdown'!F$5:F$253,MATCH(B245,'Revised 2018 Lockdown'!B$5:B$253,0))</f>
        <v>0</v>
      </c>
      <c r="M245" s="5">
        <f t="shared" si="62"/>
        <v>0</v>
      </c>
      <c r="N245" s="5">
        <v>185850.32</v>
      </c>
      <c r="O245" s="87">
        <f t="shared" si="63"/>
        <v>185850.32</v>
      </c>
      <c r="P245" s="87">
        <f t="shared" si="64"/>
        <v>0</v>
      </c>
      <c r="Q245" s="85">
        <f t="shared" si="65"/>
        <v>222.22752546190767</v>
      </c>
      <c r="R245" s="6">
        <f t="shared" si="52"/>
        <v>222.22752546190767</v>
      </c>
      <c r="S245" s="5">
        <f t="shared" si="66"/>
        <v>185850.32</v>
      </c>
      <c r="T245" s="113">
        <v>0.77770833333333333</v>
      </c>
      <c r="U245" s="87">
        <f t="shared" si="53"/>
        <v>40888.458305390734</v>
      </c>
      <c r="V245" s="87">
        <f t="shared" si="54"/>
        <v>47270.454879484067</v>
      </c>
      <c r="W245" s="87">
        <f t="shared" si="55"/>
        <v>9539.7884283764743</v>
      </c>
      <c r="X245" s="87">
        <f t="shared" si="56"/>
        <v>2328.5190965262045</v>
      </c>
      <c r="Y245" s="87">
        <f t="shared" si="57"/>
        <v>100027.22070977748</v>
      </c>
      <c r="Z245" s="91">
        <f t="shared" si="58"/>
        <v>0.53821387399159426</v>
      </c>
      <c r="AA245" s="86">
        <f t="shared" si="59"/>
        <v>100027.22070977748</v>
      </c>
      <c r="AB245" s="87"/>
      <c r="AC245" s="86">
        <v>100102.41203720622</v>
      </c>
      <c r="AD245" s="147">
        <f t="shared" si="67"/>
        <v>-75.191327428736258</v>
      </c>
      <c r="AE245" s="147">
        <v>-24.17661119546392</v>
      </c>
      <c r="AF245" s="147">
        <f t="shared" si="68"/>
        <v>-51.014716233272338</v>
      </c>
      <c r="AG245" s="86"/>
    </row>
    <row r="246" spans="2:33" x14ac:dyDescent="0.3">
      <c r="B246">
        <v>173</v>
      </c>
      <c r="C246" s="25">
        <v>9</v>
      </c>
      <c r="D246" s="32" t="s">
        <v>256</v>
      </c>
      <c r="E246" s="125">
        <v>331.48</v>
      </c>
      <c r="F246" s="125">
        <f>INDEX('Revised 2018 Lockdown'!H$5:H$253,MATCH(B246,'Revised 2018 Lockdown'!B$5:B$253,0))</f>
        <v>331.48</v>
      </c>
      <c r="G246" s="125">
        <f t="shared" si="60"/>
        <v>0</v>
      </c>
      <c r="H246" s="5">
        <v>163416.66</v>
      </c>
      <c r="I246" s="5">
        <f>INDEX('Revised 2018 Lockdown'!E$5:E$253,MATCH(B246,'Revised 2018 Lockdown'!B$5:B$253,0))</f>
        <v>163416.66</v>
      </c>
      <c r="J246" s="5">
        <f t="shared" si="61"/>
        <v>0</v>
      </c>
      <c r="K246" s="5">
        <v>8.85</v>
      </c>
      <c r="L246" s="5">
        <f>INDEX('Revised 2018 Lockdown'!F$5:F$253,MATCH(B246,'Revised 2018 Lockdown'!B$5:B$253,0))</f>
        <v>8.85</v>
      </c>
      <c r="M246" s="5">
        <f t="shared" si="62"/>
        <v>0</v>
      </c>
      <c r="N246" s="5">
        <v>163407.81</v>
      </c>
      <c r="O246" s="87">
        <f t="shared" si="63"/>
        <v>163407.81</v>
      </c>
      <c r="P246" s="87">
        <f t="shared" si="64"/>
        <v>0</v>
      </c>
      <c r="Q246" s="85">
        <f t="shared" si="65"/>
        <v>492.96431157234218</v>
      </c>
      <c r="R246" s="6">
        <f t="shared" si="52"/>
        <v>492.96431157234218</v>
      </c>
      <c r="S246" s="5">
        <f t="shared" si="66"/>
        <v>163407.81</v>
      </c>
      <c r="T246" s="113">
        <v>0.83794047619047607</v>
      </c>
      <c r="U246" s="87">
        <f t="shared" si="53"/>
        <v>35950.938507720675</v>
      </c>
      <c r="V246" s="87">
        <f t="shared" si="54"/>
        <v>18736.205831964289</v>
      </c>
      <c r="W246" s="87">
        <f t="shared" si="55"/>
        <v>9037.423959796195</v>
      </c>
      <c r="X246" s="87">
        <f t="shared" si="56"/>
        <v>2047.3368359361755</v>
      </c>
      <c r="Y246" s="87">
        <f t="shared" si="57"/>
        <v>65771.905135417328</v>
      </c>
      <c r="Z246" s="91">
        <f t="shared" si="58"/>
        <v>0.40250160096642462</v>
      </c>
      <c r="AA246" s="86">
        <f t="shared" si="59"/>
        <v>65771.905135417328</v>
      </c>
      <c r="AB246" s="87"/>
      <c r="AC246" s="86">
        <v>65843.085660791519</v>
      </c>
      <c r="AD246" s="147">
        <f t="shared" si="67"/>
        <v>-71.180525374191348</v>
      </c>
      <c r="AE246" s="147">
        <v>-27.792458461248316</v>
      </c>
      <c r="AF246" s="147">
        <f t="shared" si="68"/>
        <v>-43.388066912943032</v>
      </c>
      <c r="AG246" s="86"/>
    </row>
    <row r="247" spans="2:33" x14ac:dyDescent="0.3">
      <c r="B247">
        <v>204</v>
      </c>
      <c r="C247" s="25">
        <v>9</v>
      </c>
      <c r="D247" s="32" t="s">
        <v>257</v>
      </c>
      <c r="E247" s="125">
        <v>580.96721526919669</v>
      </c>
      <c r="F247" s="125">
        <f>INDEX('Revised 2018 Lockdown'!H$5:H$253,MATCH(B247,'Revised 2018 Lockdown'!B$5:B$253,0))</f>
        <v>581.54937871071559</v>
      </c>
      <c r="G247" s="125">
        <f t="shared" si="60"/>
        <v>-0.58216344151890098</v>
      </c>
      <c r="H247" s="5">
        <v>537687.29</v>
      </c>
      <c r="I247" s="5">
        <f>INDEX('Revised 2018 Lockdown'!E$5:E$253,MATCH(B247,'Revised 2018 Lockdown'!B$5:B$253,0))</f>
        <v>440563.7</v>
      </c>
      <c r="J247" s="5">
        <f t="shared" si="61"/>
        <v>97123.590000000026</v>
      </c>
      <c r="K247" s="5">
        <v>13863.43</v>
      </c>
      <c r="L247" s="5">
        <f>INDEX('Revised 2018 Lockdown'!F$5:F$253,MATCH(B247,'Revised 2018 Lockdown'!B$5:B$253,0))</f>
        <v>14024.64</v>
      </c>
      <c r="M247" s="5">
        <f t="shared" si="62"/>
        <v>-161.20999999999913</v>
      </c>
      <c r="N247" s="5">
        <v>523823.86000000004</v>
      </c>
      <c r="O247" s="87">
        <f t="shared" si="63"/>
        <v>426539.06</v>
      </c>
      <c r="P247" s="87">
        <f t="shared" si="64"/>
        <v>97284.800000000047</v>
      </c>
      <c r="Q247" s="85">
        <f t="shared" si="65"/>
        <v>733.45286851759579</v>
      </c>
      <c r="R247" s="6">
        <f t="shared" si="52"/>
        <v>733.45286851759579</v>
      </c>
      <c r="S247" s="5">
        <f t="shared" si="66"/>
        <v>426539.06</v>
      </c>
      <c r="T247" s="113">
        <v>0.38543303571428572</v>
      </c>
      <c r="U247" s="87">
        <f t="shared" si="53"/>
        <v>93841.778536784623</v>
      </c>
      <c r="V247" s="87">
        <f t="shared" si="54"/>
        <v>32870.848500588028</v>
      </c>
      <c r="W247" s="87">
        <f t="shared" si="55"/>
        <v>10850.916473478179</v>
      </c>
      <c r="X247" s="87">
        <f t="shared" si="56"/>
        <v>5344.1088862496263</v>
      </c>
      <c r="Y247" s="87">
        <f t="shared" si="57"/>
        <v>142907.65239710044</v>
      </c>
      <c r="Z247" s="91">
        <f t="shared" si="58"/>
        <v>0.33504001344472517</v>
      </c>
      <c r="AA247" s="86">
        <f t="shared" si="59"/>
        <v>142907.65239710044</v>
      </c>
      <c r="AB247" s="87"/>
      <c r="AC247" s="86">
        <v>168181.00328972714</v>
      </c>
      <c r="AD247" s="147">
        <f t="shared" si="67"/>
        <v>-25273.35089262671</v>
      </c>
      <c r="AE247" s="147">
        <v>-25172.812008220266</v>
      </c>
      <c r="AF247" s="147">
        <f t="shared" si="68"/>
        <v>-100.53888440644369</v>
      </c>
      <c r="AG247" s="86"/>
    </row>
    <row r="248" spans="2:33" x14ac:dyDescent="0.3">
      <c r="B248">
        <v>230</v>
      </c>
      <c r="C248" s="25">
        <v>9</v>
      </c>
      <c r="D248" s="32" t="s">
        <v>259</v>
      </c>
      <c r="E248" s="125">
        <v>138.87109847515134</v>
      </c>
      <c r="F248" s="125">
        <f>INDEX('Revised 2018 Lockdown'!H$5:H$253,MATCH(B248,'Revised 2018 Lockdown'!B$5:B$253,0))</f>
        <v>138.87041277126787</v>
      </c>
      <c r="G248" s="125">
        <f t="shared" si="60"/>
        <v>6.8570388347666267E-4</v>
      </c>
      <c r="H248" s="5">
        <v>74126.899999999994</v>
      </c>
      <c r="I248" s="5">
        <f>INDEX('Revised 2018 Lockdown'!E$5:E$253,MATCH(B248,'Revised 2018 Lockdown'!B$5:B$253,0))</f>
        <v>74126.899999999994</v>
      </c>
      <c r="J248" s="5">
        <f t="shared" si="61"/>
        <v>0</v>
      </c>
      <c r="K248" s="5">
        <v>2183.36</v>
      </c>
      <c r="L248" s="5">
        <f>INDEX('Revised 2018 Lockdown'!F$5:F$253,MATCH(B248,'Revised 2018 Lockdown'!B$5:B$253,0))</f>
        <v>2183.36</v>
      </c>
      <c r="M248" s="5">
        <f t="shared" si="62"/>
        <v>0</v>
      </c>
      <c r="N248" s="5">
        <v>71943.539999999994</v>
      </c>
      <c r="O248" s="87">
        <f t="shared" si="63"/>
        <v>71943.539999999994</v>
      </c>
      <c r="P248" s="87">
        <f t="shared" si="64"/>
        <v>0</v>
      </c>
      <c r="Q248" s="85">
        <f t="shared" si="65"/>
        <v>518.06240482987198</v>
      </c>
      <c r="R248" s="6">
        <f t="shared" si="52"/>
        <v>518.06240482987198</v>
      </c>
      <c r="S248" s="5">
        <f t="shared" si="66"/>
        <v>71943.539999999994</v>
      </c>
      <c r="T248" s="113">
        <v>0.28373511904761906</v>
      </c>
      <c r="U248" s="87">
        <f t="shared" si="53"/>
        <v>15828.116064756896</v>
      </c>
      <c r="V248" s="87">
        <f t="shared" si="54"/>
        <v>7849.3563341749641</v>
      </c>
      <c r="W248" s="87">
        <f t="shared" si="55"/>
        <v>1347.2977187799986</v>
      </c>
      <c r="X248" s="87">
        <f t="shared" si="56"/>
        <v>901.38078192007879</v>
      </c>
      <c r="Y248" s="87">
        <f t="shared" si="57"/>
        <v>25926.150899631935</v>
      </c>
      <c r="Z248" s="91">
        <f t="shared" si="58"/>
        <v>0.36036801774880606</v>
      </c>
      <c r="AA248" s="86">
        <f t="shared" si="59"/>
        <v>25926.150899631935</v>
      </c>
      <c r="AB248" s="87"/>
      <c r="AC248" s="86">
        <v>25953.540657117726</v>
      </c>
      <c r="AD248" s="147">
        <f t="shared" si="67"/>
        <v>-27.389757485791051</v>
      </c>
      <c r="AE248" s="147">
        <v>-10.640055453193781</v>
      </c>
      <c r="AF248" s="147">
        <f t="shared" si="68"/>
        <v>-16.74970203259727</v>
      </c>
      <c r="AG248" s="86"/>
    </row>
    <row r="249" spans="2:33" x14ac:dyDescent="0.3">
      <c r="B249">
        <v>277</v>
      </c>
      <c r="C249" s="25">
        <v>9</v>
      </c>
      <c r="D249" s="32" t="s">
        <v>260</v>
      </c>
      <c r="E249" s="125">
        <v>116.68788323704716</v>
      </c>
      <c r="F249" s="125">
        <f>INDEX('Revised 2018 Lockdown'!H$5:H$253,MATCH(B249,'Revised 2018 Lockdown'!B$5:B$253,0))</f>
        <v>116.68788323704716</v>
      </c>
      <c r="G249" s="125">
        <f t="shared" si="60"/>
        <v>0</v>
      </c>
      <c r="H249" s="5">
        <v>80836.320000000007</v>
      </c>
      <c r="I249" s="5">
        <f>INDEX('Revised 2018 Lockdown'!E$5:E$253,MATCH(B249,'Revised 2018 Lockdown'!B$5:B$253,0))</f>
        <v>80836.320000000007</v>
      </c>
      <c r="J249" s="5">
        <f t="shared" si="61"/>
        <v>0</v>
      </c>
      <c r="K249" s="5">
        <v>0</v>
      </c>
      <c r="L249" s="5">
        <f>INDEX('Revised 2018 Lockdown'!F$5:F$253,MATCH(B249,'Revised 2018 Lockdown'!B$5:B$253,0))</f>
        <v>0</v>
      </c>
      <c r="M249" s="5">
        <f t="shared" si="62"/>
        <v>0</v>
      </c>
      <c r="N249" s="5">
        <v>80836.320000000007</v>
      </c>
      <c r="O249" s="87">
        <f t="shared" si="63"/>
        <v>80836.320000000007</v>
      </c>
      <c r="P249" s="87">
        <f t="shared" si="64"/>
        <v>0</v>
      </c>
      <c r="Q249" s="85">
        <f t="shared" si="65"/>
        <v>692.75676066369272</v>
      </c>
      <c r="R249" s="6">
        <f t="shared" si="52"/>
        <v>692.75676066369272</v>
      </c>
      <c r="S249" s="5">
        <f t="shared" si="66"/>
        <v>80836.320000000007</v>
      </c>
      <c r="T249" s="113">
        <v>0.35522321428571429</v>
      </c>
      <c r="U249" s="87">
        <f t="shared" si="53"/>
        <v>17784.594074851328</v>
      </c>
      <c r="V249" s="87">
        <f t="shared" si="54"/>
        <v>6595.5357741810394</v>
      </c>
      <c r="W249" s="87">
        <f t="shared" si="55"/>
        <v>1895.2502016106073</v>
      </c>
      <c r="X249" s="87">
        <f t="shared" si="56"/>
        <v>1012.7984434619385</v>
      </c>
      <c r="Y249" s="87">
        <f t="shared" si="57"/>
        <v>27288.178494104915</v>
      </c>
      <c r="Z249" s="91">
        <f t="shared" si="58"/>
        <v>0.33757324051991622</v>
      </c>
      <c r="AA249" s="86">
        <f t="shared" si="59"/>
        <v>27288.178494104915</v>
      </c>
      <c r="AB249" s="87"/>
      <c r="AC249" s="86">
        <v>27319.915270257741</v>
      </c>
      <c r="AD249" s="147">
        <f t="shared" si="67"/>
        <v>-31.736776152825769</v>
      </c>
      <c r="AE249" s="147">
        <v>-12.797911674952047</v>
      </c>
      <c r="AF249" s="147">
        <f t="shared" si="68"/>
        <v>-18.938864477873722</v>
      </c>
      <c r="AG249" s="86"/>
    </row>
    <row r="250" spans="2:33" x14ac:dyDescent="0.3">
      <c r="B250">
        <v>279</v>
      </c>
      <c r="C250" s="33">
        <v>9</v>
      </c>
      <c r="D250" s="32" t="s">
        <v>261</v>
      </c>
      <c r="E250" s="125">
        <v>433.73772503612372</v>
      </c>
      <c r="F250" s="125">
        <f>INDEX('Revised 2018 Lockdown'!H$5:H$253,MATCH(B250,'Revised 2018 Lockdown'!B$5:B$253,0))</f>
        <v>433.73558336916977</v>
      </c>
      <c r="G250" s="125">
        <f t="shared" si="60"/>
        <v>2.1416669539462418E-3</v>
      </c>
      <c r="H250" s="5">
        <v>169004.5</v>
      </c>
      <c r="I250" s="5">
        <f>INDEX('Revised 2018 Lockdown'!E$5:E$253,MATCH(B250,'Revised 2018 Lockdown'!B$5:B$253,0))</f>
        <v>170142.93</v>
      </c>
      <c r="J250" s="5">
        <f t="shared" si="61"/>
        <v>-1138.429999999993</v>
      </c>
      <c r="K250" s="5">
        <v>672</v>
      </c>
      <c r="L250" s="5">
        <f>INDEX('Revised 2018 Lockdown'!F$5:F$253,MATCH(B250,'Revised 2018 Lockdown'!B$5:B$253,0))</f>
        <v>671.56</v>
      </c>
      <c r="M250" s="5">
        <f t="shared" si="62"/>
        <v>0.44000000000005457</v>
      </c>
      <c r="N250" s="5">
        <v>168332.5</v>
      </c>
      <c r="O250" s="87">
        <f t="shared" si="63"/>
        <v>169471.37</v>
      </c>
      <c r="P250" s="87">
        <f t="shared" si="64"/>
        <v>-1138.8699999999953</v>
      </c>
      <c r="Q250" s="85">
        <f t="shared" si="65"/>
        <v>390.72507882240342</v>
      </c>
      <c r="R250" s="6">
        <f t="shared" si="52"/>
        <v>390.72507882240342</v>
      </c>
      <c r="S250" s="5">
        <f t="shared" si="66"/>
        <v>169471.37</v>
      </c>
      <c r="T250" s="113">
        <v>0.39679464285714283</v>
      </c>
      <c r="U250" s="87">
        <f t="shared" si="53"/>
        <v>37284.966989577668</v>
      </c>
      <c r="V250" s="87">
        <f t="shared" si="54"/>
        <v>24515.986384252057</v>
      </c>
      <c r="W250" s="87">
        <f t="shared" si="55"/>
        <v>4438.3425481709482</v>
      </c>
      <c r="X250" s="87">
        <f t="shared" si="56"/>
        <v>2123.3071934417876</v>
      </c>
      <c r="Y250" s="87">
        <f t="shared" si="57"/>
        <v>68362.603115442456</v>
      </c>
      <c r="Z250" s="91">
        <f t="shared" si="58"/>
        <v>0.40338732799199334</v>
      </c>
      <c r="AA250" s="86">
        <f t="shared" si="59"/>
        <v>68362.603115442456</v>
      </c>
      <c r="AB250" s="87"/>
      <c r="AC250" s="86">
        <v>68132.852823755282</v>
      </c>
      <c r="AD250" s="147">
        <f t="shared" si="67"/>
        <v>229.75029168717447</v>
      </c>
      <c r="AE250" s="147">
        <v>270.85632235294906</v>
      </c>
      <c r="AF250" s="147">
        <f t="shared" si="68"/>
        <v>-41.106030665774597</v>
      </c>
      <c r="AG250" s="86"/>
    </row>
    <row r="251" spans="2:33" x14ac:dyDescent="0.3">
      <c r="B251">
        <v>331</v>
      </c>
      <c r="C251" s="25">
        <v>9</v>
      </c>
      <c r="D251" s="32" t="s">
        <v>262</v>
      </c>
      <c r="E251" s="125">
        <v>394.99809912383472</v>
      </c>
      <c r="F251" s="125">
        <f>INDEX('Revised 2018 Lockdown'!H$5:H$253,MATCH(B251,'Revised 2018 Lockdown'!B$5:B$253,0))</f>
        <v>394.9961487415485</v>
      </c>
      <c r="G251" s="125">
        <f t="shared" si="60"/>
        <v>1.9503822862247944E-3</v>
      </c>
      <c r="H251" s="5">
        <v>154031.09</v>
      </c>
      <c r="I251" s="5">
        <f>INDEX('Revised 2018 Lockdown'!E$5:E$253,MATCH(B251,'Revised 2018 Lockdown'!B$5:B$253,0))</f>
        <v>154031.09</v>
      </c>
      <c r="J251" s="5">
        <f t="shared" si="61"/>
        <v>0</v>
      </c>
      <c r="K251" s="5">
        <v>1052.98</v>
      </c>
      <c r="L251" s="5">
        <f>INDEX('Revised 2018 Lockdown'!F$5:F$253,MATCH(B251,'Revised 2018 Lockdown'!B$5:B$253,0))</f>
        <v>1052.98</v>
      </c>
      <c r="M251" s="5">
        <f t="shared" si="62"/>
        <v>0</v>
      </c>
      <c r="N251" s="5">
        <v>152978.10999999999</v>
      </c>
      <c r="O251" s="87">
        <f t="shared" si="63"/>
        <v>152978.10999999999</v>
      </c>
      <c r="P251" s="87">
        <f t="shared" si="64"/>
        <v>0</v>
      </c>
      <c r="Q251" s="85">
        <f t="shared" si="65"/>
        <v>387.2901305174388</v>
      </c>
      <c r="R251" s="6">
        <f t="shared" si="52"/>
        <v>387.2901305174388</v>
      </c>
      <c r="S251" s="5">
        <f t="shared" si="66"/>
        <v>152978.10999999999</v>
      </c>
      <c r="T251" s="113">
        <v>0.47747172619047623</v>
      </c>
      <c r="U251" s="87">
        <f t="shared" si="53"/>
        <v>33656.326620112763</v>
      </c>
      <c r="V251" s="87">
        <f t="shared" si="54"/>
        <v>22326.321786095192</v>
      </c>
      <c r="W251" s="87">
        <f t="shared" si="55"/>
        <v>4820.9833105607149</v>
      </c>
      <c r="X251" s="87">
        <f t="shared" si="56"/>
        <v>1916.6631000984357</v>
      </c>
      <c r="Y251" s="87">
        <f t="shared" si="57"/>
        <v>62720.294816867106</v>
      </c>
      <c r="Z251" s="91">
        <f t="shared" si="58"/>
        <v>0.40999522622463508</v>
      </c>
      <c r="AA251" s="86">
        <f t="shared" si="59"/>
        <v>62720.294816867106</v>
      </c>
      <c r="AB251" s="87"/>
      <c r="AC251" s="86">
        <v>62780.528317697172</v>
      </c>
      <c r="AD251" s="147">
        <f t="shared" si="67"/>
        <v>-60.233500830065168</v>
      </c>
      <c r="AE251" s="147">
        <v>-22.380881889614102</v>
      </c>
      <c r="AF251" s="147">
        <f t="shared" si="68"/>
        <v>-37.852618940451066</v>
      </c>
      <c r="AG251" s="86"/>
    </row>
    <row r="252" spans="2:33" x14ac:dyDescent="0.3">
      <c r="B252">
        <v>369</v>
      </c>
      <c r="C252" s="35">
        <v>9</v>
      </c>
      <c r="D252" s="32" t="s">
        <v>263</v>
      </c>
      <c r="E252" s="125">
        <v>361.24999999999994</v>
      </c>
      <c r="F252" s="125">
        <f>INDEX('Revised 2018 Lockdown'!H$5:H$253,MATCH(B252,'Revised 2018 Lockdown'!B$5:B$253,0))</f>
        <v>361.24999999999994</v>
      </c>
      <c r="G252" s="125">
        <f t="shared" si="60"/>
        <v>0</v>
      </c>
      <c r="H252" s="5">
        <v>450151.28</v>
      </c>
      <c r="I252" s="5">
        <f>INDEX('Revised 2018 Lockdown'!E$5:E$253,MATCH(B252,'Revised 2018 Lockdown'!B$5:B$253,0))</f>
        <v>450151.28</v>
      </c>
      <c r="J252" s="5">
        <f t="shared" si="61"/>
        <v>0</v>
      </c>
      <c r="K252" s="5">
        <v>0</v>
      </c>
      <c r="L252" s="5">
        <f>INDEX('Revised 2018 Lockdown'!F$5:F$253,MATCH(B252,'Revised 2018 Lockdown'!B$5:B$253,0))</f>
        <v>0</v>
      </c>
      <c r="M252" s="5">
        <f t="shared" si="62"/>
        <v>0</v>
      </c>
      <c r="N252" s="5">
        <v>450151.28</v>
      </c>
      <c r="O252" s="87">
        <f t="shared" si="63"/>
        <v>450151.28</v>
      </c>
      <c r="P252" s="87">
        <f t="shared" si="64"/>
        <v>0</v>
      </c>
      <c r="Q252" s="85">
        <f t="shared" si="65"/>
        <v>1246.0935086505192</v>
      </c>
      <c r="R252" s="6">
        <f t="shared" si="52"/>
        <v>1246.0935086505192</v>
      </c>
      <c r="S252" s="5">
        <f t="shared" si="66"/>
        <v>450151.27999999997</v>
      </c>
      <c r="T252" s="113">
        <v>0.58527678571428576</v>
      </c>
      <c r="U252" s="87">
        <f t="shared" si="53"/>
        <v>99036.643269692868</v>
      </c>
      <c r="V252" s="87">
        <f t="shared" si="54"/>
        <v>20418.89211052582</v>
      </c>
      <c r="W252" s="87">
        <f t="shared" si="55"/>
        <v>17389.154472245456</v>
      </c>
      <c r="X252" s="87">
        <f t="shared" si="56"/>
        <v>5639.9464461816069</v>
      </c>
      <c r="Y252" s="87">
        <f t="shared" si="57"/>
        <v>142484.63629864572</v>
      </c>
      <c r="Z252" s="91">
        <f t="shared" si="58"/>
        <v>0.31652611606179537</v>
      </c>
      <c r="AA252" s="86">
        <f t="shared" si="59"/>
        <v>142484.63629864572</v>
      </c>
      <c r="AB252" s="87"/>
      <c r="AC252" s="86">
        <v>142674.97144525114</v>
      </c>
      <c r="AD252" s="147">
        <f t="shared" si="67"/>
        <v>-190.3351466054155</v>
      </c>
      <c r="AE252" s="147">
        <v>-80.060224746819586</v>
      </c>
      <c r="AF252" s="147">
        <f t="shared" si="68"/>
        <v>-110.27492185859592</v>
      </c>
      <c r="AG252" s="86"/>
    </row>
    <row r="253" spans="2:33" x14ac:dyDescent="0.3">
      <c r="B253">
        <v>416</v>
      </c>
      <c r="C253" s="35">
        <v>9</v>
      </c>
      <c r="D253" s="32" t="s">
        <v>264</v>
      </c>
      <c r="E253" s="125">
        <v>77.118547672694447</v>
      </c>
      <c r="F253" s="125">
        <f>INDEX('Revised 2018 Lockdown'!H$5:H$253,MATCH(B253,'Revised 2018 Lockdown'!B$5:B$253,0))</f>
        <v>77.118166884407984</v>
      </c>
      <c r="G253" s="125">
        <f t="shared" si="60"/>
        <v>3.8078828646348484E-4</v>
      </c>
      <c r="H253" s="5">
        <v>53379.53</v>
      </c>
      <c r="I253" s="5">
        <f>INDEX('Revised 2018 Lockdown'!E$5:E$253,MATCH(B253,'Revised 2018 Lockdown'!B$5:B$253,0))</f>
        <v>53379.53</v>
      </c>
      <c r="J253" s="5">
        <f t="shared" si="61"/>
        <v>0</v>
      </c>
      <c r="K253" s="5">
        <v>735</v>
      </c>
      <c r="L253" s="5">
        <f>INDEX('Revised 2018 Lockdown'!F$5:F$253,MATCH(B253,'Revised 2018 Lockdown'!B$5:B$253,0))</f>
        <v>735</v>
      </c>
      <c r="M253" s="5">
        <f t="shared" si="62"/>
        <v>0</v>
      </c>
      <c r="N253" s="5">
        <v>52644.53</v>
      </c>
      <c r="O253" s="87">
        <f t="shared" si="63"/>
        <v>52644.53</v>
      </c>
      <c r="P253" s="87">
        <f t="shared" si="64"/>
        <v>0</v>
      </c>
      <c r="Q253" s="85">
        <f t="shared" si="65"/>
        <v>682.64758003011934</v>
      </c>
      <c r="R253" s="6">
        <f t="shared" si="52"/>
        <v>682.64758003011934</v>
      </c>
      <c r="S253" s="5">
        <f t="shared" si="66"/>
        <v>52644.53</v>
      </c>
      <c r="T253" s="113">
        <v>0.66196428571428567</v>
      </c>
      <c r="U253" s="87">
        <f t="shared" si="53"/>
        <v>11582.18974232539</v>
      </c>
      <c r="V253" s="87">
        <f t="shared" si="54"/>
        <v>4358.9412577833964</v>
      </c>
      <c r="W253" s="87">
        <f t="shared" si="55"/>
        <v>2300.0987879357262</v>
      </c>
      <c r="X253" s="87">
        <f t="shared" si="56"/>
        <v>659.58344022569713</v>
      </c>
      <c r="Y253" s="87">
        <f t="shared" si="57"/>
        <v>18900.813228270214</v>
      </c>
      <c r="Z253" s="91">
        <f t="shared" si="58"/>
        <v>0.35902710553727452</v>
      </c>
      <c r="AA253" s="86">
        <f t="shared" si="59"/>
        <v>18900.813228270214</v>
      </c>
      <c r="AB253" s="87"/>
      <c r="AC253" s="86">
        <v>18923.136679639327</v>
      </c>
      <c r="AD253" s="147">
        <f t="shared" si="67"/>
        <v>-22.323451369113172</v>
      </c>
      <c r="AE253" s="147">
        <v>-9.0073720307373151</v>
      </c>
      <c r="AF253" s="147">
        <f t="shared" si="68"/>
        <v>-13.316079338375857</v>
      </c>
      <c r="AG253" s="86"/>
    </row>
    <row r="254" spans="2:33" x14ac:dyDescent="0.3">
      <c r="B254">
        <v>508</v>
      </c>
      <c r="C254" s="35">
        <v>9</v>
      </c>
      <c r="D254" s="32" t="s">
        <v>266</v>
      </c>
      <c r="E254" s="125">
        <v>97.534402669301102</v>
      </c>
      <c r="F254" s="125">
        <f>INDEX('Revised 2018 Lockdown'!H$5:H$253,MATCH(B254,'Revised 2018 Lockdown'!B$5:B$253,0))</f>
        <v>97.533921073638524</v>
      </c>
      <c r="G254" s="125">
        <f t="shared" si="60"/>
        <v>4.8159566257766073E-4</v>
      </c>
      <c r="H254" s="5">
        <v>70511.86</v>
      </c>
      <c r="I254" s="5">
        <f>INDEX('Revised 2018 Lockdown'!E$5:E$253,MATCH(B254,'Revised 2018 Lockdown'!B$5:B$253,0))</f>
        <v>70511.86</v>
      </c>
      <c r="J254" s="5">
        <f t="shared" si="61"/>
        <v>0</v>
      </c>
      <c r="K254" s="5">
        <v>0</v>
      </c>
      <c r="L254" s="5">
        <f>INDEX('Revised 2018 Lockdown'!F$5:F$253,MATCH(B254,'Revised 2018 Lockdown'!B$5:B$253,0))</f>
        <v>0</v>
      </c>
      <c r="M254" s="5">
        <f t="shared" si="62"/>
        <v>0</v>
      </c>
      <c r="N254" s="5">
        <v>70511.86</v>
      </c>
      <c r="O254" s="87">
        <f t="shared" si="63"/>
        <v>70511.86</v>
      </c>
      <c r="P254" s="87">
        <f t="shared" si="64"/>
        <v>0</v>
      </c>
      <c r="Q254" s="85">
        <f t="shared" si="65"/>
        <v>722.94704471855744</v>
      </c>
      <c r="R254" s="6">
        <f t="shared" si="52"/>
        <v>722.94704471855744</v>
      </c>
      <c r="S254" s="5">
        <f t="shared" si="66"/>
        <v>70511.86</v>
      </c>
      <c r="T254" s="113">
        <v>0.53788839285714285</v>
      </c>
      <c r="U254" s="87">
        <f t="shared" si="53"/>
        <v>15513.135773161695</v>
      </c>
      <c r="V254" s="87">
        <f t="shared" si="54"/>
        <v>5512.8985785997666</v>
      </c>
      <c r="W254" s="87">
        <f t="shared" si="55"/>
        <v>2503.3007007601782</v>
      </c>
      <c r="X254" s="87">
        <f t="shared" si="56"/>
        <v>883.44325983179499</v>
      </c>
      <c r="Y254" s="87">
        <f t="shared" si="57"/>
        <v>24412.778312353432</v>
      </c>
      <c r="Z254" s="91">
        <f t="shared" si="58"/>
        <v>0.346222299516045</v>
      </c>
      <c r="AA254" s="86">
        <f t="shared" si="59"/>
        <v>24412.778312353432</v>
      </c>
      <c r="AB254" s="87"/>
      <c r="AC254" s="86">
        <v>24441.846143779432</v>
      </c>
      <c r="AD254" s="147">
        <f t="shared" si="67"/>
        <v>-29.067831426000339</v>
      </c>
      <c r="AE254" s="147">
        <v>-11.777900445114938</v>
      </c>
      <c r="AF254" s="147">
        <f t="shared" si="68"/>
        <v>-17.289930980885401</v>
      </c>
      <c r="AG254" s="86"/>
    </row>
    <row r="255" spans="2:33" x14ac:dyDescent="0.3">
      <c r="B255">
        <v>512</v>
      </c>
      <c r="C255" s="35">
        <v>9</v>
      </c>
      <c r="D255" s="32" t="s">
        <v>267</v>
      </c>
      <c r="E255" s="125">
        <v>240.71591575946039</v>
      </c>
      <c r="F255" s="125">
        <f>INDEX('Revised 2018 Lockdown'!H$5:H$253,MATCH(B255,'Revised 2018 Lockdown'!B$5:B$253,0))</f>
        <v>240.71472717637823</v>
      </c>
      <c r="G255" s="125">
        <f t="shared" si="60"/>
        <v>1.1885830821540821E-3</v>
      </c>
      <c r="H255" s="5">
        <v>289506.95</v>
      </c>
      <c r="I255" s="5">
        <f>INDEX('Revised 2018 Lockdown'!E$5:E$253,MATCH(B255,'Revised 2018 Lockdown'!B$5:B$253,0))</f>
        <v>292037.07</v>
      </c>
      <c r="J255" s="5">
        <f t="shared" si="61"/>
        <v>-2530.1199999999953</v>
      </c>
      <c r="K255" s="5">
        <v>6673.84</v>
      </c>
      <c r="L255" s="5">
        <f>INDEX('Revised 2018 Lockdown'!F$5:F$253,MATCH(B255,'Revised 2018 Lockdown'!B$5:B$253,0))</f>
        <v>6673.84</v>
      </c>
      <c r="M255" s="5">
        <f t="shared" si="62"/>
        <v>0</v>
      </c>
      <c r="N255" s="5">
        <v>282833.11</v>
      </c>
      <c r="O255" s="87">
        <f t="shared" si="63"/>
        <v>285363.23</v>
      </c>
      <c r="P255" s="87">
        <f t="shared" si="64"/>
        <v>-2530.1199999999953</v>
      </c>
      <c r="Q255" s="85">
        <f t="shared" si="65"/>
        <v>1185.4830543496682</v>
      </c>
      <c r="R255" s="6">
        <f t="shared" si="52"/>
        <v>1185.4830543496682</v>
      </c>
      <c r="S255" s="5">
        <f t="shared" si="66"/>
        <v>285363.23</v>
      </c>
      <c r="T255" s="113">
        <v>0.57025000000000003</v>
      </c>
      <c r="U255" s="87">
        <f t="shared" si="53"/>
        <v>62782.041654524059</v>
      </c>
      <c r="V255" s="87">
        <f t="shared" si="54"/>
        <v>13605.89077821211</v>
      </c>
      <c r="W255" s="87">
        <f t="shared" si="55"/>
        <v>10740.437776047704</v>
      </c>
      <c r="X255" s="87">
        <f t="shared" si="56"/>
        <v>3575.3165800381703</v>
      </c>
      <c r="Y255" s="87">
        <f t="shared" si="57"/>
        <v>90703.686788822044</v>
      </c>
      <c r="Z255" s="91">
        <f t="shared" si="58"/>
        <v>0.31785344870403259</v>
      </c>
      <c r="AA255" s="86">
        <f t="shared" si="59"/>
        <v>90703.686788822044</v>
      </c>
      <c r="AB255" s="87"/>
      <c r="AC255" s="86">
        <v>90139.191211949204</v>
      </c>
      <c r="AD255" s="147">
        <f t="shared" si="67"/>
        <v>564.49557687283959</v>
      </c>
      <c r="AE255" s="147">
        <v>634.26877501730633</v>
      </c>
      <c r="AF255" s="147">
        <f t="shared" si="68"/>
        <v>-69.773198144466733</v>
      </c>
      <c r="AG255" s="86"/>
    </row>
    <row r="256" spans="2:33" x14ac:dyDescent="0.3">
      <c r="B256">
        <v>516</v>
      </c>
      <c r="C256" s="35">
        <v>9</v>
      </c>
      <c r="D256" s="32" t="s">
        <v>268</v>
      </c>
      <c r="E256" s="125">
        <v>342.01065921214706</v>
      </c>
      <c r="F256" s="125">
        <f>INDEX('Revised 2018 Lockdown'!H$5:H$253,MATCH(B256,'Revised 2018 Lockdown'!B$5:B$253,0))</f>
        <v>342.008970465966</v>
      </c>
      <c r="G256" s="125">
        <f t="shared" si="60"/>
        <v>1.6887461810597415E-3</v>
      </c>
      <c r="H256" s="5">
        <v>167497.34</v>
      </c>
      <c r="I256" s="5">
        <f>INDEX('Revised 2018 Lockdown'!E$5:E$253,MATCH(B256,'Revised 2018 Lockdown'!B$5:B$253,0))</f>
        <v>167497.34</v>
      </c>
      <c r="J256" s="5">
        <f t="shared" si="61"/>
        <v>0</v>
      </c>
      <c r="K256" s="5">
        <v>180.64</v>
      </c>
      <c r="L256" s="5">
        <f>INDEX('Revised 2018 Lockdown'!F$5:F$253,MATCH(B256,'Revised 2018 Lockdown'!B$5:B$253,0))</f>
        <v>180.64</v>
      </c>
      <c r="M256" s="5">
        <f t="shared" si="62"/>
        <v>0</v>
      </c>
      <c r="N256" s="5">
        <v>167316.69999999998</v>
      </c>
      <c r="O256" s="87">
        <f t="shared" si="63"/>
        <v>167316.69999999998</v>
      </c>
      <c r="P256" s="87">
        <f t="shared" si="64"/>
        <v>0</v>
      </c>
      <c r="Q256" s="85">
        <f t="shared" si="65"/>
        <v>489.2172850672348</v>
      </c>
      <c r="R256" s="6">
        <f t="shared" si="52"/>
        <v>489.2172850672348</v>
      </c>
      <c r="S256" s="5">
        <f t="shared" si="66"/>
        <v>167316.69999999998</v>
      </c>
      <c r="T256" s="113">
        <v>0.44861904761904758</v>
      </c>
      <c r="U256" s="87">
        <f t="shared" si="53"/>
        <v>36810.923498789612</v>
      </c>
      <c r="V256" s="87">
        <f t="shared" si="54"/>
        <v>19331.333615990508</v>
      </c>
      <c r="W256" s="87">
        <f t="shared" si="55"/>
        <v>4954.2244326013833</v>
      </c>
      <c r="X256" s="87">
        <f t="shared" si="56"/>
        <v>2096.3113279425402</v>
      </c>
      <c r="Y256" s="87">
        <f t="shared" si="57"/>
        <v>63192.792875324041</v>
      </c>
      <c r="Z256" s="91">
        <f t="shared" si="58"/>
        <v>0.37768371522582056</v>
      </c>
      <c r="AA256" s="86">
        <f t="shared" si="59"/>
        <v>63192.792875324041</v>
      </c>
      <c r="AB256" s="87"/>
      <c r="AC256" s="86">
        <v>63259.1070878971</v>
      </c>
      <c r="AD256" s="147">
        <f t="shared" si="67"/>
        <v>-66.314212573059194</v>
      </c>
      <c r="AE256" s="147">
        <v>-25.63533937203465</v>
      </c>
      <c r="AF256" s="147">
        <f t="shared" si="68"/>
        <v>-40.678873201024544</v>
      </c>
      <c r="AG256" s="86"/>
    </row>
    <row r="257" spans="2:33" x14ac:dyDescent="0.3">
      <c r="B257">
        <v>521</v>
      </c>
      <c r="C257" s="35">
        <v>9</v>
      </c>
      <c r="D257" s="32" t="s">
        <v>269</v>
      </c>
      <c r="E257" s="125">
        <v>150.54889539237996</v>
      </c>
      <c r="F257" s="125">
        <f>INDEX('Revised 2018 Lockdown'!H$5:H$253,MATCH(B257,'Revised 2018 Lockdown'!B$5:B$253,0))</f>
        <v>150.54815202703358</v>
      </c>
      <c r="G257" s="125">
        <f t="shared" si="60"/>
        <v>7.4336534638064222E-4</v>
      </c>
      <c r="H257" s="5">
        <v>373633.01</v>
      </c>
      <c r="I257" s="5">
        <f>INDEX('Revised 2018 Lockdown'!E$5:E$253,MATCH(B257,'Revised 2018 Lockdown'!B$5:B$253,0))</f>
        <v>373633.01</v>
      </c>
      <c r="J257" s="5">
        <f t="shared" si="61"/>
        <v>0</v>
      </c>
      <c r="K257" s="5">
        <v>8.85</v>
      </c>
      <c r="L257" s="5">
        <f>INDEX('Revised 2018 Lockdown'!F$5:F$253,MATCH(B257,'Revised 2018 Lockdown'!B$5:B$253,0))</f>
        <v>8.85</v>
      </c>
      <c r="M257" s="5">
        <f t="shared" si="62"/>
        <v>0</v>
      </c>
      <c r="N257" s="5">
        <v>373624.16000000003</v>
      </c>
      <c r="O257" s="87">
        <f t="shared" si="63"/>
        <v>373624.16000000003</v>
      </c>
      <c r="P257" s="87">
        <f t="shared" si="64"/>
        <v>0</v>
      </c>
      <c r="Q257" s="85">
        <f t="shared" si="65"/>
        <v>2481.7585268858643</v>
      </c>
      <c r="R257" s="6">
        <f t="shared" si="52"/>
        <v>1358.9511528448409</v>
      </c>
      <c r="S257" s="5">
        <f t="shared" si="66"/>
        <v>204587.58475579764</v>
      </c>
      <c r="T257" s="113">
        <v>0.51000595238095248</v>
      </c>
      <c r="U257" s="87">
        <f t="shared" si="53"/>
        <v>45010.796479059194</v>
      </c>
      <c r="V257" s="87">
        <f t="shared" si="54"/>
        <v>8509.4158440942228</v>
      </c>
      <c r="W257" s="87">
        <f t="shared" si="55"/>
        <v>6886.7322377183418</v>
      </c>
      <c r="X257" s="87">
        <f t="shared" si="56"/>
        <v>2563.2783307343689</v>
      </c>
      <c r="Y257" s="87">
        <f t="shared" si="57"/>
        <v>62970.222891606136</v>
      </c>
      <c r="Z257" s="91">
        <f t="shared" si="58"/>
        <v>0.30779102733320512</v>
      </c>
      <c r="AA257" s="86">
        <f t="shared" si="59"/>
        <v>62970.222891606136</v>
      </c>
      <c r="AB257" s="87"/>
      <c r="AC257" s="86">
        <v>59714.507901291785</v>
      </c>
      <c r="AD257" s="147">
        <f t="shared" si="67"/>
        <v>3255.7149903143509</v>
      </c>
      <c r="AE257" s="147">
        <v>3299.5145865177765</v>
      </c>
      <c r="AF257" s="147">
        <f t="shared" si="68"/>
        <v>-43.799596203425608</v>
      </c>
      <c r="AG257" s="86"/>
    </row>
    <row r="258" spans="2:33" x14ac:dyDescent="0.3">
      <c r="B258">
        <v>522</v>
      </c>
      <c r="C258" s="35">
        <v>9</v>
      </c>
      <c r="D258" s="32" t="s">
        <v>270</v>
      </c>
      <c r="E258" s="125">
        <v>107.92268224354619</v>
      </c>
      <c r="F258" s="125">
        <f>INDEX('Revised 2018 Lockdown'!H$5:H$253,MATCH(B258,'Revised 2018 Lockdown'!B$5:B$253,0))</f>
        <v>107.92214935367105</v>
      </c>
      <c r="G258" s="125">
        <f t="shared" si="60"/>
        <v>5.3288987514577002E-4</v>
      </c>
      <c r="H258" s="5">
        <v>93639.74</v>
      </c>
      <c r="I258" s="5">
        <f>INDEX('Revised 2018 Lockdown'!E$5:E$253,MATCH(B258,'Revised 2018 Lockdown'!B$5:B$253,0))</f>
        <v>93639.74</v>
      </c>
      <c r="J258" s="5">
        <f t="shared" si="61"/>
        <v>0</v>
      </c>
      <c r="K258" s="5">
        <v>36</v>
      </c>
      <c r="L258" s="5">
        <f>INDEX('Revised 2018 Lockdown'!F$5:F$253,MATCH(B258,'Revised 2018 Lockdown'!B$5:B$253,0))</f>
        <v>36</v>
      </c>
      <c r="M258" s="5">
        <f t="shared" si="62"/>
        <v>0</v>
      </c>
      <c r="N258" s="5">
        <v>93603.74</v>
      </c>
      <c r="O258" s="87">
        <f t="shared" si="63"/>
        <v>93603.74</v>
      </c>
      <c r="P258" s="87">
        <f t="shared" si="64"/>
        <v>0</v>
      </c>
      <c r="Q258" s="85">
        <f t="shared" si="65"/>
        <v>867.32649933844198</v>
      </c>
      <c r="R258" s="6">
        <f t="shared" si="52"/>
        <v>867.32649933844198</v>
      </c>
      <c r="S258" s="5">
        <f t="shared" si="66"/>
        <v>93603.74</v>
      </c>
      <c r="T258" s="113">
        <v>0.62838392857142855</v>
      </c>
      <c r="U258" s="87">
        <f t="shared" si="53"/>
        <v>20593.521820240258</v>
      </c>
      <c r="V258" s="87">
        <f t="shared" si="54"/>
        <v>6100.0712082731161</v>
      </c>
      <c r="W258" s="87">
        <f t="shared" si="55"/>
        <v>3882.1914433572024</v>
      </c>
      <c r="X258" s="87">
        <f t="shared" si="56"/>
        <v>1172.7614786795834</v>
      </c>
      <c r="Y258" s="87">
        <f t="shared" si="57"/>
        <v>31748.545950550157</v>
      </c>
      <c r="Z258" s="91">
        <f t="shared" si="58"/>
        <v>0.33918031427537143</v>
      </c>
      <c r="AA258" s="86">
        <f t="shared" si="59"/>
        <v>31748.545950550157</v>
      </c>
      <c r="AB258" s="87"/>
      <c r="AC258" s="86">
        <v>31788.218199456638</v>
      </c>
      <c r="AD258" s="147">
        <f t="shared" si="67"/>
        <v>-39.6722489064814</v>
      </c>
      <c r="AE258" s="147">
        <v>-16.323230979109212</v>
      </c>
      <c r="AF258" s="147">
        <f t="shared" si="68"/>
        <v>-23.349017927372188</v>
      </c>
      <c r="AG258" s="86"/>
    </row>
    <row r="259" spans="2:33" x14ac:dyDescent="0.3">
      <c r="B259">
        <v>523</v>
      </c>
      <c r="C259" s="35">
        <v>9</v>
      </c>
      <c r="D259" s="32" t="s">
        <v>271</v>
      </c>
      <c r="E259" s="125">
        <v>909.72292386160336</v>
      </c>
      <c r="F259" s="125">
        <f>INDEX('Revised 2018 Lockdown'!H$5:H$253,MATCH(B259,'Revised 2018 Lockdown'!B$5:B$253,0))</f>
        <v>909.71843192232575</v>
      </c>
      <c r="G259" s="125">
        <f t="shared" si="60"/>
        <v>4.4919392776137101E-3</v>
      </c>
      <c r="H259" s="5">
        <v>285802.86</v>
      </c>
      <c r="I259" s="5">
        <f>INDEX('Revised 2018 Lockdown'!E$5:E$253,MATCH(B259,'Revised 2018 Lockdown'!B$5:B$253,0))</f>
        <v>285802.86</v>
      </c>
      <c r="J259" s="5">
        <f t="shared" si="61"/>
        <v>0</v>
      </c>
      <c r="K259" s="5">
        <v>321.60000000000002</v>
      </c>
      <c r="L259" s="5">
        <f>INDEX('Revised 2018 Lockdown'!F$5:F$253,MATCH(B259,'Revised 2018 Lockdown'!B$5:B$253,0))</f>
        <v>321.60000000000002</v>
      </c>
      <c r="M259" s="5">
        <f t="shared" si="62"/>
        <v>0</v>
      </c>
      <c r="N259" s="5">
        <v>285481.26</v>
      </c>
      <c r="O259" s="87">
        <f t="shared" si="63"/>
        <v>285481.26</v>
      </c>
      <c r="P259" s="87">
        <f t="shared" si="64"/>
        <v>0</v>
      </c>
      <c r="Q259" s="85">
        <f t="shared" si="65"/>
        <v>313.81276885502876</v>
      </c>
      <c r="R259" s="6">
        <f t="shared" si="52"/>
        <v>313.81276885502876</v>
      </c>
      <c r="S259" s="5">
        <f t="shared" si="66"/>
        <v>285481.26</v>
      </c>
      <c r="T259" s="113">
        <v>0.55605357142857148</v>
      </c>
      <c r="U259" s="87">
        <f t="shared" si="53"/>
        <v>62808.009135956345</v>
      </c>
      <c r="V259" s="87">
        <f t="shared" si="54"/>
        <v>51419.910068868368</v>
      </c>
      <c r="W259" s="87">
        <f t="shared" si="55"/>
        <v>10477.38533831006</v>
      </c>
      <c r="X259" s="87">
        <f t="shared" si="56"/>
        <v>3576.7953781858569</v>
      </c>
      <c r="Y259" s="87">
        <f t="shared" si="57"/>
        <v>128282.09992132064</v>
      </c>
      <c r="Z259" s="91">
        <f t="shared" si="58"/>
        <v>0.44935383822153729</v>
      </c>
      <c r="AA259" s="86">
        <f t="shared" si="59"/>
        <v>128282.09992132064</v>
      </c>
      <c r="AB259" s="87"/>
      <c r="AC259" s="86">
        <v>128395.01349582839</v>
      </c>
      <c r="AD259" s="147">
        <f t="shared" si="67"/>
        <v>-112.91357450775104</v>
      </c>
      <c r="AE259" s="147">
        <v>-40.111154586949851</v>
      </c>
      <c r="AF259" s="147">
        <f t="shared" si="68"/>
        <v>-72.802419920801185</v>
      </c>
      <c r="AG259" s="86"/>
    </row>
    <row r="260" spans="2:33" x14ac:dyDescent="0.3">
      <c r="B260">
        <v>527</v>
      </c>
      <c r="C260" s="35">
        <v>9</v>
      </c>
      <c r="D260" s="32" t="s">
        <v>272</v>
      </c>
      <c r="E260" s="125">
        <v>178.04356936970052</v>
      </c>
      <c r="F260" s="125">
        <f>INDEX('Revised 2018 Lockdown'!H$5:H$253,MATCH(B260,'Revised 2018 Lockdown'!B$5:B$253,0))</f>
        <v>178.04269024389046</v>
      </c>
      <c r="G260" s="125">
        <f t="shared" si="60"/>
        <v>8.7912581005866741E-4</v>
      </c>
      <c r="H260" s="5">
        <v>119863.42</v>
      </c>
      <c r="I260" s="5">
        <f>INDEX('Revised 2018 Lockdown'!E$5:E$253,MATCH(B260,'Revised 2018 Lockdown'!B$5:B$253,0))</f>
        <v>119863.42</v>
      </c>
      <c r="J260" s="5">
        <f t="shared" si="61"/>
        <v>0</v>
      </c>
      <c r="K260" s="5">
        <v>135</v>
      </c>
      <c r="L260" s="5">
        <f>INDEX('Revised 2018 Lockdown'!F$5:F$253,MATCH(B260,'Revised 2018 Lockdown'!B$5:B$253,0))</f>
        <v>135</v>
      </c>
      <c r="M260" s="5">
        <f t="shared" si="62"/>
        <v>0</v>
      </c>
      <c r="N260" s="5">
        <v>119728.42</v>
      </c>
      <c r="O260" s="87">
        <f t="shared" si="63"/>
        <v>119728.42</v>
      </c>
      <c r="P260" s="87">
        <f t="shared" si="64"/>
        <v>0</v>
      </c>
      <c r="Q260" s="85">
        <f t="shared" si="65"/>
        <v>672.47029257977908</v>
      </c>
      <c r="R260" s="6">
        <f t="shared" si="52"/>
        <v>672.47029257977908</v>
      </c>
      <c r="S260" s="5">
        <f t="shared" si="66"/>
        <v>119728.42</v>
      </c>
      <c r="T260" s="113">
        <v>0.76645238095238089</v>
      </c>
      <c r="U260" s="87">
        <f t="shared" si="53"/>
        <v>26341.146515864537</v>
      </c>
      <c r="V260" s="87">
        <f t="shared" si="54"/>
        <v>10063.486458568213</v>
      </c>
      <c r="W260" s="87">
        <f t="shared" si="55"/>
        <v>6056.7703392299654</v>
      </c>
      <c r="X260" s="87">
        <f t="shared" si="56"/>
        <v>1500.0776558625778</v>
      </c>
      <c r="Y260" s="87">
        <f t="shared" si="57"/>
        <v>43961.480969525299</v>
      </c>
      <c r="Z260" s="91">
        <f t="shared" si="58"/>
        <v>0.36717665671630262</v>
      </c>
      <c r="AA260" s="86">
        <f t="shared" si="59"/>
        <v>43961.480969525299</v>
      </c>
      <c r="AB260" s="87"/>
      <c r="AC260" s="86">
        <v>44013.498057743367</v>
      </c>
      <c r="AD260" s="147">
        <f t="shared" si="67"/>
        <v>-52.017088218068238</v>
      </c>
      <c r="AE260" s="147">
        <v>-20.979489794386609</v>
      </c>
      <c r="AF260" s="147">
        <f t="shared" si="68"/>
        <v>-31.037598423681629</v>
      </c>
      <c r="AG260" s="86"/>
    </row>
    <row r="261" spans="2:33" x14ac:dyDescent="0.3">
      <c r="B261">
        <v>543</v>
      </c>
      <c r="C261" s="35">
        <v>9</v>
      </c>
      <c r="D261" s="32" t="s">
        <v>273</v>
      </c>
      <c r="E261" s="125">
        <v>64.881659320046367</v>
      </c>
      <c r="F261" s="125">
        <f>INDEX('Revised 2018 Lockdown'!H$5:H$253,MATCH(B261,'Revised 2018 Lockdown'!B$5:B$253,0))</f>
        <v>64.881338953848854</v>
      </c>
      <c r="G261" s="125">
        <f t="shared" si="60"/>
        <v>3.2036619751352191E-4</v>
      </c>
      <c r="H261" s="5">
        <v>42102.49</v>
      </c>
      <c r="I261" s="5">
        <f>INDEX('Revised 2018 Lockdown'!E$5:E$253,MATCH(B261,'Revised 2018 Lockdown'!B$5:B$253,0))</f>
        <v>42102.49</v>
      </c>
      <c r="J261" s="5">
        <f t="shared" si="61"/>
        <v>0</v>
      </c>
      <c r="K261" s="5">
        <v>0</v>
      </c>
      <c r="L261" s="5">
        <f>INDEX('Revised 2018 Lockdown'!F$5:F$253,MATCH(B261,'Revised 2018 Lockdown'!B$5:B$253,0))</f>
        <v>0</v>
      </c>
      <c r="M261" s="5">
        <f t="shared" si="62"/>
        <v>0</v>
      </c>
      <c r="N261" s="5">
        <v>42102.49</v>
      </c>
      <c r="O261" s="87">
        <f t="shared" si="63"/>
        <v>42102.49</v>
      </c>
      <c r="P261" s="87">
        <f t="shared" si="64"/>
        <v>0</v>
      </c>
      <c r="Q261" s="85">
        <f t="shared" si="65"/>
        <v>648.91524556773061</v>
      </c>
      <c r="R261" s="6">
        <f t="shared" si="52"/>
        <v>648.91524556773061</v>
      </c>
      <c r="S261" s="5">
        <f t="shared" si="66"/>
        <v>42102.49</v>
      </c>
      <c r="T261" s="113">
        <v>8.3142857142857143E-2</v>
      </c>
      <c r="U261" s="87">
        <f t="shared" si="53"/>
        <v>9262.8622157773534</v>
      </c>
      <c r="V261" s="87">
        <f t="shared" si="54"/>
        <v>3667.2804431421341</v>
      </c>
      <c r="W261" s="87">
        <f t="shared" si="55"/>
        <v>231.04224898210367</v>
      </c>
      <c r="X261" s="87">
        <f t="shared" si="56"/>
        <v>527.50219626365754</v>
      </c>
      <c r="Y261" s="87">
        <f t="shared" si="57"/>
        <v>13688.687104165248</v>
      </c>
      <c r="Z261" s="91">
        <f t="shared" si="58"/>
        <v>0.32512773244920312</v>
      </c>
      <c r="AA261" s="86">
        <f t="shared" si="59"/>
        <v>13688.687104165248</v>
      </c>
      <c r="AB261" s="87"/>
      <c r="AC261" s="86">
        <v>13704.024293743118</v>
      </c>
      <c r="AD261" s="147">
        <f t="shared" si="67"/>
        <v>-15.33718957786914</v>
      </c>
      <c r="AE261" s="147">
        <v>-6.1141097405088658</v>
      </c>
      <c r="AF261" s="147">
        <f t="shared" si="68"/>
        <v>-9.2230798373602738</v>
      </c>
      <c r="AG261" s="86"/>
    </row>
    <row r="262" spans="2:33" x14ac:dyDescent="0.3">
      <c r="B262">
        <v>547</v>
      </c>
      <c r="C262" s="35">
        <v>9</v>
      </c>
      <c r="D262" s="32" t="s">
        <v>274</v>
      </c>
      <c r="E262" s="125">
        <v>231.39171343327169</v>
      </c>
      <c r="F262" s="125">
        <f>INDEX('Revised 2018 Lockdown'!H$5:H$253,MATCH(B262,'Revised 2018 Lockdown'!B$5:B$253,0))</f>
        <v>231.3905708903074</v>
      </c>
      <c r="G262" s="125">
        <f t="shared" si="60"/>
        <v>1.1425429642883955E-3</v>
      </c>
      <c r="H262" s="5">
        <v>122807.2</v>
      </c>
      <c r="I262" s="5">
        <f>INDEX('Revised 2018 Lockdown'!E$5:E$253,MATCH(B262,'Revised 2018 Lockdown'!B$5:B$253,0))</f>
        <v>122807.2</v>
      </c>
      <c r="J262" s="5">
        <f t="shared" si="61"/>
        <v>0</v>
      </c>
      <c r="K262" s="5">
        <v>0</v>
      </c>
      <c r="L262" s="5">
        <f>INDEX('Revised 2018 Lockdown'!F$5:F$253,MATCH(B262,'Revised 2018 Lockdown'!B$5:B$253,0))</f>
        <v>0</v>
      </c>
      <c r="M262" s="5">
        <f t="shared" si="62"/>
        <v>0</v>
      </c>
      <c r="N262" s="5">
        <v>122807.2</v>
      </c>
      <c r="O262" s="87">
        <f t="shared" si="63"/>
        <v>122807.2</v>
      </c>
      <c r="P262" s="87">
        <f t="shared" si="64"/>
        <v>0</v>
      </c>
      <c r="Q262" s="85">
        <f t="shared" si="65"/>
        <v>530.73554176162929</v>
      </c>
      <c r="R262" s="6">
        <f t="shared" si="52"/>
        <v>530.73554176162929</v>
      </c>
      <c r="S262" s="5">
        <f t="shared" si="66"/>
        <v>122807.19999999998</v>
      </c>
      <c r="T262" s="113">
        <v>0.67826488095238091</v>
      </c>
      <c r="U262" s="87">
        <f t="shared" si="53"/>
        <v>27018.501107782755</v>
      </c>
      <c r="V262" s="87">
        <f t="shared" si="54"/>
        <v>13078.862567203221</v>
      </c>
      <c r="W262" s="87">
        <f t="shared" si="55"/>
        <v>5497.7101312146124</v>
      </c>
      <c r="X262" s="87">
        <f t="shared" si="56"/>
        <v>1538.6516977259598</v>
      </c>
      <c r="Y262" s="87">
        <f t="shared" si="57"/>
        <v>47133.725503926544</v>
      </c>
      <c r="Z262" s="91">
        <f t="shared" si="58"/>
        <v>0.38380262316807606</v>
      </c>
      <c r="AA262" s="86">
        <f t="shared" si="59"/>
        <v>47133.725503926544</v>
      </c>
      <c r="AB262" s="87"/>
      <c r="AC262" s="86">
        <v>47185.474522727207</v>
      </c>
      <c r="AD262" s="147">
        <f t="shared" si="67"/>
        <v>-51.74901880066318</v>
      </c>
      <c r="AE262" s="147">
        <v>-20.317885689248214</v>
      </c>
      <c r="AF262" s="147">
        <f t="shared" si="68"/>
        <v>-31.431133111414965</v>
      </c>
      <c r="AG262" s="86"/>
    </row>
    <row r="263" spans="2:33" x14ac:dyDescent="0.3">
      <c r="B263">
        <v>552</v>
      </c>
      <c r="C263" s="35">
        <v>9</v>
      </c>
      <c r="D263" s="32" t="s">
        <v>275</v>
      </c>
      <c r="E263" s="125">
        <v>114.55</v>
      </c>
      <c r="F263" s="125">
        <f>INDEX('Revised 2018 Lockdown'!H$5:H$253,MATCH(B263,'Revised 2018 Lockdown'!B$5:B$253,0))</f>
        <v>114.55</v>
      </c>
      <c r="G263" s="125">
        <f t="shared" si="60"/>
        <v>0</v>
      </c>
      <c r="H263" s="5">
        <v>108827.49</v>
      </c>
      <c r="I263" s="5">
        <f>INDEX('Revised 2018 Lockdown'!E$5:E$253,MATCH(B263,'Revised 2018 Lockdown'!B$5:B$253,0))</f>
        <v>109401.05</v>
      </c>
      <c r="J263" s="5">
        <f t="shared" si="61"/>
        <v>-573.55999999999767</v>
      </c>
      <c r="K263" s="5">
        <v>0</v>
      </c>
      <c r="L263" s="5">
        <f>INDEX('Revised 2018 Lockdown'!F$5:F$253,MATCH(B263,'Revised 2018 Lockdown'!B$5:B$253,0))</f>
        <v>0</v>
      </c>
      <c r="M263" s="5">
        <f t="shared" si="62"/>
        <v>0</v>
      </c>
      <c r="N263" s="5">
        <v>108827.49</v>
      </c>
      <c r="O263" s="87">
        <f t="shared" si="63"/>
        <v>109401.05</v>
      </c>
      <c r="P263" s="87">
        <f t="shared" si="64"/>
        <v>-573.55999999999767</v>
      </c>
      <c r="Q263" s="85">
        <f t="shared" si="65"/>
        <v>955.05063291139243</v>
      </c>
      <c r="R263" s="6">
        <f t="shared" si="52"/>
        <v>955.05063291139243</v>
      </c>
      <c r="S263" s="5">
        <f t="shared" si="66"/>
        <v>109401.05</v>
      </c>
      <c r="T263" s="113">
        <v>0.46030059523809524</v>
      </c>
      <c r="U263" s="87">
        <f t="shared" si="53"/>
        <v>24069.047992443418</v>
      </c>
      <c r="V263" s="87">
        <f t="shared" si="54"/>
        <v>6474.6964463964923</v>
      </c>
      <c r="W263" s="87">
        <f t="shared" si="55"/>
        <v>3323.6991353207954</v>
      </c>
      <c r="X263" s="87">
        <f t="shared" si="56"/>
        <v>1370.6860128355881</v>
      </c>
      <c r="Y263" s="87">
        <f t="shared" si="57"/>
        <v>35238.129586996292</v>
      </c>
      <c r="Z263" s="91">
        <f t="shared" si="58"/>
        <v>0.32210046966639067</v>
      </c>
      <c r="AA263" s="86">
        <f t="shared" si="59"/>
        <v>35238.129586996292</v>
      </c>
      <c r="AB263" s="87"/>
      <c r="AC263" s="86">
        <v>35131.67207300516</v>
      </c>
      <c r="AD263" s="147">
        <f t="shared" si="67"/>
        <v>106.45751399113215</v>
      </c>
      <c r="AE263" s="147">
        <v>-18.362100884442043</v>
      </c>
      <c r="AF263" s="147">
        <f t="shared" si="68"/>
        <v>124.81961487557419</v>
      </c>
      <c r="AG263" s="86"/>
    </row>
    <row r="264" spans="2:33" x14ac:dyDescent="0.3">
      <c r="B264">
        <v>567</v>
      </c>
      <c r="C264" s="35">
        <v>9</v>
      </c>
      <c r="D264" s="32" t="s">
        <v>276</v>
      </c>
      <c r="E264" s="125">
        <v>343.68793351840543</v>
      </c>
      <c r="F264" s="125">
        <f>INDEX('Revised 2018 Lockdown'!H$5:H$253,MATCH(B264,'Revised 2018 Lockdown'!B$5:B$253,0))</f>
        <v>343.68623649034629</v>
      </c>
      <c r="G264" s="125">
        <f t="shared" si="60"/>
        <v>1.6970280591408482E-3</v>
      </c>
      <c r="H264" s="5">
        <v>195195.07</v>
      </c>
      <c r="I264" s="5">
        <f>INDEX('Revised 2018 Lockdown'!E$5:E$253,MATCH(B264,'Revised 2018 Lockdown'!B$5:B$253,0))</f>
        <v>195195.07</v>
      </c>
      <c r="J264" s="5">
        <f t="shared" si="61"/>
        <v>0</v>
      </c>
      <c r="K264" s="5">
        <v>152</v>
      </c>
      <c r="L264" s="5">
        <f>INDEX('Revised 2018 Lockdown'!F$5:F$253,MATCH(B264,'Revised 2018 Lockdown'!B$5:B$253,0))</f>
        <v>152</v>
      </c>
      <c r="M264" s="5">
        <f t="shared" si="62"/>
        <v>0</v>
      </c>
      <c r="N264" s="5">
        <v>195043.07</v>
      </c>
      <c r="O264" s="87">
        <f t="shared" si="63"/>
        <v>195043.07</v>
      </c>
      <c r="P264" s="87">
        <f t="shared" si="64"/>
        <v>0</v>
      </c>
      <c r="Q264" s="85">
        <f t="shared" si="65"/>
        <v>567.50329018624677</v>
      </c>
      <c r="R264" s="6">
        <f t="shared" si="52"/>
        <v>567.50329018624677</v>
      </c>
      <c r="S264" s="5">
        <f t="shared" si="66"/>
        <v>195043.07000000004</v>
      </c>
      <c r="T264" s="113">
        <v>0.70725446428571415</v>
      </c>
      <c r="U264" s="87">
        <f t="shared" si="53"/>
        <v>42910.931955621098</v>
      </c>
      <c r="V264" s="87">
        <f t="shared" si="54"/>
        <v>19426.13753015652</v>
      </c>
      <c r="W264" s="87">
        <f t="shared" si="55"/>
        <v>9104.6844576820586</v>
      </c>
      <c r="X264" s="87">
        <f t="shared" si="56"/>
        <v>2443.6950829037978</v>
      </c>
      <c r="Y264" s="87">
        <f t="shared" si="57"/>
        <v>73885.44902636348</v>
      </c>
      <c r="Z264" s="91">
        <f t="shared" si="58"/>
        <v>0.378816068811691</v>
      </c>
      <c r="AA264" s="86">
        <f t="shared" si="59"/>
        <v>73885.44902636348</v>
      </c>
      <c r="AB264" s="87"/>
      <c r="AC264" s="86">
        <v>73968.458385453967</v>
      </c>
      <c r="AD264" s="147">
        <f t="shared" si="67"/>
        <v>-83.009359090487123</v>
      </c>
      <c r="AE264" s="147">
        <v>-32.871027382483589</v>
      </c>
      <c r="AF264" s="147">
        <f t="shared" si="68"/>
        <v>-50.138331708003534</v>
      </c>
      <c r="AG264" s="86"/>
    </row>
    <row r="265" spans="2:33" x14ac:dyDescent="0.3">
      <c r="B265" s="27">
        <v>629</v>
      </c>
      <c r="C265" s="27">
        <v>9</v>
      </c>
      <c r="D265" s="32" t="s">
        <v>277</v>
      </c>
      <c r="E265" s="125">
        <v>258.73</v>
      </c>
      <c r="F265" s="125">
        <f>INDEX('Revised 2018 Lockdown'!H$5:H$253,MATCH(B265,'Revised 2018 Lockdown'!B$5:B$253,0))</f>
        <v>258.73</v>
      </c>
      <c r="G265" s="125">
        <f t="shared" si="60"/>
        <v>0</v>
      </c>
      <c r="H265" s="5">
        <v>183277.62</v>
      </c>
      <c r="I265" s="5">
        <f>INDEX('Revised 2018 Lockdown'!E$5:E$253,MATCH(B265,'Revised 2018 Lockdown'!B$5:B$253,0))</f>
        <v>183277.62</v>
      </c>
      <c r="J265" s="5">
        <f t="shared" si="61"/>
        <v>0</v>
      </c>
      <c r="K265" s="5">
        <v>561.61</v>
      </c>
      <c r="L265" s="5">
        <f>INDEX('Revised 2018 Lockdown'!F$5:F$253,MATCH(B265,'Revised 2018 Lockdown'!B$5:B$253,0))</f>
        <v>561.61</v>
      </c>
      <c r="M265" s="5">
        <f t="shared" si="62"/>
        <v>0</v>
      </c>
      <c r="N265" s="5">
        <v>182716.01</v>
      </c>
      <c r="O265" s="87">
        <f t="shared" si="63"/>
        <v>182716.01</v>
      </c>
      <c r="P265" s="87">
        <f t="shared" si="64"/>
        <v>0</v>
      </c>
      <c r="Q265" s="85">
        <f t="shared" si="65"/>
        <v>706.20341668921264</v>
      </c>
      <c r="R265" s="6">
        <f t="shared" si="52"/>
        <v>706.20341668921264</v>
      </c>
      <c r="S265" s="5">
        <f t="shared" si="66"/>
        <v>182716.01</v>
      </c>
      <c r="T265" s="113">
        <v>0.59084821428571421</v>
      </c>
      <c r="U265" s="87">
        <f t="shared" si="53"/>
        <v>40198.886698781884</v>
      </c>
      <c r="V265" s="87">
        <f t="shared" si="54"/>
        <v>14624.165967491615</v>
      </c>
      <c r="W265" s="87">
        <f t="shared" si="55"/>
        <v>7125.4321266747056</v>
      </c>
      <c r="X265" s="87">
        <f t="shared" si="56"/>
        <v>2289.2493191621784</v>
      </c>
      <c r="Y265" s="87">
        <f t="shared" si="57"/>
        <v>64237.734112110382</v>
      </c>
      <c r="Z265" s="91">
        <f t="shared" si="58"/>
        <v>0.35157145841850629</v>
      </c>
      <c r="AA265" s="86">
        <f t="shared" si="59"/>
        <v>64237.734112110382</v>
      </c>
      <c r="AB265" s="87"/>
      <c r="AC265" s="86">
        <v>64313.909041617946</v>
      </c>
      <c r="AD265" s="147">
        <f t="shared" si="67"/>
        <v>-76.174929507564229</v>
      </c>
      <c r="AE265" s="147">
        <v>-30.842481044448505</v>
      </c>
      <c r="AF265" s="147">
        <f t="shared" si="68"/>
        <v>-45.332448463115725</v>
      </c>
      <c r="AG265" s="86"/>
    </row>
    <row r="266" spans="2:33" x14ac:dyDescent="0.3">
      <c r="B266" s="24">
        <v>630</v>
      </c>
      <c r="C266" s="35">
        <v>9</v>
      </c>
      <c r="D266" s="32" t="s">
        <v>278</v>
      </c>
      <c r="E266" s="125">
        <v>179.48000000000002</v>
      </c>
      <c r="F266" s="125">
        <f>INDEX('Revised 2018 Lockdown'!H$5:H$253,MATCH(B266,'Revised 2018 Lockdown'!B$5:B$253,0))</f>
        <v>179.48000000000002</v>
      </c>
      <c r="G266" s="125">
        <f t="shared" si="60"/>
        <v>0</v>
      </c>
      <c r="H266" s="5">
        <v>233180.61</v>
      </c>
      <c r="I266" s="5">
        <f>INDEX('Revised 2018 Lockdown'!E$5:E$253,MATCH(B266,'Revised 2018 Lockdown'!B$5:B$253,0))</f>
        <v>233180.61</v>
      </c>
      <c r="J266" s="5">
        <f t="shared" si="61"/>
        <v>0</v>
      </c>
      <c r="K266" s="5">
        <v>2518.79</v>
      </c>
      <c r="L266" s="5">
        <f>INDEX('Revised 2018 Lockdown'!F$5:F$253,MATCH(B266,'Revised 2018 Lockdown'!B$5:B$253,0))</f>
        <v>2518.79</v>
      </c>
      <c r="M266" s="5">
        <f t="shared" si="62"/>
        <v>0</v>
      </c>
      <c r="N266" s="5">
        <v>230661.81999999998</v>
      </c>
      <c r="O266" s="87">
        <f t="shared" si="63"/>
        <v>230661.81999999998</v>
      </c>
      <c r="P266" s="87">
        <f t="shared" si="64"/>
        <v>0</v>
      </c>
      <c r="Q266" s="85">
        <f t="shared" si="65"/>
        <v>1285.1672609761531</v>
      </c>
      <c r="R266" s="6">
        <f t="shared" si="52"/>
        <v>1285.1672609761531</v>
      </c>
      <c r="S266" s="5">
        <f t="shared" si="66"/>
        <v>230661.81999999998</v>
      </c>
      <c r="T266" s="113">
        <v>0.6128392857142857</v>
      </c>
      <c r="U266" s="87">
        <f t="shared" si="53"/>
        <v>50747.322951693284</v>
      </c>
      <c r="V266" s="87">
        <f t="shared" si="54"/>
        <v>10144.727352241314</v>
      </c>
      <c r="W266" s="87">
        <f t="shared" si="55"/>
        <v>9329.9859448883653</v>
      </c>
      <c r="X266" s="87">
        <f t="shared" si="56"/>
        <v>2889.962485453294</v>
      </c>
      <c r="Y266" s="87">
        <f t="shared" si="57"/>
        <v>73111.998734276247</v>
      </c>
      <c r="Z266" s="91">
        <f t="shared" si="58"/>
        <v>0.31696619203939452</v>
      </c>
      <c r="AA266" s="86">
        <f t="shared" si="59"/>
        <v>73111.998734276247</v>
      </c>
      <c r="AB266" s="87"/>
      <c r="AC266" s="86">
        <v>72746.331989537852</v>
      </c>
      <c r="AD266" s="147">
        <f t="shared" si="67"/>
        <v>365.66674473839521</v>
      </c>
      <c r="AE266" s="147">
        <v>422.52316589283873</v>
      </c>
      <c r="AF266" s="147">
        <f t="shared" si="68"/>
        <v>-56.856421154443524</v>
      </c>
      <c r="AG266" s="86"/>
    </row>
    <row r="267" spans="2:33" x14ac:dyDescent="0.3">
      <c r="B267" s="24">
        <v>695</v>
      </c>
      <c r="C267" s="35">
        <v>9</v>
      </c>
      <c r="D267" t="s">
        <v>279</v>
      </c>
      <c r="E267" s="125">
        <v>29.69831035912819</v>
      </c>
      <c r="F267" s="125">
        <f>INDEX('Revised 2018 Lockdown'!H$5:H$253,MATCH(B267,'Revised 2018 Lockdown'!B$5:B$253,0))</f>
        <v>29.69831035912819</v>
      </c>
      <c r="G267" s="125">
        <f t="shared" ref="G267:G274" si="69">E267-F267</f>
        <v>0</v>
      </c>
      <c r="H267" s="5">
        <v>40518.69</v>
      </c>
      <c r="I267" s="5">
        <f>INDEX('Revised 2018 Lockdown'!E$5:E$253,MATCH(B267,'Revised 2018 Lockdown'!B$5:B$253,0))</f>
        <v>40518.69</v>
      </c>
      <c r="J267" s="5">
        <f t="shared" ref="J267:J274" si="70">H267-I267</f>
        <v>0</v>
      </c>
      <c r="K267" s="5">
        <v>0</v>
      </c>
      <c r="L267" s="5">
        <f>INDEX('Revised 2018 Lockdown'!F$5:F$253,MATCH(B267,'Revised 2018 Lockdown'!B$5:B$253,0))</f>
        <v>0</v>
      </c>
      <c r="M267" s="5">
        <f t="shared" ref="M267:M274" si="71">K267-L267</f>
        <v>0</v>
      </c>
      <c r="N267" s="5">
        <v>40518.69</v>
      </c>
      <c r="O267" s="87">
        <f t="shared" ref="O267:O274" si="72">I267-L267</f>
        <v>40518.69</v>
      </c>
      <c r="P267" s="87">
        <f t="shared" ref="P267:P274" si="73">N267-O267</f>
        <v>0</v>
      </c>
      <c r="Q267" s="85">
        <f t="shared" ref="Q267:Q274" si="74">IFERROR(O267/F267,"n.a.")</f>
        <v>1364.3432744161494</v>
      </c>
      <c r="R267" s="6">
        <f t="shared" ref="R267:R274" si="75">MIN(Q267,INDEX($V$3:$V$11,MATCH(C267,$S$3:$S$11,0)))</f>
        <v>1358.9511528448409</v>
      </c>
      <c r="S267" s="5">
        <f t="shared" si="66"/>
        <v>40358.553100081132</v>
      </c>
      <c r="T267" s="113">
        <v>5.541666666666667E-2</v>
      </c>
      <c r="U267" s="87">
        <f t="shared" ref="U267:U274" si="76">$E$14*(S267/$S$24)</f>
        <v>8879.1830743071368</v>
      </c>
      <c r="V267" s="87">
        <f t="shared" ref="V267:V274" si="77">$E$15*(F267/$F$24)</f>
        <v>1678.6341732538406</v>
      </c>
      <c r="W267" s="87">
        <f t="shared" ref="W267:W274" si="78">IFERROR(T267*$E$16*(S267/$S$24),0)</f>
        <v>147.61641861035613</v>
      </c>
      <c r="X267" s="87">
        <f t="shared" ref="X267:X274" si="79">($W$23+$E$9)*(S267/$S$24)</f>
        <v>505.65240674164977</v>
      </c>
      <c r="Y267" s="87">
        <f t="shared" ref="Y267:Y274" si="80">U267+V267+W267+X267</f>
        <v>11211.086072912984</v>
      </c>
      <c r="Z267" s="91">
        <f t="shared" ref="Z267:Z274" si="81">IFERROR((Y267/S267),0)</f>
        <v>0.27778711603242401</v>
      </c>
      <c r="AA267" s="86">
        <f t="shared" ref="AA267:AA274" si="82">IF(Z267&gt;$Z$19,$Z$19*S267,Y267+($Z$23*Y267/$Z$22))</f>
        <v>11211.086072912984</v>
      </c>
      <c r="AB267" s="87"/>
      <c r="AC267" s="86">
        <v>10641.19498272121</v>
      </c>
      <c r="AD267" s="147">
        <f t="shared" si="67"/>
        <v>569.8910901917734</v>
      </c>
      <c r="AE267" s="147">
        <v>577.51014717130965</v>
      </c>
      <c r="AF267" s="147">
        <f t="shared" si="68"/>
        <v>-7.6190569795362535</v>
      </c>
      <c r="AG267" s="86"/>
    </row>
    <row r="268" spans="2:33" x14ac:dyDescent="0.3">
      <c r="B268" s="24">
        <v>771</v>
      </c>
      <c r="C268" s="35">
        <v>9</v>
      </c>
      <c r="D268" t="s">
        <v>280</v>
      </c>
      <c r="E268" s="125">
        <v>176.36629506344221</v>
      </c>
      <c r="F268" s="125">
        <f>INDEX('Revised 2018 Lockdown'!H$5:H$253,MATCH(B268,'Revised 2018 Lockdown'!B$5:B$253,0))</f>
        <v>176.36542421951017</v>
      </c>
      <c r="G268" s="125">
        <f t="shared" si="69"/>
        <v>8.7084393203440413E-4</v>
      </c>
      <c r="H268" s="5">
        <v>63559.46</v>
      </c>
      <c r="I268" s="5">
        <f>INDEX('Revised 2018 Lockdown'!E$5:E$253,MATCH(B268,'Revised 2018 Lockdown'!B$5:B$253,0))</f>
        <v>63559.46</v>
      </c>
      <c r="J268" s="5">
        <f t="shared" si="70"/>
        <v>0</v>
      </c>
      <c r="K268" s="5">
        <v>0</v>
      </c>
      <c r="L268" s="5">
        <f>INDEX('Revised 2018 Lockdown'!F$5:F$253,MATCH(B268,'Revised 2018 Lockdown'!B$5:B$253,0))</f>
        <v>0</v>
      </c>
      <c r="M268" s="5">
        <f t="shared" si="71"/>
        <v>0</v>
      </c>
      <c r="N268" s="5">
        <v>63559.46</v>
      </c>
      <c r="O268" s="87">
        <f t="shared" si="72"/>
        <v>63559.46</v>
      </c>
      <c r="P268" s="87">
        <f t="shared" si="73"/>
        <v>0</v>
      </c>
      <c r="Q268" s="85">
        <f t="shared" si="74"/>
        <v>360.38503738063656</v>
      </c>
      <c r="R268" s="6">
        <f t="shared" si="75"/>
        <v>360.38503738063656</v>
      </c>
      <c r="S268" s="5">
        <f t="shared" si="66"/>
        <v>63559.46</v>
      </c>
      <c r="T268" s="113">
        <v>0.40094940476190483</v>
      </c>
      <c r="U268" s="87">
        <f t="shared" si="76"/>
        <v>13983.555853566193</v>
      </c>
      <c r="V268" s="87">
        <f t="shared" si="77"/>
        <v>9968.6825444022033</v>
      </c>
      <c r="W268" s="87">
        <f t="shared" si="78"/>
        <v>1682.0095187826641</v>
      </c>
      <c r="X268" s="87">
        <f t="shared" si="79"/>
        <v>796.33662387502727</v>
      </c>
      <c r="Y268" s="87">
        <f t="shared" si="80"/>
        <v>26430.584540626085</v>
      </c>
      <c r="Z268" s="91">
        <f t="shared" si="81"/>
        <v>0.41584029412185197</v>
      </c>
      <c r="AA268" s="86">
        <f t="shared" si="82"/>
        <v>26430.584540626085</v>
      </c>
      <c r="AB268" s="87"/>
      <c r="AC268" s="86">
        <v>26454.988676717483</v>
      </c>
      <c r="AD268" s="147">
        <f t="shared" si="67"/>
        <v>-24.404136091397959</v>
      </c>
      <c r="AE268" s="147">
        <v>-8.905544201767043</v>
      </c>
      <c r="AF268" s="147">
        <f t="shared" si="68"/>
        <v>-15.498591889630916</v>
      </c>
      <c r="AG268" s="86"/>
    </row>
    <row r="269" spans="2:33" x14ac:dyDescent="0.3">
      <c r="B269" s="24">
        <v>830</v>
      </c>
      <c r="C269" s="35">
        <v>9</v>
      </c>
      <c r="D269" t="s">
        <v>281</v>
      </c>
      <c r="E269" s="125">
        <v>22.210358152227126</v>
      </c>
      <c r="F269" s="125">
        <f>INDEX('Revised 2018 Lockdown'!H$5:H$253,MATCH(B269,'Revised 2018 Lockdown'!B$5:B$253,0))</f>
        <v>22.210248484131998</v>
      </c>
      <c r="G269" s="125">
        <f t="shared" si="69"/>
        <v>1.0966809512780173E-4</v>
      </c>
      <c r="H269" s="5">
        <v>25322.05</v>
      </c>
      <c r="I269" s="5">
        <f>INDEX('Revised 2018 Lockdown'!E$5:E$253,MATCH(B269,'Revised 2018 Lockdown'!B$5:B$253,0))</f>
        <v>25322.05</v>
      </c>
      <c r="J269" s="5">
        <f t="shared" si="70"/>
        <v>0</v>
      </c>
      <c r="K269" s="5">
        <v>0</v>
      </c>
      <c r="L269" s="5">
        <f>INDEX('Revised 2018 Lockdown'!F$5:F$253,MATCH(B269,'Revised 2018 Lockdown'!B$5:B$253,0))</f>
        <v>0</v>
      </c>
      <c r="M269" s="5">
        <f t="shared" si="71"/>
        <v>0</v>
      </c>
      <c r="N269" s="5">
        <v>25322.05</v>
      </c>
      <c r="O269" s="87">
        <f t="shared" si="72"/>
        <v>25322.05</v>
      </c>
      <c r="P269" s="87">
        <f t="shared" si="73"/>
        <v>0</v>
      </c>
      <c r="Q269" s="85">
        <f t="shared" si="74"/>
        <v>1140.1065601805947</v>
      </c>
      <c r="R269" s="6">
        <f t="shared" si="75"/>
        <v>1140.1065601805947</v>
      </c>
      <c r="S269" s="5">
        <f t="shared" si="66"/>
        <v>25322.05</v>
      </c>
      <c r="T269" s="113">
        <v>0.15983035714285715</v>
      </c>
      <c r="U269" s="87">
        <f t="shared" si="76"/>
        <v>5571.0401016905398</v>
      </c>
      <c r="V269" s="87">
        <f t="shared" si="77"/>
        <v>1255.3873150047361</v>
      </c>
      <c r="W269" s="87">
        <f t="shared" si="78"/>
        <v>267.12639873311343</v>
      </c>
      <c r="X269" s="87">
        <f t="shared" si="79"/>
        <v>317.26002402466344</v>
      </c>
      <c r="Y269" s="87">
        <f t="shared" si="80"/>
        <v>7410.8138394530533</v>
      </c>
      <c r="Z269" s="91">
        <f t="shared" si="81"/>
        <v>0.29266247556785702</v>
      </c>
      <c r="AA269" s="86">
        <f t="shared" si="82"/>
        <v>7410.8138394530533</v>
      </c>
      <c r="AB269" s="87"/>
      <c r="AC269" s="86">
        <v>7420.4091933966019</v>
      </c>
      <c r="AD269" s="147">
        <f t="shared" si="67"/>
        <v>-9.5953539435486164</v>
      </c>
      <c r="AE269" s="147">
        <v>-4.0147735876744264</v>
      </c>
      <c r="AF269" s="147">
        <f t="shared" si="68"/>
        <v>-5.58058035587419</v>
      </c>
      <c r="AG269" s="86"/>
    </row>
    <row r="270" spans="2:33" x14ac:dyDescent="0.3">
      <c r="B270" s="24">
        <v>936</v>
      </c>
      <c r="C270" s="35">
        <v>9</v>
      </c>
      <c r="D270" t="s">
        <v>282</v>
      </c>
      <c r="E270" s="125">
        <v>43.383691867789167</v>
      </c>
      <c r="F270" s="125">
        <f>INDEX('Revised 2018 Lockdown'!H$5:H$253,MATCH(B270,'Revised 2018 Lockdown'!B$5:B$253,0))</f>
        <v>43.383477652114919</v>
      </c>
      <c r="G270" s="125">
        <f t="shared" si="69"/>
        <v>2.1421567424795285E-4</v>
      </c>
      <c r="H270" s="5">
        <v>69869.86</v>
      </c>
      <c r="I270" s="5">
        <f>INDEX('Revised 2018 Lockdown'!E$5:E$253,MATCH(B270,'Revised 2018 Lockdown'!B$5:B$253,0))</f>
        <v>69869.86</v>
      </c>
      <c r="J270" s="5">
        <f t="shared" si="70"/>
        <v>0</v>
      </c>
      <c r="K270" s="5">
        <v>0</v>
      </c>
      <c r="L270" s="5">
        <f>INDEX('Revised 2018 Lockdown'!F$5:F$253,MATCH(B270,'Revised 2018 Lockdown'!B$5:B$253,0))</f>
        <v>0</v>
      </c>
      <c r="M270" s="5">
        <f t="shared" si="71"/>
        <v>0</v>
      </c>
      <c r="N270" s="5">
        <v>69869.86</v>
      </c>
      <c r="O270" s="87">
        <f t="shared" si="72"/>
        <v>69869.86</v>
      </c>
      <c r="P270" s="87">
        <f t="shared" si="73"/>
        <v>0</v>
      </c>
      <c r="Q270" s="85">
        <f t="shared" si="74"/>
        <v>1610.5177312034571</v>
      </c>
      <c r="R270" s="6">
        <f t="shared" si="75"/>
        <v>1358.9511528448409</v>
      </c>
      <c r="S270" s="5">
        <f t="shared" si="66"/>
        <v>58956.026969759958</v>
      </c>
      <c r="T270" s="113">
        <v>0.44230952380952387</v>
      </c>
      <c r="U270" s="87">
        <f t="shared" si="76"/>
        <v>12970.766209089774</v>
      </c>
      <c r="V270" s="87">
        <f t="shared" si="77"/>
        <v>2452.1593067347894</v>
      </c>
      <c r="W270" s="87">
        <f t="shared" si="78"/>
        <v>1721.1280276161481</v>
      </c>
      <c r="X270" s="87">
        <f t="shared" si="79"/>
        <v>738.66020060874803</v>
      </c>
      <c r="Y270" s="87">
        <f t="shared" si="80"/>
        <v>17882.713744049459</v>
      </c>
      <c r="Z270" s="91">
        <f t="shared" si="81"/>
        <v>0.30332291138312212</v>
      </c>
      <c r="AA270" s="86">
        <f t="shared" si="82"/>
        <v>17882.713744049459</v>
      </c>
      <c r="AB270" s="87"/>
      <c r="AC270" s="86">
        <v>16960.265926936532</v>
      </c>
      <c r="AD270" s="147">
        <f t="shared" si="67"/>
        <v>922.44781711292671</v>
      </c>
      <c r="AE270" s="147">
        <v>934.85945136982627</v>
      </c>
      <c r="AF270" s="147">
        <f t="shared" si="68"/>
        <v>-12.411634256899561</v>
      </c>
      <c r="AG270" s="86"/>
    </row>
    <row r="271" spans="2:33" x14ac:dyDescent="0.3">
      <c r="B271" s="24">
        <v>952</v>
      </c>
      <c r="C271" s="35">
        <v>9</v>
      </c>
      <c r="D271" t="s">
        <v>283</v>
      </c>
      <c r="E271" s="125">
        <v>65.756366888363871</v>
      </c>
      <c r="F271" s="125">
        <f>INDEX('Revised 2018 Lockdown'!H$5:H$253,MATCH(B271,'Revised 2018 Lockdown'!B$5:B$253,0))</f>
        <v>65.756042203122433</v>
      </c>
      <c r="G271" s="125">
        <f t="shared" si="69"/>
        <v>3.2468524143780542E-4</v>
      </c>
      <c r="H271" s="5">
        <v>81300.5</v>
      </c>
      <c r="I271" s="5">
        <f>INDEX('Revised 2018 Lockdown'!E$5:E$253,MATCH(B271,'Revised 2018 Lockdown'!B$5:B$253,0))</f>
        <v>81300.5</v>
      </c>
      <c r="J271" s="5">
        <f t="shared" si="70"/>
        <v>0</v>
      </c>
      <c r="K271" s="5">
        <v>3878.1</v>
      </c>
      <c r="L271" s="5">
        <f>INDEX('Revised 2018 Lockdown'!F$5:F$253,MATCH(B271,'Revised 2018 Lockdown'!B$5:B$253,0))</f>
        <v>3878.1</v>
      </c>
      <c r="M271" s="5">
        <f t="shared" si="71"/>
        <v>0</v>
      </c>
      <c r="N271" s="5">
        <v>77422.399999999994</v>
      </c>
      <c r="O271" s="87">
        <f t="shared" si="72"/>
        <v>77422.399999999994</v>
      </c>
      <c r="P271" s="87">
        <f t="shared" si="73"/>
        <v>0</v>
      </c>
      <c r="Q271" s="85">
        <f t="shared" si="74"/>
        <v>1177.4187953836977</v>
      </c>
      <c r="R271" s="6">
        <f t="shared" si="75"/>
        <v>1177.4187953836977</v>
      </c>
      <c r="S271" s="5">
        <f t="shared" si="66"/>
        <v>77422.399999999994</v>
      </c>
      <c r="T271" s="113">
        <v>0.55856845238095243</v>
      </c>
      <c r="U271" s="87">
        <f t="shared" si="76"/>
        <v>17033.506180152301</v>
      </c>
      <c r="V271" s="87">
        <f t="shared" si="77"/>
        <v>3716.7211940781717</v>
      </c>
      <c r="W271" s="87">
        <f t="shared" si="78"/>
        <v>2854.3137557007176</v>
      </c>
      <c r="X271" s="87">
        <f t="shared" si="79"/>
        <v>970.02543175007941</v>
      </c>
      <c r="Y271" s="87">
        <f t="shared" si="80"/>
        <v>24574.566561681269</v>
      </c>
      <c r="Z271" s="91">
        <f t="shared" si="81"/>
        <v>0.31740900000104971</v>
      </c>
      <c r="AA271" s="86">
        <f t="shared" si="82"/>
        <v>24574.566561681269</v>
      </c>
      <c r="AB271" s="87"/>
      <c r="AC271" s="86">
        <v>24607.072008871935</v>
      </c>
      <c r="AD271" s="147">
        <f t="shared" si="67"/>
        <v>-32.505447190666018</v>
      </c>
      <c r="AE271" s="147">
        <v>-13.626506516251538</v>
      </c>
      <c r="AF271" s="147">
        <f t="shared" si="68"/>
        <v>-18.87894067441448</v>
      </c>
      <c r="AG271" s="86"/>
    </row>
    <row r="272" spans="2:33" x14ac:dyDescent="0.3">
      <c r="B272" s="24">
        <v>982</v>
      </c>
      <c r="C272" s="35">
        <v>9</v>
      </c>
      <c r="D272" t="s">
        <v>284</v>
      </c>
      <c r="E272" s="125">
        <v>97.412690933606555</v>
      </c>
      <c r="F272" s="125">
        <f>INDEX('Revised 2018 Lockdown'!H$5:H$253,MATCH(B272,'Revised 2018 Lockdown'!B$5:B$253,0))</f>
        <v>97.412690933606555</v>
      </c>
      <c r="G272" s="125">
        <f t="shared" si="69"/>
        <v>0</v>
      </c>
      <c r="H272" s="5">
        <v>107892.54</v>
      </c>
      <c r="I272" s="5">
        <f>INDEX('Revised 2018 Lockdown'!E$5:E$253,MATCH(B272,'Revised 2018 Lockdown'!B$5:B$253,0))</f>
        <v>107892.54</v>
      </c>
      <c r="J272" s="5">
        <f t="shared" si="70"/>
        <v>0</v>
      </c>
      <c r="K272" s="5">
        <v>0</v>
      </c>
      <c r="L272" s="5">
        <f>INDEX('Revised 2018 Lockdown'!F$5:F$253,MATCH(B272,'Revised 2018 Lockdown'!B$5:B$253,0))</f>
        <v>0</v>
      </c>
      <c r="M272" s="5">
        <f t="shared" si="71"/>
        <v>0</v>
      </c>
      <c r="N272" s="5">
        <v>107892.54</v>
      </c>
      <c r="O272" s="87">
        <f t="shared" si="72"/>
        <v>107892.54</v>
      </c>
      <c r="P272" s="87">
        <f t="shared" si="73"/>
        <v>0</v>
      </c>
      <c r="Q272" s="85">
        <f t="shared" si="74"/>
        <v>1107.5819686937523</v>
      </c>
      <c r="R272" s="6">
        <f t="shared" si="75"/>
        <v>1107.5819686937523</v>
      </c>
      <c r="S272" s="5">
        <f t="shared" si="66"/>
        <v>107892.53999999998</v>
      </c>
      <c r="T272" s="113">
        <v>5.6125000000000001E-2</v>
      </c>
      <c r="U272" s="87">
        <f t="shared" si="76"/>
        <v>23737.16452709202</v>
      </c>
      <c r="V272" s="87">
        <f t="shared" si="77"/>
        <v>5506.0463013683293</v>
      </c>
      <c r="W272" s="87">
        <f t="shared" si="78"/>
        <v>399.6745077249119</v>
      </c>
      <c r="X272" s="87">
        <f t="shared" si="79"/>
        <v>1351.7858874965475</v>
      </c>
      <c r="Y272" s="87">
        <f t="shared" si="80"/>
        <v>30994.671223681806</v>
      </c>
      <c r="Z272" s="91">
        <f t="shared" si="81"/>
        <v>0.28727353368158554</v>
      </c>
      <c r="AA272" s="86">
        <f t="shared" si="82"/>
        <v>30994.671223681806</v>
      </c>
      <c r="AB272" s="87"/>
      <c r="AC272" s="86">
        <v>31034.359414899922</v>
      </c>
      <c r="AD272" s="147">
        <f t="shared" si="67"/>
        <v>-39.688191218116117</v>
      </c>
      <c r="AE272" s="147">
        <v>-16.586174238276726</v>
      </c>
      <c r="AF272" s="147">
        <f t="shared" si="68"/>
        <v>-23.102016979839391</v>
      </c>
      <c r="AG272" s="86"/>
    </row>
    <row r="273" spans="2:33" x14ac:dyDescent="0.3">
      <c r="B273" s="24">
        <v>987</v>
      </c>
      <c r="C273" s="35">
        <v>9</v>
      </c>
      <c r="D273" t="s">
        <v>285</v>
      </c>
      <c r="E273" s="125">
        <v>253.77541145224947</v>
      </c>
      <c r="F273" s="125">
        <f>INDEX('Revised 2018 Lockdown'!H$5:H$253,MATCH(B273,'Revised 2018 Lockdown'!B$5:B$253,0))</f>
        <v>253.77541145224947</v>
      </c>
      <c r="G273" s="125">
        <f t="shared" si="69"/>
        <v>0</v>
      </c>
      <c r="H273" s="5">
        <v>88557.58</v>
      </c>
      <c r="I273" s="5">
        <f>INDEX('Revised 2018 Lockdown'!E$5:E$253,MATCH(B273,'Revised 2018 Lockdown'!B$5:B$253,0))</f>
        <v>88557.58</v>
      </c>
      <c r="J273" s="5">
        <f t="shared" si="70"/>
        <v>0</v>
      </c>
      <c r="K273" s="5">
        <v>0</v>
      </c>
      <c r="L273" s="5">
        <f>INDEX('Revised 2018 Lockdown'!F$5:F$253,MATCH(B273,'Revised 2018 Lockdown'!B$5:B$253,0))</f>
        <v>0</v>
      </c>
      <c r="M273" s="5">
        <f t="shared" si="71"/>
        <v>0</v>
      </c>
      <c r="N273" s="5">
        <v>88557.58</v>
      </c>
      <c r="O273" s="87">
        <f t="shared" si="72"/>
        <v>88557.58</v>
      </c>
      <c r="P273" s="87">
        <f t="shared" si="73"/>
        <v>0</v>
      </c>
      <c r="Q273" s="85">
        <f t="shared" si="74"/>
        <v>348.96044298863467</v>
      </c>
      <c r="R273" s="6">
        <f t="shared" si="75"/>
        <v>348.96044298863467</v>
      </c>
      <c r="S273" s="5">
        <f t="shared" si="66"/>
        <v>88557.58</v>
      </c>
      <c r="T273" s="113">
        <v>0.46490178571428575</v>
      </c>
      <c r="U273" s="87">
        <f t="shared" si="76"/>
        <v>19483.328936190715</v>
      </c>
      <c r="V273" s="87">
        <f t="shared" si="77"/>
        <v>14344.118330097665</v>
      </c>
      <c r="W273" s="87">
        <f t="shared" si="78"/>
        <v>2717.350324228164</v>
      </c>
      <c r="X273" s="87">
        <f t="shared" si="79"/>
        <v>1109.5381281675873</v>
      </c>
      <c r="Y273" s="87">
        <f t="shared" si="80"/>
        <v>37654.335718684131</v>
      </c>
      <c r="Z273" s="91">
        <f t="shared" si="81"/>
        <v>0.4251960782880938</v>
      </c>
      <c r="AA273" s="86">
        <f t="shared" si="82"/>
        <v>37654.335718684131</v>
      </c>
      <c r="AB273" s="87"/>
      <c r="AC273" s="86">
        <v>37688.761450452999</v>
      </c>
      <c r="AD273" s="147">
        <f t="shared" si="67"/>
        <v>-34.42573176886799</v>
      </c>
      <c r="AE273" s="147">
        <v>-12.528247816269868</v>
      </c>
      <c r="AF273" s="147">
        <f t="shared" si="68"/>
        <v>-21.897483952598122</v>
      </c>
      <c r="AG273" s="86"/>
    </row>
    <row r="274" spans="2:33" x14ac:dyDescent="0.3">
      <c r="B274" s="24">
        <v>998</v>
      </c>
      <c r="C274" s="35">
        <v>9</v>
      </c>
      <c r="D274" t="s">
        <v>286</v>
      </c>
      <c r="E274" s="125">
        <v>87.200228717838542</v>
      </c>
      <c r="F274" s="125">
        <f>INDEX('Revised 2018 Lockdown'!H$5:H$253,MATCH(B274,'Revised 2018 Lockdown'!B$5:B$253,0))</f>
        <v>43.5998990746156</v>
      </c>
      <c r="G274" s="125">
        <f t="shared" si="69"/>
        <v>43.600329643222942</v>
      </c>
      <c r="H274" s="5">
        <v>219857.96</v>
      </c>
      <c r="I274" s="5">
        <f>INDEX('Revised 2018 Lockdown'!E$5:E$253,MATCH(B274,'Revised 2018 Lockdown'!B$5:B$253,0))</f>
        <v>219857.96</v>
      </c>
      <c r="J274" s="5">
        <f t="shared" si="70"/>
        <v>0</v>
      </c>
      <c r="K274" s="5">
        <v>0</v>
      </c>
      <c r="L274" s="5">
        <f>INDEX('Revised 2018 Lockdown'!F$5:F$253,MATCH(B274,'Revised 2018 Lockdown'!B$5:B$253,0))</f>
        <v>0</v>
      </c>
      <c r="M274" s="5">
        <f t="shared" si="71"/>
        <v>0</v>
      </c>
      <c r="N274" s="5">
        <v>219857.96</v>
      </c>
      <c r="O274" s="87">
        <f t="shared" si="72"/>
        <v>219857.96</v>
      </c>
      <c r="P274" s="87">
        <f t="shared" si="73"/>
        <v>0</v>
      </c>
      <c r="Q274" s="85">
        <f t="shared" si="74"/>
        <v>5042.6254341493195</v>
      </c>
      <c r="R274" s="6">
        <f t="shared" si="75"/>
        <v>1358.9511528448409</v>
      </c>
      <c r="S274" s="5">
        <f t="shared" si="66"/>
        <v>59250.133111367577</v>
      </c>
      <c r="T274" s="113">
        <v>0.67811011904761898</v>
      </c>
      <c r="U274" s="87">
        <f t="shared" si="76"/>
        <v>13035.471756588871</v>
      </c>
      <c r="V274" s="87">
        <f t="shared" si="77"/>
        <v>2464.3920698529842</v>
      </c>
      <c r="W274" s="87">
        <f t="shared" si="78"/>
        <v>2651.8455914107062</v>
      </c>
      <c r="X274" s="87">
        <f t="shared" si="79"/>
        <v>742.34505714888735</v>
      </c>
      <c r="Y274" s="87">
        <f t="shared" si="80"/>
        <v>18894.054475001449</v>
      </c>
      <c r="Z274" s="91">
        <f t="shared" si="81"/>
        <v>0.31888627894705074</v>
      </c>
      <c r="AA274" s="86">
        <f t="shared" si="82"/>
        <v>18894.054475001449</v>
      </c>
      <c r="AB274" s="87"/>
      <c r="AC274" s="86">
        <v>35823.728065049007</v>
      </c>
      <c r="AD274" s="147">
        <f t="shared" si="67"/>
        <v>-16929.673590047558</v>
      </c>
      <c r="AE274" s="147">
        <v>-16916.464566401683</v>
      </c>
      <c r="AF274" s="147">
        <f t="shared" si="68"/>
        <v>-13.209023645875277</v>
      </c>
      <c r="AG274" s="86"/>
    </row>
  </sheetData>
  <mergeCells count="5">
    <mergeCell ref="B2:K2"/>
    <mergeCell ref="U18:AA18"/>
    <mergeCell ref="Z24:AA24"/>
    <mergeCell ref="D13:K13"/>
    <mergeCell ref="D4:K4"/>
  </mergeCells>
  <conditionalFormatting sqref="B71:D97 B172:D184 B186:D191 B235:D257 B104:D170 B99:D101 B193:D203 B205:D233 AB99:AB102 AB205:AB233 AB172:AB184 AB235:AB265 AB193:AB203 AB186:AB191 AB104:AB170 AB71:AB97 AB27:AB69 B26:D69 F27:AA274 AC27:AC274 F26:AC26">
    <cfRule type="expression" dxfId="24" priority="22">
      <formula>$C26&lt;&gt;$C25</formula>
    </cfRule>
  </conditionalFormatting>
  <conditionalFormatting sqref="Z26:Z274">
    <cfRule type="expression" dxfId="23" priority="21">
      <formula>Z26&gt;75%</formula>
    </cfRule>
  </conditionalFormatting>
  <conditionalFormatting sqref="B70:D70 B98:D98 B185:D185 B234:D234 B102:D102 B204:D204 AB98 AB204 AB234 AB185 AB70 AB266:AB274">
    <cfRule type="expression" dxfId="22" priority="23">
      <formula>$C70&lt;&gt;$C68</formula>
    </cfRule>
  </conditionalFormatting>
  <conditionalFormatting sqref="B171:D171 B192:D192 AB192 AB171">
    <cfRule type="expression" dxfId="21" priority="25">
      <formula>$C171&lt;&gt;#REF!</formula>
    </cfRule>
  </conditionalFormatting>
  <conditionalFormatting sqref="B103:D103 AB103">
    <cfRule type="expression" dxfId="20" priority="27">
      <formula>$C103&lt;&gt;$C100</formula>
    </cfRule>
  </conditionalFormatting>
  <conditionalFormatting sqref="V3:V11">
    <cfRule type="expression" dxfId="19" priority="19">
      <formula>$C3&lt;&gt;$C2</formula>
    </cfRule>
  </conditionalFormatting>
  <conditionalFormatting sqref="Q26:Q274">
    <cfRule type="expression" dxfId="18" priority="15">
      <formula>$Q26&lt;=$Q$22=TRUE</formula>
    </cfRule>
    <cfRule type="expression" dxfId="17" priority="16">
      <formula>$Q26&gt;=Q$23</formula>
    </cfRule>
  </conditionalFormatting>
  <conditionalFormatting sqref="E26:E274">
    <cfRule type="expression" dxfId="16" priority="11">
      <formula>$C26&lt;&gt;$C25</formula>
    </cfRule>
  </conditionalFormatting>
  <conditionalFormatting sqref="T3:T11">
    <cfRule type="expression" dxfId="15" priority="8">
      <formula>$C3&lt;&gt;$C2</formula>
    </cfRule>
  </conditionalFormatting>
  <conditionalFormatting sqref="E24:G24">
    <cfRule type="expression" dxfId="14" priority="7">
      <formula>$C24&lt;&gt;$C23</formula>
    </cfRule>
  </conditionalFormatting>
  <conditionalFormatting sqref="E19">
    <cfRule type="expression" dxfId="13" priority="5">
      <formula>$C19&lt;&gt;$C18</formula>
    </cfRule>
  </conditionalFormatting>
  <conditionalFormatting sqref="AD26:AD274">
    <cfRule type="expression" dxfId="12" priority="4">
      <formula>$C26&lt;&gt;$C25</formula>
    </cfRule>
  </conditionalFormatting>
  <conditionalFormatting sqref="AE26:AE274">
    <cfRule type="expression" dxfId="11" priority="2">
      <formula>$C26&lt;&gt;$C25</formula>
    </cfRule>
  </conditionalFormatting>
  <conditionalFormatting sqref="AF26:AF274">
    <cfRule type="expression" dxfId="10" priority="1">
      <formula>$C26&lt;&gt;$C25</formula>
    </cfRule>
  </conditionalFormatting>
  <pageMargins left="0.7" right="0.7" top="0.75" bottom="0.75" header="0.3" footer="0.3"/>
  <pageSetup orientation="portrait" verticalDpi="0" r:id="rId1"/>
  <ignoredErrors>
    <ignoredError sqref="W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C7FA-0727-4359-B7CB-736870E05FA6}">
  <sheetPr codeName="Sheet12">
    <tabColor rgb="FFFFCCFF"/>
  </sheetPr>
  <dimension ref="B2:S254"/>
  <sheetViews>
    <sheetView workbookViewId="0"/>
  </sheetViews>
  <sheetFormatPr defaultRowHeight="14.4" x14ac:dyDescent="0.3"/>
  <cols>
    <col min="1" max="1" width="5.6640625" customWidth="1"/>
    <col min="2" max="3" width="6.6640625" style="1" customWidth="1"/>
    <col min="4" max="4" width="50.6640625" customWidth="1"/>
    <col min="5" max="11" width="14.6640625" customWidth="1"/>
    <col min="12" max="12" width="5.6640625" customWidth="1"/>
    <col min="13" max="19" width="12.6640625" customWidth="1"/>
  </cols>
  <sheetData>
    <row r="2" spans="2:19" x14ac:dyDescent="0.3">
      <c r="B2" s="22" t="s">
        <v>325</v>
      </c>
      <c r="E2" s="21"/>
      <c r="F2" s="118"/>
      <c r="G2" s="21"/>
      <c r="I2" t="s">
        <v>12</v>
      </c>
      <c r="J2" s="20">
        <v>0</v>
      </c>
    </row>
    <row r="3" spans="2:19" x14ac:dyDescent="0.3">
      <c r="D3" s="18"/>
      <c r="E3" s="19"/>
      <c r="F3" s="19"/>
      <c r="G3" s="19"/>
      <c r="H3" s="18"/>
      <c r="K3" s="16"/>
    </row>
    <row r="4" spans="2:19" ht="15" thickBot="1" x14ac:dyDescent="0.35">
      <c r="E4" s="125">
        <f>SUM(E6:E300)</f>
        <v>780409.15570955805</v>
      </c>
      <c r="F4" s="125">
        <f>SUM(F6:F300)</f>
        <v>367209233.82999974</v>
      </c>
      <c r="G4" s="125">
        <f>SUM(G6:G300)</f>
        <v>75152503.179999992</v>
      </c>
      <c r="H4" s="125">
        <f>SUM(H6:H300)</f>
        <v>292056730.6499998</v>
      </c>
      <c r="J4" t="s">
        <v>11</v>
      </c>
      <c r="K4" s="125">
        <f>SUM(K6:K300)</f>
        <v>286425191.32953638</v>
      </c>
      <c r="Q4" s="15">
        <v>0.1</v>
      </c>
      <c r="R4" s="14">
        <f>100%-Q4</f>
        <v>0.9</v>
      </c>
    </row>
    <row r="5" spans="2:19" ht="43.8" thickBot="1" x14ac:dyDescent="0.35">
      <c r="B5" s="13" t="s">
        <v>10</v>
      </c>
      <c r="C5" s="13" t="s">
        <v>9</v>
      </c>
      <c r="D5" s="13" t="s">
        <v>8</v>
      </c>
      <c r="E5" s="13" t="s">
        <v>302</v>
      </c>
      <c r="F5" s="13" t="s">
        <v>303</v>
      </c>
      <c r="G5" s="13" t="s">
        <v>304</v>
      </c>
      <c r="H5" s="13" t="s">
        <v>305</v>
      </c>
      <c r="I5" s="13" t="s">
        <v>7</v>
      </c>
      <c r="J5" s="13" t="s">
        <v>0</v>
      </c>
      <c r="K5" s="13" t="str">
        <f>"Adjusted Net Cost"&amp;CHAR(10)&amp;TEXT(SUM(K6:K248),"$#,##0")</f>
        <v>Adjusted Net Cost
$286,007,791</v>
      </c>
      <c r="M5" s="13" t="s">
        <v>6</v>
      </c>
      <c r="N5" s="13" t="s">
        <v>5</v>
      </c>
      <c r="O5" s="12" t="s">
        <v>4</v>
      </c>
      <c r="P5" s="12" t="s">
        <v>3</v>
      </c>
      <c r="Q5" s="12" t="s">
        <v>2</v>
      </c>
      <c r="R5" s="12" t="s">
        <v>1</v>
      </c>
      <c r="S5" s="12" t="s">
        <v>0</v>
      </c>
    </row>
    <row r="6" spans="2:19" x14ac:dyDescent="0.3">
      <c r="B6" s="11">
        <v>1</v>
      </c>
      <c r="C6" s="11">
        <v>1</v>
      </c>
      <c r="D6" s="10" t="s">
        <v>48</v>
      </c>
      <c r="E6" s="125">
        <f>INDEX('Revised 2018 Lockdown'!H$5:H$253,MATCH(B6,'Revised 2018 Lockdown'!B$5:B$253,0))</f>
        <v>38728.502695461008</v>
      </c>
      <c r="F6" s="7">
        <f>INDEX('Revised 2018 Lockdown'!E$5:E$253,MATCH(B6,'Revised 2018 Lockdown'!B$5:B$253,0))</f>
        <v>9766397.1899999995</v>
      </c>
      <c r="G6" s="7">
        <f>INDEX('Revised 2018 Lockdown'!F$5:F$253,MATCH(B6,'Revised 2018 Lockdown'!B$5:B$253,0))</f>
        <v>568925.55000000005</v>
      </c>
      <c r="H6" s="7">
        <f t="shared" ref="H6:H69" si="0">F6-G6</f>
        <v>9197471.6399999987</v>
      </c>
      <c r="I6" s="6">
        <f t="shared" ref="I6:I69" si="1">H6/E6</f>
        <v>237.48585666540487</v>
      </c>
      <c r="J6" s="6">
        <f>IF(ISERROR(IF($J$2=1,MAX(MIN(I6,R6),Q6),MIN(I6,R6))),R6,IF($J$2=1,MAX(MIN(I6,R6),Q6),MIN(I6,R6)))</f>
        <v>237.48585666540487</v>
      </c>
      <c r="K6" s="5">
        <f t="shared" ref="K6:K69" si="2">J6*E6</f>
        <v>9197471.6399999987</v>
      </c>
      <c r="L6" s="4">
        <f t="shared" ref="L6:L69" si="3">IF(ISERROR(I6),1,0)</f>
        <v>0</v>
      </c>
      <c r="M6" s="2" cm="1">
        <f t="array" ref="M6">SUMPRODUCT(--($L$6:$L$300&lt;&gt;1),--($C$6:$C$300=$C6),$H$6:$H$300)/SUMPRODUCT(--($L$6:$L$300&lt;&gt;1),--($C$6:$C$300=$C6),$E$6:$E$300)</f>
        <v>427.61516767704057</v>
      </c>
      <c r="N6" s="1" cm="1">
        <f t="array" ref="N6">SUMPRODUCT(--($L$6:$L$300&lt;&gt;1),--($C$6:$C$300=$C6))</f>
        <v>6</v>
      </c>
      <c r="O6" s="3">
        <f>IF(ISERROR((I6-M6)^2),0,(I6-M6)^2)</f>
        <v>36149.1549057593</v>
      </c>
      <c r="P6" s="2" cm="1">
        <f t="array" ref="P6">SQRT(SUMPRODUCT(--($L$6:$L$300&lt;&gt;1),--($C$6:$C$300=$C6),$E$6:$E$300,$O$6:$O$300)/((N6-1)*SUMPRODUCT(--($L$6:$L$300&lt;&gt;1),--($C$6:$C$300=$C6),$E$6:$E$300)/N6))</f>
        <v>156.79105675382587</v>
      </c>
      <c r="Q6" s="2">
        <f t="shared" ref="Q6:R114" si="4">NORMINV(Q$4,$M6,$P6)</f>
        <v>226.67934343078269</v>
      </c>
      <c r="R6" s="2">
        <f t="shared" si="4"/>
        <v>628.5509919232984</v>
      </c>
      <c r="S6" s="2">
        <f>IF(ISERROR(MAX(MIN(I6,R6),Q6)),R6,MAX(MIN(I6,R6),Q6))</f>
        <v>237.48585666540487</v>
      </c>
    </row>
    <row r="7" spans="2:19" x14ac:dyDescent="0.3">
      <c r="B7" s="9">
        <v>20</v>
      </c>
      <c r="C7" s="9">
        <v>1</v>
      </c>
      <c r="D7" s="8" t="s">
        <v>49</v>
      </c>
      <c r="E7" s="125">
        <f>INDEX('Revised 2018 Lockdown'!H$5:H$253,MATCH(B7,'Revised 2018 Lockdown'!B$5:B$253,0))</f>
        <v>95138.34</v>
      </c>
      <c r="F7" s="7">
        <f>INDEX('Revised 2018 Lockdown'!E$5:E$253,MATCH(B7,'Revised 2018 Lockdown'!B$5:B$253,0))</f>
        <v>72205416.569999993</v>
      </c>
      <c r="G7" s="7">
        <f>INDEX('Revised 2018 Lockdown'!F$5:F$253,MATCH(B7,'Revised 2018 Lockdown'!B$5:B$253,0))</f>
        <v>10663964.02</v>
      </c>
      <c r="H7" s="7">
        <f t="shared" si="0"/>
        <v>61541452.549999997</v>
      </c>
      <c r="I7" s="6">
        <f t="shared" si="1"/>
        <v>646.86279527265242</v>
      </c>
      <c r="J7" s="6">
        <f t="shared" ref="J7:J70" si="5">IF(ISERROR(IF($J$2=1,MAX(MIN(I7,R7),Q7),MIN(I7,R7))),R7,IF($J$2=1,MAX(MIN(I7,R7),Q7),MIN(I7,R7)))</f>
        <v>628.5509919232984</v>
      </c>
      <c r="K7" s="5">
        <f t="shared" si="2"/>
        <v>59799297.976936013</v>
      </c>
      <c r="L7" s="4">
        <f t="shared" si="3"/>
        <v>0</v>
      </c>
      <c r="M7" s="2" cm="1">
        <f t="array" ref="M7">SUMPRODUCT(--($L$6:$L$300&lt;&gt;1),--($C$6:$C$300=$C7),$H$6:$H$300)/SUMPRODUCT(--($L$6:$L$300&lt;&gt;1),--($C$6:$C$300=$C7),$E$6:$E$300)</f>
        <v>427.61516767704057</v>
      </c>
      <c r="N7" s="1" cm="1">
        <f t="array" ref="N7">SUMPRODUCT(--($L$6:$L$300&lt;&gt;1),--($C$6:$C$300=$C7))</f>
        <v>6</v>
      </c>
      <c r="O7" s="3">
        <f t="shared" ref="O7:O70" si="6">IF(ISERROR((I7-M7)^2),0,(I7-M7)^2)</f>
        <v>48069.5222063041</v>
      </c>
      <c r="P7" s="2" cm="1">
        <f t="array" ref="P7">SQRT(SUMPRODUCT(--($L$6:$L$300&lt;&gt;1),--($C$6:$C$300=$C7),$E$6:$E$300,$O$6:$O$300)/((N7-1)*SUMPRODUCT(--($L$6:$L$300&lt;&gt;1),--($C$6:$C$300=$C7),$E$6:$E$300)/N7))</f>
        <v>156.79105675382587</v>
      </c>
      <c r="Q7" s="2">
        <f t="shared" si="4"/>
        <v>226.67934343078269</v>
      </c>
      <c r="R7" s="2">
        <f t="shared" si="4"/>
        <v>628.5509919232984</v>
      </c>
      <c r="S7" s="2">
        <f t="shared" ref="S7:S70" si="7">IF(ISERROR(MAX(MIN(I7,R7),Q7)),R7,MAX(MIN(I7,R7),Q7))</f>
        <v>628.5509919232984</v>
      </c>
    </row>
    <row r="8" spans="2:19" x14ac:dyDescent="0.3">
      <c r="B8" s="9">
        <v>50</v>
      </c>
      <c r="C8" s="9">
        <v>1</v>
      </c>
      <c r="D8" s="8" t="s">
        <v>50</v>
      </c>
      <c r="E8" s="125">
        <f>INDEX('Revised 2018 Lockdown'!H$5:H$253,MATCH(B8,'Revised 2018 Lockdown'!B$5:B$253,0))</f>
        <v>21832.32</v>
      </c>
      <c r="F8" s="7">
        <f>INDEX('Revised 2018 Lockdown'!E$5:E$253,MATCH(B8,'Revised 2018 Lockdown'!B$5:B$253,0))</f>
        <v>10268120.67</v>
      </c>
      <c r="G8" s="7">
        <f>INDEX('Revised 2018 Lockdown'!F$5:F$253,MATCH(B8,'Revised 2018 Lockdown'!B$5:B$253,0))</f>
        <v>3253400.57</v>
      </c>
      <c r="H8" s="7">
        <f t="shared" si="0"/>
        <v>7014720.0999999996</v>
      </c>
      <c r="I8" s="6">
        <f t="shared" si="1"/>
        <v>321.29980231143549</v>
      </c>
      <c r="J8" s="6">
        <f t="shared" si="5"/>
        <v>321.29980231143549</v>
      </c>
      <c r="K8" s="5">
        <f t="shared" si="2"/>
        <v>7014720.0999999987</v>
      </c>
      <c r="L8" s="4">
        <f t="shared" si="3"/>
        <v>0</v>
      </c>
      <c r="M8" s="2" cm="1">
        <f t="array" ref="M8">SUMPRODUCT(--($L$6:$L$300&lt;&gt;1),--($C$6:$C$300=$C8),$H$6:$H$300)/SUMPRODUCT(--($L$6:$L$300&lt;&gt;1),--($C$6:$C$300=$C8),$E$6:$E$300)</f>
        <v>427.61516767704057</v>
      </c>
      <c r="N8" s="1" cm="1">
        <f t="array" ref="N8">SUMPRODUCT(--($L$6:$L$300&lt;&gt;1),--($C$6:$C$300=$C8))</f>
        <v>6</v>
      </c>
      <c r="O8" s="3">
        <f t="shared" si="6"/>
        <v>11302.956912822103</v>
      </c>
      <c r="P8" s="2" cm="1">
        <f t="array" ref="P8">SQRT(SUMPRODUCT(--($L$6:$L$300&lt;&gt;1),--($C$6:$C$300=$C8),$E$6:$E$300,$O$6:$O$300)/((N8-1)*SUMPRODUCT(--($L$6:$L$300&lt;&gt;1),--($C$6:$C$300=$C8),$E$6:$E$300)/N8))</f>
        <v>156.79105675382587</v>
      </c>
      <c r="Q8" s="2">
        <f t="shared" si="4"/>
        <v>226.67934343078269</v>
      </c>
      <c r="R8" s="2">
        <f t="shared" si="4"/>
        <v>628.5509919232984</v>
      </c>
      <c r="S8" s="2">
        <f t="shared" si="7"/>
        <v>321.29980231143549</v>
      </c>
    </row>
    <row r="9" spans="2:19" x14ac:dyDescent="0.3">
      <c r="B9" s="9">
        <v>97</v>
      </c>
      <c r="C9" s="9">
        <v>1</v>
      </c>
      <c r="D9" s="8" t="s">
        <v>51</v>
      </c>
      <c r="E9" s="125">
        <f>INDEX('Revised 2018 Lockdown'!H$5:H$253,MATCH(B9,'Revised 2018 Lockdown'!B$5:B$253,0))</f>
        <v>65818.306144817994</v>
      </c>
      <c r="F9" s="7">
        <f>INDEX('Revised 2018 Lockdown'!E$5:E$253,MATCH(B9,'Revised 2018 Lockdown'!B$5:B$253,0))</f>
        <v>29681378.469999999</v>
      </c>
      <c r="G9" s="7">
        <f>INDEX('Revised 2018 Lockdown'!F$5:F$253,MATCH(B9,'Revised 2018 Lockdown'!B$5:B$253,0))</f>
        <v>5193562.6999999993</v>
      </c>
      <c r="H9" s="7">
        <f t="shared" si="0"/>
        <v>24487815.77</v>
      </c>
      <c r="I9" s="6">
        <f t="shared" si="1"/>
        <v>372.0517467605473</v>
      </c>
      <c r="J9" s="6">
        <f t="shared" si="5"/>
        <v>372.0517467605473</v>
      </c>
      <c r="K9" s="5">
        <f t="shared" si="2"/>
        <v>24487815.77</v>
      </c>
      <c r="L9" s="4">
        <f t="shared" si="3"/>
        <v>0</v>
      </c>
      <c r="M9" s="2" cm="1">
        <f t="array" ref="M9">SUMPRODUCT(--($L$6:$L$300&lt;&gt;1),--($C$6:$C$300=$C9),$H$6:$H$300)/SUMPRODUCT(--($L$6:$L$300&lt;&gt;1),--($C$6:$C$300=$C9),$E$6:$E$300)</f>
        <v>427.61516767704057</v>
      </c>
      <c r="N9" s="1" cm="1">
        <f t="array" ref="N9">SUMPRODUCT(--($L$6:$L$300&lt;&gt;1),--($C$6:$C$300=$C9))</f>
        <v>6</v>
      </c>
      <c r="O9" s="3">
        <f t="shared" si="6"/>
        <v>3087.2937439434018</v>
      </c>
      <c r="P9" s="2" cm="1">
        <f t="array" ref="P9">SQRT(SUMPRODUCT(--($L$6:$L$300&lt;&gt;1),--($C$6:$C$300=$C9),$E$6:$E$300,$O$6:$O$300)/((N9-1)*SUMPRODUCT(--($L$6:$L$300&lt;&gt;1),--($C$6:$C$300=$C9),$E$6:$E$300)/N9))</f>
        <v>156.79105675382587</v>
      </c>
      <c r="Q9" s="2">
        <f t="shared" si="4"/>
        <v>226.67934343078269</v>
      </c>
      <c r="R9" s="2">
        <f t="shared" si="4"/>
        <v>628.5509919232984</v>
      </c>
      <c r="S9" s="2">
        <f t="shared" si="7"/>
        <v>372.0517467605473</v>
      </c>
    </row>
    <row r="10" spans="2:19" x14ac:dyDescent="0.3">
      <c r="B10" s="9">
        <v>172</v>
      </c>
      <c r="C10" s="9">
        <v>1</v>
      </c>
      <c r="D10" s="8" t="s">
        <v>52</v>
      </c>
      <c r="E10" s="125">
        <f>INDEX('Revised 2018 Lockdown'!H$5:H$253,MATCH(B10,'Revised 2018 Lockdown'!B$5:B$253,0))</f>
        <v>34341.100000000006</v>
      </c>
      <c r="F10" s="7">
        <f>INDEX('Revised 2018 Lockdown'!E$5:E$253,MATCH(B10,'Revised 2018 Lockdown'!B$5:B$253,0))</f>
        <v>15497137.449999999</v>
      </c>
      <c r="G10" s="7">
        <f>INDEX('Revised 2018 Lockdown'!F$5:F$253,MATCH(B10,'Revised 2018 Lockdown'!B$5:B$253,0))</f>
        <v>3445193.7500000005</v>
      </c>
      <c r="H10" s="7">
        <f t="shared" si="0"/>
        <v>12051943.699999999</v>
      </c>
      <c r="I10" s="6">
        <f t="shared" si="1"/>
        <v>350.94809717801695</v>
      </c>
      <c r="J10" s="6">
        <f t="shared" si="5"/>
        <v>350.94809717801695</v>
      </c>
      <c r="K10" s="5">
        <f t="shared" si="2"/>
        <v>12051943.699999999</v>
      </c>
      <c r="L10" s="4">
        <f t="shared" si="3"/>
        <v>0</v>
      </c>
      <c r="M10" s="2" cm="1">
        <f t="array" ref="M10">SUMPRODUCT(--($L$6:$L$300&lt;&gt;1),--($C$6:$C$300=$C10),$H$6:$H$300)/SUMPRODUCT(--($L$6:$L$300&lt;&gt;1),--($C$6:$C$300=$C10),$E$6:$E$300)</f>
        <v>427.61516767704057</v>
      </c>
      <c r="N10" s="1" cm="1">
        <f t="array" ref="N10">SUMPRODUCT(--($L$6:$L$300&lt;&gt;1),--($C$6:$C$300=$C10))</f>
        <v>6</v>
      </c>
      <c r="O10" s="3">
        <f t="shared" si="6"/>
        <v>5877.8396989022585</v>
      </c>
      <c r="P10" s="2" cm="1">
        <f t="array" ref="P10">SQRT(SUMPRODUCT(--($L$6:$L$300&lt;&gt;1),--($C$6:$C$300=$C10),$E$6:$E$300,$O$6:$O$300)/((N10-1)*SUMPRODUCT(--($L$6:$L$300&lt;&gt;1),--($C$6:$C$300=$C10),$E$6:$E$300)/N10))</f>
        <v>156.79105675382587</v>
      </c>
      <c r="Q10" s="2">
        <f t="shared" si="4"/>
        <v>226.67934343078269</v>
      </c>
      <c r="R10" s="2">
        <f t="shared" si="4"/>
        <v>628.5509919232984</v>
      </c>
      <c r="S10" s="2">
        <f t="shared" si="7"/>
        <v>350.94809717801695</v>
      </c>
    </row>
    <row r="11" spans="2:19" x14ac:dyDescent="0.3">
      <c r="B11" s="9">
        <v>270</v>
      </c>
      <c r="C11" s="9">
        <v>1</v>
      </c>
      <c r="D11" s="8" t="s">
        <v>53</v>
      </c>
      <c r="E11" s="125">
        <f>INDEX('Revised 2018 Lockdown'!H$5:H$253,MATCH(B11,'Revised 2018 Lockdown'!B$5:B$253,0))</f>
        <v>81774.8</v>
      </c>
      <c r="F11" s="7">
        <f>INDEX('Revised 2018 Lockdown'!E$5:E$253,MATCH(B11,'Revised 2018 Lockdown'!B$5:B$253,0))</f>
        <v>36884315.539999999</v>
      </c>
      <c r="G11" s="7">
        <f>INDEX('Revised 2018 Lockdown'!F$5:F$253,MATCH(B11,'Revised 2018 Lockdown'!B$5:B$253,0))</f>
        <v>6800569.6699999999</v>
      </c>
      <c r="H11" s="7">
        <f t="shared" si="0"/>
        <v>30083745.869999997</v>
      </c>
      <c r="I11" s="6">
        <f t="shared" si="1"/>
        <v>367.88528825506143</v>
      </c>
      <c r="J11" s="6">
        <f t="shared" si="5"/>
        <v>367.88528825506143</v>
      </c>
      <c r="K11" s="5">
        <f t="shared" si="2"/>
        <v>30083745.869999997</v>
      </c>
      <c r="L11" s="4">
        <f t="shared" si="3"/>
        <v>0</v>
      </c>
      <c r="M11" s="2" cm="1">
        <f t="array" ref="M11">SUMPRODUCT(--($L$6:$L$300&lt;&gt;1),--($C$6:$C$300=$C11),$H$6:$H$300)/SUMPRODUCT(--($L$6:$L$300&lt;&gt;1),--($C$6:$C$300=$C11),$E$6:$E$300)</f>
        <v>427.61516767704057</v>
      </c>
      <c r="N11" s="1" cm="1">
        <f t="array" ref="N11">SUMPRODUCT(--($L$6:$L$300&lt;&gt;1),--($C$6:$C$300=$C11))</f>
        <v>6</v>
      </c>
      <c r="O11" s="3">
        <f t="shared" si="6"/>
        <v>3567.658495764168</v>
      </c>
      <c r="P11" s="2" cm="1">
        <f t="array" ref="P11">SQRT(SUMPRODUCT(--($L$6:$L$300&lt;&gt;1),--($C$6:$C$300=$C11),$E$6:$E$300,$O$6:$O$300)/((N11-1)*SUMPRODUCT(--($L$6:$L$300&lt;&gt;1),--($C$6:$C$300=$C11),$E$6:$E$300)/N11))</f>
        <v>156.79105675382587</v>
      </c>
      <c r="Q11" s="2">
        <f t="shared" si="4"/>
        <v>226.67934343078269</v>
      </c>
      <c r="R11" s="2">
        <f t="shared" si="4"/>
        <v>628.5509919232984</v>
      </c>
      <c r="S11" s="2">
        <f t="shared" si="7"/>
        <v>367.88528825506143</v>
      </c>
    </row>
    <row r="12" spans="2:19" x14ac:dyDescent="0.3">
      <c r="B12" s="9">
        <v>6</v>
      </c>
      <c r="C12" s="9">
        <v>2</v>
      </c>
      <c r="D12" s="8" t="s">
        <v>54</v>
      </c>
      <c r="E12" s="125">
        <f>INDEX('Revised 2018 Lockdown'!H$5:H$253,MATCH(B12,'Revised 2018 Lockdown'!B$5:B$253,0))</f>
        <v>43278</v>
      </c>
      <c r="F12" s="7">
        <f>INDEX('Revised 2018 Lockdown'!E$5:E$253,MATCH(B12,'Revised 2018 Lockdown'!B$5:B$253,0))</f>
        <v>19454497.760000002</v>
      </c>
      <c r="G12" s="7">
        <f>INDEX('Revised 2018 Lockdown'!F$5:F$253,MATCH(B12,'Revised 2018 Lockdown'!B$5:B$253,0))</f>
        <v>4664058.9000000004</v>
      </c>
      <c r="H12" s="7">
        <f t="shared" si="0"/>
        <v>14790438.860000001</v>
      </c>
      <c r="I12" s="6">
        <f t="shared" si="1"/>
        <v>341.75421368824811</v>
      </c>
      <c r="J12" s="6">
        <f t="shared" si="5"/>
        <v>320.70169543853194</v>
      </c>
      <c r="K12" s="5">
        <f t="shared" si="2"/>
        <v>13879327.975188786</v>
      </c>
      <c r="L12" s="4">
        <f t="shared" si="3"/>
        <v>0</v>
      </c>
      <c r="M12" s="2" cm="1">
        <f t="array" ref="M12">SUMPRODUCT(--($L$6:$L$300&lt;&gt;1),--($C$6:$C$300=$C12),$H$6:$H$300)/SUMPRODUCT(--($L$6:$L$300&lt;&gt;1),--($C$6:$C$300=$C12),$E$6:$E$300)</f>
        <v>243.92516529036484</v>
      </c>
      <c r="N12" s="1" cm="1">
        <f t="array" ref="N12">SUMPRODUCT(--($L$6:$L$300&lt;&gt;1),--($C$6:$C$300=$C12))</f>
        <v>6</v>
      </c>
      <c r="O12" s="3">
        <f t="shared" si="6"/>
        <v>9570.5227104353871</v>
      </c>
      <c r="P12" s="2" cm="1">
        <f t="array" ref="P12">SQRT(SUMPRODUCT(--($L$6:$L$300&lt;&gt;1),--($C$6:$C$300=$C12),$E$6:$E$300,$O$6:$O$300)/((N12-1)*SUMPRODUCT(--($L$6:$L$300&lt;&gt;1),--($C$6:$C$300=$C12),$E$6:$E$300)/N12))</f>
        <v>59.909044795665807</v>
      </c>
      <c r="Q12" s="2">
        <f t="shared" si="4"/>
        <v>167.14863514219772</v>
      </c>
      <c r="R12" s="2">
        <f t="shared" si="4"/>
        <v>320.70169543853194</v>
      </c>
      <c r="S12" s="2">
        <f t="shared" si="7"/>
        <v>320.70169543853194</v>
      </c>
    </row>
    <row r="13" spans="2:19" x14ac:dyDescent="0.3">
      <c r="B13" s="9">
        <v>18</v>
      </c>
      <c r="C13" s="9">
        <v>2</v>
      </c>
      <c r="D13" s="8" t="s">
        <v>55</v>
      </c>
      <c r="E13" s="125">
        <f>INDEX('Revised 2018 Lockdown'!H$5:H$253,MATCH(B13,'Revised 2018 Lockdown'!B$5:B$253,0))</f>
        <v>23157.74</v>
      </c>
      <c r="F13" s="7">
        <f>INDEX('Revised 2018 Lockdown'!E$5:E$253,MATCH(B13,'Revised 2018 Lockdown'!B$5:B$253,0))</f>
        <v>8164283.8399999999</v>
      </c>
      <c r="G13" s="7">
        <f>INDEX('Revised 2018 Lockdown'!F$5:F$253,MATCH(B13,'Revised 2018 Lockdown'!B$5:B$253,0))</f>
        <v>3204604.9</v>
      </c>
      <c r="H13" s="7">
        <f t="shared" si="0"/>
        <v>4959678.9399999995</v>
      </c>
      <c r="I13" s="6">
        <f t="shared" si="1"/>
        <v>214.16938526816517</v>
      </c>
      <c r="J13" s="6">
        <f t="shared" si="5"/>
        <v>214.16938526816517</v>
      </c>
      <c r="K13" s="5">
        <f t="shared" si="2"/>
        <v>4959678.9399999995</v>
      </c>
      <c r="L13" s="4">
        <f t="shared" si="3"/>
        <v>0</v>
      </c>
      <c r="M13" s="2" cm="1">
        <f t="array" ref="M13">SUMPRODUCT(--($L$6:$L$300&lt;&gt;1),--($C$6:$C$300=$C13),$H$6:$H$300)/SUMPRODUCT(--($L$6:$L$300&lt;&gt;1),--($C$6:$C$300=$C13),$E$6:$E$300)</f>
        <v>243.92516529036484</v>
      </c>
      <c r="N13" s="1" cm="1">
        <f t="array" ref="N13">SUMPRODUCT(--($L$6:$L$300&lt;&gt;1),--($C$6:$C$300=$C13))</f>
        <v>6</v>
      </c>
      <c r="O13" s="3">
        <f t="shared" si="6"/>
        <v>885.40644472953716</v>
      </c>
      <c r="P13" s="2" cm="1">
        <f t="array" ref="P13">SQRT(SUMPRODUCT(--($L$6:$L$300&lt;&gt;1),--($C$6:$C$300=$C13),$E$6:$E$300,$O$6:$O$300)/((N13-1)*SUMPRODUCT(--($L$6:$L$300&lt;&gt;1),--($C$6:$C$300=$C13),$E$6:$E$300)/N13))</f>
        <v>59.909044795665807</v>
      </c>
      <c r="Q13" s="2">
        <f t="shared" si="4"/>
        <v>167.14863514219772</v>
      </c>
      <c r="R13" s="2">
        <f t="shared" si="4"/>
        <v>320.70169543853194</v>
      </c>
      <c r="S13" s="2">
        <f t="shared" si="7"/>
        <v>214.16938526816517</v>
      </c>
    </row>
    <row r="14" spans="2:19" x14ac:dyDescent="0.3">
      <c r="B14" s="9">
        <v>53</v>
      </c>
      <c r="C14" s="9">
        <v>2</v>
      </c>
      <c r="D14" s="8" t="s">
        <v>56</v>
      </c>
      <c r="E14" s="125">
        <f>INDEX('Revised 2018 Lockdown'!H$5:H$253,MATCH(B14,'Revised 2018 Lockdown'!B$5:B$253,0))</f>
        <v>36449.64</v>
      </c>
      <c r="F14" s="7">
        <f>INDEX('Revised 2018 Lockdown'!E$5:E$253,MATCH(B14,'Revised 2018 Lockdown'!B$5:B$253,0))</f>
        <v>11201363.85</v>
      </c>
      <c r="G14" s="7">
        <f>INDEX('Revised 2018 Lockdown'!F$5:F$253,MATCH(B14,'Revised 2018 Lockdown'!B$5:B$253,0))</f>
        <v>3914991.95</v>
      </c>
      <c r="H14" s="7">
        <f t="shared" si="0"/>
        <v>7286371.8999999994</v>
      </c>
      <c r="I14" s="6">
        <f t="shared" si="1"/>
        <v>199.90243799390061</v>
      </c>
      <c r="J14" s="6">
        <f t="shared" si="5"/>
        <v>199.90243799390061</v>
      </c>
      <c r="K14" s="5">
        <f t="shared" si="2"/>
        <v>7286371.8999999994</v>
      </c>
      <c r="L14" s="4">
        <f t="shared" si="3"/>
        <v>0</v>
      </c>
      <c r="M14" s="2" cm="1">
        <f t="array" ref="M14">SUMPRODUCT(--($L$6:$L$300&lt;&gt;1),--($C$6:$C$300=$C14),$H$6:$H$300)/SUMPRODUCT(--($L$6:$L$300&lt;&gt;1),--($C$6:$C$300=$C14),$E$6:$E$300)</f>
        <v>243.92516529036484</v>
      </c>
      <c r="N14" s="1" cm="1">
        <f t="array" ref="N14">SUMPRODUCT(--($L$6:$L$300&lt;&gt;1),--($C$6:$C$300=$C14))</f>
        <v>6</v>
      </c>
      <c r="O14" s="3">
        <f t="shared" si="6"/>
        <v>1938.0005186188575</v>
      </c>
      <c r="P14" s="2" cm="1">
        <f t="array" ref="P14">SQRT(SUMPRODUCT(--($L$6:$L$300&lt;&gt;1),--($C$6:$C$300=$C14),$E$6:$E$300,$O$6:$O$300)/((N14-1)*SUMPRODUCT(--($L$6:$L$300&lt;&gt;1),--($C$6:$C$300=$C14),$E$6:$E$300)/N14))</f>
        <v>59.909044795665807</v>
      </c>
      <c r="Q14" s="2">
        <f t="shared" si="4"/>
        <v>167.14863514219772</v>
      </c>
      <c r="R14" s="2">
        <f t="shared" si="4"/>
        <v>320.70169543853194</v>
      </c>
      <c r="S14" s="2">
        <f t="shared" si="7"/>
        <v>199.90243799390061</v>
      </c>
    </row>
    <row r="15" spans="2:19" x14ac:dyDescent="0.3">
      <c r="B15" s="9">
        <v>335</v>
      </c>
      <c r="C15" s="9">
        <v>2</v>
      </c>
      <c r="D15" s="8" t="s">
        <v>57</v>
      </c>
      <c r="E15" s="125">
        <f>INDEX('Revised 2018 Lockdown'!H$5:H$253,MATCH(B15,'Revised 2018 Lockdown'!B$5:B$253,0))</f>
        <v>24830.720000000001</v>
      </c>
      <c r="F15" s="7">
        <f>INDEX('Revised 2018 Lockdown'!E$5:E$253,MATCH(B15,'Revised 2018 Lockdown'!B$5:B$253,0))</f>
        <v>10253567.189999999</v>
      </c>
      <c r="G15" s="7">
        <f>INDEX('Revised 2018 Lockdown'!F$5:F$253,MATCH(B15,'Revised 2018 Lockdown'!B$5:B$253,0))</f>
        <v>3115651.2</v>
      </c>
      <c r="H15" s="7">
        <f t="shared" si="0"/>
        <v>7137915.9899999993</v>
      </c>
      <c r="I15" s="6">
        <f t="shared" si="1"/>
        <v>287.46310980913961</v>
      </c>
      <c r="J15" s="6">
        <f t="shared" si="5"/>
        <v>287.46310980913961</v>
      </c>
      <c r="K15" s="5">
        <f t="shared" si="2"/>
        <v>7137915.9899999993</v>
      </c>
      <c r="L15" s="4">
        <f t="shared" si="3"/>
        <v>0</v>
      </c>
      <c r="M15" s="2" cm="1">
        <f t="array" ref="M15">SUMPRODUCT(--($L$6:$L$300&lt;&gt;1),--($C$6:$C$300=$C15),$H$6:$H$300)/SUMPRODUCT(--($L$6:$L$300&lt;&gt;1),--($C$6:$C$300=$C15),$E$6:$E$300)</f>
        <v>243.92516529036484</v>
      </c>
      <c r="N15" s="1" cm="1">
        <f t="array" ref="N15">SUMPRODUCT(--($L$6:$L$300&lt;&gt;1),--($C$6:$C$300=$C15))</f>
        <v>6</v>
      </c>
      <c r="O15" s="3">
        <f t="shared" si="6"/>
        <v>1895.5526129199095</v>
      </c>
      <c r="P15" s="2" cm="1">
        <f t="array" ref="P15">SQRT(SUMPRODUCT(--($L$6:$L$300&lt;&gt;1),--($C$6:$C$300=$C15),$E$6:$E$300,$O$6:$O$300)/((N15-1)*SUMPRODUCT(--($L$6:$L$300&lt;&gt;1),--($C$6:$C$300=$C15),$E$6:$E$300)/N15))</f>
        <v>59.909044795665807</v>
      </c>
      <c r="Q15" s="2">
        <f t="shared" si="4"/>
        <v>167.14863514219772</v>
      </c>
      <c r="R15" s="2">
        <f t="shared" si="4"/>
        <v>320.70169543853194</v>
      </c>
      <c r="S15" s="2">
        <f t="shared" si="7"/>
        <v>287.46310980913961</v>
      </c>
    </row>
    <row r="16" spans="2:19" x14ac:dyDescent="0.3">
      <c r="B16" s="9">
        <v>357</v>
      </c>
      <c r="C16" s="9">
        <v>2</v>
      </c>
      <c r="D16" s="8" t="s">
        <v>58</v>
      </c>
      <c r="E16" s="125">
        <f>INDEX('Revised 2018 Lockdown'!H$5:H$253,MATCH(B16,'Revised 2018 Lockdown'!B$5:B$253,0))</f>
        <v>35854.92</v>
      </c>
      <c r="F16" s="7">
        <f>INDEX('Revised 2018 Lockdown'!E$5:E$253,MATCH(B16,'Revised 2018 Lockdown'!B$5:B$253,0))</f>
        <v>12842982.59</v>
      </c>
      <c r="G16" s="7">
        <f>INDEX('Revised 2018 Lockdown'!F$5:F$253,MATCH(B16,'Revised 2018 Lockdown'!B$5:B$253,0))</f>
        <v>4901152.2100000009</v>
      </c>
      <c r="H16" s="7">
        <f t="shared" si="0"/>
        <v>7941830.379999999</v>
      </c>
      <c r="I16" s="6">
        <f t="shared" si="1"/>
        <v>221.49904057797366</v>
      </c>
      <c r="J16" s="6">
        <f t="shared" si="5"/>
        <v>221.49904057797366</v>
      </c>
      <c r="K16" s="5">
        <f t="shared" si="2"/>
        <v>7941830.379999999</v>
      </c>
      <c r="L16" s="4">
        <f t="shared" si="3"/>
        <v>0</v>
      </c>
      <c r="M16" s="2" cm="1">
        <f t="array" ref="M16">SUMPRODUCT(--($L$6:$L$300&lt;&gt;1),--($C$6:$C$300=$C16),$H$6:$H$300)/SUMPRODUCT(--($L$6:$L$300&lt;&gt;1),--($C$6:$C$300=$C16),$E$6:$E$300)</f>
        <v>243.92516529036484</v>
      </c>
      <c r="N16" s="1" cm="1">
        <f t="array" ref="N16">SUMPRODUCT(--($L$6:$L$300&lt;&gt;1),--($C$6:$C$300=$C16))</f>
        <v>6</v>
      </c>
      <c r="O16" s="3">
        <f t="shared" si="6"/>
        <v>502.93106961572266</v>
      </c>
      <c r="P16" s="2" cm="1">
        <f t="array" ref="P16">SQRT(SUMPRODUCT(--($L$6:$L$300&lt;&gt;1),--($C$6:$C$300=$C16),$E$6:$E$300,$O$6:$O$300)/((N16-1)*SUMPRODUCT(--($L$6:$L$300&lt;&gt;1),--($C$6:$C$300=$C16),$E$6:$E$300)/N16))</f>
        <v>59.909044795665807</v>
      </c>
      <c r="Q16" s="2">
        <f t="shared" si="4"/>
        <v>167.14863514219772</v>
      </c>
      <c r="R16" s="2">
        <f t="shared" si="4"/>
        <v>320.70169543853194</v>
      </c>
      <c r="S16" s="2">
        <f t="shared" si="7"/>
        <v>221.49904057797366</v>
      </c>
    </row>
    <row r="17" spans="2:19" x14ac:dyDescent="0.3">
      <c r="B17" s="9">
        <v>441</v>
      </c>
      <c r="C17" s="9">
        <v>2</v>
      </c>
      <c r="D17" s="8" t="s">
        <v>59</v>
      </c>
      <c r="E17" s="125">
        <f>INDEX('Revised 2018 Lockdown'!H$5:H$253,MATCH(B17,'Revised 2018 Lockdown'!B$5:B$253,0))</f>
        <v>56329.880000000012</v>
      </c>
      <c r="F17" s="7">
        <f>INDEX('Revised 2018 Lockdown'!E$5:E$253,MATCH(B17,'Revised 2018 Lockdown'!B$5:B$253,0))</f>
        <v>19699847.25</v>
      </c>
      <c r="G17" s="7">
        <f>INDEX('Revised 2018 Lockdown'!F$5:F$253,MATCH(B17,'Revised 2018 Lockdown'!B$5:B$253,0))</f>
        <v>8176719.9399999995</v>
      </c>
      <c r="H17" s="7">
        <f t="shared" si="0"/>
        <v>11523127.310000001</v>
      </c>
      <c r="I17" s="6">
        <f t="shared" si="1"/>
        <v>204.5650960023348</v>
      </c>
      <c r="J17" s="6">
        <f t="shared" si="5"/>
        <v>204.5650960023348</v>
      </c>
      <c r="K17" s="5">
        <f t="shared" si="2"/>
        <v>11523127.310000001</v>
      </c>
      <c r="L17" s="4">
        <f t="shared" si="3"/>
        <v>0</v>
      </c>
      <c r="M17" s="2" cm="1">
        <f t="array" ref="M17">SUMPRODUCT(--($L$6:$L$300&lt;&gt;1),--($C$6:$C$300=$C17),$H$6:$H$300)/SUMPRODUCT(--($L$6:$L$300&lt;&gt;1),--($C$6:$C$300=$C17),$E$6:$E$300)</f>
        <v>243.92516529036484</v>
      </c>
      <c r="N17" s="1" cm="1">
        <f t="array" ref="N17">SUMPRODUCT(--($L$6:$L$300&lt;&gt;1),--($C$6:$C$300=$C17))</f>
        <v>6</v>
      </c>
      <c r="O17" s="3">
        <f t="shared" si="6"/>
        <v>1549.2150543585262</v>
      </c>
      <c r="P17" s="2" cm="1">
        <f t="array" ref="P17">SQRT(SUMPRODUCT(--($L$6:$L$300&lt;&gt;1),--($C$6:$C$300=$C17),$E$6:$E$300,$O$6:$O$300)/((N17-1)*SUMPRODUCT(--($L$6:$L$300&lt;&gt;1),--($C$6:$C$300=$C17),$E$6:$E$300)/N17))</f>
        <v>59.909044795665807</v>
      </c>
      <c r="Q17" s="2">
        <f t="shared" si="4"/>
        <v>167.14863514219772</v>
      </c>
      <c r="R17" s="2">
        <f t="shared" si="4"/>
        <v>320.70169543853194</v>
      </c>
      <c r="S17" s="2">
        <f t="shared" si="7"/>
        <v>204.5650960023348</v>
      </c>
    </row>
    <row r="18" spans="2:19" x14ac:dyDescent="0.3">
      <c r="B18" s="9">
        <v>14</v>
      </c>
      <c r="C18" s="9">
        <v>3</v>
      </c>
      <c r="D18" s="8" t="s">
        <v>60</v>
      </c>
      <c r="E18" s="125">
        <f>INDEX('Revised 2018 Lockdown'!H$5:H$253,MATCH(B18,'Revised 2018 Lockdown'!B$5:B$253,0))</f>
        <v>11321.630000000001</v>
      </c>
      <c r="F18" s="7">
        <f>INDEX('Revised 2018 Lockdown'!E$5:E$253,MATCH(B18,'Revised 2018 Lockdown'!B$5:B$253,0))</f>
        <v>2603189.4300000002</v>
      </c>
      <c r="G18" s="7">
        <f>INDEX('Revised 2018 Lockdown'!F$5:F$253,MATCH(B18,'Revised 2018 Lockdown'!B$5:B$253,0))</f>
        <v>261823.18</v>
      </c>
      <c r="H18" s="7">
        <f t="shared" si="0"/>
        <v>2341366.25</v>
      </c>
      <c r="I18" s="6">
        <f t="shared" si="1"/>
        <v>206.80469596692348</v>
      </c>
      <c r="J18" s="6">
        <f t="shared" si="5"/>
        <v>206.80469596692348</v>
      </c>
      <c r="K18" s="5">
        <f t="shared" si="2"/>
        <v>2341366.25</v>
      </c>
      <c r="L18" s="4">
        <f t="shared" si="3"/>
        <v>0</v>
      </c>
      <c r="M18" s="2" cm="1">
        <f t="array" ref="M18">SUMPRODUCT(--($L$6:$L$300&lt;&gt;1),--($C$6:$C$300=$C18),$H$6:$H$300)/SUMPRODUCT(--($L$6:$L$300&lt;&gt;1),--($C$6:$C$300=$C18),$E$6:$E$300)</f>
        <v>302.57967145524412</v>
      </c>
      <c r="N18" s="1" cm="1">
        <f t="array" ref="N18">SUMPRODUCT(--($L$6:$L$300&lt;&gt;1),--($C$6:$C$300=$C18))</f>
        <v>7</v>
      </c>
      <c r="O18" s="3">
        <f t="shared" si="6"/>
        <v>9172.8459297884219</v>
      </c>
      <c r="P18" s="2" cm="1">
        <f t="array" ref="P18">SQRT(SUMPRODUCT(--($L$6:$L$300&lt;&gt;1),--($C$6:$C$300=$C18),$E$6:$E$300,$O$6:$O$300)/((N18-1)*SUMPRODUCT(--($L$6:$L$300&lt;&gt;1),--($C$6:$C$300=$C18),$E$6:$E$300)/N18))</f>
        <v>184.40931728594376</v>
      </c>
      <c r="Q18" s="2">
        <f t="shared" si="4"/>
        <v>66.249622186431935</v>
      </c>
      <c r="R18" s="2">
        <f t="shared" si="4"/>
        <v>538.90972072405634</v>
      </c>
      <c r="S18" s="2">
        <f t="shared" si="7"/>
        <v>206.80469596692348</v>
      </c>
    </row>
    <row r="19" spans="2:19" x14ac:dyDescent="0.3">
      <c r="B19" s="9">
        <v>36</v>
      </c>
      <c r="C19" s="9">
        <v>3</v>
      </c>
      <c r="D19" s="8" t="s">
        <v>61</v>
      </c>
      <c r="E19" s="125">
        <f>INDEX('Revised 2018 Lockdown'!H$5:H$253,MATCH(B19,'Revised 2018 Lockdown'!B$5:B$253,0))</f>
        <v>8138.780484742425</v>
      </c>
      <c r="F19" s="7">
        <f>INDEX('Revised 2018 Lockdown'!E$5:E$253,MATCH(B19,'Revised 2018 Lockdown'!B$5:B$253,0))</f>
        <v>6197835.3200000003</v>
      </c>
      <c r="G19" s="7">
        <f>INDEX('Revised 2018 Lockdown'!F$5:F$253,MATCH(B19,'Revised 2018 Lockdown'!B$5:B$253,0))</f>
        <v>874483.81000000017</v>
      </c>
      <c r="H19" s="7">
        <f t="shared" si="0"/>
        <v>5323351.51</v>
      </c>
      <c r="I19" s="6">
        <f t="shared" si="1"/>
        <v>654.07237853134859</v>
      </c>
      <c r="J19" s="6">
        <f t="shared" si="5"/>
        <v>538.90972072405634</v>
      </c>
      <c r="K19" s="5">
        <f t="shared" si="2"/>
        <v>4386067.9180669403</v>
      </c>
      <c r="L19" s="4">
        <f t="shared" si="3"/>
        <v>0</v>
      </c>
      <c r="M19" s="2" cm="1">
        <f t="array" ref="M19">SUMPRODUCT(--($L$6:$L$300&lt;&gt;1),--($C$6:$C$300=$C19),$H$6:$H$300)/SUMPRODUCT(--($L$6:$L$300&lt;&gt;1),--($C$6:$C$300=$C19),$E$6:$E$300)</f>
        <v>302.57967145524412</v>
      </c>
      <c r="N19" s="1" cm="1">
        <f t="array" ref="N19">SUMPRODUCT(--($L$6:$L$300&lt;&gt;1),--($C$6:$C$300=$C19))</f>
        <v>7</v>
      </c>
      <c r="O19" s="3">
        <f t="shared" si="6"/>
        <v>123547.12312768817</v>
      </c>
      <c r="P19" s="2" cm="1">
        <f t="array" ref="P19">SQRT(SUMPRODUCT(--($L$6:$L$300&lt;&gt;1),--($C$6:$C$300=$C19),$E$6:$E$300,$O$6:$O$300)/((N19-1)*SUMPRODUCT(--($L$6:$L$300&lt;&gt;1),--($C$6:$C$300=$C19),$E$6:$E$300)/N19))</f>
        <v>184.40931728594376</v>
      </c>
      <c r="Q19" s="2">
        <f t="shared" si="4"/>
        <v>66.249622186431935</v>
      </c>
      <c r="R19" s="2">
        <f t="shared" si="4"/>
        <v>538.90972072405634</v>
      </c>
      <c r="S19" s="2">
        <f t="shared" si="7"/>
        <v>538.90972072405634</v>
      </c>
    </row>
    <row r="20" spans="2:19" x14ac:dyDescent="0.3">
      <c r="B20" s="9">
        <v>55</v>
      </c>
      <c r="C20" s="9">
        <v>3</v>
      </c>
      <c r="D20" s="8" t="s">
        <v>62</v>
      </c>
      <c r="E20" s="125">
        <f>INDEX('Revised 2018 Lockdown'!H$5:H$253,MATCH(B20,'Revised 2018 Lockdown'!B$5:B$253,0))</f>
        <v>3445.1599999999994</v>
      </c>
      <c r="F20" s="7">
        <f>INDEX('Revised 2018 Lockdown'!E$5:E$253,MATCH(B20,'Revised 2018 Lockdown'!B$5:B$253,0))</f>
        <v>1492885.07</v>
      </c>
      <c r="G20" s="7">
        <f>INDEX('Revised 2018 Lockdown'!F$5:F$253,MATCH(B20,'Revised 2018 Lockdown'!B$5:B$253,0))</f>
        <v>67559.319999999992</v>
      </c>
      <c r="H20" s="7">
        <f t="shared" si="0"/>
        <v>1425325.75</v>
      </c>
      <c r="I20" s="6">
        <f t="shared" si="1"/>
        <v>413.71830335891519</v>
      </c>
      <c r="J20" s="6">
        <f t="shared" si="5"/>
        <v>413.71830335891519</v>
      </c>
      <c r="K20" s="5">
        <f t="shared" si="2"/>
        <v>1425325.75</v>
      </c>
      <c r="L20" s="4">
        <f t="shared" si="3"/>
        <v>0</v>
      </c>
      <c r="M20" s="2" cm="1">
        <f t="array" ref="M20">SUMPRODUCT(--($L$6:$L$300&lt;&gt;1),--($C$6:$C$300=$C20),$H$6:$H$300)/SUMPRODUCT(--($L$6:$L$300&lt;&gt;1),--($C$6:$C$300=$C20),$E$6:$E$300)</f>
        <v>302.57967145524412</v>
      </c>
      <c r="N20" s="1" cm="1">
        <f t="array" ref="N20">SUMPRODUCT(--($L$6:$L$300&lt;&gt;1),--($C$6:$C$300=$C20))</f>
        <v>7</v>
      </c>
      <c r="O20" s="3">
        <f t="shared" si="6"/>
        <v>12351.795501419692</v>
      </c>
      <c r="P20" s="2" cm="1">
        <f t="array" ref="P20">SQRT(SUMPRODUCT(--($L$6:$L$300&lt;&gt;1),--($C$6:$C$300=$C20),$E$6:$E$300,$O$6:$O$300)/((N20-1)*SUMPRODUCT(--($L$6:$L$300&lt;&gt;1),--($C$6:$C$300=$C20),$E$6:$E$300)/N20))</f>
        <v>184.40931728594376</v>
      </c>
      <c r="Q20" s="2">
        <f t="shared" si="4"/>
        <v>66.249622186431935</v>
      </c>
      <c r="R20" s="2">
        <f t="shared" si="4"/>
        <v>538.90972072405634</v>
      </c>
      <c r="S20" s="2">
        <f t="shared" si="7"/>
        <v>413.71830335891519</v>
      </c>
    </row>
    <row r="21" spans="2:19" x14ac:dyDescent="0.3">
      <c r="B21" s="9">
        <v>103</v>
      </c>
      <c r="C21" s="9">
        <v>3</v>
      </c>
      <c r="D21" s="8" t="s">
        <v>63</v>
      </c>
      <c r="E21" s="125">
        <f>INDEX('Revised 2018 Lockdown'!H$5:H$253,MATCH(B21,'Revised 2018 Lockdown'!B$5:B$253,0))</f>
        <v>4118.84</v>
      </c>
      <c r="F21" s="7">
        <f>INDEX('Revised 2018 Lockdown'!E$5:E$253,MATCH(B21,'Revised 2018 Lockdown'!B$5:B$253,0))</f>
        <v>1485991.22</v>
      </c>
      <c r="G21" s="7">
        <f>INDEX('Revised 2018 Lockdown'!F$5:F$253,MATCH(B21,'Revised 2018 Lockdown'!B$5:B$253,0))</f>
        <v>554001.79</v>
      </c>
      <c r="H21" s="7">
        <f t="shared" si="0"/>
        <v>931989.42999999993</v>
      </c>
      <c r="I21" s="6">
        <f t="shared" si="1"/>
        <v>226.27473511959676</v>
      </c>
      <c r="J21" s="6">
        <f t="shared" si="5"/>
        <v>226.27473511959676</v>
      </c>
      <c r="K21" s="5">
        <f t="shared" si="2"/>
        <v>931989.42999999993</v>
      </c>
      <c r="L21" s="4">
        <f t="shared" si="3"/>
        <v>0</v>
      </c>
      <c r="M21" s="2" cm="1">
        <f t="array" ref="M21">SUMPRODUCT(--($L$6:$L$300&lt;&gt;1),--($C$6:$C$300=$C21),$H$6:$H$300)/SUMPRODUCT(--($L$6:$L$300&lt;&gt;1),--($C$6:$C$300=$C21),$E$6:$E$300)</f>
        <v>302.57967145524412</v>
      </c>
      <c r="N21" s="1" cm="1">
        <f t="array" ref="N21">SUMPRODUCT(--($L$6:$L$300&lt;&gt;1),--($C$6:$C$300=$C21))</f>
        <v>7</v>
      </c>
      <c r="O21" s="3">
        <f t="shared" si="6"/>
        <v>5822.4433091871979</v>
      </c>
      <c r="P21" s="2" cm="1">
        <f t="array" ref="P21">SQRT(SUMPRODUCT(--($L$6:$L$300&lt;&gt;1),--($C$6:$C$300=$C21),$E$6:$E$300,$O$6:$O$300)/((N21-1)*SUMPRODUCT(--($L$6:$L$300&lt;&gt;1),--($C$6:$C$300=$C21),$E$6:$E$300)/N21))</f>
        <v>184.40931728594376</v>
      </c>
      <c r="Q21" s="2">
        <f t="shared" si="4"/>
        <v>66.249622186431935</v>
      </c>
      <c r="R21" s="2">
        <f t="shared" si="4"/>
        <v>538.90972072405634</v>
      </c>
      <c r="S21" s="2">
        <f t="shared" si="7"/>
        <v>226.27473511959676</v>
      </c>
    </row>
    <row r="22" spans="2:19" x14ac:dyDescent="0.3">
      <c r="B22" s="9">
        <v>123</v>
      </c>
      <c r="C22" s="9">
        <v>3</v>
      </c>
      <c r="D22" s="8" t="s">
        <v>64</v>
      </c>
      <c r="E22" s="125">
        <f>INDEX('Revised 2018 Lockdown'!H$5:H$253,MATCH(B22,'Revised 2018 Lockdown'!B$5:B$253,0))</f>
        <v>6660.5800000000008</v>
      </c>
      <c r="F22" s="7">
        <f>INDEX('Revised 2018 Lockdown'!E$5:E$253,MATCH(B22,'Revised 2018 Lockdown'!B$5:B$253,0))</f>
        <v>1284089.29</v>
      </c>
      <c r="G22" s="7">
        <f>INDEX('Revised 2018 Lockdown'!F$5:F$253,MATCH(B22,'Revised 2018 Lockdown'!B$5:B$253,0))</f>
        <v>0</v>
      </c>
      <c r="H22" s="7">
        <f t="shared" si="0"/>
        <v>1284089.29</v>
      </c>
      <c r="I22" s="6">
        <f t="shared" si="1"/>
        <v>192.78941023154138</v>
      </c>
      <c r="J22" s="6">
        <f t="shared" si="5"/>
        <v>192.78941023154138</v>
      </c>
      <c r="K22" s="5">
        <f t="shared" si="2"/>
        <v>1284089.29</v>
      </c>
      <c r="L22" s="4">
        <f t="shared" si="3"/>
        <v>0</v>
      </c>
      <c r="M22" s="2" cm="1">
        <f t="array" ref="M22">SUMPRODUCT(--($L$6:$L$300&lt;&gt;1),--($C$6:$C$300=$C22),$H$6:$H$300)/SUMPRODUCT(--($L$6:$L$300&lt;&gt;1),--($C$6:$C$300=$C22),$E$6:$E$300)</f>
        <v>302.57967145524412</v>
      </c>
      <c r="N22" s="1" cm="1">
        <f t="array" ref="N22">SUMPRODUCT(--($L$6:$L$300&lt;&gt;1),--($C$6:$C$300=$C22))</f>
        <v>7</v>
      </c>
      <c r="O22" s="3">
        <f t="shared" si="6"/>
        <v>12053.901459568886</v>
      </c>
      <c r="P22" s="2" cm="1">
        <f t="array" ref="P22">SQRT(SUMPRODUCT(--($L$6:$L$300&lt;&gt;1),--($C$6:$C$300=$C22),$E$6:$E$300,$O$6:$O$300)/((N22-1)*SUMPRODUCT(--($L$6:$L$300&lt;&gt;1),--($C$6:$C$300=$C22),$E$6:$E$300)/N22))</f>
        <v>184.40931728594376</v>
      </c>
      <c r="Q22" s="2">
        <f t="shared" si="4"/>
        <v>66.249622186431935</v>
      </c>
      <c r="R22" s="2">
        <f t="shared" si="4"/>
        <v>538.90972072405634</v>
      </c>
      <c r="S22" s="2">
        <f t="shared" si="7"/>
        <v>192.78941023154138</v>
      </c>
    </row>
    <row r="23" spans="2:19" x14ac:dyDescent="0.3">
      <c r="B23" s="9">
        <v>179</v>
      </c>
      <c r="C23" s="9">
        <v>3</v>
      </c>
      <c r="D23" s="8" t="s">
        <v>65</v>
      </c>
      <c r="E23" s="125">
        <f>INDEX('Revised 2018 Lockdown'!H$5:H$253,MATCH(B23,'Revised 2018 Lockdown'!B$5:B$253,0))</f>
        <v>6074.0999999999995</v>
      </c>
      <c r="F23" s="7">
        <f>INDEX('Revised 2018 Lockdown'!E$5:E$253,MATCH(B23,'Revised 2018 Lockdown'!B$5:B$253,0))</f>
        <v>2468879.0699999998</v>
      </c>
      <c r="G23" s="7">
        <f>INDEX('Revised 2018 Lockdown'!F$5:F$253,MATCH(B23,'Revised 2018 Lockdown'!B$5:B$253,0))</f>
        <v>713319.58000000007</v>
      </c>
      <c r="H23" s="7">
        <f t="shared" si="0"/>
        <v>1755559.4899999998</v>
      </c>
      <c r="I23" s="6">
        <f t="shared" si="1"/>
        <v>289.02380434961555</v>
      </c>
      <c r="J23" s="6">
        <f t="shared" si="5"/>
        <v>289.02380434961555</v>
      </c>
      <c r="K23" s="5">
        <f t="shared" si="2"/>
        <v>1755559.4899999995</v>
      </c>
      <c r="L23" s="4">
        <f t="shared" si="3"/>
        <v>0</v>
      </c>
      <c r="M23" s="2" cm="1">
        <f t="array" ref="M23">SUMPRODUCT(--($L$6:$L$300&lt;&gt;1),--($C$6:$C$300=$C23),$H$6:$H$300)/SUMPRODUCT(--($L$6:$L$300&lt;&gt;1),--($C$6:$C$300=$C23),$E$6:$E$300)</f>
        <v>302.57967145524412</v>
      </c>
      <c r="N23" s="1" cm="1">
        <f t="array" ref="N23">SUMPRODUCT(--($L$6:$L$300&lt;&gt;1),--($C$6:$C$300=$C23))</f>
        <v>7</v>
      </c>
      <c r="O23" s="3">
        <f t="shared" si="6"/>
        <v>183.76153298546294</v>
      </c>
      <c r="P23" s="2" cm="1">
        <f t="array" ref="P23">SQRT(SUMPRODUCT(--($L$6:$L$300&lt;&gt;1),--($C$6:$C$300=$C23),$E$6:$E$300,$O$6:$O$300)/((N23-1)*SUMPRODUCT(--($L$6:$L$300&lt;&gt;1),--($C$6:$C$300=$C23),$E$6:$E$300)/N23))</f>
        <v>184.40931728594376</v>
      </c>
      <c r="Q23" s="2">
        <f t="shared" si="4"/>
        <v>66.249622186431935</v>
      </c>
      <c r="R23" s="2">
        <f t="shared" si="4"/>
        <v>538.90972072405634</v>
      </c>
      <c r="S23" s="2">
        <f t="shared" si="7"/>
        <v>289.02380434961555</v>
      </c>
    </row>
    <row r="24" spans="2:19" x14ac:dyDescent="0.3">
      <c r="B24" s="9">
        <v>293</v>
      </c>
      <c r="C24" s="9">
        <v>3</v>
      </c>
      <c r="D24" s="8" t="s">
        <v>66</v>
      </c>
      <c r="E24" s="125">
        <f>INDEX('Revised 2018 Lockdown'!H$5:H$253,MATCH(B24,'Revised 2018 Lockdown'!B$5:B$253,0))</f>
        <v>7960.05</v>
      </c>
      <c r="F24" s="7">
        <f>INDEX('Revised 2018 Lockdown'!E$5:E$253,MATCH(B24,'Revised 2018 Lockdown'!B$5:B$253,0))</f>
        <v>2370064.7599999998</v>
      </c>
      <c r="G24" s="7">
        <f>INDEX('Revised 2018 Lockdown'!F$5:F$253,MATCH(B24,'Revised 2018 Lockdown'!B$5:B$253,0))</f>
        <v>992904.63</v>
      </c>
      <c r="H24" s="7">
        <f t="shared" si="0"/>
        <v>1377160.13</v>
      </c>
      <c r="I24" s="6">
        <f t="shared" si="1"/>
        <v>173.00897984309142</v>
      </c>
      <c r="J24" s="6">
        <f t="shared" si="5"/>
        <v>173.00897984309142</v>
      </c>
      <c r="K24" s="5">
        <f t="shared" si="2"/>
        <v>1377160.13</v>
      </c>
      <c r="L24" s="4">
        <f t="shared" si="3"/>
        <v>0</v>
      </c>
      <c r="M24" s="2" cm="1">
        <f t="array" ref="M24">SUMPRODUCT(--($L$6:$L$300&lt;&gt;1),--($C$6:$C$300=$C24),$H$6:$H$300)/SUMPRODUCT(--($L$6:$L$300&lt;&gt;1),--($C$6:$C$300=$C24),$E$6:$E$300)</f>
        <v>302.57967145524412</v>
      </c>
      <c r="N24" s="1" cm="1">
        <f t="array" ref="N24">SUMPRODUCT(--($L$6:$L$300&lt;&gt;1),--($C$6:$C$300=$C24))</f>
        <v>7</v>
      </c>
      <c r="O24" s="3">
        <f t="shared" si="6"/>
        <v>16788.564124851579</v>
      </c>
      <c r="P24" s="2" cm="1">
        <f t="array" ref="P24">SQRT(SUMPRODUCT(--($L$6:$L$300&lt;&gt;1),--($C$6:$C$300=$C24),$E$6:$E$300,$O$6:$O$300)/((N24-1)*SUMPRODUCT(--($L$6:$L$300&lt;&gt;1),--($C$6:$C$300=$C24),$E$6:$E$300)/N24))</f>
        <v>184.40931728594376</v>
      </c>
      <c r="Q24" s="2">
        <f t="shared" si="4"/>
        <v>66.249622186431935</v>
      </c>
      <c r="R24" s="2">
        <f t="shared" si="4"/>
        <v>538.90972072405634</v>
      </c>
      <c r="S24" s="2">
        <f t="shared" si="7"/>
        <v>173.00897984309142</v>
      </c>
    </row>
    <row r="25" spans="2:19" x14ac:dyDescent="0.3">
      <c r="B25" s="9">
        <v>12</v>
      </c>
      <c r="C25" s="9">
        <v>4</v>
      </c>
      <c r="D25" s="8" t="s">
        <v>67</v>
      </c>
      <c r="E25" s="125">
        <f>INDEX('Revised 2018 Lockdown'!H$5:H$253,MATCH(B25,'Revised 2018 Lockdown'!B$5:B$253,0))</f>
        <v>5092.2999999999993</v>
      </c>
      <c r="F25" s="7">
        <f>INDEX('Revised 2018 Lockdown'!E$5:E$253,MATCH(B25,'Revised 2018 Lockdown'!B$5:B$253,0))</f>
        <v>2965866.88</v>
      </c>
      <c r="G25" s="7">
        <f>INDEX('Revised 2018 Lockdown'!F$5:F$253,MATCH(B25,'Revised 2018 Lockdown'!B$5:B$253,0))</f>
        <v>693708.37</v>
      </c>
      <c r="H25" s="7">
        <f t="shared" si="0"/>
        <v>2272158.5099999998</v>
      </c>
      <c r="I25" s="6">
        <f t="shared" si="1"/>
        <v>446.1949433458359</v>
      </c>
      <c r="J25" s="6">
        <f t="shared" si="5"/>
        <v>446.1949433458359</v>
      </c>
      <c r="K25" s="5">
        <f t="shared" si="2"/>
        <v>2272158.5099999998</v>
      </c>
      <c r="L25" s="4">
        <f t="shared" si="3"/>
        <v>0</v>
      </c>
      <c r="M25" s="2" cm="1">
        <f t="array" ref="M25">SUMPRODUCT(--($L$6:$L$300&lt;&gt;1),--($C$6:$C$300=$C25),$H$6:$H$300)/SUMPRODUCT(--($L$6:$L$300&lt;&gt;1),--($C$6:$C$300=$C25),$E$6:$E$300)</f>
        <v>416.6231581019228</v>
      </c>
      <c r="N25" s="1" cm="1">
        <f t="array" ref="N25">SUMPRODUCT(--($L$6:$L$300&lt;&gt;1),--($C$6:$C$300=$C25))</f>
        <v>15</v>
      </c>
      <c r="O25" s="3">
        <f t="shared" si="6"/>
        <v>874.49048251211639</v>
      </c>
      <c r="P25" s="2" cm="1">
        <f t="array" ref="P25">SQRT(SUMPRODUCT(--($L$6:$L$300&lt;&gt;1),--($C$6:$C$300=$C25),$E$6:$E$300,$O$6:$O$300)/((N25-1)*SUMPRODUCT(--($L$6:$L$300&lt;&gt;1),--($C$6:$C$300=$C25),$E$6:$E$300)/N25))</f>
        <v>132.76540987375085</v>
      </c>
      <c r="Q25" s="2">
        <f t="shared" si="4"/>
        <v>246.47743922804682</v>
      </c>
      <c r="R25" s="2">
        <f t="shared" si="4"/>
        <v>586.76887697579878</v>
      </c>
      <c r="S25" s="2">
        <f t="shared" si="7"/>
        <v>446.1949433458359</v>
      </c>
    </row>
    <row r="26" spans="2:19" x14ac:dyDescent="0.3">
      <c r="B26" s="9">
        <v>21</v>
      </c>
      <c r="C26" s="9">
        <v>4</v>
      </c>
      <c r="D26" s="8" t="s">
        <v>68</v>
      </c>
      <c r="E26" s="125">
        <f>INDEX('Revised 2018 Lockdown'!H$5:H$253,MATCH(B26,'Revised 2018 Lockdown'!B$5:B$253,0))</f>
        <v>5179.17</v>
      </c>
      <c r="F26" s="7">
        <f>INDEX('Revised 2018 Lockdown'!E$5:E$253,MATCH(B26,'Revised 2018 Lockdown'!B$5:B$253,0))</f>
        <v>3018158.71</v>
      </c>
      <c r="G26" s="7">
        <f>INDEX('Revised 2018 Lockdown'!F$5:F$253,MATCH(B26,'Revised 2018 Lockdown'!B$5:B$253,0))</f>
        <v>630793.78</v>
      </c>
      <c r="H26" s="7">
        <f t="shared" si="0"/>
        <v>2387364.9299999997</v>
      </c>
      <c r="I26" s="6">
        <f t="shared" si="1"/>
        <v>460.95512022196601</v>
      </c>
      <c r="J26" s="6">
        <f t="shared" si="5"/>
        <v>460.95512022196601</v>
      </c>
      <c r="K26" s="5">
        <f t="shared" si="2"/>
        <v>2387364.9299999997</v>
      </c>
      <c r="L26" s="4">
        <f t="shared" si="3"/>
        <v>0</v>
      </c>
      <c r="M26" s="2" cm="1">
        <f t="array" ref="M26">SUMPRODUCT(--($L$6:$L$300&lt;&gt;1),--($C$6:$C$300=$C26),$H$6:$H$300)/SUMPRODUCT(--($L$6:$L$300&lt;&gt;1),--($C$6:$C$300=$C26),$E$6:$E$300)</f>
        <v>416.6231581019228</v>
      </c>
      <c r="N26" s="1" cm="1">
        <f t="array" ref="N26">SUMPRODUCT(--($L$6:$L$300&lt;&gt;1),--($C$6:$C$300=$C26))</f>
        <v>15</v>
      </c>
      <c r="O26" s="3">
        <f t="shared" si="6"/>
        <v>1965.3228654129466</v>
      </c>
      <c r="P26" s="2" cm="1">
        <f t="array" ref="P26">SQRT(SUMPRODUCT(--($L$6:$L$300&lt;&gt;1),--($C$6:$C$300=$C26),$E$6:$E$300,$O$6:$O$300)/((N26-1)*SUMPRODUCT(--($L$6:$L$300&lt;&gt;1),--($C$6:$C$300=$C26),$E$6:$E$300)/N26))</f>
        <v>132.76540987375085</v>
      </c>
      <c r="Q26" s="2">
        <f t="shared" si="4"/>
        <v>246.47743922804682</v>
      </c>
      <c r="R26" s="2">
        <f t="shared" si="4"/>
        <v>586.76887697579878</v>
      </c>
      <c r="S26" s="2">
        <f t="shared" si="7"/>
        <v>460.95512022196601</v>
      </c>
    </row>
    <row r="27" spans="2:19" x14ac:dyDescent="0.3">
      <c r="B27" s="9">
        <v>34</v>
      </c>
      <c r="C27" s="9">
        <v>4</v>
      </c>
      <c r="D27" s="8" t="s">
        <v>69</v>
      </c>
      <c r="E27" s="125">
        <f>INDEX('Revised 2018 Lockdown'!H$5:H$253,MATCH(B27,'Revised 2018 Lockdown'!B$5:B$253,0))</f>
        <v>4762.82</v>
      </c>
      <c r="F27" s="7">
        <f>INDEX('Revised 2018 Lockdown'!E$5:E$253,MATCH(B27,'Revised 2018 Lockdown'!B$5:B$253,0))</f>
        <v>2143525.2799999998</v>
      </c>
      <c r="G27" s="7">
        <f>INDEX('Revised 2018 Lockdown'!F$5:F$253,MATCH(B27,'Revised 2018 Lockdown'!B$5:B$253,0))</f>
        <v>564954.64</v>
      </c>
      <c r="H27" s="7">
        <f t="shared" si="0"/>
        <v>1578570.6399999997</v>
      </c>
      <c r="I27" s="6">
        <f t="shared" si="1"/>
        <v>331.43613237535743</v>
      </c>
      <c r="J27" s="6">
        <f t="shared" si="5"/>
        <v>331.43613237535743</v>
      </c>
      <c r="K27" s="5">
        <f t="shared" si="2"/>
        <v>1578570.64</v>
      </c>
      <c r="L27" s="4">
        <f t="shared" si="3"/>
        <v>0</v>
      </c>
      <c r="M27" s="2" cm="1">
        <f t="array" ref="M27">SUMPRODUCT(--($L$6:$L$300&lt;&gt;1),--($C$6:$C$300=$C27),$H$6:$H$300)/SUMPRODUCT(--($L$6:$L$300&lt;&gt;1),--($C$6:$C$300=$C27),$E$6:$E$300)</f>
        <v>416.6231581019228</v>
      </c>
      <c r="N27" s="1" cm="1">
        <f t="array" ref="N27">SUMPRODUCT(--($L$6:$L$300&lt;&gt;1),--($C$6:$C$300=$C27))</f>
        <v>15</v>
      </c>
      <c r="O27" s="3">
        <f t="shared" si="6"/>
        <v>7256.8293521385094</v>
      </c>
      <c r="P27" s="2" cm="1">
        <f t="array" ref="P27">SQRT(SUMPRODUCT(--($L$6:$L$300&lt;&gt;1),--($C$6:$C$300=$C27),$E$6:$E$300,$O$6:$O$300)/((N27-1)*SUMPRODUCT(--($L$6:$L$300&lt;&gt;1),--($C$6:$C$300=$C27),$E$6:$E$300)/N27))</f>
        <v>132.76540987375085</v>
      </c>
      <c r="Q27" s="2">
        <f t="shared" si="4"/>
        <v>246.47743922804682</v>
      </c>
      <c r="R27" s="2">
        <f t="shared" si="4"/>
        <v>586.76887697579878</v>
      </c>
      <c r="S27" s="2">
        <f t="shared" si="7"/>
        <v>331.43613237535743</v>
      </c>
    </row>
    <row r="28" spans="2:19" x14ac:dyDescent="0.3">
      <c r="B28" s="9">
        <v>87</v>
      </c>
      <c r="C28" s="9">
        <v>4</v>
      </c>
      <c r="D28" s="8" t="s">
        <v>70</v>
      </c>
      <c r="E28" s="125">
        <f>INDEX('Revised 2018 Lockdown'!H$5:H$253,MATCH(B28,'Revised 2018 Lockdown'!B$5:B$253,0))</f>
        <v>10810.4</v>
      </c>
      <c r="F28" s="7">
        <f>INDEX('Revised 2018 Lockdown'!E$5:E$253,MATCH(B28,'Revised 2018 Lockdown'!B$5:B$253,0))</f>
        <v>5182853.97</v>
      </c>
      <c r="G28" s="7">
        <f>INDEX('Revised 2018 Lockdown'!F$5:F$253,MATCH(B28,'Revised 2018 Lockdown'!B$5:B$253,0))</f>
        <v>1110329.5500000003</v>
      </c>
      <c r="H28" s="7">
        <f t="shared" si="0"/>
        <v>4072524.4199999995</v>
      </c>
      <c r="I28" s="6">
        <f t="shared" si="1"/>
        <v>376.72282431732401</v>
      </c>
      <c r="J28" s="6">
        <f t="shared" si="5"/>
        <v>376.72282431732401</v>
      </c>
      <c r="K28" s="5">
        <f t="shared" si="2"/>
        <v>4072524.4199999995</v>
      </c>
      <c r="L28" s="4">
        <f t="shared" si="3"/>
        <v>0</v>
      </c>
      <c r="M28" s="2" cm="1">
        <f t="array" ref="M28">SUMPRODUCT(--($L$6:$L$300&lt;&gt;1),--($C$6:$C$300=$C28),$H$6:$H$300)/SUMPRODUCT(--($L$6:$L$300&lt;&gt;1),--($C$6:$C$300=$C28),$E$6:$E$300)</f>
        <v>416.6231581019228</v>
      </c>
      <c r="N28" s="1" cm="1">
        <f t="array" ref="N28">SUMPRODUCT(--($L$6:$L$300&lt;&gt;1),--($C$6:$C$300=$C28))</f>
        <v>15</v>
      </c>
      <c r="O28" s="3">
        <f t="shared" si="6"/>
        <v>1592.0366361223953</v>
      </c>
      <c r="P28" s="2" cm="1">
        <f t="array" ref="P28">SQRT(SUMPRODUCT(--($L$6:$L$300&lt;&gt;1),--($C$6:$C$300=$C28),$E$6:$E$300,$O$6:$O$300)/((N28-1)*SUMPRODUCT(--($L$6:$L$300&lt;&gt;1),--($C$6:$C$300=$C28),$E$6:$E$300)/N28))</f>
        <v>132.76540987375085</v>
      </c>
      <c r="Q28" s="2">
        <f t="shared" si="4"/>
        <v>246.47743922804682</v>
      </c>
      <c r="R28" s="2">
        <f t="shared" si="4"/>
        <v>586.76887697579878</v>
      </c>
      <c r="S28" s="2">
        <f t="shared" si="7"/>
        <v>376.72282431732401</v>
      </c>
    </row>
    <row r="29" spans="2:19" x14ac:dyDescent="0.3">
      <c r="B29" s="9">
        <v>88</v>
      </c>
      <c r="C29" s="9">
        <v>4</v>
      </c>
      <c r="D29" s="8" t="s">
        <v>71</v>
      </c>
      <c r="E29" s="125">
        <f>INDEX('Revised 2018 Lockdown'!H$5:H$253,MATCH(B29,'Revised 2018 Lockdown'!B$5:B$253,0))</f>
        <v>4759.3799999999992</v>
      </c>
      <c r="F29" s="7">
        <f>INDEX('Revised 2018 Lockdown'!E$5:E$253,MATCH(B29,'Revised 2018 Lockdown'!B$5:B$253,0))</f>
        <v>2125011.54</v>
      </c>
      <c r="G29" s="7">
        <f>INDEX('Revised 2018 Lockdown'!F$5:F$253,MATCH(B29,'Revised 2018 Lockdown'!B$5:B$253,0))</f>
        <v>560089.80000000005</v>
      </c>
      <c r="H29" s="7">
        <f t="shared" si="0"/>
        <v>1564921.74</v>
      </c>
      <c r="I29" s="6">
        <f t="shared" si="1"/>
        <v>328.80789934823451</v>
      </c>
      <c r="J29" s="6">
        <f t="shared" si="5"/>
        <v>328.80789934823451</v>
      </c>
      <c r="K29" s="5">
        <f t="shared" si="2"/>
        <v>1564921.7400000002</v>
      </c>
      <c r="L29" s="4">
        <f t="shared" si="3"/>
        <v>0</v>
      </c>
      <c r="M29" s="2" cm="1">
        <f t="array" ref="M29">SUMPRODUCT(--($L$6:$L$300&lt;&gt;1),--($C$6:$C$300=$C29),$H$6:$H$300)/SUMPRODUCT(--($L$6:$L$300&lt;&gt;1),--($C$6:$C$300=$C29),$E$6:$E$300)</f>
        <v>416.6231581019228</v>
      </c>
      <c r="N29" s="1" cm="1">
        <f t="array" ref="N29">SUMPRODUCT(--($L$6:$L$300&lt;&gt;1),--($C$6:$C$300=$C29))</f>
        <v>15</v>
      </c>
      <c r="O29" s="3">
        <f t="shared" si="6"/>
        <v>7711.5196699772268</v>
      </c>
      <c r="P29" s="2" cm="1">
        <f t="array" ref="P29">SQRT(SUMPRODUCT(--($L$6:$L$300&lt;&gt;1),--($C$6:$C$300=$C29),$E$6:$E$300,$O$6:$O$300)/((N29-1)*SUMPRODUCT(--($L$6:$L$300&lt;&gt;1),--($C$6:$C$300=$C29),$E$6:$E$300)/N29))</f>
        <v>132.76540987375085</v>
      </c>
      <c r="Q29" s="2">
        <f t="shared" si="4"/>
        <v>246.47743922804682</v>
      </c>
      <c r="R29" s="2">
        <f t="shared" si="4"/>
        <v>586.76887697579878</v>
      </c>
      <c r="S29" s="2">
        <f t="shared" si="7"/>
        <v>328.80789934823451</v>
      </c>
    </row>
    <row r="30" spans="2:19" x14ac:dyDescent="0.3">
      <c r="B30" s="9">
        <v>89</v>
      </c>
      <c r="C30" s="9">
        <v>4</v>
      </c>
      <c r="D30" s="8" t="s">
        <v>291</v>
      </c>
      <c r="E30" s="125">
        <f>INDEX('Revised 2018 Lockdown'!H$5:H$253,MATCH(B30,'Revised 2018 Lockdown'!B$5:B$253,0))</f>
        <v>5636.98</v>
      </c>
      <c r="F30" s="7">
        <f>INDEX('Revised 2018 Lockdown'!E$5:E$253,MATCH(B30,'Revised 2018 Lockdown'!B$5:B$253,0))</f>
        <v>3750607.74</v>
      </c>
      <c r="G30" s="7">
        <f>INDEX('Revised 2018 Lockdown'!F$5:F$253,MATCH(B30,'Revised 2018 Lockdown'!B$5:B$253,0))</f>
        <v>559601.63</v>
      </c>
      <c r="H30" s="7">
        <f t="shared" si="0"/>
        <v>3191006.1100000003</v>
      </c>
      <c r="I30" s="6">
        <f t="shared" si="1"/>
        <v>566.0843412607461</v>
      </c>
      <c r="J30" s="6">
        <f t="shared" si="5"/>
        <v>566.0843412607461</v>
      </c>
      <c r="K30" s="5">
        <f t="shared" si="2"/>
        <v>3191006.1100000003</v>
      </c>
      <c r="L30" s="4">
        <f t="shared" si="3"/>
        <v>0</v>
      </c>
      <c r="M30" s="2" cm="1">
        <f t="array" ref="M30">SUMPRODUCT(--($L$6:$L$300&lt;&gt;1),--($C$6:$C$300=$C30),$H$6:$H$300)/SUMPRODUCT(--($L$6:$L$300&lt;&gt;1),--($C$6:$C$300=$C30),$E$6:$E$300)</f>
        <v>416.6231581019228</v>
      </c>
      <c r="N30" s="1" cm="1">
        <f t="array" ref="N30">SUMPRODUCT(--($L$6:$L$300&lt;&gt;1),--($C$6:$C$300=$C30))</f>
        <v>15</v>
      </c>
      <c r="O30" s="3">
        <f t="shared" si="6"/>
        <v>22338.645271235328</v>
      </c>
      <c r="P30" s="2" cm="1">
        <f t="array" ref="P30">SQRT(SUMPRODUCT(--($L$6:$L$300&lt;&gt;1),--($C$6:$C$300=$C30),$E$6:$E$300,$O$6:$O$300)/((N30-1)*SUMPRODUCT(--($L$6:$L$300&lt;&gt;1),--($C$6:$C$300=$C30),$E$6:$E$300)/N30))</f>
        <v>132.76540987375085</v>
      </c>
      <c r="Q30" s="2">
        <f t="shared" si="4"/>
        <v>246.47743922804682</v>
      </c>
      <c r="R30" s="2">
        <f t="shared" si="4"/>
        <v>586.76887697579878</v>
      </c>
      <c r="S30" s="2">
        <f t="shared" si="7"/>
        <v>566.0843412607461</v>
      </c>
    </row>
    <row r="31" spans="2:19" x14ac:dyDescent="0.3">
      <c r="B31" s="9">
        <v>143</v>
      </c>
      <c r="C31" s="9">
        <v>4</v>
      </c>
      <c r="D31" s="8" t="s">
        <v>72</v>
      </c>
      <c r="E31" s="125">
        <f>INDEX('Revised 2018 Lockdown'!H$5:H$253,MATCH(B31,'Revised 2018 Lockdown'!B$5:B$253,0))</f>
        <v>2834.8</v>
      </c>
      <c r="F31" s="7">
        <f>INDEX('Revised 2018 Lockdown'!E$5:E$253,MATCH(B31,'Revised 2018 Lockdown'!B$5:B$253,0))</f>
        <v>956347.7</v>
      </c>
      <c r="G31" s="7">
        <f>INDEX('Revised 2018 Lockdown'!F$5:F$253,MATCH(B31,'Revised 2018 Lockdown'!B$5:B$253,0))</f>
        <v>393346.75</v>
      </c>
      <c r="H31" s="7">
        <f t="shared" si="0"/>
        <v>563000.94999999995</v>
      </c>
      <c r="I31" s="6">
        <f t="shared" si="1"/>
        <v>198.60341117539153</v>
      </c>
      <c r="J31" s="6">
        <f t="shared" si="5"/>
        <v>198.60341117539153</v>
      </c>
      <c r="K31" s="5">
        <f t="shared" si="2"/>
        <v>563000.94999999995</v>
      </c>
      <c r="L31" s="4">
        <f t="shared" si="3"/>
        <v>0</v>
      </c>
      <c r="M31" s="2" cm="1">
        <f t="array" ref="M31">SUMPRODUCT(--($L$6:$L$300&lt;&gt;1),--($C$6:$C$300=$C31),$H$6:$H$300)/SUMPRODUCT(--($L$6:$L$300&lt;&gt;1),--($C$6:$C$300=$C31),$E$6:$E$300)</f>
        <v>416.6231581019228</v>
      </c>
      <c r="N31" s="1" cm="1">
        <f t="array" ref="N31">SUMPRODUCT(--($L$6:$L$300&lt;&gt;1),--($C$6:$C$300=$C31))</f>
        <v>15</v>
      </c>
      <c r="O31" s="3">
        <f t="shared" si="6"/>
        <v>47532.610049908741</v>
      </c>
      <c r="P31" s="2" cm="1">
        <f t="array" ref="P31">SQRT(SUMPRODUCT(--($L$6:$L$300&lt;&gt;1),--($C$6:$C$300=$C31),$E$6:$E$300,$O$6:$O$300)/((N31-1)*SUMPRODUCT(--($L$6:$L$300&lt;&gt;1),--($C$6:$C$300=$C31),$E$6:$E$300)/N31))</f>
        <v>132.76540987375085</v>
      </c>
      <c r="Q31" s="2">
        <f t="shared" si="4"/>
        <v>246.47743922804682</v>
      </c>
      <c r="R31" s="2">
        <f t="shared" si="4"/>
        <v>586.76887697579878</v>
      </c>
      <c r="S31" s="2">
        <f t="shared" si="7"/>
        <v>246.47743922804682</v>
      </c>
    </row>
    <row r="32" spans="2:19" x14ac:dyDescent="0.3">
      <c r="B32" s="9">
        <v>183</v>
      </c>
      <c r="C32" s="9">
        <v>4</v>
      </c>
      <c r="D32" s="8" t="s">
        <v>73</v>
      </c>
      <c r="E32" s="125">
        <f>INDEX('Revised 2018 Lockdown'!H$5:H$253,MATCH(B32,'Revised 2018 Lockdown'!B$5:B$253,0))</f>
        <v>11774.169999999998</v>
      </c>
      <c r="F32" s="7">
        <f>INDEX('Revised 2018 Lockdown'!E$5:E$253,MATCH(B32,'Revised 2018 Lockdown'!B$5:B$253,0))</f>
        <v>6716202.5899999999</v>
      </c>
      <c r="G32" s="7">
        <f>INDEX('Revised 2018 Lockdown'!F$5:F$253,MATCH(B32,'Revised 2018 Lockdown'!B$5:B$253,0))</f>
        <v>412366.9599999999</v>
      </c>
      <c r="H32" s="7">
        <f t="shared" si="0"/>
        <v>6303835.6299999999</v>
      </c>
      <c r="I32" s="6">
        <f t="shared" si="1"/>
        <v>535.39532977696103</v>
      </c>
      <c r="J32" s="6">
        <f t="shared" si="5"/>
        <v>535.39532977696103</v>
      </c>
      <c r="K32" s="5">
        <f t="shared" si="2"/>
        <v>6303835.6300000008</v>
      </c>
      <c r="L32" s="4">
        <f t="shared" si="3"/>
        <v>0</v>
      </c>
      <c r="M32" s="2" cm="1">
        <f t="array" ref="M32">SUMPRODUCT(--($L$6:$L$300&lt;&gt;1),--($C$6:$C$300=$C32),$H$6:$H$300)/SUMPRODUCT(--($L$6:$L$300&lt;&gt;1),--($C$6:$C$300=$C32),$E$6:$E$300)</f>
        <v>416.6231581019228</v>
      </c>
      <c r="N32" s="1" cm="1">
        <f t="array" ref="N32">SUMPRODUCT(--($L$6:$L$300&lt;&gt;1),--($C$6:$C$300=$C32))</f>
        <v>15</v>
      </c>
      <c r="O32" s="3">
        <f t="shared" si="6"/>
        <v>14106.828764404756</v>
      </c>
      <c r="P32" s="2" cm="1">
        <f t="array" ref="P32">SQRT(SUMPRODUCT(--($L$6:$L$300&lt;&gt;1),--($C$6:$C$300=$C32),$E$6:$E$300,$O$6:$O$300)/((N32-1)*SUMPRODUCT(--($L$6:$L$300&lt;&gt;1),--($C$6:$C$300=$C32),$E$6:$E$300)/N32))</f>
        <v>132.76540987375085</v>
      </c>
      <c r="Q32" s="2">
        <f t="shared" si="4"/>
        <v>246.47743922804682</v>
      </c>
      <c r="R32" s="2">
        <f t="shared" si="4"/>
        <v>586.76887697579878</v>
      </c>
      <c r="S32" s="2">
        <f t="shared" si="7"/>
        <v>535.39532977696103</v>
      </c>
    </row>
    <row r="33" spans="2:19" x14ac:dyDescent="0.3">
      <c r="B33" s="9">
        <v>186</v>
      </c>
      <c r="C33" s="9">
        <v>4</v>
      </c>
      <c r="D33" s="8" t="s">
        <v>74</v>
      </c>
      <c r="E33" s="125">
        <f>INDEX('Revised 2018 Lockdown'!H$5:H$253,MATCH(B33,'Revised 2018 Lockdown'!B$5:B$253,0))</f>
        <v>11101.34</v>
      </c>
      <c r="F33" s="7">
        <f>INDEX('Revised 2018 Lockdown'!E$5:E$253,MATCH(B33,'Revised 2018 Lockdown'!B$5:B$253,0))</f>
        <v>8047305.9800000004</v>
      </c>
      <c r="G33" s="7">
        <f>INDEX('Revised 2018 Lockdown'!F$5:F$253,MATCH(B33,'Revised 2018 Lockdown'!B$5:B$253,0))</f>
        <v>1431664.65</v>
      </c>
      <c r="H33" s="7">
        <f t="shared" si="0"/>
        <v>6615641.3300000001</v>
      </c>
      <c r="I33" s="6">
        <f t="shared" si="1"/>
        <v>595.93178210918677</v>
      </c>
      <c r="J33" s="6">
        <f t="shared" si="5"/>
        <v>586.76887697579878</v>
      </c>
      <c r="K33" s="5">
        <f t="shared" si="2"/>
        <v>6513920.804726514</v>
      </c>
      <c r="L33" s="4">
        <f t="shared" si="3"/>
        <v>0</v>
      </c>
      <c r="M33" s="2" cm="1">
        <f t="array" ref="M33">SUMPRODUCT(--($L$6:$L$300&lt;&gt;1),--($C$6:$C$300=$C33),$H$6:$H$300)/SUMPRODUCT(--($L$6:$L$300&lt;&gt;1),--($C$6:$C$300=$C33),$E$6:$E$300)</f>
        <v>416.6231581019228</v>
      </c>
      <c r="N33" s="1" cm="1">
        <f t="array" ref="N33">SUMPRODUCT(--($L$6:$L$300&lt;&gt;1),--($C$6:$C$300=$C33))</f>
        <v>15</v>
      </c>
      <c r="O33" s="3">
        <f t="shared" si="6"/>
        <v>32151.582643378362</v>
      </c>
      <c r="P33" s="2" cm="1">
        <f t="array" ref="P33">SQRT(SUMPRODUCT(--($L$6:$L$300&lt;&gt;1),--($C$6:$C$300=$C33),$E$6:$E$300,$O$6:$O$300)/((N33-1)*SUMPRODUCT(--($L$6:$L$300&lt;&gt;1),--($C$6:$C$300=$C33),$E$6:$E$300)/N33))</f>
        <v>132.76540987375085</v>
      </c>
      <c r="Q33" s="2">
        <f t="shared" si="4"/>
        <v>246.47743922804682</v>
      </c>
      <c r="R33" s="2">
        <f t="shared" si="4"/>
        <v>586.76887697579878</v>
      </c>
      <c r="S33" s="2">
        <f t="shared" si="7"/>
        <v>586.76887697579878</v>
      </c>
    </row>
    <row r="34" spans="2:19" x14ac:dyDescent="0.3">
      <c r="B34" s="9">
        <v>190</v>
      </c>
      <c r="C34" s="9">
        <v>4</v>
      </c>
      <c r="D34" s="8" t="s">
        <v>75</v>
      </c>
      <c r="E34" s="125">
        <f>INDEX('Revised 2018 Lockdown'!H$5:H$253,MATCH(B34,'Revised 2018 Lockdown'!B$5:B$253,0))</f>
        <v>3309.0599999999995</v>
      </c>
      <c r="F34" s="7">
        <f>INDEX('Revised 2018 Lockdown'!E$5:E$253,MATCH(B34,'Revised 2018 Lockdown'!B$5:B$253,0))</f>
        <v>2284236.41</v>
      </c>
      <c r="G34" s="7">
        <f>INDEX('Revised 2018 Lockdown'!F$5:F$253,MATCH(B34,'Revised 2018 Lockdown'!B$5:B$253,0))</f>
        <v>599429.44999999995</v>
      </c>
      <c r="H34" s="7">
        <f t="shared" si="0"/>
        <v>1684806.9600000002</v>
      </c>
      <c r="I34" s="6">
        <f t="shared" si="1"/>
        <v>509.14971623361333</v>
      </c>
      <c r="J34" s="6">
        <f t="shared" si="5"/>
        <v>509.14971623361333</v>
      </c>
      <c r="K34" s="5">
        <f t="shared" si="2"/>
        <v>1684806.9600000002</v>
      </c>
      <c r="L34" s="4">
        <f t="shared" si="3"/>
        <v>0</v>
      </c>
      <c r="M34" s="2" cm="1">
        <f t="array" ref="M34">SUMPRODUCT(--($L$6:$L$300&lt;&gt;1),--($C$6:$C$300=$C34),$H$6:$H$300)/SUMPRODUCT(--($L$6:$L$300&lt;&gt;1),--($C$6:$C$300=$C34),$E$6:$E$300)</f>
        <v>416.6231581019228</v>
      </c>
      <c r="N34" s="1" cm="1">
        <f t="array" ref="N34">SUMPRODUCT(--($L$6:$L$300&lt;&gt;1),--($C$6:$C$300=$C34))</f>
        <v>15</v>
      </c>
      <c r="O34" s="3">
        <f t="shared" si="6"/>
        <v>8561.1639596971072</v>
      </c>
      <c r="P34" s="2" cm="1">
        <f t="array" ref="P34">SQRT(SUMPRODUCT(--($L$6:$L$300&lt;&gt;1),--($C$6:$C$300=$C34),$E$6:$E$300,$O$6:$O$300)/((N34-1)*SUMPRODUCT(--($L$6:$L$300&lt;&gt;1),--($C$6:$C$300=$C34),$E$6:$E$300)/N34))</f>
        <v>132.76540987375085</v>
      </c>
      <c r="Q34" s="2">
        <f t="shared" si="4"/>
        <v>246.47743922804682</v>
      </c>
      <c r="R34" s="2">
        <f t="shared" si="4"/>
        <v>586.76887697579878</v>
      </c>
      <c r="S34" s="2">
        <f t="shared" si="7"/>
        <v>509.14971623361333</v>
      </c>
    </row>
    <row r="35" spans="2:19" x14ac:dyDescent="0.3">
      <c r="B35" s="9">
        <v>324</v>
      </c>
      <c r="C35" s="9">
        <v>4</v>
      </c>
      <c r="D35" s="8" t="s">
        <v>76</v>
      </c>
      <c r="E35" s="125">
        <f>INDEX('Revised 2018 Lockdown'!H$5:H$253,MATCH(B35,'Revised 2018 Lockdown'!B$5:B$253,0))</f>
        <v>7987.3900000000021</v>
      </c>
      <c r="F35" s="7">
        <f>INDEX('Revised 2018 Lockdown'!E$5:E$253,MATCH(B35,'Revised 2018 Lockdown'!B$5:B$253,0))</f>
        <v>4198956.43</v>
      </c>
      <c r="G35" s="7">
        <f>INDEX('Revised 2018 Lockdown'!F$5:F$253,MATCH(B35,'Revised 2018 Lockdown'!B$5:B$253,0))</f>
        <v>1059029.5799999998</v>
      </c>
      <c r="H35" s="7">
        <f t="shared" si="0"/>
        <v>3139926.8499999996</v>
      </c>
      <c r="I35" s="6">
        <f t="shared" si="1"/>
        <v>393.11049667037651</v>
      </c>
      <c r="J35" s="6">
        <f t="shared" si="5"/>
        <v>393.11049667037651</v>
      </c>
      <c r="K35" s="5">
        <f t="shared" si="2"/>
        <v>3139926.8499999996</v>
      </c>
      <c r="L35" s="4">
        <f t="shared" si="3"/>
        <v>0</v>
      </c>
      <c r="M35" s="2" cm="1">
        <f t="array" ref="M35">SUMPRODUCT(--($L$6:$L$300&lt;&gt;1),--($C$6:$C$300=$C35),$H$6:$H$300)/SUMPRODUCT(--($L$6:$L$300&lt;&gt;1),--($C$6:$C$300=$C35),$E$6:$E$300)</f>
        <v>416.6231581019228</v>
      </c>
      <c r="N35" s="1" cm="1">
        <f t="array" ref="N35">SUMPRODUCT(--($L$6:$L$300&lt;&gt;1),--($C$6:$C$300=$C35))</f>
        <v>15</v>
      </c>
      <c r="O35" s="3">
        <f t="shared" si="6"/>
        <v>552.84524759452449</v>
      </c>
      <c r="P35" s="2" cm="1">
        <f t="array" ref="P35">SQRT(SUMPRODUCT(--($L$6:$L$300&lt;&gt;1),--($C$6:$C$300=$C35),$E$6:$E$300,$O$6:$O$300)/((N35-1)*SUMPRODUCT(--($L$6:$L$300&lt;&gt;1),--($C$6:$C$300=$C35),$E$6:$E$300)/N35))</f>
        <v>132.76540987375085</v>
      </c>
      <c r="Q35" s="2">
        <f t="shared" si="4"/>
        <v>246.47743922804682</v>
      </c>
      <c r="R35" s="2">
        <f t="shared" si="4"/>
        <v>586.76887697579878</v>
      </c>
      <c r="S35" s="2">
        <f t="shared" si="7"/>
        <v>393.11049667037651</v>
      </c>
    </row>
    <row r="36" spans="2:19" x14ac:dyDescent="0.3">
      <c r="B36" s="9">
        <v>429</v>
      </c>
      <c r="C36" s="9">
        <v>4</v>
      </c>
      <c r="D36" s="8" t="s">
        <v>77</v>
      </c>
      <c r="E36" s="125">
        <f>INDEX('Revised 2018 Lockdown'!H$5:H$253,MATCH(B36,'Revised 2018 Lockdown'!B$5:B$253,0))</f>
        <v>4357.0309999999999</v>
      </c>
      <c r="F36" s="7">
        <f>INDEX('Revised 2018 Lockdown'!E$5:E$253,MATCH(B36,'Revised 2018 Lockdown'!B$5:B$253,0))</f>
        <v>1673741.25</v>
      </c>
      <c r="G36" s="7">
        <f>INDEX('Revised 2018 Lockdown'!F$5:F$253,MATCH(B36,'Revised 2018 Lockdown'!B$5:B$253,0))</f>
        <v>427615.25</v>
      </c>
      <c r="H36" s="7">
        <f t="shared" si="0"/>
        <v>1246126</v>
      </c>
      <c r="I36" s="6">
        <f t="shared" si="1"/>
        <v>286.00347346622044</v>
      </c>
      <c r="J36" s="6">
        <f t="shared" si="5"/>
        <v>286.00347346622044</v>
      </c>
      <c r="K36" s="5">
        <f t="shared" si="2"/>
        <v>1246126</v>
      </c>
      <c r="L36" s="4">
        <f t="shared" si="3"/>
        <v>0</v>
      </c>
      <c r="M36" s="2" cm="1">
        <f t="array" ref="M36">SUMPRODUCT(--($L$6:$L$300&lt;&gt;1),--($C$6:$C$300=$C36),$H$6:$H$300)/SUMPRODUCT(--($L$6:$L$300&lt;&gt;1),--($C$6:$C$300=$C36),$E$6:$E$300)</f>
        <v>416.6231581019228</v>
      </c>
      <c r="N36" s="1" cm="1">
        <f t="array" ref="N36">SUMPRODUCT(--($L$6:$L$300&lt;&gt;1),--($C$6:$C$300=$C36))</f>
        <v>15</v>
      </c>
      <c r="O36" s="3">
        <f t="shared" si="6"/>
        <v>17061.502014330337</v>
      </c>
      <c r="P36" s="2" cm="1">
        <f t="array" ref="P36">SQRT(SUMPRODUCT(--($L$6:$L$300&lt;&gt;1),--($C$6:$C$300=$C36),$E$6:$E$300,$O$6:$O$300)/((N36-1)*SUMPRODUCT(--($L$6:$L$300&lt;&gt;1),--($C$6:$C$300=$C36),$E$6:$E$300)/N36))</f>
        <v>132.76540987375085</v>
      </c>
      <c r="Q36" s="2">
        <f t="shared" si="4"/>
        <v>246.47743922804682</v>
      </c>
      <c r="R36" s="2">
        <f t="shared" si="4"/>
        <v>586.76887697579878</v>
      </c>
      <c r="S36" s="2">
        <f t="shared" si="7"/>
        <v>286.00347346622044</v>
      </c>
    </row>
    <row r="37" spans="2:19" x14ac:dyDescent="0.3">
      <c r="B37" s="9">
        <v>601</v>
      </c>
      <c r="C37" s="9">
        <v>4</v>
      </c>
      <c r="D37" s="8" t="s">
        <v>78</v>
      </c>
      <c r="E37" s="125">
        <f>INDEX('Revised 2018 Lockdown'!H$5:H$253,MATCH(B37,'Revised 2018 Lockdown'!B$5:B$253,0))</f>
        <v>5915.7199999999993</v>
      </c>
      <c r="F37" s="7">
        <f>INDEX('Revised 2018 Lockdown'!E$5:E$253,MATCH(B37,'Revised 2018 Lockdown'!B$5:B$253,0))</f>
        <v>3078679.08</v>
      </c>
      <c r="G37" s="7">
        <f>INDEX('Revised 2018 Lockdown'!F$5:F$253,MATCH(B37,'Revised 2018 Lockdown'!B$5:B$253,0))</f>
        <v>303552.10000000003</v>
      </c>
      <c r="H37" s="7">
        <f t="shared" si="0"/>
        <v>2775126.98</v>
      </c>
      <c r="I37" s="6">
        <f t="shared" si="1"/>
        <v>469.11060361207092</v>
      </c>
      <c r="J37" s="6">
        <f t="shared" si="5"/>
        <v>469.11060361207092</v>
      </c>
      <c r="K37" s="5">
        <f t="shared" si="2"/>
        <v>2775126.98</v>
      </c>
      <c r="L37" s="4">
        <f t="shared" si="3"/>
        <v>0</v>
      </c>
      <c r="M37" s="2" cm="1">
        <f t="array" ref="M37">SUMPRODUCT(--($L$6:$L$300&lt;&gt;1),--($C$6:$C$300=$C37),$H$6:$H$300)/SUMPRODUCT(--($L$6:$L$300&lt;&gt;1),--($C$6:$C$300=$C37),$E$6:$E$300)</f>
        <v>416.6231581019228</v>
      </c>
      <c r="N37" s="1" cm="1">
        <f t="array" ref="N37">SUMPRODUCT(--($L$6:$L$300&lt;&gt;1),--($C$6:$C$300=$C37))</f>
        <v>15</v>
      </c>
      <c r="O37" s="3">
        <f t="shared" si="6"/>
        <v>2754.9319361807679</v>
      </c>
      <c r="P37" s="2" cm="1">
        <f t="array" ref="P37">SQRT(SUMPRODUCT(--($L$6:$L$300&lt;&gt;1),--($C$6:$C$300=$C37),$E$6:$E$300,$O$6:$O$300)/((N37-1)*SUMPRODUCT(--($L$6:$L$300&lt;&gt;1),--($C$6:$C$300=$C37),$E$6:$E$300)/N37))</f>
        <v>132.76540987375085</v>
      </c>
      <c r="Q37" s="2">
        <f t="shared" si="4"/>
        <v>246.47743922804682</v>
      </c>
      <c r="R37" s="2">
        <f t="shared" si="4"/>
        <v>586.76887697579878</v>
      </c>
      <c r="S37" s="2">
        <f t="shared" si="7"/>
        <v>469.11060361207092</v>
      </c>
    </row>
    <row r="38" spans="2:19" x14ac:dyDescent="0.3">
      <c r="B38" s="9">
        <v>760</v>
      </c>
      <c r="C38" s="9">
        <v>4</v>
      </c>
      <c r="D38" s="8" t="s">
        <v>79</v>
      </c>
      <c r="E38" s="125">
        <f>INDEX('Revised 2018 Lockdown'!H$5:H$253,MATCH(B38,'Revised 2018 Lockdown'!B$5:B$253,0))</f>
        <v>5286.9399999999987</v>
      </c>
      <c r="F38" s="7">
        <f>INDEX('Revised 2018 Lockdown'!E$5:E$253,MATCH(B38,'Revised 2018 Lockdown'!B$5:B$253,0))</f>
        <v>1442808.39</v>
      </c>
      <c r="G38" s="7">
        <f>INDEX('Revised 2018 Lockdown'!F$5:F$253,MATCH(B38,'Revised 2018 Lockdown'!B$5:B$253,0))</f>
        <v>717833.62</v>
      </c>
      <c r="H38" s="7">
        <f t="shared" si="0"/>
        <v>724974.7699999999</v>
      </c>
      <c r="I38" s="6">
        <f t="shared" si="1"/>
        <v>137.12559060628644</v>
      </c>
      <c r="J38" s="6">
        <f t="shared" si="5"/>
        <v>137.12559060628644</v>
      </c>
      <c r="K38" s="5">
        <f t="shared" si="2"/>
        <v>724974.76999999979</v>
      </c>
      <c r="L38" s="4">
        <f t="shared" si="3"/>
        <v>0</v>
      </c>
      <c r="M38" s="2" cm="1">
        <f t="array" ref="M38">SUMPRODUCT(--($L$6:$L$300&lt;&gt;1),--($C$6:$C$300=$C38),$H$6:$H$300)/SUMPRODUCT(--($L$6:$L$300&lt;&gt;1),--($C$6:$C$300=$C38),$E$6:$E$300)</f>
        <v>416.6231581019228</v>
      </c>
      <c r="N38" s="1" cm="1">
        <f t="array" ref="N38">SUMPRODUCT(--($L$6:$L$300&lt;&gt;1),--($C$6:$C$300=$C38))</f>
        <v>15</v>
      </c>
      <c r="O38" s="3">
        <f t="shared" si="6"/>
        <v>78118.8902359778</v>
      </c>
      <c r="P38" s="2" cm="1">
        <f t="array" ref="P38">SQRT(SUMPRODUCT(--($L$6:$L$300&lt;&gt;1),--($C$6:$C$300=$C38),$E$6:$E$300,$O$6:$O$300)/((N38-1)*SUMPRODUCT(--($L$6:$L$300&lt;&gt;1),--($C$6:$C$300=$C38),$E$6:$E$300)/N38))</f>
        <v>132.76540987375085</v>
      </c>
      <c r="Q38" s="2">
        <f t="shared" si="4"/>
        <v>246.47743922804682</v>
      </c>
      <c r="R38" s="2">
        <f t="shared" si="4"/>
        <v>586.76887697579878</v>
      </c>
      <c r="S38" s="2">
        <f t="shared" si="7"/>
        <v>246.47743922804682</v>
      </c>
    </row>
    <row r="39" spans="2:19" x14ac:dyDescent="0.3">
      <c r="B39" s="9">
        <v>878</v>
      </c>
      <c r="C39" s="9">
        <v>4</v>
      </c>
      <c r="D39" s="8" t="s">
        <v>80</v>
      </c>
      <c r="E39" s="125">
        <f>INDEX('Revised 2018 Lockdown'!H$5:H$253,MATCH(B39,'Revised 2018 Lockdown'!B$5:B$253,0))</f>
        <v>7663.16</v>
      </c>
      <c r="F39" s="7">
        <f>INDEX('Revised 2018 Lockdown'!E$5:E$253,MATCH(B39,'Revised 2018 Lockdown'!B$5:B$253,0))</f>
        <v>2910917.69</v>
      </c>
      <c r="G39" s="7">
        <f>INDEX('Revised 2018 Lockdown'!F$5:F$253,MATCH(B39,'Revised 2018 Lockdown'!B$5:B$253,0))</f>
        <v>838992.06</v>
      </c>
      <c r="H39" s="7">
        <f t="shared" si="0"/>
        <v>2071925.63</v>
      </c>
      <c r="I39" s="6">
        <f t="shared" si="1"/>
        <v>270.37483622944058</v>
      </c>
      <c r="J39" s="6">
        <f t="shared" si="5"/>
        <v>270.37483622944058</v>
      </c>
      <c r="K39" s="5">
        <f t="shared" si="2"/>
        <v>2071925.63</v>
      </c>
      <c r="L39" s="4">
        <f t="shared" si="3"/>
        <v>0</v>
      </c>
      <c r="M39" s="2" cm="1">
        <f t="array" ref="M39">SUMPRODUCT(--($L$6:$L$300&lt;&gt;1),--($C$6:$C$300=$C39),$H$6:$H$300)/SUMPRODUCT(--($L$6:$L$300&lt;&gt;1),--($C$6:$C$300=$C39),$E$6:$E$300)</f>
        <v>416.6231581019228</v>
      </c>
      <c r="N39" s="1" cm="1">
        <f t="array" ref="N39">SUMPRODUCT(--($L$6:$L$300&lt;&gt;1),--($C$6:$C$300=$C39))</f>
        <v>15</v>
      </c>
      <c r="O39" s="3">
        <f t="shared" si="6"/>
        <v>21388.571650517162</v>
      </c>
      <c r="P39" s="2" cm="1">
        <f t="array" ref="P39">SQRT(SUMPRODUCT(--($L$6:$L$300&lt;&gt;1),--($C$6:$C$300=$C39),$E$6:$E$300,$O$6:$O$300)/((N39-1)*SUMPRODUCT(--($L$6:$L$300&lt;&gt;1),--($C$6:$C$300=$C39),$E$6:$E$300)/N39))</f>
        <v>132.76540987375085</v>
      </c>
      <c r="Q39" s="2">
        <f t="shared" si="4"/>
        <v>246.47743922804682</v>
      </c>
      <c r="R39" s="2">
        <f t="shared" si="4"/>
        <v>586.76887697579878</v>
      </c>
      <c r="S39" s="2">
        <f t="shared" si="7"/>
        <v>270.37483622944058</v>
      </c>
    </row>
    <row r="40" spans="2:19" x14ac:dyDescent="0.3">
      <c r="B40" s="9">
        <v>8</v>
      </c>
      <c r="C40" s="9">
        <v>5</v>
      </c>
      <c r="D40" s="8" t="s">
        <v>81</v>
      </c>
      <c r="E40" s="125">
        <f>INDEX('Revised 2018 Lockdown'!H$5:H$253,MATCH(B40,'Revised 2018 Lockdown'!B$5:B$253,0))</f>
        <v>2105.2199999999998</v>
      </c>
      <c r="F40" s="7">
        <f>INDEX('Revised 2018 Lockdown'!E$5:E$253,MATCH(B40,'Revised 2018 Lockdown'!B$5:B$253,0))</f>
        <v>627029.24</v>
      </c>
      <c r="G40" s="7">
        <f>INDEX('Revised 2018 Lockdown'!F$5:F$253,MATCH(B40,'Revised 2018 Lockdown'!B$5:B$253,0))</f>
        <v>25077.3</v>
      </c>
      <c r="H40" s="7">
        <f t="shared" si="0"/>
        <v>601951.93999999994</v>
      </c>
      <c r="I40" s="6">
        <f t="shared" si="1"/>
        <v>285.9330331271791</v>
      </c>
      <c r="J40" s="6">
        <f t="shared" si="5"/>
        <v>285.9330331271791</v>
      </c>
      <c r="K40" s="5">
        <f t="shared" si="2"/>
        <v>601951.93999999994</v>
      </c>
      <c r="L40" s="4">
        <f t="shared" si="3"/>
        <v>0</v>
      </c>
      <c r="M40" s="2" cm="1">
        <f t="array" ref="M40">SUMPRODUCT(--($L$6:$L$300&lt;&gt;1),--($C$6:$C$300=$C40),$H$6:$H$300)/SUMPRODUCT(--($L$6:$L$300&lt;&gt;1),--($C$6:$C$300=$C40),$E$6:$E$300)</f>
        <v>287.03403847033383</v>
      </c>
      <c r="N40" s="1" cm="1">
        <f t="array" ref="N40">SUMPRODUCT(--($L$6:$L$300&lt;&gt;1),--($C$6:$C$300=$C40))</f>
        <v>20</v>
      </c>
      <c r="O40" s="3">
        <f t="shared" si="6"/>
        <v>1.2122127656552535</v>
      </c>
      <c r="P40" s="2" cm="1">
        <f t="array" ref="P40">SQRT(SUMPRODUCT(--($L$6:$L$300&lt;&gt;1),--($C$6:$C$300=$C40),$E$6:$E$300,$O$6:$O$300)/((N40-1)*SUMPRODUCT(--($L$6:$L$300&lt;&gt;1),--($C$6:$C$300=$C40),$E$6:$E$300)/N40))</f>
        <v>125.75413111405129</v>
      </c>
      <c r="Q40" s="2">
        <f t="shared" si="4"/>
        <v>125.87363486742044</v>
      </c>
      <c r="R40" s="2">
        <f t="shared" si="4"/>
        <v>448.19444207324722</v>
      </c>
      <c r="S40" s="2">
        <f t="shared" si="7"/>
        <v>285.9330331271791</v>
      </c>
    </row>
    <row r="41" spans="2:19" x14ac:dyDescent="0.3">
      <c r="B41" s="9">
        <v>41</v>
      </c>
      <c r="C41" s="9">
        <v>5</v>
      </c>
      <c r="D41" s="8" t="s">
        <v>82</v>
      </c>
      <c r="E41" s="125">
        <f>INDEX('Revised 2018 Lockdown'!H$5:H$253,MATCH(B41,'Revised 2018 Lockdown'!B$5:B$253,0))</f>
        <v>1688.06</v>
      </c>
      <c r="F41" s="7">
        <f>INDEX('Revised 2018 Lockdown'!E$5:E$253,MATCH(B41,'Revised 2018 Lockdown'!B$5:B$253,0))</f>
        <v>652189.06000000006</v>
      </c>
      <c r="G41" s="7">
        <f>INDEX('Revised 2018 Lockdown'!F$5:F$253,MATCH(B41,'Revised 2018 Lockdown'!B$5:B$253,0))</f>
        <v>215017.75000000003</v>
      </c>
      <c r="H41" s="7">
        <f t="shared" si="0"/>
        <v>437171.31000000006</v>
      </c>
      <c r="I41" s="6">
        <f t="shared" si="1"/>
        <v>258.97853749274321</v>
      </c>
      <c r="J41" s="6">
        <f t="shared" si="5"/>
        <v>258.97853749274321</v>
      </c>
      <c r="K41" s="5">
        <f t="shared" si="2"/>
        <v>437171.31000000011</v>
      </c>
      <c r="L41" s="4">
        <f t="shared" si="3"/>
        <v>0</v>
      </c>
      <c r="M41" s="2" cm="1">
        <f t="array" ref="M41">SUMPRODUCT(--($L$6:$L$300&lt;&gt;1),--($C$6:$C$300=$C41),$H$6:$H$300)/SUMPRODUCT(--($L$6:$L$300&lt;&gt;1),--($C$6:$C$300=$C41),$E$6:$E$300)</f>
        <v>287.03403847033383</v>
      </c>
      <c r="N41" s="1" cm="1">
        <f t="array" ref="N41">SUMPRODUCT(--($L$6:$L$300&lt;&gt;1),--($C$6:$C$300=$C41))</f>
        <v>20</v>
      </c>
      <c r="O41" s="3">
        <f t="shared" si="6"/>
        <v>787.1111351035878</v>
      </c>
      <c r="P41" s="2" cm="1">
        <f t="array" ref="P41">SQRT(SUMPRODUCT(--($L$6:$L$300&lt;&gt;1),--($C$6:$C$300=$C41),$E$6:$E$300,$O$6:$O$300)/((N41-1)*SUMPRODUCT(--($L$6:$L$300&lt;&gt;1),--($C$6:$C$300=$C41),$E$6:$E$300)/N41))</f>
        <v>125.75413111405129</v>
      </c>
      <c r="Q41" s="2">
        <f t="shared" si="4"/>
        <v>125.87363486742044</v>
      </c>
      <c r="R41" s="2">
        <f t="shared" si="4"/>
        <v>448.19444207324722</v>
      </c>
      <c r="S41" s="2">
        <f t="shared" si="7"/>
        <v>258.97853749274321</v>
      </c>
    </row>
    <row r="42" spans="2:19" x14ac:dyDescent="0.3">
      <c r="B42" s="9">
        <v>56</v>
      </c>
      <c r="C42" s="9">
        <v>5</v>
      </c>
      <c r="D42" s="8" t="s">
        <v>83</v>
      </c>
      <c r="E42" s="125">
        <f>INDEX('Revised 2018 Lockdown'!H$5:H$253,MATCH(B42,'Revised 2018 Lockdown'!B$5:B$253,0))</f>
        <v>3016.58</v>
      </c>
      <c r="F42" s="7">
        <f>INDEX('Revised 2018 Lockdown'!E$5:E$253,MATCH(B42,'Revised 2018 Lockdown'!B$5:B$253,0))</f>
        <v>561942.06999999995</v>
      </c>
      <c r="G42" s="7">
        <f>INDEX('Revised 2018 Lockdown'!F$5:F$253,MATCH(B42,'Revised 2018 Lockdown'!B$5:B$253,0))</f>
        <v>2316.81</v>
      </c>
      <c r="H42" s="7">
        <f t="shared" si="0"/>
        <v>559625.25999999989</v>
      </c>
      <c r="I42" s="6">
        <f t="shared" si="1"/>
        <v>185.51646566641691</v>
      </c>
      <c r="J42" s="6">
        <f t="shared" si="5"/>
        <v>185.51646566641691</v>
      </c>
      <c r="K42" s="5">
        <f t="shared" si="2"/>
        <v>559625.25999999989</v>
      </c>
      <c r="L42" s="4">
        <f t="shared" si="3"/>
        <v>0</v>
      </c>
      <c r="M42" s="2" cm="1">
        <f t="array" ref="M42">SUMPRODUCT(--($L$6:$L$300&lt;&gt;1),--($C$6:$C$300=$C42),$H$6:$H$300)/SUMPRODUCT(--($L$6:$L$300&lt;&gt;1),--($C$6:$C$300=$C42),$E$6:$E$300)</f>
        <v>287.03403847033383</v>
      </c>
      <c r="N42" s="1" cm="1">
        <f t="array" ref="N42">SUMPRODUCT(--($L$6:$L$300&lt;&gt;1),--($C$6:$C$300=$C42))</f>
        <v>20</v>
      </c>
      <c r="O42" s="3">
        <f t="shared" si="6"/>
        <v>10305.817587998572</v>
      </c>
      <c r="P42" s="2" cm="1">
        <f t="array" ref="P42">SQRT(SUMPRODUCT(--($L$6:$L$300&lt;&gt;1),--($C$6:$C$300=$C42),$E$6:$E$300,$O$6:$O$300)/((N42-1)*SUMPRODUCT(--($L$6:$L$300&lt;&gt;1),--($C$6:$C$300=$C42),$E$6:$E$300)/N42))</f>
        <v>125.75413111405129</v>
      </c>
      <c r="Q42" s="2">
        <f t="shared" si="4"/>
        <v>125.87363486742044</v>
      </c>
      <c r="R42" s="2">
        <f t="shared" si="4"/>
        <v>448.19444207324722</v>
      </c>
      <c r="S42" s="2">
        <f t="shared" si="7"/>
        <v>185.51646566641691</v>
      </c>
    </row>
    <row r="43" spans="2:19" x14ac:dyDescent="0.3">
      <c r="B43" s="9">
        <v>67</v>
      </c>
      <c r="C43" s="9">
        <v>5</v>
      </c>
      <c r="D43" s="8" t="s">
        <v>84</v>
      </c>
      <c r="E43" s="125">
        <f>INDEX('Revised 2018 Lockdown'!H$5:H$253,MATCH(B43,'Revised 2018 Lockdown'!B$5:B$253,0))</f>
        <v>1474.6685202418018</v>
      </c>
      <c r="F43" s="7">
        <f>INDEX('Revised 2018 Lockdown'!E$5:E$253,MATCH(B43,'Revised 2018 Lockdown'!B$5:B$253,0))</f>
        <v>218449.94</v>
      </c>
      <c r="G43" s="7">
        <f>INDEX('Revised 2018 Lockdown'!F$5:F$253,MATCH(B43,'Revised 2018 Lockdown'!B$5:B$253,0))</f>
        <v>0</v>
      </c>
      <c r="H43" s="7">
        <f t="shared" si="0"/>
        <v>218449.94</v>
      </c>
      <c r="I43" s="6">
        <f t="shared" si="1"/>
        <v>148.13494490557153</v>
      </c>
      <c r="J43" s="6">
        <f t="shared" si="5"/>
        <v>148.13494490557153</v>
      </c>
      <c r="K43" s="5">
        <f t="shared" si="2"/>
        <v>218449.94</v>
      </c>
      <c r="L43" s="4">
        <f t="shared" si="3"/>
        <v>0</v>
      </c>
      <c r="M43" s="2" cm="1">
        <f t="array" ref="M43">SUMPRODUCT(--($L$6:$L$300&lt;&gt;1),--($C$6:$C$300=$C43),$H$6:$H$300)/SUMPRODUCT(--($L$6:$L$300&lt;&gt;1),--($C$6:$C$300=$C43),$E$6:$E$300)</f>
        <v>287.03403847033383</v>
      </c>
      <c r="N43" s="1" cm="1">
        <f t="array" ref="N43">SUMPRODUCT(--($L$6:$L$300&lt;&gt;1),--($C$6:$C$300=$C43))</f>
        <v>20</v>
      </c>
      <c r="O43" s="3">
        <f t="shared" si="6"/>
        <v>19292.95819311259</v>
      </c>
      <c r="P43" s="2" cm="1">
        <f t="array" ref="P43">SQRT(SUMPRODUCT(--($L$6:$L$300&lt;&gt;1),--($C$6:$C$300=$C43),$E$6:$E$300,$O$6:$O$300)/((N43-1)*SUMPRODUCT(--($L$6:$L$300&lt;&gt;1),--($C$6:$C$300=$C43),$E$6:$E$300)/N43))</f>
        <v>125.75413111405129</v>
      </c>
      <c r="Q43" s="2">
        <f t="shared" si="4"/>
        <v>125.87363486742044</v>
      </c>
      <c r="R43" s="2">
        <f t="shared" si="4"/>
        <v>448.19444207324722</v>
      </c>
      <c r="S43" s="2">
        <f t="shared" si="7"/>
        <v>148.13494490557153</v>
      </c>
    </row>
    <row r="44" spans="2:19" x14ac:dyDescent="0.3">
      <c r="B44" s="9">
        <v>157</v>
      </c>
      <c r="C44" s="9">
        <v>5</v>
      </c>
      <c r="D44" s="8" t="s">
        <v>85</v>
      </c>
      <c r="E44" s="125">
        <f>INDEX('Revised 2018 Lockdown'!H$5:H$253,MATCH(B44,'Revised 2018 Lockdown'!B$5:B$253,0))</f>
        <v>446.65493195328992</v>
      </c>
      <c r="F44" s="7">
        <f>INDEX('Revised 2018 Lockdown'!E$5:E$253,MATCH(B44,'Revised 2018 Lockdown'!B$5:B$253,0))</f>
        <v>145211.09</v>
      </c>
      <c r="G44" s="7">
        <f>INDEX('Revised 2018 Lockdown'!F$5:F$253,MATCH(B44,'Revised 2018 Lockdown'!B$5:B$253,0))</f>
        <v>320</v>
      </c>
      <c r="H44" s="7">
        <f t="shared" si="0"/>
        <v>144891.09</v>
      </c>
      <c r="I44" s="6">
        <f t="shared" si="1"/>
        <v>324.39155964621108</v>
      </c>
      <c r="J44" s="6">
        <f t="shared" si="5"/>
        <v>324.39155964621108</v>
      </c>
      <c r="K44" s="5">
        <f t="shared" si="2"/>
        <v>144891.09</v>
      </c>
      <c r="L44" s="4">
        <f t="shared" si="3"/>
        <v>0</v>
      </c>
      <c r="M44" s="2" cm="1">
        <f t="array" ref="M44">SUMPRODUCT(--($L$6:$L$300&lt;&gt;1),--($C$6:$C$300=$C44),$H$6:$H$300)/SUMPRODUCT(--($L$6:$L$300&lt;&gt;1),--($C$6:$C$300=$C44),$E$6:$E$300)</f>
        <v>287.03403847033383</v>
      </c>
      <c r="N44" s="1" cm="1">
        <f t="array" ref="N44">SUMPRODUCT(--($L$6:$L$300&lt;&gt;1),--($C$6:$C$300=$C44))</f>
        <v>20</v>
      </c>
      <c r="O44" s="3">
        <f t="shared" si="6"/>
        <v>1395.5843884061173</v>
      </c>
      <c r="P44" s="2" cm="1">
        <f t="array" ref="P44">SQRT(SUMPRODUCT(--($L$6:$L$300&lt;&gt;1),--($C$6:$C$300=$C44),$E$6:$E$300,$O$6:$O$300)/((N44-1)*SUMPRODUCT(--($L$6:$L$300&lt;&gt;1),--($C$6:$C$300=$C44),$E$6:$E$300)/N44))</f>
        <v>125.75413111405129</v>
      </c>
      <c r="Q44" s="2">
        <f t="shared" si="4"/>
        <v>125.87363486742044</v>
      </c>
      <c r="R44" s="2">
        <f t="shared" si="4"/>
        <v>448.19444207324722</v>
      </c>
      <c r="S44" s="2">
        <f t="shared" si="7"/>
        <v>324.39155964621108</v>
      </c>
    </row>
    <row r="45" spans="2:19" x14ac:dyDescent="0.3">
      <c r="B45" s="9">
        <v>214</v>
      </c>
      <c r="C45" s="9">
        <v>5</v>
      </c>
      <c r="D45" s="8" t="s">
        <v>86</v>
      </c>
      <c r="E45" s="125">
        <f>INDEX('Revised 2018 Lockdown'!H$5:H$253,MATCH(B45,'Revised 2018 Lockdown'!B$5:B$253,0))</f>
        <v>2922.96</v>
      </c>
      <c r="F45" s="7">
        <f>INDEX('Revised 2018 Lockdown'!E$5:E$253,MATCH(B45,'Revised 2018 Lockdown'!B$5:B$253,0))</f>
        <v>1677840.57</v>
      </c>
      <c r="G45" s="7">
        <f>INDEX('Revised 2018 Lockdown'!F$5:F$253,MATCH(B45,'Revised 2018 Lockdown'!B$5:B$253,0))</f>
        <v>291173.04000000004</v>
      </c>
      <c r="H45" s="7">
        <f t="shared" si="0"/>
        <v>1386667.53</v>
      </c>
      <c r="I45" s="6">
        <f t="shared" si="1"/>
        <v>474.40523647261682</v>
      </c>
      <c r="J45" s="6">
        <f t="shared" si="5"/>
        <v>448.19444207324722</v>
      </c>
      <c r="K45" s="5">
        <f t="shared" si="2"/>
        <v>1310054.4264024186</v>
      </c>
      <c r="L45" s="4">
        <f t="shared" si="3"/>
        <v>0</v>
      </c>
      <c r="M45" s="2" cm="1">
        <f t="array" ref="M45">SUMPRODUCT(--($L$6:$L$300&lt;&gt;1),--($C$6:$C$300=$C45),$H$6:$H$300)/SUMPRODUCT(--($L$6:$L$300&lt;&gt;1),--($C$6:$C$300=$C45),$E$6:$E$300)</f>
        <v>287.03403847033383</v>
      </c>
      <c r="N45" s="1" cm="1">
        <f t="array" ref="N45">SUMPRODUCT(--($L$6:$L$300&lt;&gt;1),--($C$6:$C$300=$C45))</f>
        <v>20</v>
      </c>
      <c r="O45" s="3">
        <f t="shared" si="6"/>
        <v>35107.965840810743</v>
      </c>
      <c r="P45" s="2" cm="1">
        <f t="array" ref="P45">SQRT(SUMPRODUCT(--($L$6:$L$300&lt;&gt;1),--($C$6:$C$300=$C45),$E$6:$E$300,$O$6:$O$300)/((N45-1)*SUMPRODUCT(--($L$6:$L$300&lt;&gt;1),--($C$6:$C$300=$C45),$E$6:$E$300)/N45))</f>
        <v>125.75413111405129</v>
      </c>
      <c r="Q45" s="2">
        <f t="shared" si="4"/>
        <v>125.87363486742044</v>
      </c>
      <c r="R45" s="2">
        <f t="shared" si="4"/>
        <v>448.19444207324722</v>
      </c>
      <c r="S45" s="2">
        <f t="shared" si="7"/>
        <v>448.19444207324722</v>
      </c>
    </row>
    <row r="46" spans="2:19" x14ac:dyDescent="0.3">
      <c r="B46" s="9">
        <v>223</v>
      </c>
      <c r="C46" s="9">
        <v>5</v>
      </c>
      <c r="D46" s="8" t="s">
        <v>87</v>
      </c>
      <c r="E46" s="125">
        <f>INDEX('Revised 2018 Lockdown'!H$5:H$253,MATCH(B46,'Revised 2018 Lockdown'!B$5:B$253,0))</f>
        <v>298.2</v>
      </c>
      <c r="F46" s="7">
        <f>INDEX('Revised 2018 Lockdown'!E$5:E$253,MATCH(B46,'Revised 2018 Lockdown'!B$5:B$253,0))</f>
        <v>207354.56</v>
      </c>
      <c r="G46" s="7">
        <f>INDEX('Revised 2018 Lockdown'!F$5:F$253,MATCH(B46,'Revised 2018 Lockdown'!B$5:B$253,0))</f>
        <v>1303.98</v>
      </c>
      <c r="H46" s="7">
        <f t="shared" si="0"/>
        <v>206050.58</v>
      </c>
      <c r="I46" s="6">
        <f t="shared" si="1"/>
        <v>690.98115358819587</v>
      </c>
      <c r="J46" s="6">
        <f t="shared" si="5"/>
        <v>448.19444207324722</v>
      </c>
      <c r="K46" s="5">
        <f t="shared" si="2"/>
        <v>133651.58262624231</v>
      </c>
      <c r="L46" s="4">
        <f t="shared" si="3"/>
        <v>0</v>
      </c>
      <c r="M46" s="2" cm="1">
        <f t="array" ref="M46">SUMPRODUCT(--($L$6:$L$300&lt;&gt;1),--($C$6:$C$300=$C46),$H$6:$H$300)/SUMPRODUCT(--($L$6:$L$300&lt;&gt;1),--($C$6:$C$300=$C46),$E$6:$E$300)</f>
        <v>287.03403847033383</v>
      </c>
      <c r="N46" s="1" cm="1">
        <f t="array" ref="N46">SUMPRODUCT(--($L$6:$L$300&lt;&gt;1),--($C$6:$C$300=$C46))</f>
        <v>20</v>
      </c>
      <c r="O46" s="3">
        <f t="shared" si="6"/>
        <v>163173.2718120433</v>
      </c>
      <c r="P46" s="2" cm="1">
        <f t="array" ref="P46">SQRT(SUMPRODUCT(--($L$6:$L$300&lt;&gt;1),--($C$6:$C$300=$C46),$E$6:$E$300,$O$6:$O$300)/((N46-1)*SUMPRODUCT(--($L$6:$L$300&lt;&gt;1),--($C$6:$C$300=$C46),$E$6:$E$300)/N46))</f>
        <v>125.75413111405129</v>
      </c>
      <c r="Q46" s="2">
        <f t="shared" si="4"/>
        <v>125.87363486742044</v>
      </c>
      <c r="R46" s="2">
        <f t="shared" si="4"/>
        <v>448.19444207324722</v>
      </c>
      <c r="S46" s="2">
        <f t="shared" si="7"/>
        <v>448.19444207324722</v>
      </c>
    </row>
    <row r="47" spans="2:19" x14ac:dyDescent="0.3">
      <c r="B47" s="9">
        <v>224</v>
      </c>
      <c r="C47" s="9">
        <v>5</v>
      </c>
      <c r="D47" s="8" t="s">
        <v>88</v>
      </c>
      <c r="E47" s="125">
        <f>INDEX('Revised 2018 Lockdown'!H$5:H$253,MATCH(B47,'Revised 2018 Lockdown'!B$5:B$253,0))</f>
        <v>257.07257969372114</v>
      </c>
      <c r="F47" s="7">
        <f>INDEX('Revised 2018 Lockdown'!E$5:E$253,MATCH(B47,'Revised 2018 Lockdown'!B$5:B$253,0))</f>
        <v>73965.39</v>
      </c>
      <c r="G47" s="7">
        <f>INDEX('Revised 2018 Lockdown'!F$5:F$253,MATCH(B47,'Revised 2018 Lockdown'!B$5:B$253,0))</f>
        <v>245</v>
      </c>
      <c r="H47" s="7">
        <f t="shared" si="0"/>
        <v>73720.39</v>
      </c>
      <c r="I47" s="6">
        <f t="shared" si="1"/>
        <v>286.76877980464201</v>
      </c>
      <c r="J47" s="6">
        <f t="shared" si="5"/>
        <v>286.76877980464201</v>
      </c>
      <c r="K47" s="5">
        <f t="shared" si="2"/>
        <v>73720.39</v>
      </c>
      <c r="L47" s="4">
        <f t="shared" si="3"/>
        <v>0</v>
      </c>
      <c r="M47" s="2" cm="1">
        <f t="array" ref="M47">SUMPRODUCT(--($L$6:$L$300&lt;&gt;1),--($C$6:$C$300=$C47),$H$6:$H$300)/SUMPRODUCT(--($L$6:$L$300&lt;&gt;1),--($C$6:$C$300=$C47),$E$6:$E$300)</f>
        <v>287.03403847033383</v>
      </c>
      <c r="N47" s="1" cm="1">
        <f t="array" ref="N47">SUMPRODUCT(--($L$6:$L$300&lt;&gt;1),--($C$6:$C$300=$C47))</f>
        <v>20</v>
      </c>
      <c r="O47" s="3">
        <f t="shared" si="6"/>
        <v>7.0362159724603371E-2</v>
      </c>
      <c r="P47" s="2" cm="1">
        <f t="array" ref="P47">SQRT(SUMPRODUCT(--($L$6:$L$300&lt;&gt;1),--($C$6:$C$300=$C47),$E$6:$E$300,$O$6:$O$300)/((N47-1)*SUMPRODUCT(--($L$6:$L$300&lt;&gt;1),--($C$6:$C$300=$C47),$E$6:$E$300)/N47))</f>
        <v>125.75413111405129</v>
      </c>
      <c r="Q47" s="2">
        <f t="shared" si="4"/>
        <v>125.87363486742044</v>
      </c>
      <c r="R47" s="2">
        <f t="shared" si="4"/>
        <v>448.19444207324722</v>
      </c>
      <c r="S47" s="2">
        <f t="shared" si="7"/>
        <v>286.76877980464201</v>
      </c>
    </row>
    <row r="48" spans="2:19" x14ac:dyDescent="0.3">
      <c r="B48" s="9">
        <v>233</v>
      </c>
      <c r="C48" s="9">
        <v>5</v>
      </c>
      <c r="D48" s="8" t="s">
        <v>89</v>
      </c>
      <c r="E48" s="125">
        <f>INDEX('Revised 2018 Lockdown'!H$5:H$253,MATCH(B48,'Revised 2018 Lockdown'!B$5:B$253,0))</f>
        <v>2096.4900000000002</v>
      </c>
      <c r="F48" s="7">
        <f>INDEX('Revised 2018 Lockdown'!E$5:E$253,MATCH(B48,'Revised 2018 Lockdown'!B$5:B$253,0))</f>
        <v>657892.93999999994</v>
      </c>
      <c r="G48" s="7">
        <f>INDEX('Revised 2018 Lockdown'!F$5:F$253,MATCH(B48,'Revised 2018 Lockdown'!B$5:B$253,0))</f>
        <v>285320.61</v>
      </c>
      <c r="H48" s="7">
        <f t="shared" si="0"/>
        <v>372572.32999999996</v>
      </c>
      <c r="I48" s="6">
        <f t="shared" si="1"/>
        <v>177.71242886920516</v>
      </c>
      <c r="J48" s="6">
        <f t="shared" si="5"/>
        <v>177.71242886920516</v>
      </c>
      <c r="K48" s="5">
        <f t="shared" si="2"/>
        <v>372572.32999999996</v>
      </c>
      <c r="L48" s="4">
        <f t="shared" si="3"/>
        <v>0</v>
      </c>
      <c r="M48" s="2" cm="1">
        <f t="array" ref="M48">SUMPRODUCT(--($L$6:$L$300&lt;&gt;1),--($C$6:$C$300=$C48),$H$6:$H$300)/SUMPRODUCT(--($L$6:$L$300&lt;&gt;1),--($C$6:$C$300=$C48),$E$6:$E$300)</f>
        <v>287.03403847033383</v>
      </c>
      <c r="N48" s="1" cm="1">
        <f t="array" ref="N48">SUMPRODUCT(--($L$6:$L$300&lt;&gt;1),--($C$6:$C$300=$C48))</f>
        <v>20</v>
      </c>
      <c r="O48" s="3">
        <f t="shared" si="6"/>
        <v>11951.214325781588</v>
      </c>
      <c r="P48" s="2" cm="1">
        <f t="array" ref="P48">SQRT(SUMPRODUCT(--($L$6:$L$300&lt;&gt;1),--($C$6:$C$300=$C48),$E$6:$E$300,$O$6:$O$300)/((N48-1)*SUMPRODUCT(--($L$6:$L$300&lt;&gt;1),--($C$6:$C$300=$C48),$E$6:$E$300)/N48))</f>
        <v>125.75413111405129</v>
      </c>
      <c r="Q48" s="2">
        <f t="shared" si="4"/>
        <v>125.87363486742044</v>
      </c>
      <c r="R48" s="2">
        <f t="shared" si="4"/>
        <v>448.19444207324722</v>
      </c>
      <c r="S48" s="2">
        <f t="shared" si="7"/>
        <v>177.71242886920516</v>
      </c>
    </row>
    <row r="49" spans="2:19" x14ac:dyDescent="0.3">
      <c r="B49" s="9">
        <v>272</v>
      </c>
      <c r="C49" s="9">
        <v>5</v>
      </c>
      <c r="D49" s="32" t="s">
        <v>90</v>
      </c>
      <c r="E49" s="125">
        <f>INDEX('Revised 2018 Lockdown'!H$5:H$253,MATCH(B49,'Revised 2018 Lockdown'!B$5:B$253,0))</f>
        <v>365.36444897749737</v>
      </c>
      <c r="F49" s="7">
        <f>INDEX('Revised 2018 Lockdown'!E$5:E$253,MATCH(B49,'Revised 2018 Lockdown'!B$5:B$253,0))</f>
        <v>79352.12</v>
      </c>
      <c r="G49" s="7">
        <f>INDEX('Revised 2018 Lockdown'!F$5:F$253,MATCH(B49,'Revised 2018 Lockdown'!B$5:B$253,0))</f>
        <v>0</v>
      </c>
      <c r="H49" s="7">
        <f t="shared" si="0"/>
        <v>79352.12</v>
      </c>
      <c r="I49" s="6">
        <f t="shared" si="1"/>
        <v>217.18621015830485</v>
      </c>
      <c r="J49" s="6">
        <f t="shared" si="5"/>
        <v>217.18621015830485</v>
      </c>
      <c r="K49" s="5">
        <f t="shared" si="2"/>
        <v>79352.12</v>
      </c>
      <c r="L49" s="4">
        <f t="shared" si="3"/>
        <v>0</v>
      </c>
      <c r="M49" s="2" cm="1">
        <f t="array" ref="M49">SUMPRODUCT(--($L$6:$L$300&lt;&gt;1),--($C$6:$C$300=$C49),$H$6:$H$300)/SUMPRODUCT(--($L$6:$L$300&lt;&gt;1),--($C$6:$C$300=$C49),$E$6:$E$300)</f>
        <v>287.03403847033383</v>
      </c>
      <c r="N49" s="1" cm="1">
        <f t="array" ref="N49">SUMPRODUCT(--($L$6:$L$300&lt;&gt;1),--($C$6:$C$300=$C49))</f>
        <v>20</v>
      </c>
      <c r="O49" s="3">
        <f t="shared" si="6"/>
        <v>4878.7191199066774</v>
      </c>
      <c r="P49" s="2" cm="1">
        <f t="array" ref="P49">SQRT(SUMPRODUCT(--($L$6:$L$300&lt;&gt;1),--($C$6:$C$300=$C49),$E$6:$E$300,$O$6:$O$300)/((N49-1)*SUMPRODUCT(--($L$6:$L$300&lt;&gt;1),--($C$6:$C$300=$C49),$E$6:$E$300)/N49))</f>
        <v>125.75413111405129</v>
      </c>
      <c r="Q49" s="2">
        <f t="shared" si="4"/>
        <v>125.87363486742044</v>
      </c>
      <c r="R49" s="2">
        <f t="shared" si="4"/>
        <v>448.19444207324722</v>
      </c>
      <c r="S49" s="2">
        <f t="shared" si="7"/>
        <v>217.18621015830485</v>
      </c>
    </row>
    <row r="50" spans="2:19" x14ac:dyDescent="0.3">
      <c r="B50" s="9">
        <v>427</v>
      </c>
      <c r="C50" s="9">
        <v>5</v>
      </c>
      <c r="D50" s="8" t="s">
        <v>91</v>
      </c>
      <c r="E50" s="125">
        <f>INDEX('Revised 2018 Lockdown'!H$5:H$253,MATCH(B50,'Revised 2018 Lockdown'!B$5:B$253,0))</f>
        <v>444.9199999999999</v>
      </c>
      <c r="F50" s="7">
        <f>INDEX('Revised 2018 Lockdown'!E$5:E$253,MATCH(B50,'Revised 2018 Lockdown'!B$5:B$253,0))</f>
        <v>198493.19</v>
      </c>
      <c r="G50" s="7">
        <f>INDEX('Revised 2018 Lockdown'!F$5:F$253,MATCH(B50,'Revised 2018 Lockdown'!B$5:B$253,0))</f>
        <v>56867.6</v>
      </c>
      <c r="H50" s="7">
        <f t="shared" si="0"/>
        <v>141625.59</v>
      </c>
      <c r="I50" s="6">
        <f t="shared" si="1"/>
        <v>318.31697833318356</v>
      </c>
      <c r="J50" s="6">
        <f t="shared" si="5"/>
        <v>318.31697833318356</v>
      </c>
      <c r="K50" s="5">
        <f t="shared" si="2"/>
        <v>141625.59</v>
      </c>
      <c r="L50" s="4">
        <f t="shared" si="3"/>
        <v>0</v>
      </c>
      <c r="M50" s="2" cm="1">
        <f t="array" ref="M50">SUMPRODUCT(--($L$6:$L$300&lt;&gt;1),--($C$6:$C$300=$C50),$H$6:$H$300)/SUMPRODUCT(--($L$6:$L$300&lt;&gt;1),--($C$6:$C$300=$C50),$E$6:$E$300)</f>
        <v>287.03403847033383</v>
      </c>
      <c r="N50" s="1" cm="1">
        <f t="array" ref="N50">SUMPRODUCT(--($L$6:$L$300&lt;&gt;1),--($C$6:$C$300=$C50))</f>
        <v>20</v>
      </c>
      <c r="O50" s="3">
        <f t="shared" si="6"/>
        <v>978.62232646267273</v>
      </c>
      <c r="P50" s="2" cm="1">
        <f t="array" ref="P50">SQRT(SUMPRODUCT(--($L$6:$L$300&lt;&gt;1),--($C$6:$C$300=$C50),$E$6:$E$300,$O$6:$O$300)/((N50-1)*SUMPRODUCT(--($L$6:$L$300&lt;&gt;1),--($C$6:$C$300=$C50),$E$6:$E$300)/N50))</f>
        <v>125.75413111405129</v>
      </c>
      <c r="Q50" s="2">
        <f t="shared" si="4"/>
        <v>125.87363486742044</v>
      </c>
      <c r="R50" s="2">
        <f t="shared" si="4"/>
        <v>448.19444207324722</v>
      </c>
      <c r="S50" s="2">
        <f t="shared" si="7"/>
        <v>318.31697833318356</v>
      </c>
    </row>
    <row r="51" spans="2:19" x14ac:dyDescent="0.3">
      <c r="B51" s="9">
        <v>524</v>
      </c>
      <c r="C51" s="9">
        <v>5</v>
      </c>
      <c r="D51" s="8" t="s">
        <v>92</v>
      </c>
      <c r="E51" s="125">
        <f>INDEX('Revised 2018 Lockdown'!H$5:H$253,MATCH(B51,'Revised 2018 Lockdown'!B$5:B$253,0))</f>
        <v>503.24293022897058</v>
      </c>
      <c r="F51" s="7">
        <f>INDEX('Revised 2018 Lockdown'!E$5:E$253,MATCH(B51,'Revised 2018 Lockdown'!B$5:B$253,0))</f>
        <v>234790.57</v>
      </c>
      <c r="G51" s="7">
        <f>INDEX('Revised 2018 Lockdown'!F$5:F$253,MATCH(B51,'Revised 2018 Lockdown'!B$5:B$253,0))</f>
        <v>453.75</v>
      </c>
      <c r="H51" s="7">
        <f t="shared" si="0"/>
        <v>234336.82</v>
      </c>
      <c r="I51" s="6">
        <f t="shared" si="1"/>
        <v>465.65347652947469</v>
      </c>
      <c r="J51" s="6">
        <f t="shared" si="5"/>
        <v>448.19444207324722</v>
      </c>
      <c r="K51" s="5">
        <f t="shared" si="2"/>
        <v>225550.68434127956</v>
      </c>
      <c r="L51" s="4">
        <f t="shared" si="3"/>
        <v>0</v>
      </c>
      <c r="M51" s="2" cm="1">
        <f t="array" ref="M51">SUMPRODUCT(--($L$6:$L$300&lt;&gt;1),--($C$6:$C$300=$C51),$H$6:$H$300)/SUMPRODUCT(--($L$6:$L$300&lt;&gt;1),--($C$6:$C$300=$C51),$E$6:$E$300)</f>
        <v>287.03403847033383</v>
      </c>
      <c r="N51" s="1" cm="1">
        <f t="array" ref="N51">SUMPRODUCT(--($L$6:$L$300&lt;&gt;1),--($C$6:$C$300=$C51))</f>
        <v>20</v>
      </c>
      <c r="O51" s="3">
        <f t="shared" si="6"/>
        <v>31904.903652563258</v>
      </c>
      <c r="P51" s="2" cm="1">
        <f t="array" ref="P51">SQRT(SUMPRODUCT(--($L$6:$L$300&lt;&gt;1),--($C$6:$C$300=$C51),$E$6:$E$300,$O$6:$O$300)/((N51-1)*SUMPRODUCT(--($L$6:$L$300&lt;&gt;1),--($C$6:$C$300=$C51),$E$6:$E$300)/N51))</f>
        <v>125.75413111405129</v>
      </c>
      <c r="Q51" s="2">
        <f t="shared" si="4"/>
        <v>125.87363486742044</v>
      </c>
      <c r="R51" s="2">
        <f t="shared" si="4"/>
        <v>448.19444207324722</v>
      </c>
      <c r="S51" s="2">
        <f t="shared" si="7"/>
        <v>448.19444207324722</v>
      </c>
    </row>
    <row r="52" spans="2:19" x14ac:dyDescent="0.3">
      <c r="B52" s="9">
        <v>565</v>
      </c>
      <c r="C52" s="9">
        <v>5</v>
      </c>
      <c r="D52" s="8" t="s">
        <v>93</v>
      </c>
      <c r="E52" s="125">
        <f>INDEX('Revised 2018 Lockdown'!H$5:H$253,MATCH(B52,'Revised 2018 Lockdown'!B$5:B$253,0))</f>
        <v>471.64540254387163</v>
      </c>
      <c r="F52" s="7">
        <f>INDEX('Revised 2018 Lockdown'!E$5:E$253,MATCH(B52,'Revised 2018 Lockdown'!B$5:B$253,0))</f>
        <v>165733.35</v>
      </c>
      <c r="G52" s="7">
        <f>INDEX('Revised 2018 Lockdown'!F$5:F$253,MATCH(B52,'Revised 2018 Lockdown'!B$5:B$253,0))</f>
        <v>710</v>
      </c>
      <c r="H52" s="7">
        <f t="shared" si="0"/>
        <v>165023.35</v>
      </c>
      <c r="I52" s="6">
        <f t="shared" si="1"/>
        <v>349.88860086397182</v>
      </c>
      <c r="J52" s="6">
        <f t="shared" si="5"/>
        <v>349.88860086397182</v>
      </c>
      <c r="K52" s="5">
        <f t="shared" si="2"/>
        <v>165023.35</v>
      </c>
      <c r="L52" s="4">
        <f t="shared" si="3"/>
        <v>0</v>
      </c>
      <c r="M52" s="2" cm="1">
        <f t="array" ref="M52">SUMPRODUCT(--($L$6:$L$300&lt;&gt;1),--($C$6:$C$300=$C52),$H$6:$H$300)/SUMPRODUCT(--($L$6:$L$300&lt;&gt;1),--($C$6:$C$300=$C52),$E$6:$E$300)</f>
        <v>287.03403847033383</v>
      </c>
      <c r="N52" s="1" cm="1">
        <f t="array" ref="N52">SUMPRODUCT(--($L$6:$L$300&lt;&gt;1),--($C$6:$C$300=$C52))</f>
        <v>20</v>
      </c>
      <c r="O52" s="3">
        <f t="shared" si="6"/>
        <v>3950.6960136957314</v>
      </c>
      <c r="P52" s="2" cm="1">
        <f t="array" ref="P52">SQRT(SUMPRODUCT(--($L$6:$L$300&lt;&gt;1),--($C$6:$C$300=$C52),$E$6:$E$300,$O$6:$O$300)/((N52-1)*SUMPRODUCT(--($L$6:$L$300&lt;&gt;1),--($C$6:$C$300=$C52),$E$6:$E$300)/N52))</f>
        <v>125.75413111405129</v>
      </c>
      <c r="Q52" s="2">
        <f t="shared" si="4"/>
        <v>125.87363486742044</v>
      </c>
      <c r="R52" s="2">
        <f t="shared" si="4"/>
        <v>448.19444207324722</v>
      </c>
      <c r="S52" s="2">
        <f t="shared" si="7"/>
        <v>349.88860086397182</v>
      </c>
    </row>
    <row r="53" spans="2:19" x14ac:dyDescent="0.3">
      <c r="B53" s="9">
        <v>696</v>
      </c>
      <c r="C53" s="9">
        <v>5</v>
      </c>
      <c r="D53" s="8" t="s">
        <v>95</v>
      </c>
      <c r="E53" s="125">
        <f>INDEX('Revised 2018 Lockdown'!H$5:H$253,MATCH(B53,'Revised 2018 Lockdown'!B$5:B$253,0))</f>
        <v>295.10104095842627</v>
      </c>
      <c r="F53" s="7">
        <f>INDEX('Revised 2018 Lockdown'!E$5:E$253,MATCH(B53,'Revised 2018 Lockdown'!B$5:B$253,0))</f>
        <v>126909.24</v>
      </c>
      <c r="G53" s="7">
        <f>INDEX('Revised 2018 Lockdown'!F$5:F$253,MATCH(B53,'Revised 2018 Lockdown'!B$5:B$253,0))</f>
        <v>38.94</v>
      </c>
      <c r="H53" s="7">
        <f t="shared" si="0"/>
        <v>126870.3</v>
      </c>
      <c r="I53" s="6">
        <f t="shared" si="1"/>
        <v>429.92156038471393</v>
      </c>
      <c r="J53" s="6">
        <f t="shared" si="5"/>
        <v>429.92156038471393</v>
      </c>
      <c r="K53" s="5">
        <f t="shared" si="2"/>
        <v>126870.3</v>
      </c>
      <c r="L53" s="4">
        <f t="shared" si="3"/>
        <v>0</v>
      </c>
      <c r="M53" s="2" cm="1">
        <f t="array" ref="M53">SUMPRODUCT(--($L$6:$L$300&lt;&gt;1),--($C$6:$C$300=$C53),$H$6:$H$300)/SUMPRODUCT(--($L$6:$L$300&lt;&gt;1),--($C$6:$C$300=$C53),$E$6:$E$300)</f>
        <v>287.03403847033383</v>
      </c>
      <c r="N53" s="1" cm="1">
        <f t="array" ref="N53">SUMPRODUCT(--($L$6:$L$300&lt;&gt;1),--($C$6:$C$300=$C53))</f>
        <v>20</v>
      </c>
      <c r="O53" s="3">
        <f t="shared" si="6"/>
        <v>20416.843918832456</v>
      </c>
      <c r="P53" s="2" cm="1">
        <f t="array" ref="P53">SQRT(SUMPRODUCT(--($L$6:$L$300&lt;&gt;1),--($C$6:$C$300=$C53),$E$6:$E$300,$O$6:$O$300)/((N53-1)*SUMPRODUCT(--($L$6:$L$300&lt;&gt;1),--($C$6:$C$300=$C53),$E$6:$E$300)/N53))</f>
        <v>125.75413111405129</v>
      </c>
      <c r="Q53" s="2">
        <f t="shared" si="4"/>
        <v>125.87363486742044</v>
      </c>
      <c r="R53" s="2">
        <f t="shared" si="4"/>
        <v>448.19444207324722</v>
      </c>
      <c r="S53" s="2">
        <f t="shared" si="7"/>
        <v>429.92156038471393</v>
      </c>
    </row>
    <row r="54" spans="2:19" x14ac:dyDescent="0.3">
      <c r="B54" s="9">
        <v>731</v>
      </c>
      <c r="C54" s="9">
        <v>5</v>
      </c>
      <c r="D54" s="8" t="s">
        <v>96</v>
      </c>
      <c r="E54" s="125">
        <f>INDEX('Revised 2018 Lockdown'!H$5:H$253,MATCH(B54,'Revised 2018 Lockdown'!B$5:B$253,0))</f>
        <v>859.8900000000001</v>
      </c>
      <c r="F54" s="7">
        <f>INDEX('Revised 2018 Lockdown'!E$5:E$253,MATCH(B54,'Revised 2018 Lockdown'!B$5:B$253,0))</f>
        <v>225089.16</v>
      </c>
      <c r="G54" s="7">
        <f>INDEX('Revised 2018 Lockdown'!F$5:F$253,MATCH(B54,'Revised 2018 Lockdown'!B$5:B$253,0))</f>
        <v>35311</v>
      </c>
      <c r="H54" s="7">
        <f t="shared" si="0"/>
        <v>189778.16</v>
      </c>
      <c r="I54" s="6">
        <f t="shared" si="1"/>
        <v>220.70050820453775</v>
      </c>
      <c r="J54" s="6">
        <f t="shared" si="5"/>
        <v>220.70050820453775</v>
      </c>
      <c r="K54" s="5">
        <f t="shared" si="2"/>
        <v>189778.16</v>
      </c>
      <c r="L54" s="4">
        <f t="shared" si="3"/>
        <v>0</v>
      </c>
      <c r="M54" s="2" cm="1">
        <f t="array" ref="M54">SUMPRODUCT(--($L$6:$L$300&lt;&gt;1),--($C$6:$C$300=$C54),$H$6:$H$300)/SUMPRODUCT(--($L$6:$L$300&lt;&gt;1),--($C$6:$C$300=$C54),$E$6:$E$300)</f>
        <v>287.03403847033383</v>
      </c>
      <c r="N54" s="1" cm="1">
        <f t="array" ref="N54">SUMPRODUCT(--($L$6:$L$300&lt;&gt;1),--($C$6:$C$300=$C54))</f>
        <v>20</v>
      </c>
      <c r="O54" s="3">
        <f t="shared" si="6"/>
        <v>4400.1372375232831</v>
      </c>
      <c r="P54" s="2" cm="1">
        <f t="array" ref="P54">SQRT(SUMPRODUCT(--($L$6:$L$300&lt;&gt;1),--($C$6:$C$300=$C54),$E$6:$E$300,$O$6:$O$300)/((N54-1)*SUMPRODUCT(--($L$6:$L$300&lt;&gt;1),--($C$6:$C$300=$C54),$E$6:$E$300)/N54))</f>
        <v>125.75413111405129</v>
      </c>
      <c r="Q54" s="2">
        <f t="shared" si="4"/>
        <v>125.87363486742044</v>
      </c>
      <c r="R54" s="2">
        <f t="shared" si="4"/>
        <v>448.19444207324722</v>
      </c>
      <c r="S54" s="2">
        <f t="shared" si="7"/>
        <v>220.70050820453775</v>
      </c>
    </row>
    <row r="55" spans="2:19" x14ac:dyDescent="0.3">
      <c r="B55" s="9">
        <v>732</v>
      </c>
      <c r="C55" s="9">
        <v>5</v>
      </c>
      <c r="D55" s="8" t="s">
        <v>97</v>
      </c>
      <c r="E55" s="125">
        <f>INDEX('Revised 2018 Lockdown'!H$5:H$253,MATCH(B55,'Revised 2018 Lockdown'!B$5:B$253,0))</f>
        <v>215.10540422039867</v>
      </c>
      <c r="F55" s="7">
        <f>INDEX('Revised 2018 Lockdown'!E$5:E$253,MATCH(B55,'Revised 2018 Lockdown'!B$5:B$253,0))</f>
        <v>69856.94</v>
      </c>
      <c r="G55" s="7">
        <f>INDEX('Revised 2018 Lockdown'!F$5:F$253,MATCH(B55,'Revised 2018 Lockdown'!B$5:B$253,0))</f>
        <v>0</v>
      </c>
      <c r="H55" s="7">
        <f t="shared" si="0"/>
        <v>69856.94</v>
      </c>
      <c r="I55" s="6">
        <f t="shared" si="1"/>
        <v>324.75678727450304</v>
      </c>
      <c r="J55" s="6">
        <f t="shared" si="5"/>
        <v>324.75678727450304</v>
      </c>
      <c r="K55" s="5">
        <f t="shared" si="2"/>
        <v>69856.94</v>
      </c>
      <c r="L55" s="4">
        <f t="shared" si="3"/>
        <v>0</v>
      </c>
      <c r="M55" s="2" cm="1">
        <f t="array" ref="M55">SUMPRODUCT(--($L$6:$L$300&lt;&gt;1),--($C$6:$C$300=$C55),$H$6:$H$300)/SUMPRODUCT(--($L$6:$L$300&lt;&gt;1),--($C$6:$C$300=$C55),$E$6:$E$300)</f>
        <v>287.03403847033383</v>
      </c>
      <c r="N55" s="1" cm="1">
        <f t="array" ref="N55">SUMPRODUCT(--($L$6:$L$300&lt;&gt;1),--($C$6:$C$300=$C55))</f>
        <v>20</v>
      </c>
      <c r="O55" s="3">
        <f t="shared" si="6"/>
        <v>1423.0057773424498</v>
      </c>
      <c r="P55" s="2" cm="1">
        <f t="array" ref="P55">SQRT(SUMPRODUCT(--($L$6:$L$300&lt;&gt;1),--($C$6:$C$300=$C55),$E$6:$E$300,$O$6:$O$300)/((N55-1)*SUMPRODUCT(--($L$6:$L$300&lt;&gt;1),--($C$6:$C$300=$C55),$E$6:$E$300)/N55))</f>
        <v>125.75413111405129</v>
      </c>
      <c r="Q55" s="2">
        <f t="shared" si="4"/>
        <v>125.87363486742044</v>
      </c>
      <c r="R55" s="2">
        <f t="shared" si="4"/>
        <v>448.19444207324722</v>
      </c>
      <c r="S55" s="2">
        <f t="shared" si="7"/>
        <v>324.75678727450304</v>
      </c>
    </row>
    <row r="56" spans="2:19" x14ac:dyDescent="0.3">
      <c r="B56" s="9">
        <v>754</v>
      </c>
      <c r="C56" s="9">
        <v>5</v>
      </c>
      <c r="D56" s="8" t="s">
        <v>98</v>
      </c>
      <c r="E56" s="125">
        <f>INDEX('Revised 2018 Lockdown'!H$5:H$253,MATCH(B56,'Revised 2018 Lockdown'!B$5:B$253,0))</f>
        <v>114.00900186150257</v>
      </c>
      <c r="F56" s="7">
        <f>INDEX('Revised 2018 Lockdown'!E$5:E$253,MATCH(B56,'Revised 2018 Lockdown'!B$5:B$253,0))</f>
        <v>34950.230000000003</v>
      </c>
      <c r="G56" s="7">
        <f>INDEX('Revised 2018 Lockdown'!F$5:F$253,MATCH(B56,'Revised 2018 Lockdown'!B$5:B$253,0))</f>
        <v>0</v>
      </c>
      <c r="H56" s="7">
        <f t="shared" si="0"/>
        <v>34950.230000000003</v>
      </c>
      <c r="I56" s="6">
        <f t="shared" si="1"/>
        <v>306.55675805720438</v>
      </c>
      <c r="J56" s="6">
        <f t="shared" si="5"/>
        <v>306.55675805720438</v>
      </c>
      <c r="K56" s="5">
        <f t="shared" si="2"/>
        <v>34950.230000000003</v>
      </c>
      <c r="L56" s="4">
        <f t="shared" si="3"/>
        <v>0</v>
      </c>
      <c r="M56" s="2" cm="1">
        <f t="array" ref="M56">SUMPRODUCT(--($L$6:$L$300&lt;&gt;1),--($C$6:$C$300=$C56),$H$6:$H$300)/SUMPRODUCT(--($L$6:$L$300&lt;&gt;1),--($C$6:$C$300=$C56),$E$6:$E$300)</f>
        <v>287.03403847033383</v>
      </c>
      <c r="N56" s="1" cm="1">
        <f t="array" ref="N56">SUMPRODUCT(--($L$6:$L$300&lt;&gt;1),--($C$6:$C$300=$C56))</f>
        <v>20</v>
      </c>
      <c r="O56" s="3">
        <f t="shared" si="6"/>
        <v>381.13658006757908</v>
      </c>
      <c r="P56" s="2" cm="1">
        <f t="array" ref="P56">SQRT(SUMPRODUCT(--($L$6:$L$300&lt;&gt;1),--($C$6:$C$300=$C56),$E$6:$E$300,$O$6:$O$300)/((N56-1)*SUMPRODUCT(--($L$6:$L$300&lt;&gt;1),--($C$6:$C$300=$C56),$E$6:$E$300)/N56))</f>
        <v>125.75413111405129</v>
      </c>
      <c r="Q56" s="2">
        <f t="shared" si="4"/>
        <v>125.87363486742044</v>
      </c>
      <c r="R56" s="2">
        <f t="shared" si="4"/>
        <v>448.19444207324722</v>
      </c>
      <c r="S56" s="2">
        <f t="shared" si="7"/>
        <v>306.55675805720438</v>
      </c>
    </row>
    <row r="57" spans="2:19" x14ac:dyDescent="0.3">
      <c r="B57" s="9">
        <v>885</v>
      </c>
      <c r="C57" s="9">
        <v>5</v>
      </c>
      <c r="D57" s="8" t="s">
        <v>99</v>
      </c>
      <c r="E57" s="125">
        <f>INDEX('Revised 2018 Lockdown'!H$5:H$253,MATCH(B57,'Revised 2018 Lockdown'!B$5:B$253,0))</f>
        <v>442.95</v>
      </c>
      <c r="F57" s="7">
        <f>INDEX('Revised 2018 Lockdown'!E$5:E$253,MATCH(B57,'Revised 2018 Lockdown'!B$5:B$253,0))</f>
        <v>145965.66</v>
      </c>
      <c r="G57" s="7">
        <f>INDEX('Revised 2018 Lockdown'!F$5:F$253,MATCH(B57,'Revised 2018 Lockdown'!B$5:B$253,0))</f>
        <v>61071.180000000008</v>
      </c>
      <c r="H57" s="7">
        <f t="shared" si="0"/>
        <v>84894.48</v>
      </c>
      <c r="I57" s="6">
        <f t="shared" si="1"/>
        <v>191.65702675245512</v>
      </c>
      <c r="J57" s="6">
        <f t="shared" si="5"/>
        <v>191.65702675245512</v>
      </c>
      <c r="K57" s="5">
        <f t="shared" si="2"/>
        <v>84894.48</v>
      </c>
      <c r="L57" s="4">
        <f t="shared" si="3"/>
        <v>0</v>
      </c>
      <c r="M57" s="2" cm="1">
        <f t="array" ref="M57">SUMPRODUCT(--($L$6:$L$300&lt;&gt;1),--($C$6:$C$300=$C57),$H$6:$H$300)/SUMPRODUCT(--($L$6:$L$300&lt;&gt;1),--($C$6:$C$300=$C57),$E$6:$E$300)</f>
        <v>287.03403847033383</v>
      </c>
      <c r="N57" s="1" cm="1">
        <f t="array" ref="N57">SUMPRODUCT(--($L$6:$L$300&lt;&gt;1),--($C$6:$C$300=$C57))</f>
        <v>20</v>
      </c>
      <c r="O57" s="3">
        <f t="shared" si="6"/>
        <v>9096.7743642323712</v>
      </c>
      <c r="P57" s="2" cm="1">
        <f t="array" ref="P57">SQRT(SUMPRODUCT(--($L$6:$L$300&lt;&gt;1),--($C$6:$C$300=$C57),$E$6:$E$300,$O$6:$O$300)/((N57-1)*SUMPRODUCT(--($L$6:$L$300&lt;&gt;1),--($C$6:$C$300=$C57),$E$6:$E$300)/N57))</f>
        <v>125.75413111405129</v>
      </c>
      <c r="Q57" s="2">
        <f t="shared" si="4"/>
        <v>125.87363486742044</v>
      </c>
      <c r="R57" s="2">
        <f t="shared" si="4"/>
        <v>448.19444207324722</v>
      </c>
      <c r="S57" s="2">
        <f t="shared" si="7"/>
        <v>191.65702675245512</v>
      </c>
    </row>
    <row r="58" spans="2:19" x14ac:dyDescent="0.3">
      <c r="B58" s="9">
        <v>909</v>
      </c>
      <c r="C58" s="9">
        <v>5</v>
      </c>
      <c r="D58" s="8" t="s">
        <v>100</v>
      </c>
      <c r="E58" s="125">
        <f>INDEX('Revised 2018 Lockdown'!H$5:H$253,MATCH(B58,'Revised 2018 Lockdown'!B$5:B$253,0))</f>
        <v>496.92000000000007</v>
      </c>
      <c r="F58" s="7">
        <f>INDEX('Revised 2018 Lockdown'!E$5:E$253,MATCH(B58,'Revised 2018 Lockdown'!B$5:B$253,0))</f>
        <v>238013.06</v>
      </c>
      <c r="G58" s="7">
        <f>INDEX('Revised 2018 Lockdown'!F$5:F$253,MATCH(B58,'Revised 2018 Lockdown'!B$5:B$253,0))</f>
        <v>67250.02</v>
      </c>
      <c r="H58" s="7">
        <f t="shared" si="0"/>
        <v>170763.03999999998</v>
      </c>
      <c r="I58" s="6">
        <f t="shared" si="1"/>
        <v>343.64292038959985</v>
      </c>
      <c r="J58" s="6">
        <f t="shared" si="5"/>
        <v>343.64292038959985</v>
      </c>
      <c r="K58" s="5">
        <f t="shared" si="2"/>
        <v>170763.03999999998</v>
      </c>
      <c r="L58" s="4">
        <f t="shared" si="3"/>
        <v>0</v>
      </c>
      <c r="M58" s="2" cm="1">
        <f t="array" ref="M58">SUMPRODUCT(--($L$6:$L$300&lt;&gt;1),--($C$6:$C$300=$C58),$H$6:$H$300)/SUMPRODUCT(--($L$6:$L$300&lt;&gt;1),--($C$6:$C$300=$C58),$E$6:$E$300)</f>
        <v>287.03403847033383</v>
      </c>
      <c r="N58" s="1" cm="1">
        <f t="array" ref="N58">SUMPRODUCT(--($L$6:$L$300&lt;&gt;1),--($C$6:$C$300=$C58))</f>
        <v>20</v>
      </c>
      <c r="O58" s="3">
        <f t="shared" si="6"/>
        <v>3204.5655121494037</v>
      </c>
      <c r="P58" s="2" cm="1">
        <f t="array" ref="P58">SQRT(SUMPRODUCT(--($L$6:$L$300&lt;&gt;1),--($C$6:$C$300=$C58),$E$6:$E$300,$O$6:$O$300)/((N58-1)*SUMPRODUCT(--($L$6:$L$300&lt;&gt;1),--($C$6:$C$300=$C58),$E$6:$E$300)/N58))</f>
        <v>125.75413111405129</v>
      </c>
      <c r="Q58" s="2">
        <f t="shared" si="4"/>
        <v>125.87363486742044</v>
      </c>
      <c r="R58" s="2">
        <f t="shared" si="4"/>
        <v>448.19444207324722</v>
      </c>
      <c r="S58" s="2">
        <f t="shared" si="7"/>
        <v>343.64292038959985</v>
      </c>
    </row>
    <row r="59" spans="2:19" x14ac:dyDescent="0.3">
      <c r="B59" s="9">
        <v>923</v>
      </c>
      <c r="C59" s="9">
        <v>5</v>
      </c>
      <c r="D59" s="8" t="s">
        <v>101</v>
      </c>
      <c r="E59" s="125">
        <f>INDEX('Revised 2018 Lockdown'!H$5:H$253,MATCH(B59,'Revised 2018 Lockdown'!B$5:B$253,0))</f>
        <v>49.064539992757702</v>
      </c>
      <c r="F59" s="7">
        <f>INDEX('Revised 2018 Lockdown'!E$5:E$253,MATCH(B59,'Revised 2018 Lockdown'!B$5:B$253,0))</f>
        <v>30138.59</v>
      </c>
      <c r="G59" s="7">
        <f>INDEX('Revised 2018 Lockdown'!F$5:F$253,MATCH(B59,'Revised 2018 Lockdown'!B$5:B$253,0))</f>
        <v>156</v>
      </c>
      <c r="H59" s="7">
        <f t="shared" si="0"/>
        <v>29982.59</v>
      </c>
      <c r="I59" s="6">
        <f t="shared" si="1"/>
        <v>611.08470607134313</v>
      </c>
      <c r="J59" s="6">
        <f t="shared" si="5"/>
        <v>448.19444207324722</v>
      </c>
      <c r="K59" s="5">
        <f t="shared" si="2"/>
        <v>21990.454127634563</v>
      </c>
      <c r="L59" s="4">
        <f t="shared" si="3"/>
        <v>0</v>
      </c>
      <c r="M59" s="2" cm="1">
        <f t="array" ref="M59">SUMPRODUCT(--($L$6:$L$300&lt;&gt;1),--($C$6:$C$300=$C59),$H$6:$H$300)/SUMPRODUCT(--($L$6:$L$300&lt;&gt;1),--($C$6:$C$300=$C59),$E$6:$E$300)</f>
        <v>287.03403847033383</v>
      </c>
      <c r="N59" s="1" cm="1">
        <f t="array" ref="N59">SUMPRODUCT(--($L$6:$L$300&lt;&gt;1),--($C$6:$C$300=$C59))</f>
        <v>20</v>
      </c>
      <c r="O59" s="3">
        <f t="shared" si="6"/>
        <v>105008.83517265982</v>
      </c>
      <c r="P59" s="2" cm="1">
        <f t="array" ref="P59">SQRT(SUMPRODUCT(--($L$6:$L$300&lt;&gt;1),--($C$6:$C$300=$C59),$E$6:$E$300,$O$6:$O$300)/((N59-1)*SUMPRODUCT(--($L$6:$L$300&lt;&gt;1),--($C$6:$C$300=$C59),$E$6:$E$300)/N59))</f>
        <v>125.75413111405129</v>
      </c>
      <c r="Q59" s="2">
        <f t="shared" si="4"/>
        <v>125.87363486742044</v>
      </c>
      <c r="R59" s="2">
        <f t="shared" si="4"/>
        <v>448.19444207324722</v>
      </c>
      <c r="S59" s="2">
        <f t="shared" si="7"/>
        <v>448.19444207324722</v>
      </c>
    </row>
    <row r="60" spans="2:19" x14ac:dyDescent="0.3">
      <c r="B60" s="9">
        <v>394</v>
      </c>
      <c r="C60" s="9">
        <v>6</v>
      </c>
      <c r="D60" s="8" t="s">
        <v>102</v>
      </c>
      <c r="E60" s="125">
        <f>INDEX('Revised 2018 Lockdown'!H$5:H$253,MATCH(B60,'Revised 2018 Lockdown'!B$5:B$253,0))</f>
        <v>634.74</v>
      </c>
      <c r="F60" s="7">
        <f>INDEX('Revised 2018 Lockdown'!E$5:E$253,MATCH(B60,'Revised 2018 Lockdown'!B$5:B$253,0))</f>
        <v>378356.65</v>
      </c>
      <c r="G60" s="7">
        <f>INDEX('Revised 2018 Lockdown'!F$5:F$253,MATCH(B60,'Revised 2018 Lockdown'!B$5:B$253,0))</f>
        <v>36610</v>
      </c>
      <c r="H60" s="7">
        <f t="shared" si="0"/>
        <v>341746.65</v>
      </c>
      <c r="I60" s="6">
        <f t="shared" si="1"/>
        <v>538.40414973059842</v>
      </c>
      <c r="J60" s="6">
        <f t="shared" si="5"/>
        <v>538.40414973059842</v>
      </c>
      <c r="K60" s="5">
        <f t="shared" si="2"/>
        <v>341746.65</v>
      </c>
      <c r="L60" s="4">
        <f t="shared" si="3"/>
        <v>0</v>
      </c>
      <c r="M60" s="2" cm="1">
        <f t="array" ref="M60">SUMPRODUCT(--($L$6:$L$300&lt;&gt;1),--($C$6:$C$300=$C60),$H$6:$H$300)/SUMPRODUCT(--($L$6:$L$300&lt;&gt;1),--($C$6:$C$300=$C60),$E$6:$E$300)</f>
        <v>704.90257521333319</v>
      </c>
      <c r="N60" s="1" cm="1">
        <f t="array" ref="N60">SUMPRODUCT(--($L$6:$L$300&lt;&gt;1),--($C$6:$C$300=$C60))</f>
        <v>47</v>
      </c>
      <c r="O60" s="3">
        <f t="shared" si="6"/>
        <v>27721.725688229784</v>
      </c>
      <c r="P60" s="2" cm="1">
        <f t="array" ref="P60">SQRT(SUMPRODUCT(--($L$6:$L$300&lt;&gt;1),--($C$6:$C$300=$C60),$E$6:$E$300,$O$6:$O$300)/((N60-1)*SUMPRODUCT(--($L$6:$L$300&lt;&gt;1),--($C$6:$C$300=$C60),$E$6:$E$300)/N60))</f>
        <v>456.23837953953682</v>
      </c>
      <c r="Q60" s="2">
        <f t="shared" si="4"/>
        <v>120.20956565290805</v>
      </c>
      <c r="R60" s="2">
        <f t="shared" si="4"/>
        <v>1289.5955847737582</v>
      </c>
      <c r="S60" s="2">
        <f t="shared" si="7"/>
        <v>538.40414973059842</v>
      </c>
    </row>
    <row r="61" spans="2:19" x14ac:dyDescent="0.3">
      <c r="B61" s="9">
        <v>414</v>
      </c>
      <c r="C61" s="9">
        <v>6</v>
      </c>
      <c r="D61" s="8" t="s">
        <v>103</v>
      </c>
      <c r="E61" s="125">
        <f>INDEX('Revised 2018 Lockdown'!H$5:H$253,MATCH(B61,'Revised 2018 Lockdown'!B$5:B$253,0))</f>
        <v>248.32554720098537</v>
      </c>
      <c r="F61" s="7">
        <f>INDEX('Revised 2018 Lockdown'!E$5:E$253,MATCH(B61,'Revised 2018 Lockdown'!B$5:B$253,0))</f>
        <v>291185.07</v>
      </c>
      <c r="G61" s="7">
        <f>INDEX('Revised 2018 Lockdown'!F$5:F$253,MATCH(B61,'Revised 2018 Lockdown'!B$5:B$253,0))</f>
        <v>10663.29</v>
      </c>
      <c r="H61" s="7">
        <f t="shared" si="0"/>
        <v>280521.78000000003</v>
      </c>
      <c r="I61" s="6">
        <f t="shared" si="1"/>
        <v>1129.653324685745</v>
      </c>
      <c r="J61" s="6">
        <f t="shared" si="5"/>
        <v>1129.653324685745</v>
      </c>
      <c r="K61" s="5">
        <f t="shared" si="2"/>
        <v>280521.78000000003</v>
      </c>
      <c r="L61" s="4">
        <f t="shared" si="3"/>
        <v>0</v>
      </c>
      <c r="M61" s="2" cm="1">
        <f t="array" ref="M61">SUMPRODUCT(--($L$6:$L$300&lt;&gt;1),--($C$6:$C$300=$C61),$H$6:$H$300)/SUMPRODUCT(--($L$6:$L$300&lt;&gt;1),--($C$6:$C$300=$C61),$E$6:$E$300)</f>
        <v>704.90257521333319</v>
      </c>
      <c r="N61" s="1" cm="1">
        <f t="array" ref="N61">SUMPRODUCT(--($L$6:$L$300&lt;&gt;1),--($C$6:$C$300=$C61))</f>
        <v>47</v>
      </c>
      <c r="O61" s="3">
        <f t="shared" si="6"/>
        <v>180413.19917737556</v>
      </c>
      <c r="P61" s="2" cm="1">
        <f t="array" ref="P61">SQRT(SUMPRODUCT(--($L$6:$L$300&lt;&gt;1),--($C$6:$C$300=$C61),$E$6:$E$300,$O$6:$O$300)/((N61-1)*SUMPRODUCT(--($L$6:$L$300&lt;&gt;1),--($C$6:$C$300=$C61),$E$6:$E$300)/N61))</f>
        <v>456.23837953953682</v>
      </c>
      <c r="Q61" s="2">
        <f t="shared" si="4"/>
        <v>120.20956565290805</v>
      </c>
      <c r="R61" s="2">
        <f t="shared" si="4"/>
        <v>1289.5955847737582</v>
      </c>
      <c r="S61" s="2">
        <f t="shared" si="7"/>
        <v>1129.653324685745</v>
      </c>
    </row>
    <row r="62" spans="2:19" x14ac:dyDescent="0.3">
      <c r="B62" s="9">
        <v>426</v>
      </c>
      <c r="C62" s="9">
        <v>6</v>
      </c>
      <c r="D62" s="8" t="s">
        <v>104</v>
      </c>
      <c r="E62" s="125">
        <f>INDEX('Revised 2018 Lockdown'!H$5:H$253,MATCH(B62,'Revised 2018 Lockdown'!B$5:B$253,0))</f>
        <v>398.46790906083021</v>
      </c>
      <c r="F62" s="7">
        <f>INDEX('Revised 2018 Lockdown'!E$5:E$253,MATCH(B62,'Revised 2018 Lockdown'!B$5:B$253,0))</f>
        <v>147683.84</v>
      </c>
      <c r="G62" s="7">
        <f>INDEX('Revised 2018 Lockdown'!F$5:F$253,MATCH(B62,'Revised 2018 Lockdown'!B$5:B$253,0))</f>
        <v>0</v>
      </c>
      <c r="H62" s="7">
        <f t="shared" si="0"/>
        <v>147683.84</v>
      </c>
      <c r="I62" s="6">
        <f t="shared" si="1"/>
        <v>370.62919407508559</v>
      </c>
      <c r="J62" s="6">
        <f t="shared" si="5"/>
        <v>370.62919407508559</v>
      </c>
      <c r="K62" s="5">
        <f t="shared" si="2"/>
        <v>147683.84</v>
      </c>
      <c r="L62" s="4">
        <f t="shared" si="3"/>
        <v>0</v>
      </c>
      <c r="M62" s="2" cm="1">
        <f t="array" ref="M62">SUMPRODUCT(--($L$6:$L$300&lt;&gt;1),--($C$6:$C$300=$C62),$H$6:$H$300)/SUMPRODUCT(--($L$6:$L$300&lt;&gt;1),--($C$6:$C$300=$C62),$E$6:$E$300)</f>
        <v>704.90257521333319</v>
      </c>
      <c r="N62" s="1" cm="1">
        <f t="array" ref="N62">SUMPRODUCT(--($L$6:$L$300&lt;&gt;1),--($C$6:$C$300=$C62))</f>
        <v>47</v>
      </c>
      <c r="O62" s="3">
        <f t="shared" si="6"/>
        <v>111738.69333759615</v>
      </c>
      <c r="P62" s="2" cm="1">
        <f t="array" ref="P62">SQRT(SUMPRODUCT(--($L$6:$L$300&lt;&gt;1),--($C$6:$C$300=$C62),$E$6:$E$300,$O$6:$O$300)/((N62-1)*SUMPRODUCT(--($L$6:$L$300&lt;&gt;1),--($C$6:$C$300=$C62),$E$6:$E$300)/N62))</f>
        <v>456.23837953953682</v>
      </c>
      <c r="Q62" s="2">
        <f t="shared" si="4"/>
        <v>120.20956565290805</v>
      </c>
      <c r="R62" s="2">
        <f t="shared" si="4"/>
        <v>1289.5955847737582</v>
      </c>
      <c r="S62" s="2">
        <f t="shared" si="7"/>
        <v>370.62919407508559</v>
      </c>
    </row>
    <row r="63" spans="2:19" x14ac:dyDescent="0.3">
      <c r="B63" s="9">
        <v>430</v>
      </c>
      <c r="C63" s="9">
        <v>6</v>
      </c>
      <c r="D63" s="8" t="s">
        <v>105</v>
      </c>
      <c r="E63" s="125">
        <f>INDEX('Revised 2018 Lockdown'!H$5:H$253,MATCH(B63,'Revised 2018 Lockdown'!B$5:B$253,0))</f>
        <v>2885.2977142676095</v>
      </c>
      <c r="F63" s="7">
        <f>INDEX('Revised 2018 Lockdown'!E$5:E$253,MATCH(B63,'Revised 2018 Lockdown'!B$5:B$253,0))</f>
        <v>1674152.86</v>
      </c>
      <c r="G63" s="7">
        <f>INDEX('Revised 2018 Lockdown'!F$5:F$253,MATCH(B63,'Revised 2018 Lockdown'!B$5:B$253,0))</f>
        <v>100</v>
      </c>
      <c r="H63" s="7">
        <f t="shared" si="0"/>
        <v>1674052.86</v>
      </c>
      <c r="I63" s="6">
        <f t="shared" si="1"/>
        <v>580.20108348678116</v>
      </c>
      <c r="J63" s="6">
        <f t="shared" si="5"/>
        <v>580.20108348678116</v>
      </c>
      <c r="K63" s="5">
        <f t="shared" si="2"/>
        <v>1674052.86</v>
      </c>
      <c r="L63" s="4">
        <f t="shared" si="3"/>
        <v>0</v>
      </c>
      <c r="M63" s="2" cm="1">
        <f t="array" ref="M63">SUMPRODUCT(--($L$6:$L$300&lt;&gt;1),--($C$6:$C$300=$C63),$H$6:$H$300)/SUMPRODUCT(--($L$6:$L$300&lt;&gt;1),--($C$6:$C$300=$C63),$E$6:$E$300)</f>
        <v>704.90257521333319</v>
      </c>
      <c r="N63" s="1" cm="1">
        <f t="array" ref="N63">SUMPRODUCT(--($L$6:$L$300&lt;&gt;1),--($C$6:$C$300=$C63))</f>
        <v>47</v>
      </c>
      <c r="O63" s="3">
        <f t="shared" si="6"/>
        <v>15550.462038827325</v>
      </c>
      <c r="P63" s="2" cm="1">
        <f t="array" ref="P63">SQRT(SUMPRODUCT(--($L$6:$L$300&lt;&gt;1),--($C$6:$C$300=$C63),$E$6:$E$300,$O$6:$O$300)/((N63-1)*SUMPRODUCT(--($L$6:$L$300&lt;&gt;1),--($C$6:$C$300=$C63),$E$6:$E$300)/N63))</f>
        <v>456.23837953953682</v>
      </c>
      <c r="Q63" s="2">
        <f t="shared" si="4"/>
        <v>120.20956565290805</v>
      </c>
      <c r="R63" s="2">
        <f t="shared" si="4"/>
        <v>1289.5955847737582</v>
      </c>
      <c r="S63" s="2">
        <f t="shared" si="7"/>
        <v>580.20108348678116</v>
      </c>
    </row>
    <row r="64" spans="2:19" x14ac:dyDescent="0.3">
      <c r="B64" s="9">
        <v>443</v>
      </c>
      <c r="C64" s="9">
        <v>6</v>
      </c>
      <c r="D64" s="8" t="s">
        <v>106</v>
      </c>
      <c r="E64" s="125">
        <f>INDEX('Revised 2018 Lockdown'!H$5:H$253,MATCH(B64,'Revised 2018 Lockdown'!B$5:B$253,0))</f>
        <v>11.627319147048576</v>
      </c>
      <c r="F64" s="7">
        <f>INDEX('Revised 2018 Lockdown'!E$5:E$253,MATCH(B64,'Revised 2018 Lockdown'!B$5:B$253,0))</f>
        <v>15830.2</v>
      </c>
      <c r="G64" s="7">
        <f>INDEX('Revised 2018 Lockdown'!F$5:F$253,MATCH(B64,'Revised 2018 Lockdown'!B$5:B$253,0))</f>
        <v>0</v>
      </c>
      <c r="H64" s="7">
        <f t="shared" si="0"/>
        <v>15830.2</v>
      </c>
      <c r="I64" s="6">
        <f t="shared" si="1"/>
        <v>1361.4660266737637</v>
      </c>
      <c r="J64" s="6">
        <f t="shared" si="5"/>
        <v>1289.5955847737582</v>
      </c>
      <c r="K64" s="5">
        <f t="shared" si="2"/>
        <v>14994.539434789223</v>
      </c>
      <c r="L64" s="4">
        <f t="shared" si="3"/>
        <v>0</v>
      </c>
      <c r="M64" s="2" cm="1">
        <f t="array" ref="M64">SUMPRODUCT(--($L$6:$L$300&lt;&gt;1),--($C$6:$C$300=$C64),$H$6:$H$300)/SUMPRODUCT(--($L$6:$L$300&lt;&gt;1),--($C$6:$C$300=$C64),$E$6:$E$300)</f>
        <v>704.90257521333319</v>
      </c>
      <c r="N64" s="1" cm="1">
        <f t="array" ref="N64">SUMPRODUCT(--($L$6:$L$300&lt;&gt;1),--($C$6:$C$300=$C64))</f>
        <v>47</v>
      </c>
      <c r="O64" s="3">
        <f t="shared" si="6"/>
        <v>431075.56579363311</v>
      </c>
      <c r="P64" s="2" cm="1">
        <f t="array" ref="P64">SQRT(SUMPRODUCT(--($L$6:$L$300&lt;&gt;1),--($C$6:$C$300=$C64),$E$6:$E$300,$O$6:$O$300)/((N64-1)*SUMPRODUCT(--($L$6:$L$300&lt;&gt;1),--($C$6:$C$300=$C64),$E$6:$E$300)/N64))</f>
        <v>456.23837953953682</v>
      </c>
      <c r="Q64" s="2">
        <f t="shared" si="4"/>
        <v>120.20956565290805</v>
      </c>
      <c r="R64" s="2">
        <f t="shared" si="4"/>
        <v>1289.5955847737582</v>
      </c>
      <c r="S64" s="2">
        <f t="shared" si="7"/>
        <v>1289.5955847737582</v>
      </c>
    </row>
    <row r="65" spans="2:19" x14ac:dyDescent="0.3">
      <c r="B65" s="9">
        <v>562</v>
      </c>
      <c r="C65" s="9">
        <v>6</v>
      </c>
      <c r="D65" s="8" t="s">
        <v>107</v>
      </c>
      <c r="E65" s="125">
        <f>INDEX('Revised 2018 Lockdown'!H$5:H$253,MATCH(B65,'Revised 2018 Lockdown'!B$5:B$253,0))</f>
        <v>55.566200227048874</v>
      </c>
      <c r="F65" s="7">
        <f>INDEX('Revised 2018 Lockdown'!E$5:E$253,MATCH(B65,'Revised 2018 Lockdown'!B$5:B$253,0))</f>
        <v>47597.599999999999</v>
      </c>
      <c r="G65" s="7">
        <f>INDEX('Revised 2018 Lockdown'!F$5:F$253,MATCH(B65,'Revised 2018 Lockdown'!B$5:B$253,0))</f>
        <v>0</v>
      </c>
      <c r="H65" s="7">
        <f t="shared" si="0"/>
        <v>47597.599999999999</v>
      </c>
      <c r="I65" s="6">
        <f t="shared" si="1"/>
        <v>856.59267334299625</v>
      </c>
      <c r="J65" s="6">
        <f t="shared" si="5"/>
        <v>856.59267334299625</v>
      </c>
      <c r="K65" s="5">
        <f t="shared" si="2"/>
        <v>47597.599999999999</v>
      </c>
      <c r="L65" s="4">
        <f t="shared" si="3"/>
        <v>0</v>
      </c>
      <c r="M65" s="2" cm="1">
        <f t="array" ref="M65">SUMPRODUCT(--($L$6:$L$300&lt;&gt;1),--($C$6:$C$300=$C65),$H$6:$H$300)/SUMPRODUCT(--($L$6:$L$300&lt;&gt;1),--($C$6:$C$300=$C65),$E$6:$E$300)</f>
        <v>704.90257521333319</v>
      </c>
      <c r="N65" s="1" cm="1">
        <f t="array" ref="N65">SUMPRODUCT(--($L$6:$L$300&lt;&gt;1),--($C$6:$C$300=$C65))</f>
        <v>47</v>
      </c>
      <c r="O65" s="3">
        <f t="shared" si="6"/>
        <v>23009.885870586808</v>
      </c>
      <c r="P65" s="2" cm="1">
        <f t="array" ref="P65">SQRT(SUMPRODUCT(--($L$6:$L$300&lt;&gt;1),--($C$6:$C$300=$C65),$E$6:$E$300,$O$6:$O$300)/((N65-1)*SUMPRODUCT(--($L$6:$L$300&lt;&gt;1),--($C$6:$C$300=$C65),$E$6:$E$300)/N65))</f>
        <v>456.23837953953682</v>
      </c>
      <c r="Q65" s="2">
        <f t="shared" si="4"/>
        <v>120.20956565290805</v>
      </c>
      <c r="R65" s="2">
        <f t="shared" si="4"/>
        <v>1289.5955847737582</v>
      </c>
      <c r="S65" s="2">
        <f t="shared" si="7"/>
        <v>856.59267334299625</v>
      </c>
    </row>
    <row r="66" spans="2:19" x14ac:dyDescent="0.3">
      <c r="B66" s="9">
        <v>603</v>
      </c>
      <c r="C66" s="9">
        <v>6</v>
      </c>
      <c r="D66" s="8" t="s">
        <v>108</v>
      </c>
      <c r="E66" s="125">
        <f>INDEX('Revised 2018 Lockdown'!H$5:H$253,MATCH(B66,'Revised 2018 Lockdown'!B$5:B$253,0))</f>
        <v>109.56634963052151</v>
      </c>
      <c r="F66" s="7">
        <f>INDEX('Revised 2018 Lockdown'!E$5:E$253,MATCH(B66,'Revised 2018 Lockdown'!B$5:B$253,0))</f>
        <v>85628.45</v>
      </c>
      <c r="G66" s="7">
        <f>INDEX('Revised 2018 Lockdown'!F$5:F$253,MATCH(B66,'Revised 2018 Lockdown'!B$5:B$253,0))</f>
        <v>0</v>
      </c>
      <c r="H66" s="7">
        <f t="shared" si="0"/>
        <v>85628.45</v>
      </c>
      <c r="I66" s="6">
        <f t="shared" si="1"/>
        <v>781.52142778102359</v>
      </c>
      <c r="J66" s="6">
        <f t="shared" si="5"/>
        <v>781.52142778102359</v>
      </c>
      <c r="K66" s="5">
        <f t="shared" si="2"/>
        <v>85628.45</v>
      </c>
      <c r="L66" s="4">
        <f t="shared" si="3"/>
        <v>0</v>
      </c>
      <c r="M66" s="2" cm="1">
        <f t="array" ref="M66">SUMPRODUCT(--($L$6:$L$300&lt;&gt;1),--($C$6:$C$300=$C66),$H$6:$H$300)/SUMPRODUCT(--($L$6:$L$300&lt;&gt;1),--($C$6:$C$300=$C66),$E$6:$E$300)</f>
        <v>704.90257521333319</v>
      </c>
      <c r="N66" s="1" cm="1">
        <f t="array" ref="N66">SUMPRODUCT(--($L$6:$L$300&lt;&gt;1),--($C$6:$C$300=$C66))</f>
        <v>47</v>
      </c>
      <c r="O66" s="3">
        <f t="shared" si="6"/>
        <v>5870.4485687894776</v>
      </c>
      <c r="P66" s="2" cm="1">
        <f t="array" ref="P66">SQRT(SUMPRODUCT(--($L$6:$L$300&lt;&gt;1),--($C$6:$C$300=$C66),$E$6:$E$300,$O$6:$O$300)/((N66-1)*SUMPRODUCT(--($L$6:$L$300&lt;&gt;1),--($C$6:$C$300=$C66),$E$6:$E$300)/N66))</f>
        <v>456.23837953953682</v>
      </c>
      <c r="Q66" s="2">
        <f t="shared" si="4"/>
        <v>120.20956565290805</v>
      </c>
      <c r="R66" s="2">
        <f t="shared" si="4"/>
        <v>1289.5955847737582</v>
      </c>
      <c r="S66" s="2">
        <f t="shared" si="7"/>
        <v>781.52142778102359</v>
      </c>
    </row>
    <row r="67" spans="2:19" x14ac:dyDescent="0.3">
      <c r="B67" s="9">
        <v>618</v>
      </c>
      <c r="C67" s="9">
        <v>6</v>
      </c>
      <c r="D67" s="8" t="s">
        <v>109</v>
      </c>
      <c r="E67" s="125">
        <f>INDEX('Revised 2018 Lockdown'!H$5:H$253,MATCH(B67,'Revised 2018 Lockdown'!B$5:B$253,0))</f>
        <v>22.913618107259204</v>
      </c>
      <c r="F67" s="7">
        <f>INDEX('Revised 2018 Lockdown'!E$5:E$253,MATCH(B67,'Revised 2018 Lockdown'!B$5:B$253,0))</f>
        <v>16335.8</v>
      </c>
      <c r="G67" s="7">
        <f>INDEX('Revised 2018 Lockdown'!F$5:F$253,MATCH(B67,'Revised 2018 Lockdown'!B$5:B$253,0))</f>
        <v>0</v>
      </c>
      <c r="H67" s="7">
        <f t="shared" si="0"/>
        <v>16335.8</v>
      </c>
      <c r="I67" s="6">
        <f t="shared" si="1"/>
        <v>712.92974874294066</v>
      </c>
      <c r="J67" s="6">
        <f t="shared" si="5"/>
        <v>712.92974874294066</v>
      </c>
      <c r="K67" s="5">
        <f t="shared" si="2"/>
        <v>16335.8</v>
      </c>
      <c r="L67" s="4">
        <f t="shared" si="3"/>
        <v>0</v>
      </c>
      <c r="M67" s="2" cm="1">
        <f t="array" ref="M67">SUMPRODUCT(--($L$6:$L$300&lt;&gt;1),--($C$6:$C$300=$C67),$H$6:$H$300)/SUMPRODUCT(--($L$6:$L$300&lt;&gt;1),--($C$6:$C$300=$C67),$E$6:$E$300)</f>
        <v>704.90257521333319</v>
      </c>
      <c r="N67" s="1" cm="1">
        <f t="array" ref="N67">SUMPRODUCT(--($L$6:$L$300&lt;&gt;1),--($C$6:$C$300=$C67))</f>
        <v>47</v>
      </c>
      <c r="O67" s="3">
        <f t="shared" si="6"/>
        <v>64.435514874430794</v>
      </c>
      <c r="P67" s="2" cm="1">
        <f t="array" ref="P67">SQRT(SUMPRODUCT(--($L$6:$L$300&lt;&gt;1),--($C$6:$C$300=$C67),$E$6:$E$300,$O$6:$O$300)/((N67-1)*SUMPRODUCT(--($L$6:$L$300&lt;&gt;1),--($C$6:$C$300=$C67),$E$6:$E$300)/N67))</f>
        <v>456.23837953953682</v>
      </c>
      <c r="Q67" s="2">
        <f t="shared" si="4"/>
        <v>120.20956565290805</v>
      </c>
      <c r="R67" s="2">
        <f t="shared" si="4"/>
        <v>1289.5955847737582</v>
      </c>
      <c r="S67" s="2">
        <f t="shared" si="7"/>
        <v>712.92974874294066</v>
      </c>
    </row>
    <row r="68" spans="2:19" x14ac:dyDescent="0.3">
      <c r="B68" s="9">
        <v>620</v>
      </c>
      <c r="C68" s="9">
        <v>6</v>
      </c>
      <c r="D68" s="8" t="s">
        <v>110</v>
      </c>
      <c r="E68" s="125">
        <f>INDEX('Revised 2018 Lockdown'!H$5:H$253,MATCH(B68,'Revised 2018 Lockdown'!B$5:B$253,0))</f>
        <v>247.11719425868989</v>
      </c>
      <c r="F68" s="7">
        <f>INDEX('Revised 2018 Lockdown'!E$5:E$253,MATCH(B68,'Revised 2018 Lockdown'!B$5:B$253,0))</f>
        <v>118610.13</v>
      </c>
      <c r="G68" s="7">
        <f>INDEX('Revised 2018 Lockdown'!F$5:F$253,MATCH(B68,'Revised 2018 Lockdown'!B$5:B$253,0))</f>
        <v>0</v>
      </c>
      <c r="H68" s="7">
        <f t="shared" si="0"/>
        <v>118610.13</v>
      </c>
      <c r="I68" s="6">
        <f t="shared" si="1"/>
        <v>479.97522129453796</v>
      </c>
      <c r="J68" s="6">
        <f t="shared" si="5"/>
        <v>479.97522129453796</v>
      </c>
      <c r="K68" s="5">
        <f t="shared" si="2"/>
        <v>118610.13</v>
      </c>
      <c r="L68" s="4">
        <f t="shared" si="3"/>
        <v>0</v>
      </c>
      <c r="M68" s="2" cm="1">
        <f t="array" ref="M68">SUMPRODUCT(--($L$6:$L$300&lt;&gt;1),--($C$6:$C$300=$C68),$H$6:$H$300)/SUMPRODUCT(--($L$6:$L$300&lt;&gt;1),--($C$6:$C$300=$C68),$E$6:$E$300)</f>
        <v>704.90257521333319</v>
      </c>
      <c r="N68" s="1" cm="1">
        <f t="array" ref="N68">SUMPRODUCT(--($L$6:$L$300&lt;&gt;1),--($C$6:$C$300=$C68))</f>
        <v>47</v>
      </c>
      <c r="O68" s="3">
        <f t="shared" si="6"/>
        <v>50592.314540910971</v>
      </c>
      <c r="P68" s="2" cm="1">
        <f t="array" ref="P68">SQRT(SUMPRODUCT(--($L$6:$L$300&lt;&gt;1),--($C$6:$C$300=$C68),$E$6:$E$300,$O$6:$O$300)/((N68-1)*SUMPRODUCT(--($L$6:$L$300&lt;&gt;1),--($C$6:$C$300=$C68),$E$6:$E$300)/N68))</f>
        <v>456.23837953953682</v>
      </c>
      <c r="Q68" s="2">
        <f t="shared" si="4"/>
        <v>120.20956565290805</v>
      </c>
      <c r="R68" s="2">
        <f t="shared" si="4"/>
        <v>1289.5955847737582</v>
      </c>
      <c r="S68" s="2">
        <f t="shared" si="7"/>
        <v>479.97522129453796</v>
      </c>
    </row>
    <row r="69" spans="2:19" x14ac:dyDescent="0.3">
      <c r="B69" s="9">
        <v>622</v>
      </c>
      <c r="C69" s="9">
        <v>6</v>
      </c>
      <c r="D69" s="8" t="s">
        <v>111</v>
      </c>
      <c r="E69" s="125">
        <f>INDEX('Revised 2018 Lockdown'!H$5:H$253,MATCH(B69,'Revised 2018 Lockdown'!B$5:B$253,0))</f>
        <v>117.760306518181</v>
      </c>
      <c r="F69" s="7">
        <f>INDEX('Revised 2018 Lockdown'!E$5:E$253,MATCH(B69,'Revised 2018 Lockdown'!B$5:B$253,0))</f>
        <v>80933.14</v>
      </c>
      <c r="G69" s="7">
        <f>INDEX('Revised 2018 Lockdown'!F$5:F$253,MATCH(B69,'Revised 2018 Lockdown'!B$5:B$253,0))</f>
        <v>715</v>
      </c>
      <c r="H69" s="7">
        <f t="shared" si="0"/>
        <v>80218.14</v>
      </c>
      <c r="I69" s="6">
        <f t="shared" si="1"/>
        <v>681.1984646763392</v>
      </c>
      <c r="J69" s="6">
        <f t="shared" si="5"/>
        <v>681.1984646763392</v>
      </c>
      <c r="K69" s="5">
        <f t="shared" si="2"/>
        <v>80218.14</v>
      </c>
      <c r="L69" s="4">
        <f t="shared" si="3"/>
        <v>0</v>
      </c>
      <c r="M69" s="2" cm="1">
        <f t="array" ref="M69">SUMPRODUCT(--($L$6:$L$300&lt;&gt;1),--($C$6:$C$300=$C69),$H$6:$H$300)/SUMPRODUCT(--($L$6:$L$300&lt;&gt;1),--($C$6:$C$300=$C69),$E$6:$E$300)</f>
        <v>704.90257521333319</v>
      </c>
      <c r="N69" s="1" cm="1">
        <f t="array" ref="N69">SUMPRODUCT(--($L$6:$L$300&lt;&gt;1),--($C$6:$C$300=$C69))</f>
        <v>47</v>
      </c>
      <c r="O69" s="3">
        <f t="shared" si="6"/>
        <v>561.88485635002974</v>
      </c>
      <c r="P69" s="2" cm="1">
        <f t="array" ref="P69">SQRT(SUMPRODUCT(--($L$6:$L$300&lt;&gt;1),--($C$6:$C$300=$C69),$E$6:$E$300,$O$6:$O$300)/((N69-1)*SUMPRODUCT(--($L$6:$L$300&lt;&gt;1),--($C$6:$C$300=$C69),$E$6:$E$300)/N69))</f>
        <v>456.23837953953682</v>
      </c>
      <c r="Q69" s="2">
        <f t="shared" si="4"/>
        <v>120.20956565290805</v>
      </c>
      <c r="R69" s="2">
        <f t="shared" si="4"/>
        <v>1289.5955847737582</v>
      </c>
      <c r="S69" s="2">
        <f t="shared" si="7"/>
        <v>681.1984646763392</v>
      </c>
    </row>
    <row r="70" spans="2:19" x14ac:dyDescent="0.3">
      <c r="B70" s="9">
        <v>623</v>
      </c>
      <c r="C70" s="9">
        <v>6</v>
      </c>
      <c r="D70" s="8" t="s">
        <v>112</v>
      </c>
      <c r="E70" s="125">
        <f>INDEX('Revised 2018 Lockdown'!H$5:H$253,MATCH(B70,'Revised 2018 Lockdown'!B$5:B$253,0))</f>
        <v>238.88416264439334</v>
      </c>
      <c r="F70" s="7">
        <f>INDEX('Revised 2018 Lockdown'!E$5:E$253,MATCH(B70,'Revised 2018 Lockdown'!B$5:B$253,0))</f>
        <v>85871.33</v>
      </c>
      <c r="G70" s="7">
        <f>INDEX('Revised 2018 Lockdown'!F$5:F$253,MATCH(B70,'Revised 2018 Lockdown'!B$5:B$253,0))</f>
        <v>0</v>
      </c>
      <c r="H70" s="7">
        <f t="shared" ref="H70:H133" si="8">F70-G70</f>
        <v>85871.33</v>
      </c>
      <c r="I70" s="6">
        <f t="shared" ref="I70:I133" si="9">H70/E70</f>
        <v>359.46849322041243</v>
      </c>
      <c r="J70" s="6">
        <f t="shared" si="5"/>
        <v>359.46849322041243</v>
      </c>
      <c r="K70" s="5">
        <f t="shared" ref="K70:K133" si="10">J70*E70</f>
        <v>85871.33</v>
      </c>
      <c r="L70" s="4">
        <f t="shared" ref="L70:L133" si="11">IF(ISERROR(I70),1,0)</f>
        <v>0</v>
      </c>
      <c r="M70" s="2" cm="1">
        <f t="array" ref="M70">SUMPRODUCT(--($L$6:$L$300&lt;&gt;1),--($C$6:$C$300=$C70),$H$6:$H$300)/SUMPRODUCT(--($L$6:$L$300&lt;&gt;1),--($C$6:$C$300=$C70),$E$6:$E$300)</f>
        <v>704.90257521333319</v>
      </c>
      <c r="N70" s="1" cm="1">
        <f t="array" ref="N70">SUMPRODUCT(--($L$6:$L$300&lt;&gt;1),--($C$6:$C$300=$C70))</f>
        <v>47</v>
      </c>
      <c r="O70" s="3">
        <f t="shared" si="6"/>
        <v>119324.70500229191</v>
      </c>
      <c r="P70" s="2" cm="1">
        <f t="array" ref="P70">SQRT(SUMPRODUCT(--($L$6:$L$300&lt;&gt;1),--($C$6:$C$300=$C70),$E$6:$E$300,$O$6:$O$300)/((N70-1)*SUMPRODUCT(--($L$6:$L$300&lt;&gt;1),--($C$6:$C$300=$C70),$E$6:$E$300)/N70))</f>
        <v>456.23837953953682</v>
      </c>
      <c r="Q70" s="2">
        <f t="shared" si="4"/>
        <v>120.20956565290805</v>
      </c>
      <c r="R70" s="2">
        <f t="shared" si="4"/>
        <v>1289.5955847737582</v>
      </c>
      <c r="S70" s="2">
        <f t="shared" si="7"/>
        <v>359.46849322041243</v>
      </c>
    </row>
    <row r="71" spans="2:19" x14ac:dyDescent="0.3">
      <c r="B71" s="9">
        <v>626</v>
      </c>
      <c r="C71" s="9">
        <v>6</v>
      </c>
      <c r="D71" s="8" t="s">
        <v>113</v>
      </c>
      <c r="E71" s="125">
        <f>INDEX('Revised 2018 Lockdown'!H$5:H$253,MATCH(B71,'Revised 2018 Lockdown'!B$5:B$253,0))</f>
        <v>22.4447050251744</v>
      </c>
      <c r="F71" s="7">
        <f>INDEX('Revised 2018 Lockdown'!E$5:E$253,MATCH(B71,'Revised 2018 Lockdown'!B$5:B$253,0))</f>
        <v>17594.09</v>
      </c>
      <c r="G71" s="7">
        <f>INDEX('Revised 2018 Lockdown'!F$5:F$253,MATCH(B71,'Revised 2018 Lockdown'!B$5:B$253,0))</f>
        <v>0</v>
      </c>
      <c r="H71" s="7">
        <f t="shared" si="8"/>
        <v>17594.09</v>
      </c>
      <c r="I71" s="6">
        <f t="shared" si="9"/>
        <v>783.88599806796924</v>
      </c>
      <c r="J71" s="6">
        <f t="shared" ref="J71:J134" si="12">IF(ISERROR(IF($J$2=1,MAX(MIN(I71,R71),Q71),MIN(I71,R71))),R71,IF($J$2=1,MAX(MIN(I71,R71),Q71),MIN(I71,R71)))</f>
        <v>783.88599806796924</v>
      </c>
      <c r="K71" s="5">
        <f t="shared" si="10"/>
        <v>17594.09</v>
      </c>
      <c r="L71" s="4">
        <f t="shared" si="11"/>
        <v>0</v>
      </c>
      <c r="M71" s="2" cm="1">
        <f t="array" ref="M71">SUMPRODUCT(--($L$6:$L$300&lt;&gt;1),--($C$6:$C$300=$C71),$H$6:$H$300)/SUMPRODUCT(--($L$6:$L$300&lt;&gt;1),--($C$6:$C$300=$C71),$E$6:$E$300)</f>
        <v>704.90257521333319</v>
      </c>
      <c r="N71" s="1" cm="1">
        <f t="array" ref="N71">SUMPRODUCT(--($L$6:$L$300&lt;&gt;1),--($C$6:$C$300=$C71))</f>
        <v>47</v>
      </c>
      <c r="O71" s="3">
        <f t="shared" ref="O71:O134" si="13">IF(ISERROR((I71-M71)^2),0,(I71-M71)^2)</f>
        <v>6238.381085834244</v>
      </c>
      <c r="P71" s="2" cm="1">
        <f t="array" ref="P71">SQRT(SUMPRODUCT(--($L$6:$L$300&lt;&gt;1),--($C$6:$C$300=$C71),$E$6:$E$300,$O$6:$O$300)/((N71-1)*SUMPRODUCT(--($L$6:$L$300&lt;&gt;1),--($C$6:$C$300=$C71),$E$6:$E$300)/N71))</f>
        <v>456.23837953953682</v>
      </c>
      <c r="Q71" s="2">
        <f t="shared" si="4"/>
        <v>120.20956565290805</v>
      </c>
      <c r="R71" s="2">
        <f t="shared" si="4"/>
        <v>1289.5955847737582</v>
      </c>
      <c r="S71" s="2">
        <f t="shared" ref="S71:S134" si="14">IF(ISERROR(MAX(MIN(I71,R71),Q71)),R71,MAX(MIN(I71,R71),Q71))</f>
        <v>783.88599806796924</v>
      </c>
    </row>
    <row r="72" spans="2:19" x14ac:dyDescent="0.3">
      <c r="B72" s="9">
        <v>627</v>
      </c>
      <c r="C72" s="9">
        <v>6</v>
      </c>
      <c r="D72" s="8" t="s">
        <v>114</v>
      </c>
      <c r="E72" s="125">
        <f>INDEX('Revised 2018 Lockdown'!H$5:H$253,MATCH(B72,'Revised 2018 Lockdown'!B$5:B$253,0))</f>
        <v>172.5870668850192</v>
      </c>
      <c r="F72" s="7">
        <f>INDEX('Revised 2018 Lockdown'!E$5:E$253,MATCH(B72,'Revised 2018 Lockdown'!B$5:B$253,0))</f>
        <v>78681.460000000006</v>
      </c>
      <c r="G72" s="7">
        <f>INDEX('Revised 2018 Lockdown'!F$5:F$253,MATCH(B72,'Revised 2018 Lockdown'!B$5:B$253,0))</f>
        <v>0</v>
      </c>
      <c r="H72" s="7">
        <f t="shared" si="8"/>
        <v>78681.460000000006</v>
      </c>
      <c r="I72" s="6">
        <f t="shared" si="9"/>
        <v>455.89429972999716</v>
      </c>
      <c r="J72" s="6">
        <f t="shared" si="12"/>
        <v>455.89429972999716</v>
      </c>
      <c r="K72" s="5">
        <f t="shared" si="10"/>
        <v>78681.460000000006</v>
      </c>
      <c r="L72" s="4">
        <f t="shared" si="11"/>
        <v>0</v>
      </c>
      <c r="M72" s="2" cm="1">
        <f t="array" ref="M72">SUMPRODUCT(--($L$6:$L$300&lt;&gt;1),--($C$6:$C$300=$C72),$H$6:$H$300)/SUMPRODUCT(--($L$6:$L$300&lt;&gt;1),--($C$6:$C$300=$C72),$E$6:$E$300)</f>
        <v>704.90257521333319</v>
      </c>
      <c r="N72" s="1" cm="1">
        <f t="array" ref="N72">SUMPRODUCT(--($L$6:$L$300&lt;&gt;1),--($C$6:$C$300=$C72))</f>
        <v>47</v>
      </c>
      <c r="O72" s="3">
        <f t="shared" si="13"/>
        <v>62005.121259184969</v>
      </c>
      <c r="P72" s="2" cm="1">
        <f t="array" ref="P72">SQRT(SUMPRODUCT(--($L$6:$L$300&lt;&gt;1),--($C$6:$C$300=$C72),$E$6:$E$300,$O$6:$O$300)/((N72-1)*SUMPRODUCT(--($L$6:$L$300&lt;&gt;1),--($C$6:$C$300=$C72),$E$6:$E$300)/N72))</f>
        <v>456.23837953953682</v>
      </c>
      <c r="Q72" s="2">
        <f t="shared" si="4"/>
        <v>120.20956565290805</v>
      </c>
      <c r="R72" s="2">
        <f t="shared" si="4"/>
        <v>1289.5955847737582</v>
      </c>
      <c r="S72" s="2">
        <f t="shared" si="14"/>
        <v>455.89429972999716</v>
      </c>
    </row>
    <row r="73" spans="2:19" x14ac:dyDescent="0.3">
      <c r="B73" s="9">
        <v>634</v>
      </c>
      <c r="C73" s="9">
        <v>6</v>
      </c>
      <c r="D73" s="8" t="s">
        <v>115</v>
      </c>
      <c r="E73" s="125">
        <f>INDEX('Revised 2018 Lockdown'!H$5:H$253,MATCH(B73,'Revised 2018 Lockdown'!B$5:B$253,0))</f>
        <v>648.63374679368712</v>
      </c>
      <c r="F73" s="7">
        <f>INDEX('Revised 2018 Lockdown'!E$5:E$253,MATCH(B73,'Revised 2018 Lockdown'!B$5:B$253,0))</f>
        <v>582665.36</v>
      </c>
      <c r="G73" s="7">
        <f>INDEX('Revised 2018 Lockdown'!F$5:F$253,MATCH(B73,'Revised 2018 Lockdown'!B$5:B$253,0))</f>
        <v>0</v>
      </c>
      <c r="H73" s="7">
        <f t="shared" si="8"/>
        <v>582665.36</v>
      </c>
      <c r="I73" s="6">
        <f t="shared" si="9"/>
        <v>898.29640051912088</v>
      </c>
      <c r="J73" s="6">
        <f t="shared" si="12"/>
        <v>898.29640051912088</v>
      </c>
      <c r="K73" s="5">
        <f t="shared" si="10"/>
        <v>582665.36</v>
      </c>
      <c r="L73" s="4">
        <f t="shared" si="11"/>
        <v>0</v>
      </c>
      <c r="M73" s="2" cm="1">
        <f t="array" ref="M73">SUMPRODUCT(--($L$6:$L$300&lt;&gt;1),--($C$6:$C$300=$C73),$H$6:$H$300)/SUMPRODUCT(--($L$6:$L$300&lt;&gt;1),--($C$6:$C$300=$C73),$E$6:$E$300)</f>
        <v>704.90257521333319</v>
      </c>
      <c r="N73" s="1" cm="1">
        <f t="array" ref="N73">SUMPRODUCT(--($L$6:$L$300&lt;&gt;1),--($C$6:$C$300=$C73))</f>
        <v>47</v>
      </c>
      <c r="O73" s="3">
        <f t="shared" si="13"/>
        <v>37401.171666405528</v>
      </c>
      <c r="P73" s="2" cm="1">
        <f t="array" ref="P73">SQRT(SUMPRODUCT(--($L$6:$L$300&lt;&gt;1),--($C$6:$C$300=$C73),$E$6:$E$300,$O$6:$O$300)/((N73-1)*SUMPRODUCT(--($L$6:$L$300&lt;&gt;1),--($C$6:$C$300=$C73),$E$6:$E$300)/N73))</f>
        <v>456.23837953953682</v>
      </c>
      <c r="Q73" s="2">
        <f t="shared" si="4"/>
        <v>120.20956565290805</v>
      </c>
      <c r="R73" s="2">
        <f t="shared" si="4"/>
        <v>1289.5955847737582</v>
      </c>
      <c r="S73" s="2">
        <f t="shared" si="14"/>
        <v>898.29640051912088</v>
      </c>
    </row>
    <row r="74" spans="2:19" x14ac:dyDescent="0.3">
      <c r="B74" s="9">
        <v>636</v>
      </c>
      <c r="C74" s="9">
        <v>6</v>
      </c>
      <c r="D74" s="8" t="s">
        <v>294</v>
      </c>
      <c r="E74" s="125">
        <f>INDEX('Revised 2018 Lockdown'!H$5:H$253,MATCH(B74,'Revised 2018 Lockdown'!B$5:B$253,0))</f>
        <v>72.113421489079812</v>
      </c>
      <c r="F74" s="7">
        <f>INDEX('Revised 2018 Lockdown'!E$5:E$253,MATCH(B74,'Revised 2018 Lockdown'!B$5:B$253,0))</f>
        <v>74827.44</v>
      </c>
      <c r="G74" s="7">
        <f>INDEX('Revised 2018 Lockdown'!F$5:F$253,MATCH(B74,'Revised 2018 Lockdown'!B$5:B$253,0))</f>
        <v>76212</v>
      </c>
      <c r="H74" s="7">
        <f t="shared" si="8"/>
        <v>-1384.5599999999977</v>
      </c>
      <c r="I74" s="6">
        <f t="shared" si="9"/>
        <v>-19.199754656068603</v>
      </c>
      <c r="J74" s="6">
        <f t="shared" si="12"/>
        <v>-19.199754656068603</v>
      </c>
      <c r="K74" s="5">
        <f t="shared" si="10"/>
        <v>-1384.5599999999977</v>
      </c>
      <c r="L74" s="146">
        <v>1</v>
      </c>
      <c r="M74" s="2" cm="1">
        <f t="array" ref="M74">SUMPRODUCT(--($L$6:$L$300&lt;&gt;1),--($C$6:$C$300=$C74),$H$6:$H$300)/SUMPRODUCT(--($L$6:$L$300&lt;&gt;1),--($C$6:$C$300=$C74),$E$6:$E$300)</f>
        <v>704.90257521333319</v>
      </c>
      <c r="N74" s="1" cm="1">
        <f t="array" ref="N74">SUMPRODUCT(--($L$6:$L$300&lt;&gt;1),--($C$6:$C$300=$C74))</f>
        <v>47</v>
      </c>
      <c r="O74" s="3">
        <f t="shared" si="13"/>
        <v>524324.18412229605</v>
      </c>
      <c r="P74" s="2" cm="1">
        <f t="array" ref="P74">SQRT(SUMPRODUCT(--($L$6:$L$300&lt;&gt;1),--($C$6:$C$300=$C74),$E$6:$E$300,$O$6:$O$300)/((N74-1)*SUMPRODUCT(--($L$6:$L$300&lt;&gt;1),--($C$6:$C$300=$C74),$E$6:$E$300)/N74))</f>
        <v>456.23837953953682</v>
      </c>
      <c r="Q74" s="2">
        <f t="shared" si="4"/>
        <v>120.20956565290805</v>
      </c>
      <c r="R74" s="2">
        <f t="shared" si="4"/>
        <v>1289.5955847737582</v>
      </c>
      <c r="S74" s="2">
        <f t="shared" si="14"/>
        <v>120.20956565290805</v>
      </c>
    </row>
    <row r="75" spans="2:19" x14ac:dyDescent="0.3">
      <c r="B75" s="9">
        <v>694</v>
      </c>
      <c r="C75" s="9">
        <v>6</v>
      </c>
      <c r="D75" s="8" t="s">
        <v>116</v>
      </c>
      <c r="E75" s="125">
        <f>INDEX('Revised 2018 Lockdown'!H$5:H$253,MATCH(B75,'Revised 2018 Lockdown'!B$5:B$253,0))</f>
        <v>10.25564638073009</v>
      </c>
      <c r="F75" s="7">
        <f>INDEX('Revised 2018 Lockdown'!E$5:E$253,MATCH(B75,'Revised 2018 Lockdown'!B$5:B$253,0))</f>
        <v>60191.32</v>
      </c>
      <c r="G75" s="7">
        <f>INDEX('Revised 2018 Lockdown'!F$5:F$253,MATCH(B75,'Revised 2018 Lockdown'!B$5:B$253,0))</f>
        <v>0</v>
      </c>
      <c r="H75" s="7">
        <f t="shared" si="8"/>
        <v>60191.32</v>
      </c>
      <c r="I75" s="6">
        <f t="shared" si="9"/>
        <v>5869.0908174346623</v>
      </c>
      <c r="J75" s="6">
        <f t="shared" si="12"/>
        <v>1289.5955847737582</v>
      </c>
      <c r="K75" s="5">
        <f t="shared" si="10"/>
        <v>13225.636291590497</v>
      </c>
      <c r="L75" s="4">
        <f t="shared" si="11"/>
        <v>0</v>
      </c>
      <c r="M75" s="2" cm="1">
        <f t="array" ref="M75">SUMPRODUCT(--($L$6:$L$300&lt;&gt;1),--($C$6:$C$300=$C75),$H$6:$H$300)/SUMPRODUCT(--($L$6:$L$300&lt;&gt;1),--($C$6:$C$300=$C75),$E$6:$E$300)</f>
        <v>704.90257521333319</v>
      </c>
      <c r="N75" s="1" cm="1">
        <f t="array" ref="N75">SUMPRODUCT(--($L$6:$L$300&lt;&gt;1),--($C$6:$C$300=$C75))</f>
        <v>47</v>
      </c>
      <c r="O75" s="3">
        <f t="shared" si="13"/>
        <v>26668840.201097023</v>
      </c>
      <c r="P75" s="2" cm="1">
        <f t="array" ref="P75">SQRT(SUMPRODUCT(--($L$6:$L$300&lt;&gt;1),--($C$6:$C$300=$C75),$E$6:$E$300,$O$6:$O$300)/((N75-1)*SUMPRODUCT(--($L$6:$L$300&lt;&gt;1),--($C$6:$C$300=$C75),$E$6:$E$300)/N75))</f>
        <v>456.23837953953682</v>
      </c>
      <c r="Q75" s="2">
        <f t="shared" si="4"/>
        <v>120.20956565290805</v>
      </c>
      <c r="R75" s="2">
        <f t="shared" si="4"/>
        <v>1289.5955847737582</v>
      </c>
      <c r="S75" s="2">
        <f t="shared" si="14"/>
        <v>1289.5955847737582</v>
      </c>
    </row>
    <row r="76" spans="2:19" x14ac:dyDescent="0.3">
      <c r="B76" s="9">
        <v>706</v>
      </c>
      <c r="C76" s="9">
        <v>6</v>
      </c>
      <c r="D76" s="8" t="s">
        <v>221</v>
      </c>
      <c r="E76" s="125">
        <f>INDEX('Revised 2018 Lockdown'!H$5:H$253,MATCH(B76,'Revised 2018 Lockdown'!B$5:B$253,0))</f>
        <v>61.701349959338025</v>
      </c>
      <c r="F76" s="7">
        <f>INDEX('Revised 2018 Lockdown'!E$5:E$253,MATCH(B76,'Revised 2018 Lockdown'!B$5:B$253,0))</f>
        <v>61219.35</v>
      </c>
      <c r="G76" s="7">
        <f>INDEX('Revised 2018 Lockdown'!F$5:F$253,MATCH(B76,'Revised 2018 Lockdown'!B$5:B$253,0))</f>
        <v>0</v>
      </c>
      <c r="H76" s="7">
        <f t="shared" si="8"/>
        <v>61219.35</v>
      </c>
      <c r="I76" s="6">
        <f t="shared" si="9"/>
        <v>992.18817806003153</v>
      </c>
      <c r="J76" s="6">
        <f t="shared" si="12"/>
        <v>992.18817806003153</v>
      </c>
      <c r="K76" s="5">
        <f t="shared" si="10"/>
        <v>61219.35</v>
      </c>
      <c r="L76" s="4">
        <f t="shared" si="11"/>
        <v>0</v>
      </c>
      <c r="M76" s="2" cm="1">
        <f t="array" ref="M76">SUMPRODUCT(--($L$6:$L$300&lt;&gt;1),--($C$6:$C$300=$C76),$H$6:$H$300)/SUMPRODUCT(--($L$6:$L$300&lt;&gt;1),--($C$6:$C$300=$C76),$E$6:$E$300)</f>
        <v>704.90257521333319</v>
      </c>
      <c r="N76" s="1" cm="1">
        <f t="array" ref="N76">SUMPRODUCT(--($L$6:$L$300&lt;&gt;1),--($C$6:$C$300=$C76))</f>
        <v>47</v>
      </c>
      <c r="O76" s="3">
        <f t="shared" si="13"/>
        <v>82533.017602990891</v>
      </c>
      <c r="P76" s="2" cm="1">
        <f t="array" ref="P76">SQRT(SUMPRODUCT(--($L$6:$L$300&lt;&gt;1),--($C$6:$C$300=$C76),$E$6:$E$300,$O$6:$O$300)/((N76-1)*SUMPRODUCT(--($L$6:$L$300&lt;&gt;1),--($C$6:$C$300=$C76),$E$6:$E$300)/N76))</f>
        <v>456.23837953953682</v>
      </c>
      <c r="Q76" s="2">
        <f t="shared" si="4"/>
        <v>120.20956565290805</v>
      </c>
      <c r="R76" s="2">
        <f t="shared" si="4"/>
        <v>1289.5955847737582</v>
      </c>
      <c r="S76" s="2">
        <f t="shared" si="14"/>
        <v>992.18817806003153</v>
      </c>
    </row>
    <row r="77" spans="2:19" x14ac:dyDescent="0.3">
      <c r="B77" s="9">
        <v>710</v>
      </c>
      <c r="C77" s="9">
        <v>6</v>
      </c>
      <c r="D77" s="8" t="s">
        <v>117</v>
      </c>
      <c r="E77" s="125">
        <f>INDEX('Revised 2018 Lockdown'!H$5:H$253,MATCH(B77,'Revised 2018 Lockdown'!B$5:B$253,0))</f>
        <v>73.989999999999995</v>
      </c>
      <c r="F77" s="7">
        <f>INDEX('Revised 2018 Lockdown'!E$5:E$253,MATCH(B77,'Revised 2018 Lockdown'!B$5:B$253,0))</f>
        <v>49597.59</v>
      </c>
      <c r="G77" s="7">
        <f>INDEX('Revised 2018 Lockdown'!F$5:F$253,MATCH(B77,'Revised 2018 Lockdown'!B$5:B$253,0))</f>
        <v>0</v>
      </c>
      <c r="H77" s="7">
        <f t="shared" si="8"/>
        <v>49597.59</v>
      </c>
      <c r="I77" s="6">
        <f t="shared" si="9"/>
        <v>670.32828760643326</v>
      </c>
      <c r="J77" s="6">
        <f t="shared" si="12"/>
        <v>670.32828760643326</v>
      </c>
      <c r="K77" s="5">
        <f t="shared" si="10"/>
        <v>49597.59</v>
      </c>
      <c r="L77" s="4">
        <f t="shared" si="11"/>
        <v>0</v>
      </c>
      <c r="M77" s="2" cm="1">
        <f t="array" ref="M77">SUMPRODUCT(--($L$6:$L$300&lt;&gt;1),--($C$6:$C$300=$C77),$H$6:$H$300)/SUMPRODUCT(--($L$6:$L$300&lt;&gt;1),--($C$6:$C$300=$C77),$E$6:$E$300)</f>
        <v>704.90257521333319</v>
      </c>
      <c r="N77" s="1" cm="1">
        <f t="array" ref="N77">SUMPRODUCT(--($L$6:$L$300&lt;&gt;1),--($C$6:$C$300=$C77))</f>
        <v>47</v>
      </c>
      <c r="O77" s="3">
        <f t="shared" si="13"/>
        <v>1195.381363524634</v>
      </c>
      <c r="P77" s="2" cm="1">
        <f t="array" ref="P77">SQRT(SUMPRODUCT(--($L$6:$L$300&lt;&gt;1),--($C$6:$C$300=$C77),$E$6:$E$300,$O$6:$O$300)/((N77-1)*SUMPRODUCT(--($L$6:$L$300&lt;&gt;1),--($C$6:$C$300=$C77),$E$6:$E$300)/N77))</f>
        <v>456.23837953953682</v>
      </c>
      <c r="Q77" s="2">
        <f t="shared" si="4"/>
        <v>120.20956565290805</v>
      </c>
      <c r="R77" s="2">
        <f t="shared" si="4"/>
        <v>1289.5955847737582</v>
      </c>
      <c r="S77" s="2">
        <f t="shared" si="14"/>
        <v>670.32828760643326</v>
      </c>
    </row>
    <row r="78" spans="2:19" x14ac:dyDescent="0.3">
      <c r="B78" s="9">
        <v>743</v>
      </c>
      <c r="C78" s="9">
        <v>6</v>
      </c>
      <c r="D78" s="8" t="s">
        <v>118</v>
      </c>
      <c r="E78" s="125">
        <f>INDEX('Revised 2018 Lockdown'!H$5:H$253,MATCH(B78,'Revised 2018 Lockdown'!B$5:B$253,0))</f>
        <v>82.770881637323171</v>
      </c>
      <c r="F78" s="7">
        <f>INDEX('Revised 2018 Lockdown'!E$5:E$253,MATCH(B78,'Revised 2018 Lockdown'!B$5:B$253,0))</f>
        <v>136207.07999999999</v>
      </c>
      <c r="G78" s="7">
        <f>INDEX('Revised 2018 Lockdown'!F$5:F$253,MATCH(B78,'Revised 2018 Lockdown'!B$5:B$253,0))</f>
        <v>0</v>
      </c>
      <c r="H78" s="7">
        <f t="shared" si="8"/>
        <v>136207.07999999999</v>
      </c>
      <c r="I78" s="6">
        <f t="shared" si="9"/>
        <v>1645.5917504517831</v>
      </c>
      <c r="J78" s="6">
        <f t="shared" si="12"/>
        <v>1289.5955847737582</v>
      </c>
      <c r="K78" s="5">
        <f t="shared" si="10"/>
        <v>106740.96350732331</v>
      </c>
      <c r="L78" s="4">
        <f t="shared" si="11"/>
        <v>0</v>
      </c>
      <c r="M78" s="2" cm="1">
        <f t="array" ref="M78">SUMPRODUCT(--($L$6:$L$300&lt;&gt;1),--($C$6:$C$300=$C78),$H$6:$H$300)/SUMPRODUCT(--($L$6:$L$300&lt;&gt;1),--($C$6:$C$300=$C78),$E$6:$E$300)</f>
        <v>704.90257521333319</v>
      </c>
      <c r="N78" s="1" cm="1">
        <f t="array" ref="N78">SUMPRODUCT(--($L$6:$L$300&lt;&gt;1),--($C$6:$C$300=$C78))</f>
        <v>47</v>
      </c>
      <c r="O78" s="3">
        <f t="shared" si="13"/>
        <v>884896.12441079516</v>
      </c>
      <c r="P78" s="2" cm="1">
        <f t="array" ref="P78">SQRT(SUMPRODUCT(--($L$6:$L$300&lt;&gt;1),--($C$6:$C$300=$C78),$E$6:$E$300,$O$6:$O$300)/((N78-1)*SUMPRODUCT(--($L$6:$L$300&lt;&gt;1),--($C$6:$C$300=$C78),$E$6:$E$300)/N78))</f>
        <v>456.23837953953682</v>
      </c>
      <c r="Q78" s="2">
        <f t="shared" si="4"/>
        <v>120.20956565290805</v>
      </c>
      <c r="R78" s="2">
        <f t="shared" si="4"/>
        <v>1289.5955847737582</v>
      </c>
      <c r="S78" s="2">
        <f t="shared" si="14"/>
        <v>1289.5955847737582</v>
      </c>
    </row>
    <row r="79" spans="2:19" x14ac:dyDescent="0.3">
      <c r="B79" s="9">
        <v>747</v>
      </c>
      <c r="C79" s="9">
        <v>6</v>
      </c>
      <c r="D79" s="8" t="s">
        <v>119</v>
      </c>
      <c r="E79" s="125">
        <f>INDEX('Revised 2018 Lockdown'!H$5:H$253,MATCH(B79,'Revised 2018 Lockdown'!B$5:B$253,0))</f>
        <v>36.5</v>
      </c>
      <c r="F79" s="7">
        <f>INDEX('Revised 2018 Lockdown'!E$5:E$253,MATCH(B79,'Revised 2018 Lockdown'!B$5:B$253,0))</f>
        <v>58996.69</v>
      </c>
      <c r="G79" s="7">
        <f>INDEX('Revised 2018 Lockdown'!F$5:F$253,MATCH(B79,'Revised 2018 Lockdown'!B$5:B$253,0))</f>
        <v>0</v>
      </c>
      <c r="H79" s="7">
        <f t="shared" si="8"/>
        <v>58996.69</v>
      </c>
      <c r="I79" s="6">
        <f t="shared" si="9"/>
        <v>1616.3476712328768</v>
      </c>
      <c r="J79" s="6">
        <f t="shared" si="12"/>
        <v>1289.5955847737582</v>
      </c>
      <c r="K79" s="5">
        <f t="shared" si="10"/>
        <v>47070.238844242172</v>
      </c>
      <c r="L79" s="4">
        <f t="shared" si="11"/>
        <v>0</v>
      </c>
      <c r="M79" s="2" cm="1">
        <f t="array" ref="M79">SUMPRODUCT(--($L$6:$L$300&lt;&gt;1),--($C$6:$C$300=$C79),$H$6:$H$300)/SUMPRODUCT(--($L$6:$L$300&lt;&gt;1),--($C$6:$C$300=$C79),$E$6:$E$300)</f>
        <v>704.90257521333319</v>
      </c>
      <c r="N79" s="1" cm="1">
        <f t="array" ref="N79">SUMPRODUCT(--($L$6:$L$300&lt;&gt;1),--($C$6:$C$300=$C79))</f>
        <v>47</v>
      </c>
      <c r="O79" s="3">
        <f t="shared" si="13"/>
        <v>830732.16305807501</v>
      </c>
      <c r="P79" s="2" cm="1">
        <f t="array" ref="P79">SQRT(SUMPRODUCT(--($L$6:$L$300&lt;&gt;1),--($C$6:$C$300=$C79),$E$6:$E$300,$O$6:$O$300)/((N79-1)*SUMPRODUCT(--($L$6:$L$300&lt;&gt;1),--($C$6:$C$300=$C79),$E$6:$E$300)/N79))</f>
        <v>456.23837953953682</v>
      </c>
      <c r="Q79" s="2">
        <f t="shared" si="4"/>
        <v>120.20956565290805</v>
      </c>
      <c r="R79" s="2">
        <f t="shared" si="4"/>
        <v>1289.5955847737582</v>
      </c>
      <c r="S79" s="2">
        <f t="shared" si="14"/>
        <v>1289.5955847737582</v>
      </c>
    </row>
    <row r="80" spans="2:19" x14ac:dyDescent="0.3">
      <c r="B80" s="9">
        <v>758</v>
      </c>
      <c r="C80" s="9">
        <v>6</v>
      </c>
      <c r="D80" s="8" t="s">
        <v>120</v>
      </c>
      <c r="E80" s="125">
        <f>INDEX('Revised 2018 Lockdown'!H$5:H$253,MATCH(B80,'Revised 2018 Lockdown'!B$5:B$253,0))</f>
        <v>306.60873748050523</v>
      </c>
      <c r="F80" s="7">
        <f>INDEX('Revised 2018 Lockdown'!E$5:E$253,MATCH(B80,'Revised 2018 Lockdown'!B$5:B$253,0))</f>
        <v>319509.06</v>
      </c>
      <c r="G80" s="7">
        <f>INDEX('Revised 2018 Lockdown'!F$5:F$253,MATCH(B80,'Revised 2018 Lockdown'!B$5:B$253,0))</f>
        <v>785.37</v>
      </c>
      <c r="H80" s="7">
        <f t="shared" si="8"/>
        <v>318723.69</v>
      </c>
      <c r="I80" s="6">
        <f t="shared" si="9"/>
        <v>1039.5127438932332</v>
      </c>
      <c r="J80" s="6">
        <f t="shared" si="12"/>
        <v>1039.5127438932332</v>
      </c>
      <c r="K80" s="5">
        <f t="shared" si="10"/>
        <v>318723.69</v>
      </c>
      <c r="L80" s="4">
        <f t="shared" si="11"/>
        <v>0</v>
      </c>
      <c r="M80" s="2" cm="1">
        <f t="array" ref="M80">SUMPRODUCT(--($L$6:$L$300&lt;&gt;1),--($C$6:$C$300=$C80),$H$6:$H$300)/SUMPRODUCT(--($L$6:$L$300&lt;&gt;1),--($C$6:$C$300=$C80),$E$6:$E$300)</f>
        <v>704.90257521333319</v>
      </c>
      <c r="N80" s="1" cm="1">
        <f t="array" ref="N80">SUMPRODUCT(--($L$6:$L$300&lt;&gt;1),--($C$6:$C$300=$C80))</f>
        <v>47</v>
      </c>
      <c r="O80" s="3">
        <f t="shared" si="13"/>
        <v>111963.96498399111</v>
      </c>
      <c r="P80" s="2" cm="1">
        <f t="array" ref="P80">SQRT(SUMPRODUCT(--($L$6:$L$300&lt;&gt;1),--($C$6:$C$300=$C80),$E$6:$E$300,$O$6:$O$300)/((N80-1)*SUMPRODUCT(--($L$6:$L$300&lt;&gt;1),--($C$6:$C$300=$C80),$E$6:$E$300)/N80))</f>
        <v>456.23837953953682</v>
      </c>
      <c r="Q80" s="2">
        <f t="shared" si="4"/>
        <v>120.20956565290805</v>
      </c>
      <c r="R80" s="2">
        <f t="shared" si="4"/>
        <v>1289.5955847737582</v>
      </c>
      <c r="S80" s="2">
        <f t="shared" si="14"/>
        <v>1039.5127438932332</v>
      </c>
    </row>
    <row r="81" spans="2:19" x14ac:dyDescent="0.3">
      <c r="B81" s="9">
        <v>765</v>
      </c>
      <c r="C81" s="9">
        <v>6</v>
      </c>
      <c r="D81" s="8" t="s">
        <v>121</v>
      </c>
      <c r="E81" s="125">
        <f>INDEX('Revised 2018 Lockdown'!H$5:H$253,MATCH(B81,'Revised 2018 Lockdown'!B$5:B$253,0))</f>
        <v>69.141877232449346</v>
      </c>
      <c r="F81" s="7">
        <f>INDEX('Revised 2018 Lockdown'!E$5:E$253,MATCH(B81,'Revised 2018 Lockdown'!B$5:B$253,0))</f>
        <v>86969.12</v>
      </c>
      <c r="G81" s="7">
        <f>INDEX('Revised 2018 Lockdown'!F$5:F$253,MATCH(B81,'Revised 2018 Lockdown'!B$5:B$253,0))</f>
        <v>0</v>
      </c>
      <c r="H81" s="7">
        <f t="shared" si="8"/>
        <v>86969.12</v>
      </c>
      <c r="I81" s="6">
        <f t="shared" si="9"/>
        <v>1257.8356776113687</v>
      </c>
      <c r="J81" s="6">
        <f t="shared" si="12"/>
        <v>1257.8356776113687</v>
      </c>
      <c r="K81" s="5">
        <f t="shared" si="10"/>
        <v>86969.12</v>
      </c>
      <c r="L81" s="4">
        <f t="shared" si="11"/>
        <v>0</v>
      </c>
      <c r="M81" s="2" cm="1">
        <f t="array" ref="M81">SUMPRODUCT(--($L$6:$L$300&lt;&gt;1),--($C$6:$C$300=$C81),$H$6:$H$300)/SUMPRODUCT(--($L$6:$L$300&lt;&gt;1),--($C$6:$C$300=$C81),$E$6:$E$300)</f>
        <v>704.90257521333319</v>
      </c>
      <c r="N81" s="1" cm="1">
        <f t="array" ref="N81">SUMPRODUCT(--($L$6:$L$300&lt;&gt;1),--($C$6:$C$300=$C81))</f>
        <v>47</v>
      </c>
      <c r="O81" s="3">
        <f t="shared" si="13"/>
        <v>305735.01572751644</v>
      </c>
      <c r="P81" s="2" cm="1">
        <f t="array" ref="P81">SQRT(SUMPRODUCT(--($L$6:$L$300&lt;&gt;1),--($C$6:$C$300=$C81),$E$6:$E$300,$O$6:$O$300)/((N81-1)*SUMPRODUCT(--($L$6:$L$300&lt;&gt;1),--($C$6:$C$300=$C81),$E$6:$E$300)/N81))</f>
        <v>456.23837953953682</v>
      </c>
      <c r="Q81" s="2">
        <f t="shared" si="4"/>
        <v>120.20956565290805</v>
      </c>
      <c r="R81" s="2">
        <f t="shared" si="4"/>
        <v>1289.5955847737582</v>
      </c>
      <c r="S81" s="2">
        <f t="shared" si="14"/>
        <v>1257.8356776113687</v>
      </c>
    </row>
    <row r="82" spans="2:19" x14ac:dyDescent="0.3">
      <c r="B82" s="9">
        <v>770</v>
      </c>
      <c r="C82" s="9">
        <v>6</v>
      </c>
      <c r="D82" s="8" t="s">
        <v>122</v>
      </c>
      <c r="E82" s="125">
        <f>INDEX('Revised 2018 Lockdown'!H$5:H$253,MATCH(B82,'Revised 2018 Lockdown'!B$5:B$253,0))</f>
        <v>25.798612785118063</v>
      </c>
      <c r="F82" s="7">
        <f>INDEX('Revised 2018 Lockdown'!E$5:E$253,MATCH(B82,'Revised 2018 Lockdown'!B$5:B$253,0))</f>
        <v>24774.6</v>
      </c>
      <c r="G82" s="7">
        <f>INDEX('Revised 2018 Lockdown'!F$5:F$253,MATCH(B82,'Revised 2018 Lockdown'!B$5:B$253,0))</f>
        <v>0</v>
      </c>
      <c r="H82" s="7">
        <f t="shared" si="8"/>
        <v>24774.6</v>
      </c>
      <c r="I82" s="6">
        <f t="shared" si="9"/>
        <v>960.30744778227893</v>
      </c>
      <c r="J82" s="6">
        <f t="shared" si="12"/>
        <v>960.30744778227893</v>
      </c>
      <c r="K82" s="5">
        <f t="shared" si="10"/>
        <v>24774.6</v>
      </c>
      <c r="L82" s="4">
        <f t="shared" si="11"/>
        <v>0</v>
      </c>
      <c r="M82" s="2" cm="1">
        <f t="array" ref="M82">SUMPRODUCT(--($L$6:$L$300&lt;&gt;1),--($C$6:$C$300=$C82),$H$6:$H$300)/SUMPRODUCT(--($L$6:$L$300&lt;&gt;1),--($C$6:$C$300=$C82),$E$6:$E$300)</f>
        <v>704.90257521333319</v>
      </c>
      <c r="N82" s="1" cm="1">
        <f t="array" ref="N82">SUMPRODUCT(--($L$6:$L$300&lt;&gt;1),--($C$6:$C$300=$C82))</f>
        <v>47</v>
      </c>
      <c r="O82" s="3">
        <f t="shared" si="13"/>
        <v>65231.648931959411</v>
      </c>
      <c r="P82" s="2" cm="1">
        <f t="array" ref="P82">SQRT(SUMPRODUCT(--($L$6:$L$300&lt;&gt;1),--($C$6:$C$300=$C82),$E$6:$E$300,$O$6:$O$300)/((N82-1)*SUMPRODUCT(--($L$6:$L$300&lt;&gt;1),--($C$6:$C$300=$C82),$E$6:$E$300)/N82))</f>
        <v>456.23837953953682</v>
      </c>
      <c r="Q82" s="2">
        <f t="shared" si="4"/>
        <v>120.20956565290805</v>
      </c>
      <c r="R82" s="2">
        <f t="shared" si="4"/>
        <v>1289.5955847737582</v>
      </c>
      <c r="S82" s="2">
        <f t="shared" si="14"/>
        <v>960.30744778227893</v>
      </c>
    </row>
    <row r="83" spans="2:19" x14ac:dyDescent="0.3">
      <c r="B83" s="9">
        <v>774</v>
      </c>
      <c r="C83" s="9">
        <v>6</v>
      </c>
      <c r="D83" s="8" t="s">
        <v>123</v>
      </c>
      <c r="E83" s="125">
        <f>INDEX('Revised 2018 Lockdown'!H$5:H$253,MATCH(B83,'Revised 2018 Lockdown'!B$5:B$253,0))</f>
        <v>457.93871245216212</v>
      </c>
      <c r="F83" s="7">
        <f>INDEX('Revised 2018 Lockdown'!E$5:E$253,MATCH(B83,'Revised 2018 Lockdown'!B$5:B$253,0))</f>
        <v>290603.45</v>
      </c>
      <c r="G83" s="7">
        <f>INDEX('Revised 2018 Lockdown'!F$5:F$253,MATCH(B83,'Revised 2018 Lockdown'!B$5:B$253,0))</f>
        <v>0</v>
      </c>
      <c r="H83" s="7">
        <f t="shared" si="8"/>
        <v>290603.45</v>
      </c>
      <c r="I83" s="6">
        <f t="shared" si="9"/>
        <v>634.59026742657727</v>
      </c>
      <c r="J83" s="6">
        <f t="shared" si="12"/>
        <v>634.59026742657727</v>
      </c>
      <c r="K83" s="5">
        <f t="shared" si="10"/>
        <v>290603.45</v>
      </c>
      <c r="L83" s="4">
        <f t="shared" si="11"/>
        <v>0</v>
      </c>
      <c r="M83" s="2" cm="1">
        <f t="array" ref="M83">SUMPRODUCT(--($L$6:$L$300&lt;&gt;1),--($C$6:$C$300=$C83),$H$6:$H$300)/SUMPRODUCT(--($L$6:$L$300&lt;&gt;1),--($C$6:$C$300=$C83),$E$6:$E$300)</f>
        <v>704.90257521333319</v>
      </c>
      <c r="N83" s="1" cm="1">
        <f t="array" ref="N83">SUMPRODUCT(--($L$6:$L$300&lt;&gt;1),--($C$6:$C$300=$C83))</f>
        <v>47</v>
      </c>
      <c r="O83" s="3">
        <f t="shared" si="13"/>
        <v>4943.8206262994972</v>
      </c>
      <c r="P83" s="2" cm="1">
        <f t="array" ref="P83">SQRT(SUMPRODUCT(--($L$6:$L$300&lt;&gt;1),--($C$6:$C$300=$C83),$E$6:$E$300,$O$6:$O$300)/((N83-1)*SUMPRODUCT(--($L$6:$L$300&lt;&gt;1),--($C$6:$C$300=$C83),$E$6:$E$300)/N83))</f>
        <v>456.23837953953682</v>
      </c>
      <c r="Q83" s="2">
        <f t="shared" si="4"/>
        <v>120.20956565290805</v>
      </c>
      <c r="R83" s="2">
        <f t="shared" si="4"/>
        <v>1289.5955847737582</v>
      </c>
      <c r="S83" s="2">
        <f t="shared" si="14"/>
        <v>634.59026742657727</v>
      </c>
    </row>
    <row r="84" spans="2:19" x14ac:dyDescent="0.3">
      <c r="B84" s="9">
        <v>794</v>
      </c>
      <c r="C84" s="9">
        <v>6</v>
      </c>
      <c r="D84" s="8" t="s">
        <v>124</v>
      </c>
      <c r="E84" s="125">
        <f>INDEX('Revised 2018 Lockdown'!H$5:H$253,MATCH(B84,'Revised 2018 Lockdown'!B$5:B$253,0))</f>
        <v>19.568103617769562</v>
      </c>
      <c r="F84" s="7">
        <f>INDEX('Revised 2018 Lockdown'!E$5:E$253,MATCH(B84,'Revised 2018 Lockdown'!B$5:B$253,0))</f>
        <v>45369.11</v>
      </c>
      <c r="G84" s="7">
        <f>INDEX('Revised 2018 Lockdown'!F$5:F$253,MATCH(B84,'Revised 2018 Lockdown'!B$5:B$253,0))</f>
        <v>0</v>
      </c>
      <c r="H84" s="7">
        <f t="shared" si="8"/>
        <v>45369.11</v>
      </c>
      <c r="I84" s="6">
        <f t="shared" si="9"/>
        <v>2318.5235976980853</v>
      </c>
      <c r="J84" s="6">
        <f t="shared" si="12"/>
        <v>1289.5955847737582</v>
      </c>
      <c r="K84" s="5">
        <f t="shared" si="10"/>
        <v>25234.940027871031</v>
      </c>
      <c r="L84" s="4">
        <f t="shared" si="11"/>
        <v>0</v>
      </c>
      <c r="M84" s="2" cm="1">
        <f t="array" ref="M84">SUMPRODUCT(--($L$6:$L$300&lt;&gt;1),--($C$6:$C$300=$C84),$H$6:$H$300)/SUMPRODUCT(--($L$6:$L$300&lt;&gt;1),--($C$6:$C$300=$C84),$E$6:$E$300)</f>
        <v>704.90257521333319</v>
      </c>
      <c r="N84" s="1" cm="1">
        <f t="array" ref="N84">SUMPRODUCT(--($L$6:$L$300&lt;&gt;1),--($C$6:$C$300=$C84))</f>
        <v>47</v>
      </c>
      <c r="O84" s="3">
        <f t="shared" si="13"/>
        <v>2603772.8042047368</v>
      </c>
      <c r="P84" s="2" cm="1">
        <f t="array" ref="P84">SQRT(SUMPRODUCT(--($L$6:$L$300&lt;&gt;1),--($C$6:$C$300=$C84),$E$6:$E$300,$O$6:$O$300)/((N84-1)*SUMPRODUCT(--($L$6:$L$300&lt;&gt;1),--($C$6:$C$300=$C84),$E$6:$E$300)/N84))</f>
        <v>456.23837953953682</v>
      </c>
      <c r="Q84" s="2">
        <f t="shared" si="4"/>
        <v>120.20956565290805</v>
      </c>
      <c r="R84" s="2">
        <f t="shared" si="4"/>
        <v>1289.5955847737582</v>
      </c>
      <c r="S84" s="2">
        <f t="shared" si="14"/>
        <v>1289.5955847737582</v>
      </c>
    </row>
    <row r="85" spans="2:19" x14ac:dyDescent="0.3">
      <c r="B85" s="9">
        <v>806</v>
      </c>
      <c r="C85" s="9">
        <v>6</v>
      </c>
      <c r="D85" s="8" t="s">
        <v>125</v>
      </c>
      <c r="E85" s="125">
        <f>INDEX('Revised 2018 Lockdown'!H$5:H$253,MATCH(B85,'Revised 2018 Lockdown'!B$5:B$253,0))</f>
        <v>23.326411869078932</v>
      </c>
      <c r="F85" s="7">
        <f>INDEX('Revised 2018 Lockdown'!E$5:E$253,MATCH(B85,'Revised 2018 Lockdown'!B$5:B$253,0))</f>
        <v>37091.449999999997</v>
      </c>
      <c r="G85" s="7">
        <f>INDEX('Revised 2018 Lockdown'!F$5:F$253,MATCH(B85,'Revised 2018 Lockdown'!B$5:B$253,0))</f>
        <v>0</v>
      </c>
      <c r="H85" s="7">
        <f t="shared" si="8"/>
        <v>37091.449999999997</v>
      </c>
      <c r="I85" s="6">
        <f t="shared" si="9"/>
        <v>1590.1052509995225</v>
      </c>
      <c r="J85" s="6">
        <f t="shared" si="12"/>
        <v>1289.5955847737582</v>
      </c>
      <c r="K85" s="5">
        <f t="shared" si="10"/>
        <v>30081.637754978379</v>
      </c>
      <c r="L85" s="4">
        <f t="shared" si="11"/>
        <v>0</v>
      </c>
      <c r="M85" s="2" cm="1">
        <f t="array" ref="M85">SUMPRODUCT(--($L$6:$L$300&lt;&gt;1),--($C$6:$C$300=$C85),$H$6:$H$300)/SUMPRODUCT(--($L$6:$L$300&lt;&gt;1),--($C$6:$C$300=$C85),$E$6:$E$300)</f>
        <v>704.90257521333319</v>
      </c>
      <c r="N85" s="1" cm="1">
        <f t="array" ref="N85">SUMPRODUCT(--($L$6:$L$300&lt;&gt;1),--($C$6:$C$300=$C85))</f>
        <v>47</v>
      </c>
      <c r="O85" s="3">
        <f t="shared" si="13"/>
        <v>783583.77721902938</v>
      </c>
      <c r="P85" s="2" cm="1">
        <f t="array" ref="P85">SQRT(SUMPRODUCT(--($L$6:$L$300&lt;&gt;1),--($C$6:$C$300=$C85),$E$6:$E$300,$O$6:$O$300)/((N85-1)*SUMPRODUCT(--($L$6:$L$300&lt;&gt;1),--($C$6:$C$300=$C85),$E$6:$E$300)/N85))</f>
        <v>456.23837953953682</v>
      </c>
      <c r="Q85" s="2">
        <f t="shared" si="4"/>
        <v>120.20956565290805</v>
      </c>
      <c r="R85" s="2">
        <f t="shared" si="4"/>
        <v>1289.5955847737582</v>
      </c>
      <c r="S85" s="2">
        <f t="shared" si="14"/>
        <v>1289.5955847737582</v>
      </c>
    </row>
    <row r="86" spans="2:19" x14ac:dyDescent="0.3">
      <c r="B86" s="9">
        <v>809</v>
      </c>
      <c r="C86" s="9">
        <v>6</v>
      </c>
      <c r="D86" s="8" t="s">
        <v>299</v>
      </c>
      <c r="E86" s="125">
        <f>INDEX('Revised 2018 Lockdown'!H$5:H$253,MATCH(B86,'Revised 2018 Lockdown'!B$5:B$253,0))</f>
        <v>477.2783239455166</v>
      </c>
      <c r="F86" s="7">
        <f>INDEX('Revised 2018 Lockdown'!E$5:E$253,MATCH(B86,'Revised 2018 Lockdown'!B$5:B$253,0))</f>
        <v>497452.38</v>
      </c>
      <c r="G86" s="7">
        <f>INDEX('Revised 2018 Lockdown'!F$5:F$253,MATCH(B86,'Revised 2018 Lockdown'!B$5:B$253,0))</f>
        <v>0</v>
      </c>
      <c r="H86" s="7">
        <f t="shared" si="8"/>
        <v>497452.38</v>
      </c>
      <c r="I86" s="6">
        <f t="shared" si="9"/>
        <v>1042.2689551197518</v>
      </c>
      <c r="J86" s="6">
        <f t="shared" si="12"/>
        <v>1042.2689551197518</v>
      </c>
      <c r="K86" s="5">
        <f t="shared" si="10"/>
        <v>497452.38</v>
      </c>
      <c r="L86" s="4">
        <f t="shared" si="11"/>
        <v>0</v>
      </c>
      <c r="M86" s="2" cm="1">
        <f t="array" ref="M86">SUMPRODUCT(--($L$6:$L$300&lt;&gt;1),--($C$6:$C$300=$C86),$H$6:$H$300)/SUMPRODUCT(--($L$6:$L$300&lt;&gt;1),--($C$6:$C$300=$C86),$E$6:$E$300)</f>
        <v>704.90257521333319</v>
      </c>
      <c r="N86" s="1" cm="1">
        <f t="array" ref="N86">SUMPRODUCT(--($L$6:$L$300&lt;&gt;1),--($C$6:$C$300=$C86))</f>
        <v>47</v>
      </c>
      <c r="O86" s="3">
        <f t="shared" si="13"/>
        <v>113816.07429116197</v>
      </c>
      <c r="P86" s="2" cm="1">
        <f t="array" ref="P86">SQRT(SUMPRODUCT(--($L$6:$L$300&lt;&gt;1),--($C$6:$C$300=$C86),$E$6:$E$300,$O$6:$O$300)/((N86-1)*SUMPRODUCT(--($L$6:$L$300&lt;&gt;1),--($C$6:$C$300=$C86),$E$6:$E$300)/N86))</f>
        <v>456.23837953953682</v>
      </c>
      <c r="Q86" s="2">
        <f t="shared" si="4"/>
        <v>120.20956565290805</v>
      </c>
      <c r="R86" s="2">
        <f t="shared" si="4"/>
        <v>1289.5955847737582</v>
      </c>
      <c r="S86" s="2">
        <f t="shared" si="14"/>
        <v>1042.2689551197518</v>
      </c>
    </row>
    <row r="87" spans="2:19" x14ac:dyDescent="0.3">
      <c r="B87" s="9">
        <v>811</v>
      </c>
      <c r="C87" s="9">
        <v>6</v>
      </c>
      <c r="D87" s="8" t="s">
        <v>126</v>
      </c>
      <c r="E87" s="125">
        <f>INDEX('Revised 2018 Lockdown'!H$5:H$253,MATCH(B87,'Revised 2018 Lockdown'!B$5:B$253,0))</f>
        <v>746.28568297723302</v>
      </c>
      <c r="F87" s="7">
        <f>INDEX('Revised 2018 Lockdown'!E$5:E$253,MATCH(B87,'Revised 2018 Lockdown'!B$5:B$253,0))</f>
        <v>505579.98</v>
      </c>
      <c r="G87" s="7">
        <f>INDEX('Revised 2018 Lockdown'!F$5:F$253,MATCH(B87,'Revised 2018 Lockdown'!B$5:B$253,0))</f>
        <v>3403.13</v>
      </c>
      <c r="H87" s="7">
        <f t="shared" si="8"/>
        <v>502176.85</v>
      </c>
      <c r="I87" s="6">
        <f t="shared" si="9"/>
        <v>672.9016266218789</v>
      </c>
      <c r="J87" s="6">
        <f t="shared" si="12"/>
        <v>672.9016266218789</v>
      </c>
      <c r="K87" s="5">
        <f t="shared" si="10"/>
        <v>502176.84999999992</v>
      </c>
      <c r="L87" s="4">
        <f t="shared" si="11"/>
        <v>0</v>
      </c>
      <c r="M87" s="2" cm="1">
        <f t="array" ref="M87">SUMPRODUCT(--($L$6:$L$300&lt;&gt;1),--($C$6:$C$300=$C87),$H$6:$H$300)/SUMPRODUCT(--($L$6:$L$300&lt;&gt;1),--($C$6:$C$300=$C87),$E$6:$E$300)</f>
        <v>704.90257521333319</v>
      </c>
      <c r="N87" s="1" cm="1">
        <f t="array" ref="N87">SUMPRODUCT(--($L$6:$L$300&lt;&gt;1),--($C$6:$C$300=$C87))</f>
        <v>47</v>
      </c>
      <c r="O87" s="3">
        <f t="shared" si="13"/>
        <v>1024.0607107529001</v>
      </c>
      <c r="P87" s="2" cm="1">
        <f t="array" ref="P87">SQRT(SUMPRODUCT(--($L$6:$L$300&lt;&gt;1),--($C$6:$C$300=$C87),$E$6:$E$300,$O$6:$O$300)/((N87-1)*SUMPRODUCT(--($L$6:$L$300&lt;&gt;1),--($C$6:$C$300=$C87),$E$6:$E$300)/N87))</f>
        <v>456.23837953953682</v>
      </c>
      <c r="Q87" s="2">
        <f t="shared" si="4"/>
        <v>120.20956565290805</v>
      </c>
      <c r="R87" s="2">
        <f t="shared" si="4"/>
        <v>1289.5955847737582</v>
      </c>
      <c r="S87" s="2">
        <f t="shared" si="14"/>
        <v>672.9016266218789</v>
      </c>
    </row>
    <row r="88" spans="2:19" x14ac:dyDescent="0.3">
      <c r="B88" s="9">
        <v>824</v>
      </c>
      <c r="C88" s="9">
        <v>6</v>
      </c>
      <c r="D88" s="8" t="s">
        <v>127</v>
      </c>
      <c r="E88" s="125">
        <f>INDEX('Revised 2018 Lockdown'!H$5:H$253,MATCH(B88,'Revised 2018 Lockdown'!B$5:B$253,0))</f>
        <v>35.809199999999997</v>
      </c>
      <c r="F88" s="7">
        <f>INDEX('Revised 2018 Lockdown'!E$5:E$253,MATCH(B88,'Revised 2018 Lockdown'!B$5:B$253,0))</f>
        <v>54369.59</v>
      </c>
      <c r="G88" s="7">
        <f>INDEX('Revised 2018 Lockdown'!F$5:F$253,MATCH(B88,'Revised 2018 Lockdown'!B$5:B$253,0))</f>
        <v>0</v>
      </c>
      <c r="H88" s="7">
        <f t="shared" si="8"/>
        <v>54369.59</v>
      </c>
      <c r="I88" s="6">
        <f t="shared" si="9"/>
        <v>1518.3134501748154</v>
      </c>
      <c r="J88" s="6">
        <f t="shared" si="12"/>
        <v>1289.5955847737582</v>
      </c>
      <c r="K88" s="5">
        <f t="shared" si="10"/>
        <v>46179.386214280457</v>
      </c>
      <c r="L88" s="4">
        <f t="shared" si="11"/>
        <v>0</v>
      </c>
      <c r="M88" s="2" cm="1">
        <f t="array" ref="M88">SUMPRODUCT(--($L$6:$L$300&lt;&gt;1),--($C$6:$C$300=$C88),$H$6:$H$300)/SUMPRODUCT(--($L$6:$L$300&lt;&gt;1),--($C$6:$C$300=$C88),$E$6:$E$300)</f>
        <v>704.90257521333319</v>
      </c>
      <c r="N88" s="1" cm="1">
        <f t="array" ref="N88">SUMPRODUCT(--($L$6:$L$300&lt;&gt;1),--($C$6:$C$300=$C88))</f>
        <v>47</v>
      </c>
      <c r="O88" s="3">
        <f t="shared" si="13"/>
        <v>661637.25150560413</v>
      </c>
      <c r="P88" s="2" cm="1">
        <f t="array" ref="P88">SQRT(SUMPRODUCT(--($L$6:$L$300&lt;&gt;1),--($C$6:$C$300=$C88),$E$6:$E$300,$O$6:$O$300)/((N88-1)*SUMPRODUCT(--($L$6:$L$300&lt;&gt;1),--($C$6:$C$300=$C88),$E$6:$E$300)/N88))</f>
        <v>456.23837953953682</v>
      </c>
      <c r="Q88" s="2">
        <f t="shared" si="4"/>
        <v>120.20956565290805</v>
      </c>
      <c r="R88" s="2">
        <f t="shared" si="4"/>
        <v>1289.5955847737582</v>
      </c>
      <c r="S88" s="2">
        <f t="shared" si="14"/>
        <v>1289.5955847737582</v>
      </c>
    </row>
    <row r="89" spans="2:19" x14ac:dyDescent="0.3">
      <c r="B89" s="9">
        <v>826</v>
      </c>
      <c r="C89" s="9">
        <v>6</v>
      </c>
      <c r="D89" s="8" t="s">
        <v>128</v>
      </c>
      <c r="E89" s="125">
        <f>INDEX('Revised 2018 Lockdown'!H$5:H$253,MATCH(B89,'Revised 2018 Lockdown'!B$5:B$253,0))</f>
        <v>41.71</v>
      </c>
      <c r="F89" s="7">
        <f>INDEX('Revised 2018 Lockdown'!E$5:E$253,MATCH(B89,'Revised 2018 Lockdown'!B$5:B$253,0))</f>
        <v>33872.559999999998</v>
      </c>
      <c r="G89" s="7">
        <f>INDEX('Revised 2018 Lockdown'!F$5:F$253,MATCH(B89,'Revised 2018 Lockdown'!B$5:B$253,0))</f>
        <v>0</v>
      </c>
      <c r="H89" s="7">
        <f t="shared" si="8"/>
        <v>33872.559999999998</v>
      </c>
      <c r="I89" s="6">
        <f t="shared" si="9"/>
        <v>812.09685926636291</v>
      </c>
      <c r="J89" s="6">
        <f t="shared" si="12"/>
        <v>812.09685926636291</v>
      </c>
      <c r="K89" s="5">
        <f t="shared" si="10"/>
        <v>33872.559999999998</v>
      </c>
      <c r="L89" s="4">
        <f t="shared" si="11"/>
        <v>0</v>
      </c>
      <c r="M89" s="2" cm="1">
        <f t="array" ref="M89">SUMPRODUCT(--($L$6:$L$300&lt;&gt;1),--($C$6:$C$300=$C89),$H$6:$H$300)/SUMPRODUCT(--($L$6:$L$300&lt;&gt;1),--($C$6:$C$300=$C89),$E$6:$E$300)</f>
        <v>704.90257521333319</v>
      </c>
      <c r="N89" s="1" cm="1">
        <f t="array" ref="N89">SUMPRODUCT(--($L$6:$L$300&lt;&gt;1),--($C$6:$C$300=$C89))</f>
        <v>47</v>
      </c>
      <c r="O89" s="3">
        <f t="shared" si="13"/>
        <v>11490.614533641621</v>
      </c>
      <c r="P89" s="2" cm="1">
        <f t="array" ref="P89">SQRT(SUMPRODUCT(--($L$6:$L$300&lt;&gt;1),--($C$6:$C$300=$C89),$E$6:$E$300,$O$6:$O$300)/((N89-1)*SUMPRODUCT(--($L$6:$L$300&lt;&gt;1),--($C$6:$C$300=$C89),$E$6:$E$300)/N89))</f>
        <v>456.23837953953682</v>
      </c>
      <c r="Q89" s="2">
        <f t="shared" si="4"/>
        <v>120.20956565290805</v>
      </c>
      <c r="R89" s="2">
        <f t="shared" si="4"/>
        <v>1289.5955847737582</v>
      </c>
      <c r="S89" s="2">
        <f t="shared" si="14"/>
        <v>812.09685926636291</v>
      </c>
    </row>
    <row r="90" spans="2:19" x14ac:dyDescent="0.3">
      <c r="B90" s="9">
        <v>840</v>
      </c>
      <c r="C90" s="9">
        <v>6</v>
      </c>
      <c r="D90" s="8" t="s">
        <v>129</v>
      </c>
      <c r="E90" s="125">
        <f>INDEX('Revised 2018 Lockdown'!H$5:H$253,MATCH(B90,'Revised 2018 Lockdown'!B$5:B$253,0))</f>
        <v>161.72</v>
      </c>
      <c r="F90" s="7">
        <f>INDEX('Revised 2018 Lockdown'!E$5:E$253,MATCH(B90,'Revised 2018 Lockdown'!B$5:B$253,0))</f>
        <v>88518.53</v>
      </c>
      <c r="G90" s="7">
        <f>INDEX('Revised 2018 Lockdown'!F$5:F$253,MATCH(B90,'Revised 2018 Lockdown'!B$5:B$253,0))</f>
        <v>0</v>
      </c>
      <c r="H90" s="7">
        <f t="shared" si="8"/>
        <v>88518.53</v>
      </c>
      <c r="I90" s="6">
        <f t="shared" si="9"/>
        <v>547.35672767746723</v>
      </c>
      <c r="J90" s="6">
        <f t="shared" si="12"/>
        <v>547.35672767746723</v>
      </c>
      <c r="K90" s="5">
        <f t="shared" si="10"/>
        <v>88518.53</v>
      </c>
      <c r="L90" s="4">
        <f t="shared" si="11"/>
        <v>0</v>
      </c>
      <c r="M90" s="2" cm="1">
        <f t="array" ref="M90">SUMPRODUCT(--($L$6:$L$300&lt;&gt;1),--($C$6:$C$300=$C90),$H$6:$H$300)/SUMPRODUCT(--($L$6:$L$300&lt;&gt;1),--($C$6:$C$300=$C90),$E$6:$E$300)</f>
        <v>704.90257521333319</v>
      </c>
      <c r="N90" s="1" cm="1">
        <f t="array" ref="N90">SUMPRODUCT(--($L$6:$L$300&lt;&gt;1),--($C$6:$C$300=$C90))</f>
        <v>47</v>
      </c>
      <c r="O90" s="3">
        <f t="shared" si="13"/>
        <v>24820.694075794323</v>
      </c>
      <c r="P90" s="2" cm="1">
        <f t="array" ref="P90">SQRT(SUMPRODUCT(--($L$6:$L$300&lt;&gt;1),--($C$6:$C$300=$C90),$E$6:$E$300,$O$6:$O$300)/((N90-1)*SUMPRODUCT(--($L$6:$L$300&lt;&gt;1),--($C$6:$C$300=$C90),$E$6:$E$300)/N90))</f>
        <v>456.23837953953682</v>
      </c>
      <c r="Q90" s="2">
        <f t="shared" si="4"/>
        <v>120.20956565290805</v>
      </c>
      <c r="R90" s="2">
        <f t="shared" si="4"/>
        <v>1289.5955847737582</v>
      </c>
      <c r="S90" s="2">
        <f t="shared" si="14"/>
        <v>547.35672767746723</v>
      </c>
    </row>
    <row r="91" spans="2:19" x14ac:dyDescent="0.3">
      <c r="B91" s="9">
        <v>843</v>
      </c>
      <c r="C91" s="9">
        <v>6</v>
      </c>
      <c r="D91" s="8" t="s">
        <v>130</v>
      </c>
      <c r="E91" s="125">
        <f>INDEX('Revised 2018 Lockdown'!H$5:H$253,MATCH(B91,'Revised 2018 Lockdown'!B$5:B$253,0))</f>
        <v>19.13961999514169</v>
      </c>
      <c r="F91" s="7">
        <f>INDEX('Revised 2018 Lockdown'!E$5:E$253,MATCH(B91,'Revised 2018 Lockdown'!B$5:B$253,0))</f>
        <v>32653.86</v>
      </c>
      <c r="G91" s="7">
        <f>INDEX('Revised 2018 Lockdown'!F$5:F$253,MATCH(B91,'Revised 2018 Lockdown'!B$5:B$253,0))</f>
        <v>0</v>
      </c>
      <c r="H91" s="7">
        <f t="shared" si="8"/>
        <v>32653.86</v>
      </c>
      <c r="I91" s="6">
        <f t="shared" si="9"/>
        <v>1706.0871641280601</v>
      </c>
      <c r="J91" s="6">
        <f t="shared" si="12"/>
        <v>1289.5955847737582</v>
      </c>
      <c r="K91" s="5">
        <f t="shared" si="10"/>
        <v>24682.369439982263</v>
      </c>
      <c r="L91" s="4">
        <f t="shared" si="11"/>
        <v>0</v>
      </c>
      <c r="M91" s="2" cm="1">
        <f t="array" ref="M91">SUMPRODUCT(--($L$6:$L$300&lt;&gt;1),--($C$6:$C$300=$C91),$H$6:$H$300)/SUMPRODUCT(--($L$6:$L$300&lt;&gt;1),--($C$6:$C$300=$C91),$E$6:$E$300)</f>
        <v>704.90257521333319</v>
      </c>
      <c r="N91" s="1" cm="1">
        <f t="array" ref="N91">SUMPRODUCT(--($L$6:$L$300&lt;&gt;1),--($C$6:$C$300=$C91))</f>
        <v>47</v>
      </c>
      <c r="O91" s="3">
        <f t="shared" si="13"/>
        <v>1002370.5810803507</v>
      </c>
      <c r="P91" s="2" cm="1">
        <f t="array" ref="P91">SQRT(SUMPRODUCT(--($L$6:$L$300&lt;&gt;1),--($C$6:$C$300=$C91),$E$6:$E$300,$O$6:$O$300)/((N91-1)*SUMPRODUCT(--($L$6:$L$300&lt;&gt;1),--($C$6:$C$300=$C91),$E$6:$E$300)/N91))</f>
        <v>456.23837953953682</v>
      </c>
      <c r="Q91" s="2">
        <f t="shared" si="4"/>
        <v>120.20956565290805</v>
      </c>
      <c r="R91" s="2">
        <f t="shared" si="4"/>
        <v>1289.5955847737582</v>
      </c>
      <c r="S91" s="2">
        <f t="shared" si="14"/>
        <v>1289.5955847737582</v>
      </c>
    </row>
    <row r="92" spans="2:19" x14ac:dyDescent="0.3">
      <c r="B92" s="9">
        <v>846</v>
      </c>
      <c r="C92" s="9">
        <v>6</v>
      </c>
      <c r="D92" s="8" t="s">
        <v>131</v>
      </c>
      <c r="E92" s="125">
        <f>INDEX('Revised 2018 Lockdown'!H$5:H$253,MATCH(B92,'Revised 2018 Lockdown'!B$5:B$253,0))</f>
        <v>24.91</v>
      </c>
      <c r="F92" s="7">
        <f>INDEX('Revised 2018 Lockdown'!E$5:E$253,MATCH(B92,'Revised 2018 Lockdown'!B$5:B$253,0))</f>
        <v>42522.03</v>
      </c>
      <c r="G92" s="7">
        <f>INDEX('Revised 2018 Lockdown'!F$5:F$253,MATCH(B92,'Revised 2018 Lockdown'!B$5:B$253,0))</f>
        <v>0</v>
      </c>
      <c r="H92" s="7">
        <f t="shared" si="8"/>
        <v>42522.03</v>
      </c>
      <c r="I92" s="6">
        <f t="shared" si="9"/>
        <v>1707.0264953833801</v>
      </c>
      <c r="J92" s="6">
        <f t="shared" si="12"/>
        <v>1289.5955847737582</v>
      </c>
      <c r="K92" s="5">
        <f t="shared" si="10"/>
        <v>32123.826016714316</v>
      </c>
      <c r="L92" s="4">
        <f t="shared" si="11"/>
        <v>0</v>
      </c>
      <c r="M92" s="2" cm="1">
        <f t="array" ref="M92">SUMPRODUCT(--($L$6:$L$300&lt;&gt;1),--($C$6:$C$300=$C92),$H$6:$H$300)/SUMPRODUCT(--($L$6:$L$300&lt;&gt;1),--($C$6:$C$300=$C92),$E$6:$E$300)</f>
        <v>704.90257521333319</v>
      </c>
      <c r="N92" s="1" cm="1">
        <f t="array" ref="N92">SUMPRODUCT(--($L$6:$L$300&lt;&gt;1),--($C$6:$C$300=$C92))</f>
        <v>47</v>
      </c>
      <c r="O92" s="3">
        <f t="shared" si="13"/>
        <v>1004252.3513769824</v>
      </c>
      <c r="P92" s="2" cm="1">
        <f t="array" ref="P92">SQRT(SUMPRODUCT(--($L$6:$L$300&lt;&gt;1),--($C$6:$C$300=$C92),$E$6:$E$300,$O$6:$O$300)/((N92-1)*SUMPRODUCT(--($L$6:$L$300&lt;&gt;1),--($C$6:$C$300=$C92),$E$6:$E$300)/N92))</f>
        <v>456.23837953953682</v>
      </c>
      <c r="Q92" s="2">
        <f t="shared" si="4"/>
        <v>120.20956565290805</v>
      </c>
      <c r="R92" s="2">
        <f t="shared" si="4"/>
        <v>1289.5955847737582</v>
      </c>
      <c r="S92" s="2">
        <f t="shared" si="14"/>
        <v>1289.5955847737582</v>
      </c>
    </row>
    <row r="93" spans="2:19" x14ac:dyDescent="0.3">
      <c r="B93" s="9">
        <v>888</v>
      </c>
      <c r="C93" s="9">
        <v>6</v>
      </c>
      <c r="D93" s="8" t="s">
        <v>132</v>
      </c>
      <c r="E93" s="125">
        <f>INDEX('Revised 2018 Lockdown'!H$5:H$253,MATCH(B93,'Revised 2018 Lockdown'!B$5:B$253,0))</f>
        <v>110.31180256044935</v>
      </c>
      <c r="F93" s="7">
        <f>INDEX('Revised 2018 Lockdown'!E$5:E$253,MATCH(B93,'Revised 2018 Lockdown'!B$5:B$253,0))</f>
        <v>48959.88</v>
      </c>
      <c r="G93" s="7">
        <f>INDEX('Revised 2018 Lockdown'!F$5:F$253,MATCH(B93,'Revised 2018 Lockdown'!B$5:B$253,0))</f>
        <v>0</v>
      </c>
      <c r="H93" s="7">
        <f t="shared" si="8"/>
        <v>48959.88</v>
      </c>
      <c r="I93" s="6">
        <f t="shared" si="9"/>
        <v>443.83174659094755</v>
      </c>
      <c r="J93" s="6">
        <f t="shared" si="12"/>
        <v>443.83174659094755</v>
      </c>
      <c r="K93" s="5">
        <f t="shared" si="10"/>
        <v>48959.88</v>
      </c>
      <c r="L93" s="4">
        <f t="shared" si="11"/>
        <v>0</v>
      </c>
      <c r="M93" s="2" cm="1">
        <f t="array" ref="M93">SUMPRODUCT(--($L$6:$L$300&lt;&gt;1),--($C$6:$C$300=$C93),$H$6:$H$300)/SUMPRODUCT(--($L$6:$L$300&lt;&gt;1),--($C$6:$C$300=$C93),$E$6:$E$300)</f>
        <v>704.90257521333319</v>
      </c>
      <c r="N93" s="1" cm="1">
        <f t="array" ref="N93">SUMPRODUCT(--($L$6:$L$300&lt;&gt;1),--($C$6:$C$300=$C93))</f>
        <v>47</v>
      </c>
      <c r="O93" s="3">
        <f t="shared" si="13"/>
        <v>68157.977557579055</v>
      </c>
      <c r="P93" s="2" cm="1">
        <f t="array" ref="P93">SQRT(SUMPRODUCT(--($L$6:$L$300&lt;&gt;1),--($C$6:$C$300=$C93),$E$6:$E$300,$O$6:$O$300)/((N93-1)*SUMPRODUCT(--($L$6:$L$300&lt;&gt;1),--($C$6:$C$300=$C93),$E$6:$E$300)/N93))</f>
        <v>456.23837953953682</v>
      </c>
      <c r="Q93" s="2">
        <f t="shared" si="4"/>
        <v>120.20956565290805</v>
      </c>
      <c r="R93" s="2">
        <f t="shared" si="4"/>
        <v>1289.5955847737582</v>
      </c>
      <c r="S93" s="2">
        <f t="shared" si="14"/>
        <v>443.83174659094755</v>
      </c>
    </row>
    <row r="94" spans="2:19" x14ac:dyDescent="0.3">
      <c r="B94" s="9">
        <v>889</v>
      </c>
      <c r="C94" s="9">
        <v>6</v>
      </c>
      <c r="D94" s="8" t="s">
        <v>133</v>
      </c>
      <c r="E94" s="125">
        <f>INDEX('Revised 2018 Lockdown'!H$5:H$253,MATCH(B94,'Revised 2018 Lockdown'!B$5:B$253,0))</f>
        <v>36.971993010532358</v>
      </c>
      <c r="F94" s="7">
        <f>INDEX('Revised 2018 Lockdown'!E$5:E$253,MATCH(B94,'Revised 2018 Lockdown'!B$5:B$253,0))</f>
        <v>50376.82</v>
      </c>
      <c r="G94" s="7">
        <f>INDEX('Revised 2018 Lockdown'!F$5:F$253,MATCH(B94,'Revised 2018 Lockdown'!B$5:B$253,0))</f>
        <v>0</v>
      </c>
      <c r="H94" s="7">
        <f t="shared" si="8"/>
        <v>50376.82</v>
      </c>
      <c r="I94" s="6">
        <f t="shared" si="9"/>
        <v>1362.5670649036679</v>
      </c>
      <c r="J94" s="6">
        <f t="shared" si="12"/>
        <v>1289.5955847737582</v>
      </c>
      <c r="K94" s="5">
        <f t="shared" si="10"/>
        <v>47678.918946668775</v>
      </c>
      <c r="L94" s="4">
        <f t="shared" si="11"/>
        <v>0</v>
      </c>
      <c r="M94" s="2" cm="1">
        <f t="array" ref="M94">SUMPRODUCT(--($L$6:$L$300&lt;&gt;1),--($C$6:$C$300=$C94),$H$6:$H$300)/SUMPRODUCT(--($L$6:$L$300&lt;&gt;1),--($C$6:$C$300=$C94),$E$6:$E$300)</f>
        <v>704.90257521333319</v>
      </c>
      <c r="N94" s="1" cm="1">
        <f t="array" ref="N94">SUMPRODUCT(--($L$6:$L$300&lt;&gt;1),--($C$6:$C$300=$C94))</f>
        <v>47</v>
      </c>
      <c r="O94" s="3">
        <f t="shared" si="13"/>
        <v>432522.58099964831</v>
      </c>
      <c r="P94" s="2" cm="1">
        <f t="array" ref="P94">SQRT(SUMPRODUCT(--($L$6:$L$300&lt;&gt;1),--($C$6:$C$300=$C94),$E$6:$E$300,$O$6:$O$300)/((N94-1)*SUMPRODUCT(--($L$6:$L$300&lt;&gt;1),--($C$6:$C$300=$C94),$E$6:$E$300)/N94))</f>
        <v>456.23837953953682</v>
      </c>
      <c r="Q94" s="2">
        <f t="shared" si="4"/>
        <v>120.20956565290805</v>
      </c>
      <c r="R94" s="2">
        <f t="shared" si="4"/>
        <v>1289.5955847737582</v>
      </c>
      <c r="S94" s="2">
        <f t="shared" si="14"/>
        <v>1289.5955847737582</v>
      </c>
    </row>
    <row r="95" spans="2:19" x14ac:dyDescent="0.3">
      <c r="B95" s="9">
        <v>891</v>
      </c>
      <c r="C95" s="9">
        <v>6</v>
      </c>
      <c r="D95" s="8" t="s">
        <v>134</v>
      </c>
      <c r="E95" s="125">
        <f>INDEX('Revised 2018 Lockdown'!H$5:H$253,MATCH(B95,'Revised 2018 Lockdown'!B$5:B$253,0))</f>
        <v>291.67983388429468</v>
      </c>
      <c r="F95" s="7">
        <f>INDEX('Revised 2018 Lockdown'!E$5:E$253,MATCH(B95,'Revised 2018 Lockdown'!B$5:B$253,0))</f>
        <v>78385.320000000007</v>
      </c>
      <c r="G95" s="7">
        <f>INDEX('Revised 2018 Lockdown'!F$5:F$253,MATCH(B95,'Revised 2018 Lockdown'!B$5:B$253,0))</f>
        <v>0</v>
      </c>
      <c r="H95" s="7">
        <f t="shared" si="8"/>
        <v>78385.320000000007</v>
      </c>
      <c r="I95" s="6">
        <f t="shared" si="9"/>
        <v>268.73753648356222</v>
      </c>
      <c r="J95" s="6">
        <f t="shared" si="12"/>
        <v>268.73753648356222</v>
      </c>
      <c r="K95" s="5">
        <f t="shared" si="10"/>
        <v>78385.320000000007</v>
      </c>
      <c r="L95" s="4">
        <f t="shared" si="11"/>
        <v>0</v>
      </c>
      <c r="M95" s="2" cm="1">
        <f t="array" ref="M95">SUMPRODUCT(--($L$6:$L$300&lt;&gt;1),--($C$6:$C$300=$C95),$H$6:$H$300)/SUMPRODUCT(--($L$6:$L$300&lt;&gt;1),--($C$6:$C$300=$C95),$E$6:$E$300)</f>
        <v>704.90257521333319</v>
      </c>
      <c r="N95" s="1" cm="1">
        <f t="array" ref="N95">SUMPRODUCT(--($L$6:$L$300&lt;&gt;1),--($C$6:$C$300=$C95))</f>
        <v>47</v>
      </c>
      <c r="O95" s="3">
        <f t="shared" si="13"/>
        <v>190239.94101014262</v>
      </c>
      <c r="P95" s="2" cm="1">
        <f t="array" ref="P95">SQRT(SUMPRODUCT(--($L$6:$L$300&lt;&gt;1),--($C$6:$C$300=$C95),$E$6:$E$300,$O$6:$O$300)/((N95-1)*SUMPRODUCT(--($L$6:$L$300&lt;&gt;1),--($C$6:$C$300=$C95),$E$6:$E$300)/N95))</f>
        <v>456.23837953953682</v>
      </c>
      <c r="Q95" s="2">
        <f t="shared" si="4"/>
        <v>120.20956565290805</v>
      </c>
      <c r="R95" s="2">
        <f t="shared" si="4"/>
        <v>1289.5955847737582</v>
      </c>
      <c r="S95" s="2">
        <f t="shared" si="14"/>
        <v>268.73753648356222</v>
      </c>
    </row>
    <row r="96" spans="2:19" x14ac:dyDescent="0.3">
      <c r="B96" s="9">
        <v>897</v>
      </c>
      <c r="C96" s="9">
        <v>6</v>
      </c>
      <c r="D96" s="8" t="s">
        <v>242</v>
      </c>
      <c r="E96" s="125">
        <f>INDEX('Revised 2018 Lockdown'!H$5:H$253,MATCH(B96,'Revised 2018 Lockdown'!B$5:B$253,0))</f>
        <v>75.298454997553264</v>
      </c>
      <c r="F96" s="7">
        <f>INDEX('Revised 2018 Lockdown'!E$5:E$253,MATCH(B96,'Revised 2018 Lockdown'!B$5:B$253,0))</f>
        <v>296933.44</v>
      </c>
      <c r="G96" s="7">
        <f>INDEX('Revised 2018 Lockdown'!F$5:F$253,MATCH(B96,'Revised 2018 Lockdown'!B$5:B$253,0))</f>
        <v>119</v>
      </c>
      <c r="H96" s="7">
        <f t="shared" si="8"/>
        <v>296814.44</v>
      </c>
      <c r="I96" s="6">
        <f t="shared" si="9"/>
        <v>3941.8397098538694</v>
      </c>
      <c r="J96" s="6">
        <f t="shared" si="12"/>
        <v>1289.5955847737582</v>
      </c>
      <c r="K96" s="5">
        <f t="shared" si="10"/>
        <v>97104.555105130217</v>
      </c>
      <c r="L96" s="4">
        <f t="shared" si="11"/>
        <v>0</v>
      </c>
      <c r="M96" s="2" cm="1">
        <f t="array" ref="M96">SUMPRODUCT(--($L$6:$L$300&lt;&gt;1),--($C$6:$C$300=$C96),$H$6:$H$300)/SUMPRODUCT(--($L$6:$L$300&lt;&gt;1),--($C$6:$C$300=$C96),$E$6:$E$300)</f>
        <v>704.90257521333319</v>
      </c>
      <c r="N96" s="1" cm="1">
        <f t="array" ref="N96">SUMPRODUCT(--($L$6:$L$300&lt;&gt;1),--($C$6:$C$300=$C96))</f>
        <v>47</v>
      </c>
      <c r="O96" s="3">
        <f t="shared" si="13"/>
        <v>10477762.013614884</v>
      </c>
      <c r="P96" s="2" cm="1">
        <f t="array" ref="P96">SQRT(SUMPRODUCT(--($L$6:$L$300&lt;&gt;1),--($C$6:$C$300=$C96),$E$6:$E$300,$O$6:$O$300)/((N96-1)*SUMPRODUCT(--($L$6:$L$300&lt;&gt;1),--($C$6:$C$300=$C96),$E$6:$E$300)/N96))</f>
        <v>456.23837953953682</v>
      </c>
      <c r="Q96" s="2">
        <f t="shared" si="4"/>
        <v>120.20956565290805</v>
      </c>
      <c r="R96" s="2">
        <f t="shared" si="4"/>
        <v>1289.5955847737582</v>
      </c>
      <c r="S96" s="2">
        <f t="shared" si="14"/>
        <v>1289.5955847737582</v>
      </c>
    </row>
    <row r="97" spans="2:19" x14ac:dyDescent="0.3">
      <c r="B97" s="9">
        <v>904</v>
      </c>
      <c r="C97" s="9">
        <v>6</v>
      </c>
      <c r="D97" s="8" t="s">
        <v>135</v>
      </c>
      <c r="E97" s="125">
        <f>INDEX('Revised 2018 Lockdown'!H$5:H$253,MATCH(B97,'Revised 2018 Lockdown'!B$5:B$253,0))</f>
        <v>26.962939668155855</v>
      </c>
      <c r="F97" s="7">
        <f>INDEX('Revised 2018 Lockdown'!E$5:E$253,MATCH(B97,'Revised 2018 Lockdown'!B$5:B$253,0))</f>
        <v>14117.02</v>
      </c>
      <c r="G97" s="7">
        <f>INDEX('Revised 2018 Lockdown'!F$5:F$253,MATCH(B97,'Revised 2018 Lockdown'!B$5:B$253,0))</f>
        <v>0</v>
      </c>
      <c r="H97" s="7">
        <f t="shared" si="8"/>
        <v>14117.02</v>
      </c>
      <c r="I97" s="6">
        <f t="shared" si="9"/>
        <v>523.57124904569218</v>
      </c>
      <c r="J97" s="6">
        <f t="shared" si="12"/>
        <v>523.57124904569218</v>
      </c>
      <c r="K97" s="5">
        <f t="shared" si="10"/>
        <v>14117.020000000002</v>
      </c>
      <c r="L97" s="4">
        <f t="shared" si="11"/>
        <v>0</v>
      </c>
      <c r="M97" s="2" cm="1">
        <f t="array" ref="M97">SUMPRODUCT(--($L$6:$L$300&lt;&gt;1),--($C$6:$C$300=$C97),$H$6:$H$300)/SUMPRODUCT(--($L$6:$L$300&lt;&gt;1),--($C$6:$C$300=$C97),$E$6:$E$300)</f>
        <v>704.90257521333319</v>
      </c>
      <c r="N97" s="1" cm="1">
        <f t="array" ref="N97">SUMPRODUCT(--($L$6:$L$300&lt;&gt;1),--($C$6:$C$300=$C97))</f>
        <v>47</v>
      </c>
      <c r="O97" s="3">
        <f t="shared" si="13"/>
        <v>32881.049849715411</v>
      </c>
      <c r="P97" s="2" cm="1">
        <f t="array" ref="P97">SQRT(SUMPRODUCT(--($L$6:$L$300&lt;&gt;1),--($C$6:$C$300=$C97),$E$6:$E$300,$O$6:$O$300)/((N97-1)*SUMPRODUCT(--($L$6:$L$300&lt;&gt;1),--($C$6:$C$300=$C97),$E$6:$E$300)/N97))</f>
        <v>456.23837953953682</v>
      </c>
      <c r="Q97" s="2">
        <f t="shared" si="4"/>
        <v>120.20956565290805</v>
      </c>
      <c r="R97" s="2">
        <f t="shared" si="4"/>
        <v>1289.5955847737582</v>
      </c>
      <c r="S97" s="2">
        <f t="shared" si="14"/>
        <v>523.57124904569218</v>
      </c>
    </row>
    <row r="98" spans="2:19" ht="28.8" x14ac:dyDescent="0.3">
      <c r="B98" s="9">
        <v>906</v>
      </c>
      <c r="C98" s="9">
        <v>6</v>
      </c>
      <c r="D98" s="8" t="s">
        <v>301</v>
      </c>
      <c r="E98" s="125">
        <f>INDEX('Revised 2018 Lockdown'!H$5:H$253,MATCH(B98,'Revised 2018 Lockdown'!B$5:B$253,0))</f>
        <v>185.1</v>
      </c>
      <c r="F98" s="7">
        <f>INDEX('Revised 2018 Lockdown'!E$5:E$253,MATCH(B98,'Revised 2018 Lockdown'!B$5:B$253,0))</f>
        <v>215485.97</v>
      </c>
      <c r="G98" s="7">
        <f>INDEX('Revised 2018 Lockdown'!F$5:F$253,MATCH(B98,'Revised 2018 Lockdown'!B$5:B$253,0))</f>
        <v>29.22</v>
      </c>
      <c r="H98" s="7">
        <f t="shared" si="8"/>
        <v>215456.75</v>
      </c>
      <c r="I98" s="6">
        <f t="shared" si="9"/>
        <v>1164.0018908698</v>
      </c>
      <c r="J98" s="6">
        <f t="shared" si="12"/>
        <v>1164.0018908698</v>
      </c>
      <c r="K98" s="5">
        <f t="shared" si="10"/>
        <v>215456.74999999997</v>
      </c>
      <c r="L98" s="4">
        <f t="shared" si="11"/>
        <v>0</v>
      </c>
      <c r="M98" s="2" cm="1">
        <f t="array" ref="M98">SUMPRODUCT(--($L$6:$L$300&lt;&gt;1),--($C$6:$C$300=$C98),$H$6:$H$300)/SUMPRODUCT(--($L$6:$L$300&lt;&gt;1),--($C$6:$C$300=$C98),$E$6:$E$300)</f>
        <v>704.90257521333319</v>
      </c>
      <c r="N98" s="1" cm="1">
        <f t="array" ref="N98">SUMPRODUCT(--($L$6:$L$300&lt;&gt;1),--($C$6:$C$300=$C98))</f>
        <v>47</v>
      </c>
      <c r="O98" s="3">
        <f t="shared" si="13"/>
        <v>210772.18163623617</v>
      </c>
      <c r="P98" s="2" cm="1">
        <f t="array" ref="P98">SQRT(SUMPRODUCT(--($L$6:$L$300&lt;&gt;1),--($C$6:$C$300=$C98),$E$6:$E$300,$O$6:$O$300)/((N98-1)*SUMPRODUCT(--($L$6:$L$300&lt;&gt;1),--($C$6:$C$300=$C98),$E$6:$E$300)/N98))</f>
        <v>456.23837953953682</v>
      </c>
      <c r="Q98" s="2">
        <f t="shared" si="4"/>
        <v>120.20956565290805</v>
      </c>
      <c r="R98" s="2">
        <f t="shared" si="4"/>
        <v>1289.5955847737582</v>
      </c>
      <c r="S98" s="2">
        <f t="shared" si="14"/>
        <v>1164.0018908698</v>
      </c>
    </row>
    <row r="99" spans="2:19" x14ac:dyDescent="0.3">
      <c r="B99" s="9">
        <v>917</v>
      </c>
      <c r="C99" s="9">
        <v>6</v>
      </c>
      <c r="D99" s="8" t="s">
        <v>136</v>
      </c>
      <c r="E99" s="125">
        <f>INDEX('Revised 2018 Lockdown'!H$5:H$253,MATCH(B99,'Revised 2018 Lockdown'!B$5:B$253,0))</f>
        <v>98.170300891747573</v>
      </c>
      <c r="F99" s="7">
        <f>INDEX('Revised 2018 Lockdown'!E$5:E$253,MATCH(B99,'Revised 2018 Lockdown'!B$5:B$253,0))</f>
        <v>54501.95</v>
      </c>
      <c r="G99" s="7">
        <f>INDEX('Revised 2018 Lockdown'!F$5:F$253,MATCH(B99,'Revised 2018 Lockdown'!B$5:B$253,0))</f>
        <v>0</v>
      </c>
      <c r="H99" s="7">
        <f t="shared" si="8"/>
        <v>54501.95</v>
      </c>
      <c r="I99" s="6">
        <f t="shared" si="9"/>
        <v>555.17757921613497</v>
      </c>
      <c r="J99" s="6">
        <f t="shared" si="12"/>
        <v>555.17757921613497</v>
      </c>
      <c r="K99" s="5">
        <f t="shared" si="10"/>
        <v>54501.95</v>
      </c>
      <c r="L99" s="4">
        <f t="shared" si="11"/>
        <v>0</v>
      </c>
      <c r="M99" s="2" cm="1">
        <f t="array" ref="M99">SUMPRODUCT(--($L$6:$L$300&lt;&gt;1),--($C$6:$C$300=$C99),$H$6:$H$300)/SUMPRODUCT(--($L$6:$L$300&lt;&gt;1),--($C$6:$C$300=$C99),$E$6:$E$300)</f>
        <v>704.90257521333319</v>
      </c>
      <c r="N99" s="1" cm="1">
        <f t="array" ref="N99">SUMPRODUCT(--($L$6:$L$300&lt;&gt;1),--($C$6:$C$300=$C99))</f>
        <v>47</v>
      </c>
      <c r="O99" s="3">
        <f t="shared" si="13"/>
        <v>22417.574426361025</v>
      </c>
      <c r="P99" s="2" cm="1">
        <f t="array" ref="P99">SQRT(SUMPRODUCT(--($L$6:$L$300&lt;&gt;1),--($C$6:$C$300=$C99),$E$6:$E$300,$O$6:$O$300)/((N99-1)*SUMPRODUCT(--($L$6:$L$300&lt;&gt;1),--($C$6:$C$300=$C99),$E$6:$E$300)/N99))</f>
        <v>456.23837953953682</v>
      </c>
      <c r="Q99" s="2">
        <f t="shared" si="4"/>
        <v>120.20956565290805</v>
      </c>
      <c r="R99" s="2">
        <f t="shared" si="4"/>
        <v>1289.5955847737582</v>
      </c>
      <c r="S99" s="2">
        <f t="shared" si="14"/>
        <v>555.17757921613497</v>
      </c>
    </row>
    <row r="100" spans="2:19" x14ac:dyDescent="0.3">
      <c r="B100" s="9">
        <v>957</v>
      </c>
      <c r="C100" s="9">
        <v>6</v>
      </c>
      <c r="D100" s="8" t="s">
        <v>137</v>
      </c>
      <c r="E100" s="125">
        <f>INDEX('Revised 2018 Lockdown'!H$5:H$253,MATCH(B100,'Revised 2018 Lockdown'!B$5:B$253,0))</f>
        <v>104.75698604959862</v>
      </c>
      <c r="F100" s="7">
        <f>INDEX('Revised 2018 Lockdown'!E$5:E$253,MATCH(B100,'Revised 2018 Lockdown'!B$5:B$253,0))</f>
        <v>36421.629999999997</v>
      </c>
      <c r="G100" s="7">
        <f>INDEX('Revised 2018 Lockdown'!F$5:F$253,MATCH(B100,'Revised 2018 Lockdown'!B$5:B$253,0))</f>
        <v>0</v>
      </c>
      <c r="H100" s="7">
        <f t="shared" si="8"/>
        <v>36421.629999999997</v>
      </c>
      <c r="I100" s="6">
        <f t="shared" si="9"/>
        <v>347.67733755489758</v>
      </c>
      <c r="J100" s="6">
        <f t="shared" si="12"/>
        <v>347.67733755489758</v>
      </c>
      <c r="K100" s="5">
        <f t="shared" si="10"/>
        <v>36421.629999999997</v>
      </c>
      <c r="L100" s="4">
        <f t="shared" si="11"/>
        <v>0</v>
      </c>
      <c r="M100" s="2" cm="1">
        <f t="array" ref="M100">SUMPRODUCT(--($L$6:$L$300&lt;&gt;1),--($C$6:$C$300=$C100),$H$6:$H$300)/SUMPRODUCT(--($L$6:$L$300&lt;&gt;1),--($C$6:$C$300=$C100),$E$6:$E$300)</f>
        <v>704.90257521333319</v>
      </c>
      <c r="N100" s="1" cm="1">
        <f t="array" ref="N100">SUMPRODUCT(--($L$6:$L$300&lt;&gt;1),--($C$6:$C$300=$C100))</f>
        <v>47</v>
      </c>
      <c r="O100" s="3">
        <f t="shared" si="13"/>
        <v>127609.87042012581</v>
      </c>
      <c r="P100" s="2" cm="1">
        <f t="array" ref="P100">SQRT(SUMPRODUCT(--($L$6:$L$300&lt;&gt;1),--($C$6:$C$300=$C100),$E$6:$E$300,$O$6:$O$300)/((N100-1)*SUMPRODUCT(--($L$6:$L$300&lt;&gt;1),--($C$6:$C$300=$C100),$E$6:$E$300)/N100))</f>
        <v>456.23837953953682</v>
      </c>
      <c r="Q100" s="2">
        <f t="shared" si="4"/>
        <v>120.20956565290805</v>
      </c>
      <c r="R100" s="2">
        <f t="shared" si="4"/>
        <v>1289.5955847737582</v>
      </c>
      <c r="S100" s="2">
        <f t="shared" si="14"/>
        <v>347.67733755489758</v>
      </c>
    </row>
    <row r="101" spans="2:19" x14ac:dyDescent="0.3">
      <c r="B101" s="9">
        <v>959</v>
      </c>
      <c r="C101" s="9">
        <v>6</v>
      </c>
      <c r="D101" s="8" t="s">
        <v>138</v>
      </c>
      <c r="E101" s="125">
        <f>INDEX('Revised 2018 Lockdown'!H$5:H$253,MATCH(B101,'Revised 2018 Lockdown'!B$5:B$253,0))</f>
        <v>326.68938879207468</v>
      </c>
      <c r="F101" s="7">
        <f>INDEX('Revised 2018 Lockdown'!E$5:E$253,MATCH(B101,'Revised 2018 Lockdown'!B$5:B$253,0))</f>
        <v>116655.66</v>
      </c>
      <c r="G101" s="7">
        <f>INDEX('Revised 2018 Lockdown'!F$5:F$253,MATCH(B101,'Revised 2018 Lockdown'!B$5:B$253,0))</f>
        <v>240.45</v>
      </c>
      <c r="H101" s="7">
        <f t="shared" si="8"/>
        <v>116415.21</v>
      </c>
      <c r="I101" s="6">
        <f t="shared" si="9"/>
        <v>356.34830512996501</v>
      </c>
      <c r="J101" s="6">
        <f t="shared" si="12"/>
        <v>356.34830512996501</v>
      </c>
      <c r="K101" s="5">
        <f t="shared" si="10"/>
        <v>116415.21</v>
      </c>
      <c r="L101" s="4">
        <f t="shared" si="11"/>
        <v>0</v>
      </c>
      <c r="M101" s="2" cm="1">
        <f t="array" ref="M101">SUMPRODUCT(--($L$6:$L$300&lt;&gt;1),--($C$6:$C$300=$C101),$H$6:$H$300)/SUMPRODUCT(--($L$6:$L$300&lt;&gt;1),--($C$6:$C$300=$C101),$E$6:$E$300)</f>
        <v>704.90257521333319</v>
      </c>
      <c r="N101" s="1" cm="1">
        <f t="array" ref="N101">SUMPRODUCT(--($L$6:$L$300&lt;&gt;1),--($C$6:$C$300=$C101))</f>
        <v>47</v>
      </c>
      <c r="O101" s="3">
        <f t="shared" si="13"/>
        <v>121490.07919334956</v>
      </c>
      <c r="P101" s="2" cm="1">
        <f t="array" ref="P101">SQRT(SUMPRODUCT(--($L$6:$L$300&lt;&gt;1),--($C$6:$C$300=$C101),$E$6:$E$300,$O$6:$O$300)/((N101-1)*SUMPRODUCT(--($L$6:$L$300&lt;&gt;1),--($C$6:$C$300=$C101),$E$6:$E$300)/N101))</f>
        <v>456.23837953953682</v>
      </c>
      <c r="Q101" s="2">
        <f t="shared" si="4"/>
        <v>120.20956565290805</v>
      </c>
      <c r="R101" s="2">
        <f t="shared" si="4"/>
        <v>1289.5955847737582</v>
      </c>
      <c r="S101" s="2">
        <f t="shared" si="14"/>
        <v>356.34830512996501</v>
      </c>
    </row>
    <row r="102" spans="2:19" x14ac:dyDescent="0.3">
      <c r="B102" s="36">
        <v>969</v>
      </c>
      <c r="C102" s="36">
        <v>6</v>
      </c>
      <c r="D102" s="37" t="s">
        <v>139</v>
      </c>
      <c r="E102" s="125">
        <f>INDEX('Revised 2018 Lockdown'!H$5:H$253,MATCH(B102,'Revised 2018 Lockdown'!B$5:B$253,0))</f>
        <v>21.452324077887976</v>
      </c>
      <c r="F102" s="7">
        <f>INDEX('Revised 2018 Lockdown'!E$5:E$253,MATCH(B102,'Revised 2018 Lockdown'!B$5:B$253,0))</f>
        <v>66251.19</v>
      </c>
      <c r="G102" s="7">
        <f>INDEX('Revised 2018 Lockdown'!F$5:F$253,MATCH(B102,'Revised 2018 Lockdown'!B$5:B$253,0))</f>
        <v>0</v>
      </c>
      <c r="H102" s="7">
        <f t="shared" si="8"/>
        <v>66251.19</v>
      </c>
      <c r="I102" s="6">
        <f t="shared" si="9"/>
        <v>3088.2989535053939</v>
      </c>
      <c r="J102" s="6">
        <f t="shared" si="12"/>
        <v>1289.5955847737582</v>
      </c>
      <c r="K102" s="5">
        <f t="shared" si="10"/>
        <v>27664.822413980117</v>
      </c>
      <c r="L102" s="4">
        <f t="shared" si="11"/>
        <v>0</v>
      </c>
      <c r="M102" s="2" cm="1">
        <f t="array" ref="M102">SUMPRODUCT(--($L$6:$L$300&lt;&gt;1),--($C$6:$C$300=$C102),$H$6:$H$300)/SUMPRODUCT(--($L$6:$L$300&lt;&gt;1),--($C$6:$C$300=$C102),$E$6:$E$300)</f>
        <v>704.90257521333319</v>
      </c>
      <c r="N102" s="1" cm="1">
        <f t="array" ref="N102">SUMPRODUCT(--($L$6:$L$300&lt;&gt;1),--($C$6:$C$300=$C102))</f>
        <v>47</v>
      </c>
      <c r="O102" s="3">
        <f t="shared" si="13"/>
        <v>5680578.2960557127</v>
      </c>
      <c r="P102" s="2" cm="1">
        <f t="array" ref="P102">SQRT(SUMPRODUCT(--($L$6:$L$300&lt;&gt;1),--($C$6:$C$300=$C102),$E$6:$E$300,$O$6:$O$300)/((N102-1)*SUMPRODUCT(--($L$6:$L$300&lt;&gt;1),--($C$6:$C$300=$C102),$E$6:$E$300)/N102))</f>
        <v>456.23837953953682</v>
      </c>
      <c r="Q102" s="2">
        <f t="shared" si="4"/>
        <v>120.20956565290805</v>
      </c>
      <c r="R102" s="2">
        <f t="shared" si="4"/>
        <v>1289.5955847737582</v>
      </c>
      <c r="S102" s="2">
        <f t="shared" si="14"/>
        <v>1289.5955847737582</v>
      </c>
    </row>
    <row r="103" spans="2:19" x14ac:dyDescent="0.3">
      <c r="B103" s="36">
        <v>970</v>
      </c>
      <c r="C103" s="36">
        <v>6</v>
      </c>
      <c r="D103" s="37" t="s">
        <v>140</v>
      </c>
      <c r="E103" s="125">
        <f>INDEX('Revised 2018 Lockdown'!H$5:H$253,MATCH(B103,'Revised 2018 Lockdown'!B$5:B$253,0))</f>
        <v>167.59129758245945</v>
      </c>
      <c r="F103" s="7">
        <f>INDEX('Revised 2018 Lockdown'!E$5:E$253,MATCH(B103,'Revised 2018 Lockdown'!B$5:B$253,0))</f>
        <v>72830</v>
      </c>
      <c r="G103" s="7">
        <f>INDEX('Revised 2018 Lockdown'!F$5:F$253,MATCH(B103,'Revised 2018 Lockdown'!B$5:B$253,0))</f>
        <v>408</v>
      </c>
      <c r="H103" s="7">
        <f t="shared" si="8"/>
        <v>72422</v>
      </c>
      <c r="I103" s="6">
        <f t="shared" si="9"/>
        <v>432.134609879528</v>
      </c>
      <c r="J103" s="6">
        <f t="shared" si="12"/>
        <v>432.134609879528</v>
      </c>
      <c r="K103" s="5">
        <f t="shared" si="10"/>
        <v>72422</v>
      </c>
      <c r="L103" s="4">
        <f t="shared" si="11"/>
        <v>0</v>
      </c>
      <c r="M103" s="2" cm="1">
        <f t="array" ref="M103">SUMPRODUCT(--($L$6:$L$300&lt;&gt;1),--($C$6:$C$300=$C103),$H$6:$H$300)/SUMPRODUCT(--($L$6:$L$300&lt;&gt;1),--($C$6:$C$300=$C103),$E$6:$E$300)</f>
        <v>704.90257521333319</v>
      </c>
      <c r="N103" s="1" cm="1">
        <f t="array" ref="N103">SUMPRODUCT(--($L$6:$L$300&lt;&gt;1),--($C$6:$C$300=$C103))</f>
        <v>47</v>
      </c>
      <c r="O103" s="3">
        <f t="shared" si="13"/>
        <v>74402.362912343946</v>
      </c>
      <c r="P103" s="2" cm="1">
        <f t="array" ref="P103">SQRT(SUMPRODUCT(--($L$6:$L$300&lt;&gt;1),--($C$6:$C$300=$C103),$E$6:$E$300,$O$6:$O$300)/((N103-1)*SUMPRODUCT(--($L$6:$L$300&lt;&gt;1),--($C$6:$C$300=$C103),$E$6:$E$300)/N103))</f>
        <v>456.23837953953682</v>
      </c>
      <c r="Q103" s="2">
        <f t="shared" si="4"/>
        <v>120.20956565290805</v>
      </c>
      <c r="R103" s="2">
        <f t="shared" si="4"/>
        <v>1289.5955847737582</v>
      </c>
      <c r="S103" s="2">
        <f t="shared" si="14"/>
        <v>432.134609879528</v>
      </c>
    </row>
    <row r="104" spans="2:19" x14ac:dyDescent="0.3">
      <c r="B104" s="36">
        <v>978</v>
      </c>
      <c r="C104" s="36">
        <v>6</v>
      </c>
      <c r="D104" s="37" t="s">
        <v>252</v>
      </c>
      <c r="E104" s="125">
        <f>INDEX('Revised 2018 Lockdown'!H$5:H$253,MATCH(B104,'Revised 2018 Lockdown'!B$5:B$253,0))</f>
        <v>0</v>
      </c>
      <c r="F104" s="7">
        <f>INDEX('Revised 2018 Lockdown'!E$5:E$253,MATCH(B104,'Revised 2018 Lockdown'!B$5:B$253,0))</f>
        <v>31329.48</v>
      </c>
      <c r="G104" s="7">
        <f>INDEX('Revised 2018 Lockdown'!F$5:F$253,MATCH(B104,'Revised 2018 Lockdown'!B$5:B$253,0))</f>
        <v>0</v>
      </c>
      <c r="H104" s="7">
        <f t="shared" si="8"/>
        <v>31329.48</v>
      </c>
      <c r="I104" s="6" t="e">
        <f t="shared" si="9"/>
        <v>#DIV/0!</v>
      </c>
      <c r="J104" s="6">
        <f t="shared" si="12"/>
        <v>1289.5955847737582</v>
      </c>
      <c r="K104" s="5">
        <f t="shared" si="10"/>
        <v>0</v>
      </c>
      <c r="L104" s="4">
        <f t="shared" si="11"/>
        <v>1</v>
      </c>
      <c r="M104" s="2" cm="1">
        <f t="array" ref="M104">SUMPRODUCT(--($L$6:$L$300&lt;&gt;1),--($C$6:$C$300=$C104),$H$6:$H$300)/SUMPRODUCT(--($L$6:$L$300&lt;&gt;1),--($C$6:$C$300=$C104),$E$6:$E$300)</f>
        <v>704.90257521333319</v>
      </c>
      <c r="N104" s="1" cm="1">
        <f t="array" ref="N104">SUMPRODUCT(--($L$6:$L$300&lt;&gt;1),--($C$6:$C$300=$C104))</f>
        <v>47</v>
      </c>
      <c r="O104" s="3">
        <f t="shared" si="13"/>
        <v>0</v>
      </c>
      <c r="P104" s="2" cm="1">
        <f t="array" ref="P104">SQRT(SUMPRODUCT(--($L$6:$L$300&lt;&gt;1),--($C$6:$C$300=$C104),$E$6:$E$300,$O$6:$O$300)/((N104-1)*SUMPRODUCT(--($L$6:$L$300&lt;&gt;1),--($C$6:$C$300=$C104),$E$6:$E$300)/N104))</f>
        <v>456.23837953953682</v>
      </c>
      <c r="Q104" s="2">
        <f t="shared" si="4"/>
        <v>120.20956565290805</v>
      </c>
      <c r="R104" s="2">
        <f t="shared" si="4"/>
        <v>1289.5955847737582</v>
      </c>
      <c r="S104" s="2">
        <f t="shared" si="14"/>
        <v>1289.5955847737582</v>
      </c>
    </row>
    <row r="105" spans="2:19" x14ac:dyDescent="0.3">
      <c r="B105" s="36">
        <v>980</v>
      </c>
      <c r="C105" s="36">
        <v>6</v>
      </c>
      <c r="D105" s="37" t="s">
        <v>141</v>
      </c>
      <c r="E105" s="125">
        <f>INDEX('Revised 2018 Lockdown'!H$5:H$253,MATCH(B105,'Revised 2018 Lockdown'!B$5:B$253,0))</f>
        <v>38.773680173491201</v>
      </c>
      <c r="F105" s="7">
        <f>INDEX('Revised 2018 Lockdown'!E$5:E$253,MATCH(B105,'Revised 2018 Lockdown'!B$5:B$253,0))</f>
        <v>37348.19</v>
      </c>
      <c r="G105" s="7">
        <f>INDEX('Revised 2018 Lockdown'!F$5:F$253,MATCH(B105,'Revised 2018 Lockdown'!B$5:B$253,0))</f>
        <v>0</v>
      </c>
      <c r="H105" s="7">
        <f t="shared" si="8"/>
        <v>37348.19</v>
      </c>
      <c r="I105" s="6">
        <f t="shared" si="9"/>
        <v>963.23562356957336</v>
      </c>
      <c r="J105" s="6">
        <f t="shared" si="12"/>
        <v>963.23562356957336</v>
      </c>
      <c r="K105" s="5">
        <f t="shared" si="10"/>
        <v>37348.19</v>
      </c>
      <c r="L105" s="4">
        <f t="shared" si="11"/>
        <v>0</v>
      </c>
      <c r="M105" s="2" cm="1">
        <f t="array" ref="M105">SUMPRODUCT(--($L$6:$L$300&lt;&gt;1),--($C$6:$C$300=$C105),$H$6:$H$300)/SUMPRODUCT(--($L$6:$L$300&lt;&gt;1),--($C$6:$C$300=$C105),$E$6:$E$300)</f>
        <v>704.90257521333319</v>
      </c>
      <c r="N105" s="1" cm="1">
        <f t="array" ref="N105">SUMPRODUCT(--($L$6:$L$300&lt;&gt;1),--($C$6:$C$300=$C105))</f>
        <v>47</v>
      </c>
      <c r="O105" s="3">
        <f t="shared" si="13"/>
        <v>66735.963873027518</v>
      </c>
      <c r="P105" s="2" cm="1">
        <f t="array" ref="P105">SQRT(SUMPRODUCT(--($L$6:$L$300&lt;&gt;1),--($C$6:$C$300=$C105),$E$6:$E$300,$O$6:$O$300)/((N105-1)*SUMPRODUCT(--($L$6:$L$300&lt;&gt;1),--($C$6:$C$300=$C105),$E$6:$E$300)/N105))</f>
        <v>456.23837953953682</v>
      </c>
      <c r="Q105" s="2">
        <f t="shared" si="4"/>
        <v>120.20956565290805</v>
      </c>
      <c r="R105" s="2">
        <f t="shared" si="4"/>
        <v>1289.5955847737582</v>
      </c>
      <c r="S105" s="2">
        <f t="shared" si="14"/>
        <v>963.23562356957336</v>
      </c>
    </row>
    <row r="106" spans="2:19" x14ac:dyDescent="0.3">
      <c r="B106" s="9">
        <v>986</v>
      </c>
      <c r="C106" s="9">
        <v>6</v>
      </c>
      <c r="D106" s="8" t="s">
        <v>142</v>
      </c>
      <c r="E106" s="125">
        <f>INDEX('Revised 2018 Lockdown'!H$5:H$253,MATCH(B106,'Revised 2018 Lockdown'!B$5:B$253,0))</f>
        <v>8.1183888146059324</v>
      </c>
      <c r="F106" s="7">
        <f>INDEX('Revised 2018 Lockdown'!E$5:E$253,MATCH(B106,'Revised 2018 Lockdown'!B$5:B$253,0))</f>
        <v>42773.26</v>
      </c>
      <c r="G106" s="7">
        <f>INDEX('Revised 2018 Lockdown'!F$5:F$253,MATCH(B106,'Revised 2018 Lockdown'!B$5:B$253,0))</f>
        <v>0</v>
      </c>
      <c r="H106" s="7">
        <f t="shared" si="8"/>
        <v>42773.26</v>
      </c>
      <c r="I106" s="6">
        <f t="shared" si="9"/>
        <v>5268.6882800003241</v>
      </c>
      <c r="J106" s="6">
        <f t="shared" si="12"/>
        <v>1289.5955847737582</v>
      </c>
      <c r="K106" s="5">
        <f t="shared" si="10"/>
        <v>10469.438370792475</v>
      </c>
      <c r="L106" s="4">
        <f t="shared" si="11"/>
        <v>0</v>
      </c>
      <c r="M106" s="2" cm="1">
        <f t="array" ref="M106">SUMPRODUCT(--($L$6:$L$300&lt;&gt;1),--($C$6:$C$300=$C106),$H$6:$H$300)/SUMPRODUCT(--($L$6:$L$300&lt;&gt;1),--($C$6:$C$300=$C106),$E$6:$E$300)</f>
        <v>704.90257521333319</v>
      </c>
      <c r="N106" s="1" cm="1">
        <f t="array" ref="N106">SUMPRODUCT(--($L$6:$L$300&lt;&gt;1),--($C$6:$C$300=$C106))</f>
        <v>47</v>
      </c>
      <c r="O106" s="3">
        <f t="shared" si="13"/>
        <v>20828139.959218092</v>
      </c>
      <c r="P106" s="2" cm="1">
        <f t="array" ref="P106">SQRT(SUMPRODUCT(--($L$6:$L$300&lt;&gt;1),--($C$6:$C$300=$C106),$E$6:$E$300,$O$6:$O$300)/((N106-1)*SUMPRODUCT(--($L$6:$L$300&lt;&gt;1),--($C$6:$C$300=$C106),$E$6:$E$300)/N106))</f>
        <v>456.23837953953682</v>
      </c>
      <c r="Q106" s="2">
        <f t="shared" si="4"/>
        <v>120.20956565290805</v>
      </c>
      <c r="R106" s="2">
        <f t="shared" si="4"/>
        <v>1289.5955847737582</v>
      </c>
      <c r="S106" s="2">
        <f t="shared" si="14"/>
        <v>1289.5955847737582</v>
      </c>
    </row>
    <row r="107" spans="2:19" x14ac:dyDescent="0.3">
      <c r="B107" s="9">
        <v>988</v>
      </c>
      <c r="C107" s="9">
        <v>6</v>
      </c>
      <c r="D107" s="8" t="s">
        <v>143</v>
      </c>
      <c r="E107" s="125">
        <f>INDEX('Revised 2018 Lockdown'!H$5:H$253,MATCH(B107,'Revised 2018 Lockdown'!B$5:B$253,0))</f>
        <v>144.72280873805704</v>
      </c>
      <c r="F107" s="7">
        <f>INDEX('Revised 2018 Lockdown'!E$5:E$253,MATCH(B107,'Revised 2018 Lockdown'!B$5:B$253,0))</f>
        <v>80859.64</v>
      </c>
      <c r="G107" s="7">
        <f>INDEX('Revised 2018 Lockdown'!F$5:F$253,MATCH(B107,'Revised 2018 Lockdown'!B$5:B$253,0))</f>
        <v>155</v>
      </c>
      <c r="H107" s="7">
        <f t="shared" si="8"/>
        <v>80704.639999999999</v>
      </c>
      <c r="I107" s="6">
        <f t="shared" si="9"/>
        <v>557.64976304510799</v>
      </c>
      <c r="J107" s="6">
        <f t="shared" si="12"/>
        <v>557.64976304510799</v>
      </c>
      <c r="K107" s="5">
        <f t="shared" si="10"/>
        <v>80704.639999999999</v>
      </c>
      <c r="L107" s="4">
        <f t="shared" si="11"/>
        <v>0</v>
      </c>
      <c r="M107" s="2" cm="1">
        <f t="array" ref="M107">SUMPRODUCT(--($L$6:$L$300&lt;&gt;1),--($C$6:$C$300=$C107),$H$6:$H$300)/SUMPRODUCT(--($L$6:$L$300&lt;&gt;1),--($C$6:$C$300=$C107),$E$6:$E$300)</f>
        <v>704.90257521333319</v>
      </c>
      <c r="N107" s="1" cm="1">
        <f t="array" ref="N107">SUMPRODUCT(--($L$6:$L$300&lt;&gt;1),--($C$6:$C$300=$C107))</f>
        <v>47</v>
      </c>
      <c r="O107" s="3">
        <f t="shared" si="13"/>
        <v>21683.390691450611</v>
      </c>
      <c r="P107" s="2" cm="1">
        <f t="array" ref="P107">SQRT(SUMPRODUCT(--($L$6:$L$300&lt;&gt;1),--($C$6:$C$300=$C107),$E$6:$E$300,$O$6:$O$300)/((N107-1)*SUMPRODUCT(--($L$6:$L$300&lt;&gt;1),--($C$6:$C$300=$C107),$E$6:$E$300)/N107))</f>
        <v>456.23837953953682</v>
      </c>
      <c r="Q107" s="2">
        <f t="shared" si="4"/>
        <v>120.20956565290805</v>
      </c>
      <c r="R107" s="2">
        <f t="shared" si="4"/>
        <v>1289.5955847737582</v>
      </c>
      <c r="S107" s="2">
        <f t="shared" si="14"/>
        <v>557.64976304510799</v>
      </c>
    </row>
    <row r="108" spans="2:19" x14ac:dyDescent="0.3">
      <c r="B108" s="9">
        <v>989</v>
      </c>
      <c r="C108" s="9">
        <v>6</v>
      </c>
      <c r="D108" s="8" t="s">
        <v>144</v>
      </c>
      <c r="E108" s="125">
        <f>INDEX('Revised 2018 Lockdown'!H$5:H$253,MATCH(B108,'Revised 2018 Lockdown'!B$5:B$253,0))</f>
        <v>456.51183625078789</v>
      </c>
      <c r="F108" s="7">
        <f>INDEX('Revised 2018 Lockdown'!E$5:E$253,MATCH(B108,'Revised 2018 Lockdown'!B$5:B$253,0))</f>
        <v>290194.07</v>
      </c>
      <c r="G108" s="7">
        <f>INDEX('Revised 2018 Lockdown'!F$5:F$253,MATCH(B108,'Revised 2018 Lockdown'!B$5:B$253,0))</f>
        <v>36564.799999999996</v>
      </c>
      <c r="H108" s="7">
        <f t="shared" si="8"/>
        <v>253629.27000000002</v>
      </c>
      <c r="I108" s="6">
        <f t="shared" si="9"/>
        <v>555.58092881663435</v>
      </c>
      <c r="J108" s="6">
        <f t="shared" si="12"/>
        <v>555.58092881663435</v>
      </c>
      <c r="K108" s="5">
        <f t="shared" si="10"/>
        <v>253629.27000000002</v>
      </c>
      <c r="L108" s="4">
        <f t="shared" si="11"/>
        <v>0</v>
      </c>
      <c r="M108" s="2" cm="1">
        <f t="array" ref="M108">SUMPRODUCT(--($L$6:$L$300&lt;&gt;1),--($C$6:$C$300=$C108),$H$6:$H$300)/SUMPRODUCT(--($L$6:$L$300&lt;&gt;1),--($C$6:$C$300=$C108),$E$6:$E$300)</f>
        <v>704.90257521333319</v>
      </c>
      <c r="N108" s="1" cm="1">
        <f t="array" ref="N108">SUMPRODUCT(--($L$6:$L$300&lt;&gt;1),--($C$6:$C$300=$C108))</f>
        <v>47</v>
      </c>
      <c r="O108" s="3">
        <f t="shared" si="13"/>
        <v>22296.954082620763</v>
      </c>
      <c r="P108" s="2" cm="1">
        <f t="array" ref="P108">SQRT(SUMPRODUCT(--($L$6:$L$300&lt;&gt;1),--($C$6:$C$300=$C108),$E$6:$E$300,$O$6:$O$300)/((N108-1)*SUMPRODUCT(--($L$6:$L$300&lt;&gt;1),--($C$6:$C$300=$C108),$E$6:$E$300)/N108))</f>
        <v>456.23837953953682</v>
      </c>
      <c r="Q108" s="2">
        <f t="shared" si="4"/>
        <v>120.20956565290805</v>
      </c>
      <c r="R108" s="2">
        <f t="shared" si="4"/>
        <v>1289.5955847737582</v>
      </c>
      <c r="S108" s="2">
        <f t="shared" si="14"/>
        <v>555.58092881663435</v>
      </c>
    </row>
    <row r="109" spans="2:19" x14ac:dyDescent="0.3">
      <c r="B109" s="9">
        <v>39</v>
      </c>
      <c r="C109" s="9">
        <v>7</v>
      </c>
      <c r="D109" s="8" t="s">
        <v>145</v>
      </c>
      <c r="E109" s="125">
        <f>INDEX('Revised 2018 Lockdown'!H$5:H$253,MATCH(B109,'Revised 2018 Lockdown'!B$5:B$253,0))</f>
        <v>383.36</v>
      </c>
      <c r="F109" s="7">
        <f>INDEX('Revised 2018 Lockdown'!E$5:E$253,MATCH(B109,'Revised 2018 Lockdown'!B$5:B$253,0))</f>
        <v>108160.35</v>
      </c>
      <c r="G109" s="7">
        <f>INDEX('Revised 2018 Lockdown'!F$5:F$253,MATCH(B109,'Revised 2018 Lockdown'!B$5:B$253,0))</f>
        <v>1756.13</v>
      </c>
      <c r="H109" s="7">
        <f t="shared" si="8"/>
        <v>106404.22</v>
      </c>
      <c r="I109" s="6">
        <f t="shared" si="9"/>
        <v>277.55691777963273</v>
      </c>
      <c r="J109" s="6">
        <f t="shared" si="12"/>
        <v>277.55691777963273</v>
      </c>
      <c r="K109" s="5">
        <f t="shared" si="10"/>
        <v>106404.22</v>
      </c>
      <c r="L109" s="4">
        <f t="shared" si="11"/>
        <v>0</v>
      </c>
      <c r="M109" s="2" cm="1">
        <f t="array" ref="M109">SUMPRODUCT(--($L$6:$L$300&lt;&gt;1),--($C$6:$C$300=$C109),$H$6:$H$300)/SUMPRODUCT(--($L$6:$L$300&lt;&gt;1),--($C$6:$C$300=$C109),$E$6:$E$300)</f>
        <v>477.53718767922453</v>
      </c>
      <c r="N109" s="1" cm="1">
        <f t="array" ref="N109">SUMPRODUCT(--($L$6:$L$300&lt;&gt;1),--($C$6:$C$300=$C109))</f>
        <v>66</v>
      </c>
      <c r="O109" s="3">
        <f t="shared" si="13"/>
        <v>39992.108349113587</v>
      </c>
      <c r="P109" s="2" cm="1">
        <f t="array" ref="P109">SQRT(SUMPRODUCT(--($L$6:$L$300&lt;&gt;1),--($C$6:$C$300=$C109),$E$6:$E$300,$O$6:$O$300)/((N109-1)*SUMPRODUCT(--($L$6:$L$300&lt;&gt;1),--($C$6:$C$300=$C109),$E$6:$E$300)/N109))</f>
        <v>192.45445155677626</v>
      </c>
      <c r="Q109" s="2">
        <f t="shared" si="4"/>
        <v>230.89688399061041</v>
      </c>
      <c r="R109" s="2">
        <f t="shared" si="4"/>
        <v>724.17749136783868</v>
      </c>
      <c r="S109" s="2">
        <f t="shared" si="14"/>
        <v>277.55691777963273</v>
      </c>
    </row>
    <row r="110" spans="2:19" x14ac:dyDescent="0.3">
      <c r="B110" s="9">
        <v>59</v>
      </c>
      <c r="C110" s="9">
        <v>7</v>
      </c>
      <c r="D110" s="8" t="s">
        <v>146</v>
      </c>
      <c r="E110" s="125">
        <f>INDEX('Revised 2018 Lockdown'!H$5:H$253,MATCH(B110,'Revised 2018 Lockdown'!B$5:B$253,0))</f>
        <v>233.31196774077719</v>
      </c>
      <c r="F110" s="7">
        <f>INDEX('Revised 2018 Lockdown'!E$5:E$253,MATCH(B110,'Revised 2018 Lockdown'!B$5:B$253,0))</f>
        <v>172265.9</v>
      </c>
      <c r="G110" s="7">
        <f>INDEX('Revised 2018 Lockdown'!F$5:F$253,MATCH(B110,'Revised 2018 Lockdown'!B$5:B$253,0))</f>
        <v>0</v>
      </c>
      <c r="H110" s="7">
        <f t="shared" si="8"/>
        <v>172265.9</v>
      </c>
      <c r="I110" s="6">
        <f t="shared" si="9"/>
        <v>738.35003694022748</v>
      </c>
      <c r="J110" s="6">
        <f t="shared" si="12"/>
        <v>724.17749136783868</v>
      </c>
      <c r="K110" s="5">
        <f t="shared" si="10"/>
        <v>168959.27550461012</v>
      </c>
      <c r="L110" s="4">
        <f t="shared" si="11"/>
        <v>0</v>
      </c>
      <c r="M110" s="2" cm="1">
        <f t="array" ref="M110">SUMPRODUCT(--($L$6:$L$300&lt;&gt;1),--($C$6:$C$300=$C110),$H$6:$H$300)/SUMPRODUCT(--($L$6:$L$300&lt;&gt;1),--($C$6:$C$300=$C110),$E$6:$E$300)</f>
        <v>477.53718767922453</v>
      </c>
      <c r="N110" s="1" cm="1">
        <f t="array" ref="N110">SUMPRODUCT(--($L$6:$L$300&lt;&gt;1),--($C$6:$C$300=$C110))</f>
        <v>66</v>
      </c>
      <c r="O110" s="3">
        <f t="shared" si="13"/>
        <v>68023.342339642651</v>
      </c>
      <c r="P110" s="2" cm="1">
        <f t="array" ref="P110">SQRT(SUMPRODUCT(--($L$6:$L$300&lt;&gt;1),--($C$6:$C$300=$C110),$E$6:$E$300,$O$6:$O$300)/((N110-1)*SUMPRODUCT(--($L$6:$L$300&lt;&gt;1),--($C$6:$C$300=$C110),$E$6:$E$300)/N110))</f>
        <v>192.45445155677626</v>
      </c>
      <c r="Q110" s="2">
        <f t="shared" si="4"/>
        <v>230.89688399061041</v>
      </c>
      <c r="R110" s="2">
        <f t="shared" si="4"/>
        <v>724.17749136783868</v>
      </c>
      <c r="S110" s="2">
        <f t="shared" si="14"/>
        <v>724.17749136783868</v>
      </c>
    </row>
    <row r="111" spans="2:19" x14ac:dyDescent="0.3">
      <c r="B111" s="9">
        <v>100</v>
      </c>
      <c r="C111" s="9">
        <v>7</v>
      </c>
      <c r="D111" s="8" t="s">
        <v>254</v>
      </c>
      <c r="E111" s="125">
        <f>INDEX('Revised 2018 Lockdown'!H$5:H$253,MATCH(B111,'Revised 2018 Lockdown'!B$5:B$253,0))</f>
        <v>31.644171725300925</v>
      </c>
      <c r="F111" s="7">
        <f>INDEX('Revised 2018 Lockdown'!E$5:E$253,MATCH(B111,'Revised 2018 Lockdown'!B$5:B$253,0))</f>
        <v>30401.27</v>
      </c>
      <c r="G111" s="7">
        <f>INDEX('Revised 2018 Lockdown'!F$5:F$253,MATCH(B111,'Revised 2018 Lockdown'!B$5:B$253,0))</f>
        <v>0</v>
      </c>
      <c r="H111" s="7">
        <f t="shared" si="8"/>
        <v>30401.27</v>
      </c>
      <c r="I111" s="6">
        <f t="shared" si="9"/>
        <v>960.72257045972322</v>
      </c>
      <c r="J111" s="6">
        <f t="shared" si="12"/>
        <v>724.17749136783868</v>
      </c>
      <c r="K111" s="5">
        <f t="shared" si="10"/>
        <v>22915.996896441517</v>
      </c>
      <c r="L111" s="4">
        <f t="shared" si="11"/>
        <v>0</v>
      </c>
      <c r="M111" s="2" cm="1">
        <f t="array" ref="M111">SUMPRODUCT(--($L$6:$L$300&lt;&gt;1),--($C$6:$C$300=$C111),$H$6:$H$300)/SUMPRODUCT(--($L$6:$L$300&lt;&gt;1),--($C$6:$C$300=$C111),$E$6:$E$300)</f>
        <v>477.53718767922453</v>
      </c>
      <c r="N111" s="1" cm="1">
        <f t="array" ref="N111">SUMPRODUCT(--($L$6:$L$300&lt;&gt;1),--($C$6:$C$300=$C111))</f>
        <v>66</v>
      </c>
      <c r="O111" s="3">
        <f t="shared" si="13"/>
        <v>233468.11413273704</v>
      </c>
      <c r="P111" s="2" cm="1">
        <f t="array" ref="P111">SQRT(SUMPRODUCT(--($L$6:$L$300&lt;&gt;1),--($C$6:$C$300=$C111),$E$6:$E$300,$O$6:$O$300)/((N111-1)*SUMPRODUCT(--($L$6:$L$300&lt;&gt;1),--($C$6:$C$300=$C111),$E$6:$E$300)/N111))</f>
        <v>192.45445155677626</v>
      </c>
      <c r="Q111" s="2">
        <f t="shared" si="4"/>
        <v>230.89688399061041</v>
      </c>
      <c r="R111" s="2">
        <f t="shared" si="4"/>
        <v>724.17749136783868</v>
      </c>
      <c r="S111" s="2">
        <f t="shared" si="14"/>
        <v>724.17749136783868</v>
      </c>
    </row>
    <row r="112" spans="2:19" x14ac:dyDescent="0.3">
      <c r="B112" s="9">
        <v>128</v>
      </c>
      <c r="C112" s="9">
        <v>7</v>
      </c>
      <c r="D112" s="8" t="s">
        <v>147</v>
      </c>
      <c r="E112" s="125">
        <f>INDEX('Revised 2018 Lockdown'!H$5:H$253,MATCH(B112,'Revised 2018 Lockdown'!B$5:B$253,0))</f>
        <v>144.8151497882408</v>
      </c>
      <c r="F112" s="7">
        <f>INDEX('Revised 2018 Lockdown'!E$5:E$253,MATCH(B112,'Revised 2018 Lockdown'!B$5:B$253,0))</f>
        <v>96271.57</v>
      </c>
      <c r="G112" s="7">
        <f>INDEX('Revised 2018 Lockdown'!F$5:F$253,MATCH(B112,'Revised 2018 Lockdown'!B$5:B$253,0))</f>
        <v>119.44</v>
      </c>
      <c r="H112" s="7">
        <f t="shared" si="8"/>
        <v>96152.13</v>
      </c>
      <c r="I112" s="6">
        <f t="shared" si="9"/>
        <v>663.96457926260211</v>
      </c>
      <c r="J112" s="6">
        <f t="shared" si="12"/>
        <v>663.96457926260211</v>
      </c>
      <c r="K112" s="5">
        <f t="shared" si="10"/>
        <v>96152.13</v>
      </c>
      <c r="L112" s="4">
        <f t="shared" si="11"/>
        <v>0</v>
      </c>
      <c r="M112" s="2" cm="1">
        <f t="array" ref="M112">SUMPRODUCT(--($L$6:$L$300&lt;&gt;1),--($C$6:$C$300=$C112),$H$6:$H$300)/SUMPRODUCT(--($L$6:$L$300&lt;&gt;1),--($C$6:$C$300=$C112),$E$6:$E$300)</f>
        <v>477.53718767922453</v>
      </c>
      <c r="N112" s="1" cm="1">
        <f t="array" ref="N112">SUMPRODUCT(--($L$6:$L$300&lt;&gt;1),--($C$6:$C$300=$C112))</f>
        <v>66</v>
      </c>
      <c r="O112" s="3">
        <f t="shared" si="13"/>
        <v>34755.172332582006</v>
      </c>
      <c r="P112" s="2" cm="1">
        <f t="array" ref="P112">SQRT(SUMPRODUCT(--($L$6:$L$300&lt;&gt;1),--($C$6:$C$300=$C112),$E$6:$E$300,$O$6:$O$300)/((N112-1)*SUMPRODUCT(--($L$6:$L$300&lt;&gt;1),--($C$6:$C$300=$C112),$E$6:$E$300)/N112))</f>
        <v>192.45445155677626</v>
      </c>
      <c r="Q112" s="2">
        <f t="shared" si="4"/>
        <v>230.89688399061041</v>
      </c>
      <c r="R112" s="2">
        <f t="shared" si="4"/>
        <v>724.17749136783868</v>
      </c>
      <c r="S112" s="2">
        <f t="shared" si="14"/>
        <v>663.96457926260211</v>
      </c>
    </row>
    <row r="113" spans="2:19" x14ac:dyDescent="0.3">
      <c r="B113" s="9">
        <v>152</v>
      </c>
      <c r="C113" s="9">
        <v>7</v>
      </c>
      <c r="D113" s="8" t="s">
        <v>148</v>
      </c>
      <c r="E113" s="125">
        <f>INDEX('Revised 2018 Lockdown'!H$5:H$253,MATCH(B113,'Revised 2018 Lockdown'!B$5:B$253,0))</f>
        <v>355.34</v>
      </c>
      <c r="F113" s="7">
        <f>INDEX('Revised 2018 Lockdown'!E$5:E$253,MATCH(B113,'Revised 2018 Lockdown'!B$5:B$253,0))</f>
        <v>157814.06</v>
      </c>
      <c r="G113" s="7">
        <f>INDEX('Revised 2018 Lockdown'!F$5:F$253,MATCH(B113,'Revised 2018 Lockdown'!B$5:B$253,0))</f>
        <v>22795.199999999997</v>
      </c>
      <c r="H113" s="7">
        <f t="shared" si="8"/>
        <v>135018.85999999999</v>
      </c>
      <c r="I113" s="6">
        <f t="shared" si="9"/>
        <v>379.97090110879719</v>
      </c>
      <c r="J113" s="6">
        <f t="shared" si="12"/>
        <v>379.97090110879719</v>
      </c>
      <c r="K113" s="5">
        <f t="shared" si="10"/>
        <v>135018.85999999999</v>
      </c>
      <c r="L113" s="4">
        <f t="shared" si="11"/>
        <v>0</v>
      </c>
      <c r="M113" s="2" cm="1">
        <f t="array" ref="M113">SUMPRODUCT(--($L$6:$L$300&lt;&gt;1),--($C$6:$C$300=$C113),$H$6:$H$300)/SUMPRODUCT(--($L$6:$L$300&lt;&gt;1),--($C$6:$C$300=$C113),$E$6:$E$300)</f>
        <v>477.53718767922453</v>
      </c>
      <c r="N113" s="1" cm="1">
        <f t="array" ref="N113">SUMPRODUCT(--($L$6:$L$300&lt;&gt;1),--($C$6:$C$300=$C113))</f>
        <v>66</v>
      </c>
      <c r="O113" s="3">
        <f t="shared" si="13"/>
        <v>9519.1802751427495</v>
      </c>
      <c r="P113" s="2" cm="1">
        <f t="array" ref="P113">SQRT(SUMPRODUCT(--($L$6:$L$300&lt;&gt;1),--($C$6:$C$300=$C113),$E$6:$E$300,$O$6:$O$300)/((N113-1)*SUMPRODUCT(--($L$6:$L$300&lt;&gt;1),--($C$6:$C$300=$C113),$E$6:$E$300)/N113))</f>
        <v>192.45445155677626</v>
      </c>
      <c r="Q113" s="2">
        <f t="shared" si="4"/>
        <v>230.89688399061041</v>
      </c>
      <c r="R113" s="2">
        <f t="shared" si="4"/>
        <v>724.17749136783868</v>
      </c>
      <c r="S113" s="2">
        <f t="shared" si="14"/>
        <v>379.97090110879719</v>
      </c>
    </row>
    <row r="114" spans="2:19" x14ac:dyDescent="0.3">
      <c r="B114" s="9">
        <v>162</v>
      </c>
      <c r="C114" s="9">
        <v>7</v>
      </c>
      <c r="D114" s="8" t="s">
        <v>149</v>
      </c>
      <c r="E114" s="125">
        <f>INDEX('Revised 2018 Lockdown'!H$5:H$253,MATCH(B114,'Revised 2018 Lockdown'!B$5:B$253,0))</f>
        <v>789.80000000000007</v>
      </c>
      <c r="F114" s="7">
        <f>INDEX('Revised 2018 Lockdown'!E$5:E$253,MATCH(B114,'Revised 2018 Lockdown'!B$5:B$253,0))</f>
        <v>386975.44</v>
      </c>
      <c r="G114" s="7">
        <f>INDEX('Revised 2018 Lockdown'!F$5:F$253,MATCH(B114,'Revised 2018 Lockdown'!B$5:B$253,0))</f>
        <v>24452.720000000001</v>
      </c>
      <c r="H114" s="7">
        <f t="shared" si="8"/>
        <v>362522.72</v>
      </c>
      <c r="I114" s="6">
        <f t="shared" si="9"/>
        <v>459.00572296783986</v>
      </c>
      <c r="J114" s="6">
        <f t="shared" si="12"/>
        <v>459.00572296783986</v>
      </c>
      <c r="K114" s="5">
        <f t="shared" si="10"/>
        <v>362522.72</v>
      </c>
      <c r="L114" s="4">
        <f t="shared" si="11"/>
        <v>0</v>
      </c>
      <c r="M114" s="2" cm="1">
        <f t="array" ref="M114">SUMPRODUCT(--($L$6:$L$300&lt;&gt;1),--($C$6:$C$300=$C114),$H$6:$H$300)/SUMPRODUCT(--($L$6:$L$300&lt;&gt;1),--($C$6:$C$300=$C114),$E$6:$E$300)</f>
        <v>477.53718767922453</v>
      </c>
      <c r="N114" s="1" cm="1">
        <f t="array" ref="N114">SUMPRODUCT(--($L$6:$L$300&lt;&gt;1),--($C$6:$C$300=$C114))</f>
        <v>66</v>
      </c>
      <c r="O114" s="3">
        <f t="shared" si="13"/>
        <v>343.41518434929537</v>
      </c>
      <c r="P114" s="2" cm="1">
        <f t="array" ref="P114">SQRT(SUMPRODUCT(--($L$6:$L$300&lt;&gt;1),--($C$6:$C$300=$C114),$E$6:$E$300,$O$6:$O$300)/((N114-1)*SUMPRODUCT(--($L$6:$L$300&lt;&gt;1),--($C$6:$C$300=$C114),$E$6:$E$300)/N114))</f>
        <v>192.45445155677626</v>
      </c>
      <c r="Q114" s="2">
        <f t="shared" si="4"/>
        <v>230.89688399061041</v>
      </c>
      <c r="R114" s="2">
        <f>NORMINV(R$4,$M114,$P114)</f>
        <v>724.17749136783868</v>
      </c>
      <c r="S114" s="2">
        <f t="shared" si="14"/>
        <v>459.00572296783986</v>
      </c>
    </row>
    <row r="115" spans="2:19" x14ac:dyDescent="0.3">
      <c r="B115" s="9">
        <v>166</v>
      </c>
      <c r="C115" s="9">
        <v>7</v>
      </c>
      <c r="D115" s="8" t="s">
        <v>150</v>
      </c>
      <c r="E115" s="125">
        <f>INDEX('Revised 2018 Lockdown'!H$5:H$253,MATCH(B115,'Revised 2018 Lockdown'!B$5:B$253,0))</f>
        <v>860.3599999999999</v>
      </c>
      <c r="F115" s="7">
        <f>INDEX('Revised 2018 Lockdown'!E$5:E$253,MATCH(B115,'Revised 2018 Lockdown'!B$5:B$253,0))</f>
        <v>451775.31</v>
      </c>
      <c r="G115" s="7">
        <f>INDEX('Revised 2018 Lockdown'!F$5:F$253,MATCH(B115,'Revised 2018 Lockdown'!B$5:B$253,0))</f>
        <v>109930.31</v>
      </c>
      <c r="H115" s="7">
        <f t="shared" si="8"/>
        <v>341845</v>
      </c>
      <c r="I115" s="6">
        <f t="shared" si="9"/>
        <v>397.32786275512581</v>
      </c>
      <c r="J115" s="6">
        <f t="shared" si="12"/>
        <v>397.32786275512581</v>
      </c>
      <c r="K115" s="5">
        <f t="shared" si="10"/>
        <v>341845</v>
      </c>
      <c r="L115" s="4">
        <f t="shared" si="11"/>
        <v>0</v>
      </c>
      <c r="M115" s="2" cm="1">
        <f t="array" ref="M115">SUMPRODUCT(--($L$6:$L$300&lt;&gt;1),--($C$6:$C$300=$C115),$H$6:$H$300)/SUMPRODUCT(--($L$6:$L$300&lt;&gt;1),--($C$6:$C$300=$C115),$E$6:$E$300)</f>
        <v>477.53718767922453</v>
      </c>
      <c r="N115" s="1" cm="1">
        <f t="array" ref="N115">SUMPRODUCT(--($L$6:$L$300&lt;&gt;1),--($C$6:$C$300=$C115))</f>
        <v>66</v>
      </c>
      <c r="O115" s="3">
        <f t="shared" si="13"/>
        <v>6433.5358047796444</v>
      </c>
      <c r="P115" s="2" cm="1">
        <f t="array" ref="P115">SQRT(SUMPRODUCT(--($L$6:$L$300&lt;&gt;1),--($C$6:$C$300=$C115),$E$6:$E$300,$O$6:$O$300)/((N115-1)*SUMPRODUCT(--($L$6:$L$300&lt;&gt;1),--($C$6:$C$300=$C115),$E$6:$E$300)/N115))</f>
        <v>192.45445155677626</v>
      </c>
      <c r="Q115" s="2">
        <f t="shared" ref="Q115:R178" si="15">NORMINV(Q$4,$M115,$P115)</f>
        <v>230.89688399061041</v>
      </c>
      <c r="R115" s="2">
        <f t="shared" si="15"/>
        <v>724.17749136783868</v>
      </c>
      <c r="S115" s="2">
        <f t="shared" si="14"/>
        <v>397.32786275512581</v>
      </c>
    </row>
    <row r="116" spans="2:19" x14ac:dyDescent="0.3">
      <c r="B116" s="9">
        <v>192</v>
      </c>
      <c r="C116" s="9">
        <v>7</v>
      </c>
      <c r="D116" s="8" t="s">
        <v>151</v>
      </c>
      <c r="E116" s="125">
        <f>INDEX('Revised 2018 Lockdown'!H$5:H$253,MATCH(B116,'Revised 2018 Lockdown'!B$5:B$253,0))</f>
        <v>166.06</v>
      </c>
      <c r="F116" s="7">
        <f>INDEX('Revised 2018 Lockdown'!E$5:E$253,MATCH(B116,'Revised 2018 Lockdown'!B$5:B$253,0))</f>
        <v>119649.47</v>
      </c>
      <c r="G116" s="7">
        <f>INDEX('Revised 2018 Lockdown'!F$5:F$253,MATCH(B116,'Revised 2018 Lockdown'!B$5:B$253,0))</f>
        <v>21552.310000000005</v>
      </c>
      <c r="H116" s="7">
        <f t="shared" si="8"/>
        <v>98097.16</v>
      </c>
      <c r="I116" s="6">
        <f t="shared" si="9"/>
        <v>590.73322895339038</v>
      </c>
      <c r="J116" s="6">
        <f t="shared" si="12"/>
        <v>590.73322895339038</v>
      </c>
      <c r="K116" s="5">
        <f t="shared" si="10"/>
        <v>98097.16</v>
      </c>
      <c r="L116" s="4">
        <f t="shared" si="11"/>
        <v>0</v>
      </c>
      <c r="M116" s="2" cm="1">
        <f t="array" ref="M116">SUMPRODUCT(--($L$6:$L$300&lt;&gt;1),--($C$6:$C$300=$C116),$H$6:$H$300)/SUMPRODUCT(--($L$6:$L$300&lt;&gt;1),--($C$6:$C$300=$C116),$E$6:$E$300)</f>
        <v>477.53718767922453</v>
      </c>
      <c r="N116" s="1" cm="1">
        <f t="array" ref="N116">SUMPRODUCT(--($L$6:$L$300&lt;&gt;1),--($C$6:$C$300=$C116))</f>
        <v>66</v>
      </c>
      <c r="O116" s="3">
        <f t="shared" si="13"/>
        <v>12813.343760142659</v>
      </c>
      <c r="P116" s="2" cm="1">
        <f t="array" ref="P116">SQRT(SUMPRODUCT(--($L$6:$L$300&lt;&gt;1),--($C$6:$C$300=$C116),$E$6:$E$300,$O$6:$O$300)/((N116-1)*SUMPRODUCT(--($L$6:$L$300&lt;&gt;1),--($C$6:$C$300=$C116),$E$6:$E$300)/N116))</f>
        <v>192.45445155677626</v>
      </c>
      <c r="Q116" s="2">
        <f t="shared" si="15"/>
        <v>230.89688399061041</v>
      </c>
      <c r="R116" s="2">
        <f t="shared" si="15"/>
        <v>724.17749136783868</v>
      </c>
      <c r="S116" s="2">
        <f t="shared" si="14"/>
        <v>590.73322895339038</v>
      </c>
    </row>
    <row r="117" spans="2:19" x14ac:dyDescent="0.3">
      <c r="B117" s="9">
        <v>205</v>
      </c>
      <c r="C117" s="9">
        <v>7</v>
      </c>
      <c r="D117" s="8" t="s">
        <v>152</v>
      </c>
      <c r="E117" s="125">
        <f>INDEX('Revised 2018 Lockdown'!H$5:H$253,MATCH(B117,'Revised 2018 Lockdown'!B$5:B$253,0))</f>
        <v>611.51676439420532</v>
      </c>
      <c r="F117" s="7">
        <f>INDEX('Revised 2018 Lockdown'!E$5:E$253,MATCH(B117,'Revised 2018 Lockdown'!B$5:B$253,0))</f>
        <v>424199.53</v>
      </c>
      <c r="G117" s="7">
        <f>INDEX('Revised 2018 Lockdown'!F$5:F$253,MATCH(B117,'Revised 2018 Lockdown'!B$5:B$253,0))</f>
        <v>18066.25</v>
      </c>
      <c r="H117" s="7">
        <f t="shared" si="8"/>
        <v>406133.28</v>
      </c>
      <c r="I117" s="6">
        <f t="shared" si="9"/>
        <v>664.14087666481726</v>
      </c>
      <c r="J117" s="6">
        <f t="shared" si="12"/>
        <v>664.14087666481726</v>
      </c>
      <c r="K117" s="5">
        <f t="shared" si="10"/>
        <v>406133.28</v>
      </c>
      <c r="L117" s="4">
        <f t="shared" si="11"/>
        <v>0</v>
      </c>
      <c r="M117" s="2" cm="1">
        <f t="array" ref="M117">SUMPRODUCT(--($L$6:$L$300&lt;&gt;1),--($C$6:$C$300=$C117),$H$6:$H$300)/SUMPRODUCT(--($L$6:$L$300&lt;&gt;1),--($C$6:$C$300=$C117),$E$6:$E$300)</f>
        <v>477.53718767922453</v>
      </c>
      <c r="N117" s="1" cm="1">
        <f t="array" ref="N117">SUMPRODUCT(--($L$6:$L$300&lt;&gt;1),--($C$6:$C$300=$C117))</f>
        <v>66</v>
      </c>
      <c r="O117" s="3">
        <f t="shared" si="13"/>
        <v>34820.936743031823</v>
      </c>
      <c r="P117" s="2" cm="1">
        <f t="array" ref="P117">SQRT(SUMPRODUCT(--($L$6:$L$300&lt;&gt;1),--($C$6:$C$300=$C117),$E$6:$E$300,$O$6:$O$300)/((N117-1)*SUMPRODUCT(--($L$6:$L$300&lt;&gt;1),--($C$6:$C$300=$C117),$E$6:$E$300)/N117))</f>
        <v>192.45445155677626</v>
      </c>
      <c r="Q117" s="2">
        <f t="shared" si="15"/>
        <v>230.89688399061041</v>
      </c>
      <c r="R117" s="2">
        <f t="shared" si="15"/>
        <v>724.17749136783868</v>
      </c>
      <c r="S117" s="2">
        <f t="shared" si="14"/>
        <v>664.14087666481726</v>
      </c>
    </row>
    <row r="118" spans="2:19" x14ac:dyDescent="0.3">
      <c r="B118" s="9">
        <v>212</v>
      </c>
      <c r="C118" s="9">
        <v>7</v>
      </c>
      <c r="D118" s="8" t="s">
        <v>153</v>
      </c>
      <c r="E118" s="125">
        <f>INDEX('Revised 2018 Lockdown'!H$5:H$253,MATCH(B118,'Revised 2018 Lockdown'!B$5:B$253,0))</f>
        <v>456.16891805920824</v>
      </c>
      <c r="F118" s="7">
        <f>INDEX('Revised 2018 Lockdown'!E$5:E$253,MATCH(B118,'Revised 2018 Lockdown'!B$5:B$253,0))</f>
        <v>245644.58</v>
      </c>
      <c r="G118" s="7">
        <f>INDEX('Revised 2018 Lockdown'!F$5:F$253,MATCH(B118,'Revised 2018 Lockdown'!B$5:B$253,0))</f>
        <v>630</v>
      </c>
      <c r="H118" s="7">
        <f t="shared" si="8"/>
        <v>245014.58</v>
      </c>
      <c r="I118" s="6">
        <f t="shared" si="9"/>
        <v>537.11371007570142</v>
      </c>
      <c r="J118" s="6">
        <f t="shared" si="12"/>
        <v>537.11371007570142</v>
      </c>
      <c r="K118" s="5">
        <f t="shared" si="10"/>
        <v>245014.57999999996</v>
      </c>
      <c r="L118" s="4">
        <f t="shared" si="11"/>
        <v>0</v>
      </c>
      <c r="M118" s="2" cm="1">
        <f t="array" ref="M118">SUMPRODUCT(--($L$6:$L$300&lt;&gt;1),--($C$6:$C$300=$C118),$H$6:$H$300)/SUMPRODUCT(--($L$6:$L$300&lt;&gt;1),--($C$6:$C$300=$C118),$E$6:$E$300)</f>
        <v>477.53718767922453</v>
      </c>
      <c r="N118" s="1" cm="1">
        <f t="array" ref="N118">SUMPRODUCT(--($L$6:$L$300&lt;&gt;1),--($C$6:$C$300=$C118))</f>
        <v>66</v>
      </c>
      <c r="O118" s="3">
        <f t="shared" si="13"/>
        <v>3549.3620208579123</v>
      </c>
      <c r="P118" s="2" cm="1">
        <f t="array" ref="P118">SQRT(SUMPRODUCT(--($L$6:$L$300&lt;&gt;1),--($C$6:$C$300=$C118),$E$6:$E$300,$O$6:$O$300)/((N118-1)*SUMPRODUCT(--($L$6:$L$300&lt;&gt;1),--($C$6:$C$300=$C118),$E$6:$E$300)/N118))</f>
        <v>192.45445155677626</v>
      </c>
      <c r="Q118" s="2">
        <f t="shared" si="15"/>
        <v>230.89688399061041</v>
      </c>
      <c r="R118" s="2">
        <f t="shared" si="15"/>
        <v>724.17749136783868</v>
      </c>
      <c r="S118" s="2">
        <f t="shared" si="14"/>
        <v>537.11371007570142</v>
      </c>
    </row>
    <row r="119" spans="2:19" x14ac:dyDescent="0.3">
      <c r="B119" s="9">
        <v>216</v>
      </c>
      <c r="C119" s="9">
        <v>7</v>
      </c>
      <c r="D119" s="8" t="s">
        <v>154</v>
      </c>
      <c r="E119" s="125">
        <f>INDEX('Revised 2018 Lockdown'!H$5:H$253,MATCH(B119,'Revised 2018 Lockdown'!B$5:B$253,0))</f>
        <v>764.64393837270507</v>
      </c>
      <c r="F119" s="7">
        <f>INDEX('Revised 2018 Lockdown'!E$5:E$253,MATCH(B119,'Revised 2018 Lockdown'!B$5:B$253,0))</f>
        <v>319371.06</v>
      </c>
      <c r="G119" s="7">
        <f>INDEX('Revised 2018 Lockdown'!F$5:F$253,MATCH(B119,'Revised 2018 Lockdown'!B$5:B$253,0))</f>
        <v>285</v>
      </c>
      <c r="H119" s="7">
        <f t="shared" si="8"/>
        <v>319086.06</v>
      </c>
      <c r="I119" s="6">
        <f t="shared" si="9"/>
        <v>417.30018899917064</v>
      </c>
      <c r="J119" s="6">
        <f t="shared" si="12"/>
        <v>417.30018899917064</v>
      </c>
      <c r="K119" s="5">
        <f t="shared" si="10"/>
        <v>319086.06</v>
      </c>
      <c r="L119" s="4">
        <f t="shared" si="11"/>
        <v>0</v>
      </c>
      <c r="M119" s="2" cm="1">
        <f t="array" ref="M119">SUMPRODUCT(--($L$6:$L$300&lt;&gt;1),--($C$6:$C$300=$C119),$H$6:$H$300)/SUMPRODUCT(--($L$6:$L$300&lt;&gt;1),--($C$6:$C$300=$C119),$E$6:$E$300)</f>
        <v>477.53718767922453</v>
      </c>
      <c r="N119" s="1" cm="1">
        <f t="array" ref="N119">SUMPRODUCT(--($L$6:$L$300&lt;&gt;1),--($C$6:$C$300=$C119))</f>
        <v>66</v>
      </c>
      <c r="O119" s="3">
        <f t="shared" si="13"/>
        <v>3628.4960099808136</v>
      </c>
      <c r="P119" s="2" cm="1">
        <f t="array" ref="P119">SQRT(SUMPRODUCT(--($L$6:$L$300&lt;&gt;1),--($C$6:$C$300=$C119),$E$6:$E$300,$O$6:$O$300)/((N119-1)*SUMPRODUCT(--($L$6:$L$300&lt;&gt;1),--($C$6:$C$300=$C119),$E$6:$E$300)/N119))</f>
        <v>192.45445155677626</v>
      </c>
      <c r="Q119" s="2">
        <f t="shared" si="15"/>
        <v>230.89688399061041</v>
      </c>
      <c r="R119" s="2">
        <f t="shared" si="15"/>
        <v>724.17749136783868</v>
      </c>
      <c r="S119" s="2">
        <f t="shared" si="14"/>
        <v>417.30018899917064</v>
      </c>
    </row>
    <row r="120" spans="2:19" x14ac:dyDescent="0.3">
      <c r="B120" s="9">
        <v>218</v>
      </c>
      <c r="C120" s="9">
        <v>7</v>
      </c>
      <c r="D120" s="8" t="s">
        <v>258</v>
      </c>
      <c r="E120" s="125">
        <f>INDEX('Revised 2018 Lockdown'!H$5:H$253,MATCH(B120,'Revised 2018 Lockdown'!B$5:B$253,0))</f>
        <v>290.41049631809625</v>
      </c>
      <c r="F120" s="7">
        <f>INDEX('Revised 2018 Lockdown'!E$5:E$253,MATCH(B120,'Revised 2018 Lockdown'!B$5:B$253,0))</f>
        <v>189204.88</v>
      </c>
      <c r="G120" s="7">
        <f>INDEX('Revised 2018 Lockdown'!F$5:F$253,MATCH(B120,'Revised 2018 Lockdown'!B$5:B$253,0))</f>
        <v>110</v>
      </c>
      <c r="H120" s="7">
        <f t="shared" si="8"/>
        <v>189094.88</v>
      </c>
      <c r="I120" s="6">
        <f t="shared" si="9"/>
        <v>651.12963338927705</v>
      </c>
      <c r="J120" s="6">
        <f t="shared" si="12"/>
        <v>651.12963338927705</v>
      </c>
      <c r="K120" s="5">
        <f t="shared" si="10"/>
        <v>189094.88</v>
      </c>
      <c r="L120" s="4">
        <f t="shared" si="11"/>
        <v>0</v>
      </c>
      <c r="M120" s="2" cm="1">
        <f t="array" ref="M120">SUMPRODUCT(--($L$6:$L$300&lt;&gt;1),--($C$6:$C$300=$C120),$H$6:$H$300)/SUMPRODUCT(--($L$6:$L$300&lt;&gt;1),--($C$6:$C$300=$C120),$E$6:$E$300)</f>
        <v>477.53718767922453</v>
      </c>
      <c r="N120" s="1" cm="1">
        <f t="array" ref="N120">SUMPRODUCT(--($L$6:$L$300&lt;&gt;1),--($C$6:$C$300=$C120))</f>
        <v>66</v>
      </c>
      <c r="O120" s="3">
        <f t="shared" si="13"/>
        <v>30134.337207597531</v>
      </c>
      <c r="P120" s="2" cm="1">
        <f t="array" ref="P120">SQRT(SUMPRODUCT(--($L$6:$L$300&lt;&gt;1),--($C$6:$C$300=$C120),$E$6:$E$300,$O$6:$O$300)/((N120-1)*SUMPRODUCT(--($L$6:$L$300&lt;&gt;1),--($C$6:$C$300=$C120),$E$6:$E$300)/N120))</f>
        <v>192.45445155677626</v>
      </c>
      <c r="Q120" s="2">
        <f t="shared" si="15"/>
        <v>230.89688399061041</v>
      </c>
      <c r="R120" s="2">
        <f t="shared" si="15"/>
        <v>724.17749136783868</v>
      </c>
      <c r="S120" s="2">
        <f t="shared" si="14"/>
        <v>651.12963338927705</v>
      </c>
    </row>
    <row r="121" spans="2:19" x14ac:dyDescent="0.3">
      <c r="B121" s="9">
        <v>229</v>
      </c>
      <c r="C121" s="9">
        <v>7</v>
      </c>
      <c r="D121" s="8" t="s">
        <v>155</v>
      </c>
      <c r="E121" s="125">
        <f>INDEX('Revised 2018 Lockdown'!H$5:H$253,MATCH(B121,'Revised 2018 Lockdown'!B$5:B$253,0))</f>
        <v>816</v>
      </c>
      <c r="F121" s="7">
        <f>INDEX('Revised 2018 Lockdown'!E$5:E$253,MATCH(B121,'Revised 2018 Lockdown'!B$5:B$253,0))</f>
        <v>449836.67</v>
      </c>
      <c r="G121" s="7">
        <f>INDEX('Revised 2018 Lockdown'!F$5:F$253,MATCH(B121,'Revised 2018 Lockdown'!B$5:B$253,0))</f>
        <v>104238</v>
      </c>
      <c r="H121" s="7">
        <f t="shared" si="8"/>
        <v>345598.67</v>
      </c>
      <c r="I121" s="6">
        <f t="shared" si="9"/>
        <v>423.52778186274509</v>
      </c>
      <c r="J121" s="6">
        <f t="shared" si="12"/>
        <v>423.52778186274509</v>
      </c>
      <c r="K121" s="5">
        <f t="shared" si="10"/>
        <v>345598.67</v>
      </c>
      <c r="L121" s="4">
        <f t="shared" si="11"/>
        <v>0</v>
      </c>
      <c r="M121" s="2" cm="1">
        <f t="array" ref="M121">SUMPRODUCT(--($L$6:$L$300&lt;&gt;1),--($C$6:$C$300=$C121),$H$6:$H$300)/SUMPRODUCT(--($L$6:$L$300&lt;&gt;1),--($C$6:$C$300=$C121),$E$6:$E$300)</f>
        <v>477.53718767922453</v>
      </c>
      <c r="N121" s="1" cm="1">
        <f t="array" ref="N121">SUMPRODUCT(--($L$6:$L$300&lt;&gt;1),--($C$6:$C$300=$C121))</f>
        <v>66</v>
      </c>
      <c r="O121" s="3">
        <f t="shared" si="13"/>
        <v>2917.0159166491635</v>
      </c>
      <c r="P121" s="2" cm="1">
        <f t="array" ref="P121">SQRT(SUMPRODUCT(--($L$6:$L$300&lt;&gt;1),--($C$6:$C$300=$C121),$E$6:$E$300,$O$6:$O$300)/((N121-1)*SUMPRODUCT(--($L$6:$L$300&lt;&gt;1),--($C$6:$C$300=$C121),$E$6:$E$300)/N121))</f>
        <v>192.45445155677626</v>
      </c>
      <c r="Q121" s="2">
        <f t="shared" si="15"/>
        <v>230.89688399061041</v>
      </c>
      <c r="R121" s="2">
        <f t="shared" si="15"/>
        <v>724.17749136783868</v>
      </c>
      <c r="S121" s="2">
        <f t="shared" si="14"/>
        <v>423.52778186274509</v>
      </c>
    </row>
    <row r="122" spans="2:19" x14ac:dyDescent="0.3">
      <c r="B122" s="9">
        <v>236</v>
      </c>
      <c r="C122" s="9">
        <v>7</v>
      </c>
      <c r="D122" s="8" t="s">
        <v>156</v>
      </c>
      <c r="E122" s="125">
        <f>INDEX('Revised 2018 Lockdown'!H$5:H$253,MATCH(B122,'Revised 2018 Lockdown'!B$5:B$253,0))</f>
        <v>1084.1000000000001</v>
      </c>
      <c r="F122" s="7">
        <f>INDEX('Revised 2018 Lockdown'!E$5:E$253,MATCH(B122,'Revised 2018 Lockdown'!B$5:B$253,0))</f>
        <v>616356.31999999995</v>
      </c>
      <c r="G122" s="7">
        <f>INDEX('Revised 2018 Lockdown'!F$5:F$253,MATCH(B122,'Revised 2018 Lockdown'!B$5:B$253,0))</f>
        <v>145860.79</v>
      </c>
      <c r="H122" s="7">
        <f t="shared" si="8"/>
        <v>470495.52999999991</v>
      </c>
      <c r="I122" s="6">
        <f t="shared" si="9"/>
        <v>433.99643021861436</v>
      </c>
      <c r="J122" s="6">
        <f t="shared" si="12"/>
        <v>433.99643021861436</v>
      </c>
      <c r="K122" s="5">
        <f t="shared" si="10"/>
        <v>470495.52999999991</v>
      </c>
      <c r="L122" s="4">
        <f t="shared" si="11"/>
        <v>0</v>
      </c>
      <c r="M122" s="2" cm="1">
        <f t="array" ref="M122">SUMPRODUCT(--($L$6:$L$300&lt;&gt;1),--($C$6:$C$300=$C122),$H$6:$H$300)/SUMPRODUCT(--($L$6:$L$300&lt;&gt;1),--($C$6:$C$300=$C122),$E$6:$E$300)</f>
        <v>477.53718767922453</v>
      </c>
      <c r="N122" s="1" cm="1">
        <f t="array" ref="N122">SUMPRODUCT(--($L$6:$L$300&lt;&gt;1),--($C$6:$C$300=$C122))</f>
        <v>66</v>
      </c>
      <c r="O122" s="3">
        <f t="shared" si="13"/>
        <v>1895.7975602436798</v>
      </c>
      <c r="P122" s="2" cm="1">
        <f t="array" ref="P122">SQRT(SUMPRODUCT(--($L$6:$L$300&lt;&gt;1),--($C$6:$C$300=$C122),$E$6:$E$300,$O$6:$O$300)/((N122-1)*SUMPRODUCT(--($L$6:$L$300&lt;&gt;1),--($C$6:$C$300=$C122),$E$6:$E$300)/N122))</f>
        <v>192.45445155677626</v>
      </c>
      <c r="Q122" s="2">
        <f t="shared" si="15"/>
        <v>230.89688399061041</v>
      </c>
      <c r="R122" s="2">
        <f t="shared" si="15"/>
        <v>724.17749136783868</v>
      </c>
      <c r="S122" s="2">
        <f t="shared" si="14"/>
        <v>433.99643021861436</v>
      </c>
    </row>
    <row r="123" spans="2:19" x14ac:dyDescent="0.3">
      <c r="B123" s="9">
        <v>238</v>
      </c>
      <c r="C123" s="9">
        <v>7</v>
      </c>
      <c r="D123" s="8" t="s">
        <v>292</v>
      </c>
      <c r="E123" s="125">
        <f>INDEX('Revised 2018 Lockdown'!H$5:H$253,MATCH(B123,'Revised 2018 Lockdown'!B$5:B$253,0))</f>
        <v>67.316079956981483</v>
      </c>
      <c r="F123" s="7">
        <f>INDEX('Revised 2018 Lockdown'!E$5:E$253,MATCH(B123,'Revised 2018 Lockdown'!B$5:B$253,0))</f>
        <v>56188.56</v>
      </c>
      <c r="G123" s="7">
        <f>INDEX('Revised 2018 Lockdown'!F$5:F$253,MATCH(B123,'Revised 2018 Lockdown'!B$5:B$253,0))</f>
        <v>0</v>
      </c>
      <c r="H123" s="7">
        <f t="shared" si="8"/>
        <v>56188.56</v>
      </c>
      <c r="I123" s="6">
        <f t="shared" si="9"/>
        <v>834.69744577978167</v>
      </c>
      <c r="J123" s="6">
        <f t="shared" si="12"/>
        <v>724.17749136783868</v>
      </c>
      <c r="K123" s="5">
        <f t="shared" si="10"/>
        <v>48748.789911963693</v>
      </c>
      <c r="L123" s="4">
        <f t="shared" si="11"/>
        <v>0</v>
      </c>
      <c r="M123" s="2" cm="1">
        <f t="array" ref="M123">SUMPRODUCT(--($L$6:$L$300&lt;&gt;1),--($C$6:$C$300=$C123),$H$6:$H$300)/SUMPRODUCT(--($L$6:$L$300&lt;&gt;1),--($C$6:$C$300=$C123),$E$6:$E$300)</f>
        <v>477.53718767922453</v>
      </c>
      <c r="N123" s="1" cm="1">
        <f t="array" ref="N123">SUMPRODUCT(--($L$6:$L$300&lt;&gt;1),--($C$6:$C$300=$C123))</f>
        <v>66</v>
      </c>
      <c r="O123" s="3">
        <f t="shared" si="13"/>
        <v>127563.4499664566</v>
      </c>
      <c r="P123" s="2" cm="1">
        <f t="array" ref="P123">SQRT(SUMPRODUCT(--($L$6:$L$300&lt;&gt;1),--($C$6:$C$300=$C123),$E$6:$E$300,$O$6:$O$300)/((N123-1)*SUMPRODUCT(--($L$6:$L$300&lt;&gt;1),--($C$6:$C$300=$C123),$E$6:$E$300)/N123))</f>
        <v>192.45445155677626</v>
      </c>
      <c r="Q123" s="2">
        <f t="shared" si="15"/>
        <v>230.89688399061041</v>
      </c>
      <c r="R123" s="2">
        <f t="shared" si="15"/>
        <v>724.17749136783868</v>
      </c>
      <c r="S123" s="2">
        <f t="shared" si="14"/>
        <v>724.17749136783868</v>
      </c>
    </row>
    <row r="124" spans="2:19" x14ac:dyDescent="0.3">
      <c r="B124" s="9">
        <v>239</v>
      </c>
      <c r="C124" s="9">
        <v>7</v>
      </c>
      <c r="D124" s="8" t="s">
        <v>157</v>
      </c>
      <c r="E124" s="125">
        <f>INDEX('Revised 2018 Lockdown'!H$5:H$253,MATCH(B124,'Revised 2018 Lockdown'!B$5:B$253,0))</f>
        <v>3252.7418397110114</v>
      </c>
      <c r="F124" s="7">
        <f>INDEX('Revised 2018 Lockdown'!E$5:E$253,MATCH(B124,'Revised 2018 Lockdown'!B$5:B$253,0))</f>
        <v>1786444.75</v>
      </c>
      <c r="G124" s="7">
        <f>INDEX('Revised 2018 Lockdown'!F$5:F$253,MATCH(B124,'Revised 2018 Lockdown'!B$5:B$253,0))</f>
        <v>419175.63</v>
      </c>
      <c r="H124" s="7">
        <f t="shared" si="8"/>
        <v>1367269.12</v>
      </c>
      <c r="I124" s="6">
        <f t="shared" si="9"/>
        <v>420.34357086311979</v>
      </c>
      <c r="J124" s="6">
        <f t="shared" si="12"/>
        <v>420.34357086311979</v>
      </c>
      <c r="K124" s="5">
        <f t="shared" si="10"/>
        <v>1367269.12</v>
      </c>
      <c r="L124" s="4">
        <f t="shared" si="11"/>
        <v>0</v>
      </c>
      <c r="M124" s="2" cm="1">
        <f t="array" ref="M124">SUMPRODUCT(--($L$6:$L$300&lt;&gt;1),--($C$6:$C$300=$C124),$H$6:$H$300)/SUMPRODUCT(--($L$6:$L$300&lt;&gt;1),--($C$6:$C$300=$C124),$E$6:$E$300)</f>
        <v>477.53718767922453</v>
      </c>
      <c r="N124" s="1" cm="1">
        <f t="array" ref="N124">SUMPRODUCT(--($L$6:$L$300&lt;&gt;1),--($C$6:$C$300=$C124))</f>
        <v>66</v>
      </c>
      <c r="O124" s="3">
        <f t="shared" si="13"/>
        <v>3271.1098045074186</v>
      </c>
      <c r="P124" s="2" cm="1">
        <f t="array" ref="P124">SQRT(SUMPRODUCT(--($L$6:$L$300&lt;&gt;1),--($C$6:$C$300=$C124),$E$6:$E$300,$O$6:$O$300)/((N124-1)*SUMPRODUCT(--($L$6:$L$300&lt;&gt;1),--($C$6:$C$300=$C124),$E$6:$E$300)/N124))</f>
        <v>192.45445155677626</v>
      </c>
      <c r="Q124" s="2">
        <f t="shared" si="15"/>
        <v>230.89688399061041</v>
      </c>
      <c r="R124" s="2">
        <f t="shared" si="15"/>
        <v>724.17749136783868</v>
      </c>
      <c r="S124" s="2">
        <f t="shared" si="14"/>
        <v>420.34357086311979</v>
      </c>
    </row>
    <row r="125" spans="2:19" x14ac:dyDescent="0.3">
      <c r="B125" s="9">
        <v>249</v>
      </c>
      <c r="C125" s="9">
        <v>7</v>
      </c>
      <c r="D125" s="8" t="s">
        <v>158</v>
      </c>
      <c r="E125" s="125">
        <f>INDEX('Revised 2018 Lockdown'!H$5:H$253,MATCH(B125,'Revised 2018 Lockdown'!B$5:B$253,0))</f>
        <v>1154.9883434484898</v>
      </c>
      <c r="F125" s="7">
        <f>INDEX('Revised 2018 Lockdown'!E$5:E$253,MATCH(B125,'Revised 2018 Lockdown'!B$5:B$253,0))</f>
        <v>606310.29</v>
      </c>
      <c r="G125" s="7">
        <f>INDEX('Revised 2018 Lockdown'!F$5:F$253,MATCH(B125,'Revised 2018 Lockdown'!B$5:B$253,0))</f>
        <v>0</v>
      </c>
      <c r="H125" s="7">
        <f t="shared" si="8"/>
        <v>606310.29</v>
      </c>
      <c r="I125" s="6">
        <f t="shared" si="9"/>
        <v>524.94927194651837</v>
      </c>
      <c r="J125" s="6">
        <f t="shared" si="12"/>
        <v>524.94927194651837</v>
      </c>
      <c r="K125" s="5">
        <f t="shared" si="10"/>
        <v>606310.29</v>
      </c>
      <c r="L125" s="4">
        <f t="shared" si="11"/>
        <v>0</v>
      </c>
      <c r="M125" s="2" cm="1">
        <f t="array" ref="M125">SUMPRODUCT(--($L$6:$L$300&lt;&gt;1),--($C$6:$C$300=$C125),$H$6:$H$300)/SUMPRODUCT(--($L$6:$L$300&lt;&gt;1),--($C$6:$C$300=$C125),$E$6:$E$300)</f>
        <v>477.53718767922453</v>
      </c>
      <c r="N125" s="1" cm="1">
        <f t="array" ref="N125">SUMPRODUCT(--($L$6:$L$300&lt;&gt;1),--($C$6:$C$300=$C125))</f>
        <v>66</v>
      </c>
      <c r="O125" s="3">
        <f t="shared" si="13"/>
        <v>2247.9057345689716</v>
      </c>
      <c r="P125" s="2" cm="1">
        <f t="array" ref="P125">SQRT(SUMPRODUCT(--($L$6:$L$300&lt;&gt;1),--($C$6:$C$300=$C125),$E$6:$E$300,$O$6:$O$300)/((N125-1)*SUMPRODUCT(--($L$6:$L$300&lt;&gt;1),--($C$6:$C$300=$C125),$E$6:$E$300)/N125))</f>
        <v>192.45445155677626</v>
      </c>
      <c r="Q125" s="2">
        <f t="shared" si="15"/>
        <v>230.89688399061041</v>
      </c>
      <c r="R125" s="2">
        <f t="shared" si="15"/>
        <v>724.17749136783868</v>
      </c>
      <c r="S125" s="2">
        <f t="shared" si="14"/>
        <v>524.94927194651837</v>
      </c>
    </row>
    <row r="126" spans="2:19" x14ac:dyDescent="0.3">
      <c r="B126" s="9">
        <v>271</v>
      </c>
      <c r="C126" s="9">
        <v>7</v>
      </c>
      <c r="D126" s="8" t="s">
        <v>159</v>
      </c>
      <c r="E126" s="125">
        <f>INDEX('Revised 2018 Lockdown'!H$5:H$253,MATCH(B126,'Revised 2018 Lockdown'!B$5:B$253,0))</f>
        <v>1048.2</v>
      </c>
      <c r="F126" s="7">
        <f>INDEX('Revised 2018 Lockdown'!E$5:E$253,MATCH(B126,'Revised 2018 Lockdown'!B$5:B$253,0))</f>
        <v>933272.8</v>
      </c>
      <c r="G126" s="7">
        <f>INDEX('Revised 2018 Lockdown'!F$5:F$253,MATCH(B126,'Revised 2018 Lockdown'!B$5:B$253,0))</f>
        <v>90489.709999999992</v>
      </c>
      <c r="H126" s="7">
        <f t="shared" si="8"/>
        <v>842783.09000000008</v>
      </c>
      <c r="I126" s="6">
        <f t="shared" si="9"/>
        <v>804.02889715703111</v>
      </c>
      <c r="J126" s="6">
        <f t="shared" si="12"/>
        <v>724.17749136783868</v>
      </c>
      <c r="K126" s="5">
        <f t="shared" si="10"/>
        <v>759082.84645176854</v>
      </c>
      <c r="L126" s="4">
        <f t="shared" si="11"/>
        <v>0</v>
      </c>
      <c r="M126" s="2" cm="1">
        <f t="array" ref="M126">SUMPRODUCT(--($L$6:$L$300&lt;&gt;1),--($C$6:$C$300=$C126),$H$6:$H$300)/SUMPRODUCT(--($L$6:$L$300&lt;&gt;1),--($C$6:$C$300=$C126),$E$6:$E$300)</f>
        <v>477.53718767922453</v>
      </c>
      <c r="N126" s="1" cm="1">
        <f t="array" ref="N126">SUMPRODUCT(--($L$6:$L$300&lt;&gt;1),--($C$6:$C$300=$C126))</f>
        <v>66</v>
      </c>
      <c r="O126" s="3">
        <f t="shared" si="13"/>
        <v>106596.83635774045</v>
      </c>
      <c r="P126" s="2" cm="1">
        <f t="array" ref="P126">SQRT(SUMPRODUCT(--($L$6:$L$300&lt;&gt;1),--($C$6:$C$300=$C126),$E$6:$E$300,$O$6:$O$300)/((N126-1)*SUMPRODUCT(--($L$6:$L$300&lt;&gt;1),--($C$6:$C$300=$C126),$E$6:$E$300)/N126))</f>
        <v>192.45445155677626</v>
      </c>
      <c r="Q126" s="2">
        <f t="shared" si="15"/>
        <v>230.89688399061041</v>
      </c>
      <c r="R126" s="2">
        <f t="shared" si="15"/>
        <v>724.17749136783868</v>
      </c>
      <c r="S126" s="2">
        <f t="shared" si="14"/>
        <v>724.17749136783868</v>
      </c>
    </row>
    <row r="127" spans="2:19" x14ac:dyDescent="0.3">
      <c r="B127" s="9">
        <v>275</v>
      </c>
      <c r="C127" s="9">
        <v>7</v>
      </c>
      <c r="D127" s="8" t="s">
        <v>160</v>
      </c>
      <c r="E127" s="125">
        <f>INDEX('Revised 2018 Lockdown'!H$5:H$253,MATCH(B127,'Revised 2018 Lockdown'!B$5:B$253,0))</f>
        <v>710.94999999999993</v>
      </c>
      <c r="F127" s="7">
        <f>INDEX('Revised 2018 Lockdown'!E$5:E$253,MATCH(B127,'Revised 2018 Lockdown'!B$5:B$253,0))</f>
        <v>324500.2</v>
      </c>
      <c r="G127" s="7">
        <f>INDEX('Revised 2018 Lockdown'!F$5:F$253,MATCH(B127,'Revised 2018 Lockdown'!B$5:B$253,0))</f>
        <v>62912.880000000005</v>
      </c>
      <c r="H127" s="7">
        <f t="shared" si="8"/>
        <v>261587.32</v>
      </c>
      <c r="I127" s="6">
        <f t="shared" si="9"/>
        <v>367.9405302763908</v>
      </c>
      <c r="J127" s="6">
        <f t="shared" si="12"/>
        <v>367.9405302763908</v>
      </c>
      <c r="K127" s="5">
        <f t="shared" si="10"/>
        <v>261587.32</v>
      </c>
      <c r="L127" s="4">
        <f t="shared" si="11"/>
        <v>0</v>
      </c>
      <c r="M127" s="2" cm="1">
        <f t="array" ref="M127">SUMPRODUCT(--($L$6:$L$300&lt;&gt;1),--($C$6:$C$300=$C127),$H$6:$H$300)/SUMPRODUCT(--($L$6:$L$300&lt;&gt;1),--($C$6:$C$300=$C127),$E$6:$E$300)</f>
        <v>477.53718767922453</v>
      </c>
      <c r="N127" s="1" cm="1">
        <f t="array" ref="N127">SUMPRODUCT(--($L$6:$L$300&lt;&gt;1),--($C$6:$C$300=$C127))</f>
        <v>66</v>
      </c>
      <c r="O127" s="3">
        <f t="shared" si="13"/>
        <v>12011.427313874108</v>
      </c>
      <c r="P127" s="2" cm="1">
        <f t="array" ref="P127">SQRT(SUMPRODUCT(--($L$6:$L$300&lt;&gt;1),--($C$6:$C$300=$C127),$E$6:$E$300,$O$6:$O$300)/((N127-1)*SUMPRODUCT(--($L$6:$L$300&lt;&gt;1),--($C$6:$C$300=$C127),$E$6:$E$300)/N127))</f>
        <v>192.45445155677626</v>
      </c>
      <c r="Q127" s="2">
        <f t="shared" si="15"/>
        <v>230.89688399061041</v>
      </c>
      <c r="R127" s="2">
        <f t="shared" si="15"/>
        <v>724.17749136783868</v>
      </c>
      <c r="S127" s="2">
        <f t="shared" si="14"/>
        <v>367.9405302763908</v>
      </c>
    </row>
    <row r="128" spans="2:19" x14ac:dyDescent="0.3">
      <c r="B128" s="9">
        <v>282</v>
      </c>
      <c r="C128" s="9">
        <v>7</v>
      </c>
      <c r="D128" s="8" t="s">
        <v>161</v>
      </c>
      <c r="E128" s="125">
        <f>INDEX('Revised 2018 Lockdown'!H$5:H$253,MATCH(B128,'Revised 2018 Lockdown'!B$5:B$253,0))</f>
        <v>145.34946417977184</v>
      </c>
      <c r="F128" s="7">
        <f>INDEX('Revised 2018 Lockdown'!E$5:E$253,MATCH(B128,'Revised 2018 Lockdown'!B$5:B$253,0))</f>
        <v>55222.87</v>
      </c>
      <c r="G128" s="7">
        <f>INDEX('Revised 2018 Lockdown'!F$5:F$253,MATCH(B128,'Revised 2018 Lockdown'!B$5:B$253,0))</f>
        <v>0</v>
      </c>
      <c r="H128" s="7">
        <f t="shared" si="8"/>
        <v>55222.87</v>
      </c>
      <c r="I128" s="6">
        <f t="shared" si="9"/>
        <v>379.93170674299137</v>
      </c>
      <c r="J128" s="6">
        <f t="shared" si="12"/>
        <v>379.93170674299137</v>
      </c>
      <c r="K128" s="5">
        <f t="shared" si="10"/>
        <v>55222.87</v>
      </c>
      <c r="L128" s="4">
        <f t="shared" si="11"/>
        <v>0</v>
      </c>
      <c r="M128" s="2" cm="1">
        <f t="array" ref="M128">SUMPRODUCT(--($L$6:$L$300&lt;&gt;1),--($C$6:$C$300=$C128),$H$6:$H$300)/SUMPRODUCT(--($L$6:$L$300&lt;&gt;1),--($C$6:$C$300=$C128),$E$6:$E$300)</f>
        <v>477.53718767922453</v>
      </c>
      <c r="N128" s="1" cm="1">
        <f t="array" ref="N128">SUMPRODUCT(--($L$6:$L$300&lt;&gt;1),--($C$6:$C$300=$C128))</f>
        <v>66</v>
      </c>
      <c r="O128" s="3">
        <f t="shared" si="13"/>
        <v>9526.8299087933756</v>
      </c>
      <c r="P128" s="2" cm="1">
        <f t="array" ref="P128">SQRT(SUMPRODUCT(--($L$6:$L$300&lt;&gt;1),--($C$6:$C$300=$C128),$E$6:$E$300,$O$6:$O$300)/((N128-1)*SUMPRODUCT(--($L$6:$L$300&lt;&gt;1),--($C$6:$C$300=$C128),$E$6:$E$300)/N128))</f>
        <v>192.45445155677626</v>
      </c>
      <c r="Q128" s="2">
        <f t="shared" si="15"/>
        <v>230.89688399061041</v>
      </c>
      <c r="R128" s="2">
        <f t="shared" si="15"/>
        <v>724.17749136783868</v>
      </c>
      <c r="S128" s="2">
        <f t="shared" si="14"/>
        <v>379.93170674299137</v>
      </c>
    </row>
    <row r="129" spans="2:19" x14ac:dyDescent="0.3">
      <c r="B129" s="9">
        <v>287</v>
      </c>
      <c r="C129" s="9">
        <v>7</v>
      </c>
      <c r="D129" s="8" t="s">
        <v>162</v>
      </c>
      <c r="E129" s="125">
        <f>INDEX('Revised 2018 Lockdown'!H$5:H$253,MATCH(B129,'Revised 2018 Lockdown'!B$5:B$253,0))</f>
        <v>147.07202997933462</v>
      </c>
      <c r="F129" s="7">
        <f>INDEX('Revised 2018 Lockdown'!E$5:E$253,MATCH(B129,'Revised 2018 Lockdown'!B$5:B$253,0))</f>
        <v>102363.95</v>
      </c>
      <c r="G129" s="7">
        <f>INDEX('Revised 2018 Lockdown'!F$5:F$253,MATCH(B129,'Revised 2018 Lockdown'!B$5:B$253,0))</f>
        <v>282</v>
      </c>
      <c r="H129" s="7">
        <f t="shared" si="8"/>
        <v>102081.95</v>
      </c>
      <c r="I129" s="6">
        <f t="shared" si="9"/>
        <v>694.09492759665955</v>
      </c>
      <c r="J129" s="6">
        <f t="shared" si="12"/>
        <v>694.09492759665955</v>
      </c>
      <c r="K129" s="5">
        <f t="shared" si="10"/>
        <v>102081.95</v>
      </c>
      <c r="L129" s="4">
        <f t="shared" si="11"/>
        <v>0</v>
      </c>
      <c r="M129" s="2" cm="1">
        <f t="array" ref="M129">SUMPRODUCT(--($L$6:$L$300&lt;&gt;1),--($C$6:$C$300=$C129),$H$6:$H$300)/SUMPRODUCT(--($L$6:$L$300&lt;&gt;1),--($C$6:$C$300=$C129),$E$6:$E$300)</f>
        <v>477.53718767922453</v>
      </c>
      <c r="N129" s="1" cm="1">
        <f t="array" ref="N129">SUMPRODUCT(--($L$6:$L$300&lt;&gt;1),--($C$6:$C$300=$C129))</f>
        <v>66</v>
      </c>
      <c r="O129" s="3">
        <f t="shared" si="13"/>
        <v>46897.254718147429</v>
      </c>
      <c r="P129" s="2" cm="1">
        <f t="array" ref="P129">SQRT(SUMPRODUCT(--($L$6:$L$300&lt;&gt;1),--($C$6:$C$300=$C129),$E$6:$E$300,$O$6:$O$300)/((N129-1)*SUMPRODUCT(--($L$6:$L$300&lt;&gt;1),--($C$6:$C$300=$C129),$E$6:$E$300)/N129))</f>
        <v>192.45445155677626</v>
      </c>
      <c r="Q129" s="2">
        <f t="shared" si="15"/>
        <v>230.89688399061041</v>
      </c>
      <c r="R129" s="2">
        <f t="shared" si="15"/>
        <v>724.17749136783868</v>
      </c>
      <c r="S129" s="2">
        <f t="shared" si="14"/>
        <v>694.09492759665955</v>
      </c>
    </row>
    <row r="130" spans="2:19" x14ac:dyDescent="0.3">
      <c r="B130" s="9">
        <v>290</v>
      </c>
      <c r="C130" s="9">
        <v>7</v>
      </c>
      <c r="D130" s="8" t="s">
        <v>163</v>
      </c>
      <c r="E130" s="125">
        <f>INDEX('Revised 2018 Lockdown'!H$5:H$253,MATCH(B130,'Revised 2018 Lockdown'!B$5:B$253,0))</f>
        <v>335.89235607307199</v>
      </c>
      <c r="F130" s="7">
        <f>INDEX('Revised 2018 Lockdown'!E$5:E$253,MATCH(B130,'Revised 2018 Lockdown'!B$5:B$253,0))</f>
        <v>135999.42000000001</v>
      </c>
      <c r="G130" s="7">
        <f>INDEX('Revised 2018 Lockdown'!F$5:F$253,MATCH(B130,'Revised 2018 Lockdown'!B$5:B$253,0))</f>
        <v>423.97</v>
      </c>
      <c r="H130" s="7">
        <f t="shared" si="8"/>
        <v>135575.45000000001</v>
      </c>
      <c r="I130" s="6">
        <f t="shared" si="9"/>
        <v>403.62767282059298</v>
      </c>
      <c r="J130" s="6">
        <f t="shared" si="12"/>
        <v>403.62767282059298</v>
      </c>
      <c r="K130" s="5">
        <f t="shared" si="10"/>
        <v>135575.45000000001</v>
      </c>
      <c r="L130" s="4">
        <f t="shared" si="11"/>
        <v>0</v>
      </c>
      <c r="M130" s="2" cm="1">
        <f t="array" ref="M130">SUMPRODUCT(--($L$6:$L$300&lt;&gt;1),--($C$6:$C$300=$C130),$H$6:$H$300)/SUMPRODUCT(--($L$6:$L$300&lt;&gt;1),--($C$6:$C$300=$C130),$E$6:$E$300)</f>
        <v>477.53718767922453</v>
      </c>
      <c r="N130" s="1" cm="1">
        <f t="array" ref="N130">SUMPRODUCT(--($L$6:$L$300&lt;&gt;1),--($C$6:$C$300=$C130))</f>
        <v>66</v>
      </c>
      <c r="O130" s="3">
        <f t="shared" si="13"/>
        <v>5462.6163866382785</v>
      </c>
      <c r="P130" s="2" cm="1">
        <f t="array" ref="P130">SQRT(SUMPRODUCT(--($L$6:$L$300&lt;&gt;1),--($C$6:$C$300=$C130),$E$6:$E$300,$O$6:$O$300)/((N130-1)*SUMPRODUCT(--($L$6:$L$300&lt;&gt;1),--($C$6:$C$300=$C130),$E$6:$E$300)/N130))</f>
        <v>192.45445155677626</v>
      </c>
      <c r="Q130" s="2">
        <f t="shared" si="15"/>
        <v>230.89688399061041</v>
      </c>
      <c r="R130" s="2">
        <f t="shared" si="15"/>
        <v>724.17749136783868</v>
      </c>
      <c r="S130" s="2">
        <f t="shared" si="14"/>
        <v>403.62767282059298</v>
      </c>
    </row>
    <row r="131" spans="2:19" x14ac:dyDescent="0.3">
      <c r="B131" s="9">
        <v>294</v>
      </c>
      <c r="C131" s="9">
        <v>7</v>
      </c>
      <c r="D131" s="8" t="s">
        <v>164</v>
      </c>
      <c r="E131" s="125">
        <f>INDEX('Revised 2018 Lockdown'!H$5:H$253,MATCH(B131,'Revised 2018 Lockdown'!B$5:B$253,0))</f>
        <v>1221.8972650148394</v>
      </c>
      <c r="F131" s="7">
        <f>INDEX('Revised 2018 Lockdown'!E$5:E$253,MATCH(B131,'Revised 2018 Lockdown'!B$5:B$253,0))</f>
        <v>632460.91</v>
      </c>
      <c r="G131" s="7">
        <f>INDEX('Revised 2018 Lockdown'!F$5:F$253,MATCH(B131,'Revised 2018 Lockdown'!B$5:B$253,0))</f>
        <v>637</v>
      </c>
      <c r="H131" s="7">
        <f t="shared" si="8"/>
        <v>631823.91</v>
      </c>
      <c r="I131" s="6">
        <f t="shared" si="9"/>
        <v>517.08431477038027</v>
      </c>
      <c r="J131" s="6">
        <f t="shared" si="12"/>
        <v>517.08431477038027</v>
      </c>
      <c r="K131" s="5">
        <f t="shared" si="10"/>
        <v>631823.90999999992</v>
      </c>
      <c r="L131" s="4">
        <f t="shared" si="11"/>
        <v>0</v>
      </c>
      <c r="M131" s="2" cm="1">
        <f t="array" ref="M131">SUMPRODUCT(--($L$6:$L$300&lt;&gt;1),--($C$6:$C$300=$C131),$H$6:$H$300)/SUMPRODUCT(--($L$6:$L$300&lt;&gt;1),--($C$6:$C$300=$C131),$E$6:$E$300)</f>
        <v>477.53718767922453</v>
      </c>
      <c r="N131" s="1" cm="1">
        <f t="array" ref="N131">SUMPRODUCT(--($L$6:$L$300&lt;&gt;1),--($C$6:$C$300=$C131))</f>
        <v>66</v>
      </c>
      <c r="O131" s="3">
        <f t="shared" si="13"/>
        <v>1563.9752611640247</v>
      </c>
      <c r="P131" s="2" cm="1">
        <f t="array" ref="P131">SQRT(SUMPRODUCT(--($L$6:$L$300&lt;&gt;1),--($C$6:$C$300=$C131),$E$6:$E$300,$O$6:$O$300)/((N131-1)*SUMPRODUCT(--($L$6:$L$300&lt;&gt;1),--($C$6:$C$300=$C131),$E$6:$E$300)/N131))</f>
        <v>192.45445155677626</v>
      </c>
      <c r="Q131" s="2">
        <f t="shared" si="15"/>
        <v>230.89688399061041</v>
      </c>
      <c r="R131" s="2">
        <f t="shared" si="15"/>
        <v>724.17749136783868</v>
      </c>
      <c r="S131" s="2">
        <f t="shared" si="14"/>
        <v>517.08431477038027</v>
      </c>
    </row>
    <row r="132" spans="2:19" x14ac:dyDescent="0.3">
      <c r="B132" s="9">
        <v>296</v>
      </c>
      <c r="C132" s="9">
        <v>7</v>
      </c>
      <c r="D132" s="8" t="s">
        <v>165</v>
      </c>
      <c r="E132" s="125">
        <f>INDEX('Revised 2018 Lockdown'!H$5:H$253,MATCH(B132,'Revised 2018 Lockdown'!B$5:B$253,0))</f>
        <v>869.4000000000002</v>
      </c>
      <c r="F132" s="7">
        <f>INDEX('Revised 2018 Lockdown'!E$5:E$253,MATCH(B132,'Revised 2018 Lockdown'!B$5:B$253,0))</f>
        <v>836673.68</v>
      </c>
      <c r="G132" s="7">
        <f>INDEX('Revised 2018 Lockdown'!F$5:F$253,MATCH(B132,'Revised 2018 Lockdown'!B$5:B$253,0))</f>
        <v>180195.59000000003</v>
      </c>
      <c r="H132" s="7">
        <f t="shared" si="8"/>
        <v>656478.09000000008</v>
      </c>
      <c r="I132" s="6">
        <f t="shared" si="9"/>
        <v>755.09327122153206</v>
      </c>
      <c r="J132" s="6">
        <f t="shared" si="12"/>
        <v>724.17749136783868</v>
      </c>
      <c r="K132" s="5">
        <f t="shared" si="10"/>
        <v>629599.91099519911</v>
      </c>
      <c r="L132" s="4">
        <f t="shared" si="11"/>
        <v>0</v>
      </c>
      <c r="M132" s="2" cm="1">
        <f t="array" ref="M132">SUMPRODUCT(--($L$6:$L$300&lt;&gt;1),--($C$6:$C$300=$C132),$H$6:$H$300)/SUMPRODUCT(--($L$6:$L$300&lt;&gt;1),--($C$6:$C$300=$C132),$E$6:$E$300)</f>
        <v>477.53718767922453</v>
      </c>
      <c r="N132" s="1" cm="1">
        <f t="array" ref="N132">SUMPRODUCT(--($L$6:$L$300&lt;&gt;1),--($C$6:$C$300=$C132))</f>
        <v>66</v>
      </c>
      <c r="O132" s="3">
        <f t="shared" si="13"/>
        <v>77037.379511344392</v>
      </c>
      <c r="P132" s="2" cm="1">
        <f t="array" ref="P132">SQRT(SUMPRODUCT(--($L$6:$L$300&lt;&gt;1),--($C$6:$C$300=$C132),$E$6:$E$300,$O$6:$O$300)/((N132-1)*SUMPRODUCT(--($L$6:$L$300&lt;&gt;1),--($C$6:$C$300=$C132),$E$6:$E$300)/N132))</f>
        <v>192.45445155677626</v>
      </c>
      <c r="Q132" s="2">
        <f t="shared" si="15"/>
        <v>230.89688399061041</v>
      </c>
      <c r="R132" s="2">
        <f t="shared" si="15"/>
        <v>724.17749136783868</v>
      </c>
      <c r="S132" s="2">
        <f t="shared" si="14"/>
        <v>724.17749136783868</v>
      </c>
    </row>
    <row r="133" spans="2:19" x14ac:dyDescent="0.3">
      <c r="B133" s="9">
        <v>301</v>
      </c>
      <c r="C133" s="9">
        <v>7</v>
      </c>
      <c r="D133" s="8" t="s">
        <v>166</v>
      </c>
      <c r="E133" s="125">
        <f>INDEX('Revised 2018 Lockdown'!H$5:H$253,MATCH(B133,'Revised 2018 Lockdown'!B$5:B$253,0))</f>
        <v>630.73820209822964</v>
      </c>
      <c r="F133" s="7">
        <f>INDEX('Revised 2018 Lockdown'!E$5:E$253,MATCH(B133,'Revised 2018 Lockdown'!B$5:B$253,0))</f>
        <v>227243.71</v>
      </c>
      <c r="G133" s="7">
        <f>INDEX('Revised 2018 Lockdown'!F$5:F$253,MATCH(B133,'Revised 2018 Lockdown'!B$5:B$253,0))</f>
        <v>424.62</v>
      </c>
      <c r="H133" s="7">
        <f t="shared" si="8"/>
        <v>226819.09</v>
      </c>
      <c r="I133" s="6">
        <f t="shared" si="9"/>
        <v>359.60893005284584</v>
      </c>
      <c r="J133" s="6">
        <f t="shared" si="12"/>
        <v>359.60893005284584</v>
      </c>
      <c r="K133" s="5">
        <f t="shared" si="10"/>
        <v>226819.09</v>
      </c>
      <c r="L133" s="4">
        <f t="shared" si="11"/>
        <v>0</v>
      </c>
      <c r="M133" s="2" cm="1">
        <f t="array" ref="M133">SUMPRODUCT(--($L$6:$L$300&lt;&gt;1),--($C$6:$C$300=$C133),$H$6:$H$300)/SUMPRODUCT(--($L$6:$L$300&lt;&gt;1),--($C$6:$C$300=$C133),$E$6:$E$300)</f>
        <v>477.53718767922453</v>
      </c>
      <c r="N133" s="1" cm="1">
        <f t="array" ref="N133">SUMPRODUCT(--($L$6:$L$300&lt;&gt;1),--($C$6:$C$300=$C133))</f>
        <v>66</v>
      </c>
      <c r="O133" s="3">
        <f t="shared" si="13"/>
        <v>13907.073946793545</v>
      </c>
      <c r="P133" s="2" cm="1">
        <f t="array" ref="P133">SQRT(SUMPRODUCT(--($L$6:$L$300&lt;&gt;1),--($C$6:$C$300=$C133),$E$6:$E$300,$O$6:$O$300)/((N133-1)*SUMPRODUCT(--($L$6:$L$300&lt;&gt;1),--($C$6:$C$300=$C133),$E$6:$E$300)/N133))</f>
        <v>192.45445155677626</v>
      </c>
      <c r="Q133" s="2">
        <f t="shared" si="15"/>
        <v>230.89688399061041</v>
      </c>
      <c r="R133" s="2">
        <f t="shared" si="15"/>
        <v>724.17749136783868</v>
      </c>
      <c r="S133" s="2">
        <f t="shared" si="14"/>
        <v>359.60893005284584</v>
      </c>
    </row>
    <row r="134" spans="2:19" x14ac:dyDescent="0.3">
      <c r="B134" s="9">
        <v>321</v>
      </c>
      <c r="C134" s="9">
        <v>7</v>
      </c>
      <c r="D134" s="8" t="s">
        <v>167</v>
      </c>
      <c r="E134" s="125">
        <f>INDEX('Revised 2018 Lockdown'!H$5:H$253,MATCH(B134,'Revised 2018 Lockdown'!B$5:B$253,0))</f>
        <v>435.74</v>
      </c>
      <c r="F134" s="7">
        <f>INDEX('Revised 2018 Lockdown'!E$5:E$253,MATCH(B134,'Revised 2018 Lockdown'!B$5:B$253,0))</f>
        <v>480503.47</v>
      </c>
      <c r="G134" s="7">
        <f>INDEX('Revised 2018 Lockdown'!F$5:F$253,MATCH(B134,'Revised 2018 Lockdown'!B$5:B$253,0))</f>
        <v>39100.69</v>
      </c>
      <c r="H134" s="7">
        <f t="shared" ref="H134:H197" si="16">F134-G134</f>
        <v>441402.77999999997</v>
      </c>
      <c r="I134" s="6">
        <f t="shared" ref="I134:I197" si="17">H134/E134</f>
        <v>1012.9957772983888</v>
      </c>
      <c r="J134" s="6">
        <f t="shared" si="12"/>
        <v>724.17749136783868</v>
      </c>
      <c r="K134" s="5">
        <f t="shared" ref="K134:K197" si="18">J134*E134</f>
        <v>315553.10008862201</v>
      </c>
      <c r="L134" s="4">
        <f t="shared" ref="L134:L197" si="19">IF(ISERROR(I134),1,0)</f>
        <v>0</v>
      </c>
      <c r="M134" s="2" cm="1">
        <f t="array" ref="M134">SUMPRODUCT(--($L$6:$L$300&lt;&gt;1),--($C$6:$C$300=$C134),$H$6:$H$300)/SUMPRODUCT(--($L$6:$L$300&lt;&gt;1),--($C$6:$C$300=$C134),$E$6:$E$300)</f>
        <v>477.53718767922453</v>
      </c>
      <c r="N134" s="1" cm="1">
        <f t="array" ref="N134">SUMPRODUCT(--($L$6:$L$300&lt;&gt;1),--($C$6:$C$300=$C134))</f>
        <v>66</v>
      </c>
      <c r="O134" s="3">
        <f t="shared" si="13"/>
        <v>286715.90119694459</v>
      </c>
      <c r="P134" s="2" cm="1">
        <f t="array" ref="P134">SQRT(SUMPRODUCT(--($L$6:$L$300&lt;&gt;1),--($C$6:$C$300=$C134),$E$6:$E$300,$O$6:$O$300)/((N134-1)*SUMPRODUCT(--($L$6:$L$300&lt;&gt;1),--($C$6:$C$300=$C134),$E$6:$E$300)/N134))</f>
        <v>192.45445155677626</v>
      </c>
      <c r="Q134" s="2">
        <f t="shared" si="15"/>
        <v>230.89688399061041</v>
      </c>
      <c r="R134" s="2">
        <f t="shared" si="15"/>
        <v>724.17749136783868</v>
      </c>
      <c r="S134" s="2">
        <f t="shared" si="14"/>
        <v>724.17749136783868</v>
      </c>
    </row>
    <row r="135" spans="2:19" x14ac:dyDescent="0.3">
      <c r="B135" s="9">
        <v>325</v>
      </c>
      <c r="C135" s="9">
        <v>7</v>
      </c>
      <c r="D135" s="8" t="s">
        <v>168</v>
      </c>
      <c r="E135" s="125">
        <f>INDEX('Revised 2018 Lockdown'!H$5:H$253,MATCH(B135,'Revised 2018 Lockdown'!B$5:B$253,0))</f>
        <v>394.42804250748418</v>
      </c>
      <c r="F135" s="7">
        <f>INDEX('Revised 2018 Lockdown'!E$5:E$253,MATCH(B135,'Revised 2018 Lockdown'!B$5:B$253,0))</f>
        <v>182309.94</v>
      </c>
      <c r="G135" s="7">
        <f>INDEX('Revised 2018 Lockdown'!F$5:F$253,MATCH(B135,'Revised 2018 Lockdown'!B$5:B$253,0))</f>
        <v>304</v>
      </c>
      <c r="H135" s="7">
        <f t="shared" si="16"/>
        <v>182005.94</v>
      </c>
      <c r="I135" s="6">
        <f t="shared" si="17"/>
        <v>461.44269774263449</v>
      </c>
      <c r="J135" s="6">
        <f t="shared" ref="J135:J198" si="20">IF(ISERROR(IF($J$2=1,MAX(MIN(I135,R135),Q135),MIN(I135,R135))),R135,IF($J$2=1,MAX(MIN(I135,R135),Q135),MIN(I135,R135)))</f>
        <v>461.44269774263449</v>
      </c>
      <c r="K135" s="5">
        <f t="shared" si="18"/>
        <v>182005.94</v>
      </c>
      <c r="L135" s="4">
        <f t="shared" si="19"/>
        <v>0</v>
      </c>
      <c r="M135" s="2" cm="1">
        <f t="array" ref="M135">SUMPRODUCT(--($L$6:$L$300&lt;&gt;1),--($C$6:$C$300=$C135),$H$6:$H$300)/SUMPRODUCT(--($L$6:$L$300&lt;&gt;1),--($C$6:$C$300=$C135),$E$6:$E$300)</f>
        <v>477.53718767922453</v>
      </c>
      <c r="N135" s="1" cm="1">
        <f t="array" ref="N135">SUMPRODUCT(--($L$6:$L$300&lt;&gt;1),--($C$6:$C$300=$C135))</f>
        <v>66</v>
      </c>
      <c r="O135" s="3">
        <f t="shared" ref="O135:O198" si="21">IF(ISERROR((I135-M135)^2),0,(I135-M135)^2)</f>
        <v>259.03260631899798</v>
      </c>
      <c r="P135" s="2" cm="1">
        <f t="array" ref="P135">SQRT(SUMPRODUCT(--($L$6:$L$300&lt;&gt;1),--($C$6:$C$300=$C135),$E$6:$E$300,$O$6:$O$300)/((N135-1)*SUMPRODUCT(--($L$6:$L$300&lt;&gt;1),--($C$6:$C$300=$C135),$E$6:$E$300)/N135))</f>
        <v>192.45445155677626</v>
      </c>
      <c r="Q135" s="2">
        <f t="shared" si="15"/>
        <v>230.89688399061041</v>
      </c>
      <c r="R135" s="2">
        <f t="shared" si="15"/>
        <v>724.17749136783868</v>
      </c>
      <c r="S135" s="2">
        <f t="shared" ref="S135:S198" si="22">IF(ISERROR(MAX(MIN(I135,R135),Q135)),R135,MAX(MIN(I135,R135),Q135))</f>
        <v>461.44269774263449</v>
      </c>
    </row>
    <row r="136" spans="2:19" x14ac:dyDescent="0.3">
      <c r="B136" s="9">
        <v>346</v>
      </c>
      <c r="C136" s="9">
        <v>7</v>
      </c>
      <c r="D136" s="8" t="s">
        <v>169</v>
      </c>
      <c r="E136" s="125">
        <f>INDEX('Revised 2018 Lockdown'!H$5:H$253,MATCH(B136,'Revised 2018 Lockdown'!B$5:B$253,0))</f>
        <v>262.16750068175787</v>
      </c>
      <c r="F136" s="7">
        <f>INDEX('Revised 2018 Lockdown'!E$5:E$253,MATCH(B136,'Revised 2018 Lockdown'!B$5:B$253,0))</f>
        <v>123092.65</v>
      </c>
      <c r="G136" s="7">
        <f>INDEX('Revised 2018 Lockdown'!F$5:F$253,MATCH(B136,'Revised 2018 Lockdown'!B$5:B$253,0))</f>
        <v>27381.15</v>
      </c>
      <c r="H136" s="7">
        <f t="shared" si="16"/>
        <v>95711.5</v>
      </c>
      <c r="I136" s="6">
        <f t="shared" si="17"/>
        <v>365.07766886095885</v>
      </c>
      <c r="J136" s="6">
        <f t="shared" si="20"/>
        <v>365.07766886095885</v>
      </c>
      <c r="K136" s="5">
        <f t="shared" si="18"/>
        <v>95711.5</v>
      </c>
      <c r="L136" s="4">
        <f t="shared" si="19"/>
        <v>0</v>
      </c>
      <c r="M136" s="2" cm="1">
        <f t="array" ref="M136">SUMPRODUCT(--($L$6:$L$300&lt;&gt;1),--($C$6:$C$300=$C136),$H$6:$H$300)/SUMPRODUCT(--($L$6:$L$300&lt;&gt;1),--($C$6:$C$300=$C136),$E$6:$E$300)</f>
        <v>477.53718767922453</v>
      </c>
      <c r="N136" s="1" cm="1">
        <f t="array" ref="N136">SUMPRODUCT(--($L$6:$L$300&lt;&gt;1),--($C$6:$C$300=$C136))</f>
        <v>66</v>
      </c>
      <c r="O136" s="3">
        <f t="shared" si="21"/>
        <v>12647.143372835852</v>
      </c>
      <c r="P136" s="2" cm="1">
        <f t="array" ref="P136">SQRT(SUMPRODUCT(--($L$6:$L$300&lt;&gt;1),--($C$6:$C$300=$C136),$E$6:$E$300,$O$6:$O$300)/((N136-1)*SUMPRODUCT(--($L$6:$L$300&lt;&gt;1),--($C$6:$C$300=$C136),$E$6:$E$300)/N136))</f>
        <v>192.45445155677626</v>
      </c>
      <c r="Q136" s="2">
        <f t="shared" si="15"/>
        <v>230.89688399061041</v>
      </c>
      <c r="R136" s="2">
        <f t="shared" si="15"/>
        <v>724.17749136783868</v>
      </c>
      <c r="S136" s="2">
        <f t="shared" si="22"/>
        <v>365.07766886095885</v>
      </c>
    </row>
    <row r="137" spans="2:19" x14ac:dyDescent="0.3">
      <c r="B137" s="9">
        <v>358</v>
      </c>
      <c r="C137" s="9">
        <v>7</v>
      </c>
      <c r="D137" s="8" t="s">
        <v>170</v>
      </c>
      <c r="E137" s="125">
        <f>INDEX('Revised 2018 Lockdown'!H$5:H$253,MATCH(B137,'Revised 2018 Lockdown'!B$5:B$253,0))</f>
        <v>379.12</v>
      </c>
      <c r="F137" s="7">
        <f>INDEX('Revised 2018 Lockdown'!E$5:E$253,MATCH(B137,'Revised 2018 Lockdown'!B$5:B$253,0))</f>
        <v>241699.7</v>
      </c>
      <c r="G137" s="7">
        <f>INDEX('Revised 2018 Lockdown'!F$5:F$253,MATCH(B137,'Revised 2018 Lockdown'!B$5:B$253,0))</f>
        <v>48918.26</v>
      </c>
      <c r="H137" s="7">
        <f t="shared" si="16"/>
        <v>192781.44</v>
      </c>
      <c r="I137" s="6">
        <f t="shared" si="17"/>
        <v>508.49715129774216</v>
      </c>
      <c r="J137" s="6">
        <f t="shared" si="20"/>
        <v>508.49715129774216</v>
      </c>
      <c r="K137" s="5">
        <f t="shared" si="18"/>
        <v>192781.44</v>
      </c>
      <c r="L137" s="4">
        <f t="shared" si="19"/>
        <v>0</v>
      </c>
      <c r="M137" s="2" cm="1">
        <f t="array" ref="M137">SUMPRODUCT(--($L$6:$L$300&lt;&gt;1),--($C$6:$C$300=$C137),$H$6:$H$300)/SUMPRODUCT(--($L$6:$L$300&lt;&gt;1),--($C$6:$C$300=$C137),$E$6:$E$300)</f>
        <v>477.53718767922453</v>
      </c>
      <c r="N137" s="1" cm="1">
        <f t="array" ref="N137">SUMPRODUCT(--($L$6:$L$300&lt;&gt;1),--($C$6:$C$300=$C137))</f>
        <v>66</v>
      </c>
      <c r="O137" s="3">
        <f t="shared" si="21"/>
        <v>958.51934725993544</v>
      </c>
      <c r="P137" s="2" cm="1">
        <f t="array" ref="P137">SQRT(SUMPRODUCT(--($L$6:$L$300&lt;&gt;1),--($C$6:$C$300=$C137),$E$6:$E$300,$O$6:$O$300)/((N137-1)*SUMPRODUCT(--($L$6:$L$300&lt;&gt;1),--($C$6:$C$300=$C137),$E$6:$E$300)/N137))</f>
        <v>192.45445155677626</v>
      </c>
      <c r="Q137" s="2">
        <f t="shared" si="15"/>
        <v>230.89688399061041</v>
      </c>
      <c r="R137" s="2">
        <f t="shared" si="15"/>
        <v>724.17749136783868</v>
      </c>
      <c r="S137" s="2">
        <f t="shared" si="22"/>
        <v>508.49715129774216</v>
      </c>
    </row>
    <row r="138" spans="2:19" x14ac:dyDescent="0.3">
      <c r="B138" s="9">
        <v>361</v>
      </c>
      <c r="C138" s="9">
        <v>7</v>
      </c>
      <c r="D138" s="8" t="s">
        <v>171</v>
      </c>
      <c r="E138" s="125">
        <f>INDEX('Revised 2018 Lockdown'!H$5:H$253,MATCH(B138,'Revised 2018 Lockdown'!B$5:B$253,0))</f>
        <v>1540.8574052899257</v>
      </c>
      <c r="F138" s="7">
        <f>INDEX('Revised 2018 Lockdown'!E$5:E$253,MATCH(B138,'Revised 2018 Lockdown'!B$5:B$253,0))</f>
        <v>911184.79</v>
      </c>
      <c r="G138" s="7">
        <f>INDEX('Revised 2018 Lockdown'!F$5:F$253,MATCH(B138,'Revised 2018 Lockdown'!B$5:B$253,0))</f>
        <v>7581.0599999999995</v>
      </c>
      <c r="H138" s="7">
        <f t="shared" si="16"/>
        <v>903603.73</v>
      </c>
      <c r="I138" s="6">
        <f t="shared" si="17"/>
        <v>586.4291704721237</v>
      </c>
      <c r="J138" s="6">
        <f t="shared" si="20"/>
        <v>586.4291704721237</v>
      </c>
      <c r="K138" s="5">
        <f t="shared" si="18"/>
        <v>903603.7300000001</v>
      </c>
      <c r="L138" s="4">
        <f t="shared" si="19"/>
        <v>0</v>
      </c>
      <c r="M138" s="2" cm="1">
        <f t="array" ref="M138">SUMPRODUCT(--($L$6:$L$300&lt;&gt;1),--($C$6:$C$300=$C138),$H$6:$H$300)/SUMPRODUCT(--($L$6:$L$300&lt;&gt;1),--($C$6:$C$300=$C138),$E$6:$E$300)</f>
        <v>477.53718767922453</v>
      </c>
      <c r="N138" s="1" cm="1">
        <f t="array" ref="N138">SUMPRODUCT(--($L$6:$L$300&lt;&gt;1),--($C$6:$C$300=$C138))</f>
        <v>66</v>
      </c>
      <c r="O138" s="3">
        <f t="shared" si="21"/>
        <v>11857.46391656905</v>
      </c>
      <c r="P138" s="2" cm="1">
        <f t="array" ref="P138">SQRT(SUMPRODUCT(--($L$6:$L$300&lt;&gt;1),--($C$6:$C$300=$C138),$E$6:$E$300,$O$6:$O$300)/((N138-1)*SUMPRODUCT(--($L$6:$L$300&lt;&gt;1),--($C$6:$C$300=$C138),$E$6:$E$300)/N138))</f>
        <v>192.45445155677626</v>
      </c>
      <c r="Q138" s="2">
        <f t="shared" si="15"/>
        <v>230.89688399061041</v>
      </c>
      <c r="R138" s="2">
        <f t="shared" si="15"/>
        <v>724.17749136783868</v>
      </c>
      <c r="S138" s="2">
        <f t="shared" si="22"/>
        <v>586.4291704721237</v>
      </c>
    </row>
    <row r="139" spans="2:19" x14ac:dyDescent="0.3">
      <c r="B139" s="9">
        <v>376</v>
      </c>
      <c r="C139" s="9">
        <v>7</v>
      </c>
      <c r="D139" s="8" t="s">
        <v>172</v>
      </c>
      <c r="E139" s="125">
        <f>INDEX('Revised 2018 Lockdown'!H$5:H$253,MATCH(B139,'Revised 2018 Lockdown'!B$5:B$253,0))</f>
        <v>685.89220705089633</v>
      </c>
      <c r="F139" s="7">
        <f>INDEX('Revised 2018 Lockdown'!E$5:E$253,MATCH(B139,'Revised 2018 Lockdown'!B$5:B$253,0))</f>
        <v>281309.96000000002</v>
      </c>
      <c r="G139" s="7">
        <f>INDEX('Revised 2018 Lockdown'!F$5:F$253,MATCH(B139,'Revised 2018 Lockdown'!B$5:B$253,0))</f>
        <v>326</v>
      </c>
      <c r="H139" s="7">
        <f t="shared" si="16"/>
        <v>280983.96000000002</v>
      </c>
      <c r="I139" s="6">
        <f t="shared" si="17"/>
        <v>409.6619805729178</v>
      </c>
      <c r="J139" s="6">
        <f t="shared" si="20"/>
        <v>409.6619805729178</v>
      </c>
      <c r="K139" s="5">
        <f t="shared" si="18"/>
        <v>280983.96000000002</v>
      </c>
      <c r="L139" s="4">
        <f t="shared" si="19"/>
        <v>0</v>
      </c>
      <c r="M139" s="2" cm="1">
        <f t="array" ref="M139">SUMPRODUCT(--($L$6:$L$300&lt;&gt;1),--($C$6:$C$300=$C139),$H$6:$H$300)/SUMPRODUCT(--($L$6:$L$300&lt;&gt;1),--($C$6:$C$300=$C139),$E$6:$E$300)</f>
        <v>477.53718767922453</v>
      </c>
      <c r="N139" s="1" cm="1">
        <f t="array" ref="N139">SUMPRODUCT(--($L$6:$L$300&lt;&gt;1),--($C$6:$C$300=$C139))</f>
        <v>66</v>
      </c>
      <c r="O139" s="3">
        <f t="shared" si="21"/>
        <v>4607.0437397240321</v>
      </c>
      <c r="P139" s="2" cm="1">
        <f t="array" ref="P139">SQRT(SUMPRODUCT(--($L$6:$L$300&lt;&gt;1),--($C$6:$C$300=$C139),$E$6:$E$300,$O$6:$O$300)/((N139-1)*SUMPRODUCT(--($L$6:$L$300&lt;&gt;1),--($C$6:$C$300=$C139),$E$6:$E$300)/N139))</f>
        <v>192.45445155677626</v>
      </c>
      <c r="Q139" s="2">
        <f t="shared" si="15"/>
        <v>230.89688399061041</v>
      </c>
      <c r="R139" s="2">
        <f t="shared" si="15"/>
        <v>724.17749136783868</v>
      </c>
      <c r="S139" s="2">
        <f t="shared" si="22"/>
        <v>409.6619805729178</v>
      </c>
    </row>
    <row r="140" spans="2:19" x14ac:dyDescent="0.3">
      <c r="B140" s="9">
        <v>382</v>
      </c>
      <c r="C140" s="9">
        <v>7</v>
      </c>
      <c r="D140" s="8" t="s">
        <v>173</v>
      </c>
      <c r="E140" s="125">
        <f>INDEX('Revised 2018 Lockdown'!H$5:H$253,MATCH(B140,'Revised 2018 Lockdown'!B$5:B$253,0))</f>
        <v>185.27</v>
      </c>
      <c r="F140" s="7">
        <f>INDEX('Revised 2018 Lockdown'!E$5:E$253,MATCH(B140,'Revised 2018 Lockdown'!B$5:B$253,0))</f>
        <v>98656.37</v>
      </c>
      <c r="G140" s="7">
        <f>INDEX('Revised 2018 Lockdown'!F$5:F$253,MATCH(B140,'Revised 2018 Lockdown'!B$5:B$253,0))</f>
        <v>22015.520000000004</v>
      </c>
      <c r="H140" s="7">
        <f t="shared" si="16"/>
        <v>76640.849999999991</v>
      </c>
      <c r="I140" s="6">
        <f t="shared" si="17"/>
        <v>413.67112862309057</v>
      </c>
      <c r="J140" s="6">
        <f t="shared" si="20"/>
        <v>413.67112862309057</v>
      </c>
      <c r="K140" s="5">
        <f t="shared" si="18"/>
        <v>76640.849999999991</v>
      </c>
      <c r="L140" s="4">
        <f t="shared" si="19"/>
        <v>0</v>
      </c>
      <c r="M140" s="2" cm="1">
        <f t="array" ref="M140">SUMPRODUCT(--($L$6:$L$300&lt;&gt;1),--($C$6:$C$300=$C140),$H$6:$H$300)/SUMPRODUCT(--($L$6:$L$300&lt;&gt;1),--($C$6:$C$300=$C140),$E$6:$E$300)</f>
        <v>477.53718767922453</v>
      </c>
      <c r="N140" s="1" cm="1">
        <f t="array" ref="N140">SUMPRODUCT(--($L$6:$L$300&lt;&gt;1),--($C$6:$C$300=$C140))</f>
        <v>66</v>
      </c>
      <c r="O140" s="3">
        <f t="shared" si="21"/>
        <v>4078.8734993615908</v>
      </c>
      <c r="P140" s="2" cm="1">
        <f t="array" ref="P140">SQRT(SUMPRODUCT(--($L$6:$L$300&lt;&gt;1),--($C$6:$C$300=$C140),$E$6:$E$300,$O$6:$O$300)/((N140-1)*SUMPRODUCT(--($L$6:$L$300&lt;&gt;1),--($C$6:$C$300=$C140),$E$6:$E$300)/N140))</f>
        <v>192.45445155677626</v>
      </c>
      <c r="Q140" s="2">
        <f t="shared" si="15"/>
        <v>230.89688399061041</v>
      </c>
      <c r="R140" s="2">
        <f t="shared" si="15"/>
        <v>724.17749136783868</v>
      </c>
      <c r="S140" s="2">
        <f t="shared" si="22"/>
        <v>413.67112862309057</v>
      </c>
    </row>
    <row r="141" spans="2:19" x14ac:dyDescent="0.3">
      <c r="B141" s="9">
        <v>389</v>
      </c>
      <c r="C141" s="9">
        <v>7</v>
      </c>
      <c r="D141" s="8" t="s">
        <v>174</v>
      </c>
      <c r="E141" s="125">
        <f>INDEX('Revised 2018 Lockdown'!H$5:H$253,MATCH(B141,'Revised 2018 Lockdown'!B$5:B$253,0))</f>
        <v>971.30836174231024</v>
      </c>
      <c r="F141" s="7">
        <f>INDEX('Revised 2018 Lockdown'!E$5:E$253,MATCH(B141,'Revised 2018 Lockdown'!B$5:B$253,0))</f>
        <v>166030.71</v>
      </c>
      <c r="G141" s="7">
        <f>INDEX('Revised 2018 Lockdown'!F$5:F$253,MATCH(B141,'Revised 2018 Lockdown'!B$5:B$253,0))</f>
        <v>944.5</v>
      </c>
      <c r="H141" s="7">
        <f t="shared" si="16"/>
        <v>165086.21</v>
      </c>
      <c r="I141" s="6">
        <f t="shared" si="17"/>
        <v>169.96271884643534</v>
      </c>
      <c r="J141" s="6">
        <f t="shared" si="20"/>
        <v>169.96271884643534</v>
      </c>
      <c r="K141" s="5">
        <f t="shared" si="18"/>
        <v>165086.21</v>
      </c>
      <c r="L141" s="4">
        <f t="shared" si="19"/>
        <v>0</v>
      </c>
      <c r="M141" s="2" cm="1">
        <f t="array" ref="M141">SUMPRODUCT(--($L$6:$L$300&lt;&gt;1),--($C$6:$C$300=$C141),$H$6:$H$300)/SUMPRODUCT(--($L$6:$L$300&lt;&gt;1),--($C$6:$C$300=$C141),$E$6:$E$300)</f>
        <v>477.53718767922453</v>
      </c>
      <c r="N141" s="1" cm="1">
        <f t="array" ref="N141">SUMPRODUCT(--($L$6:$L$300&lt;&gt;1),--($C$6:$C$300=$C141))</f>
        <v>66</v>
      </c>
      <c r="O141" s="3">
        <f t="shared" si="21"/>
        <v>94602.053877772414</v>
      </c>
      <c r="P141" s="2" cm="1">
        <f t="array" ref="P141">SQRT(SUMPRODUCT(--($L$6:$L$300&lt;&gt;1),--($C$6:$C$300=$C141),$E$6:$E$300,$O$6:$O$300)/((N141-1)*SUMPRODUCT(--($L$6:$L$300&lt;&gt;1),--($C$6:$C$300=$C141),$E$6:$E$300)/N141))</f>
        <v>192.45445155677626</v>
      </c>
      <c r="Q141" s="2">
        <f t="shared" si="15"/>
        <v>230.89688399061041</v>
      </c>
      <c r="R141" s="2">
        <f t="shared" si="15"/>
        <v>724.17749136783868</v>
      </c>
      <c r="S141" s="2">
        <f t="shared" si="22"/>
        <v>230.89688399061041</v>
      </c>
    </row>
    <row r="142" spans="2:19" x14ac:dyDescent="0.3">
      <c r="B142" s="9">
        <v>420</v>
      </c>
      <c r="C142" s="9">
        <v>7</v>
      </c>
      <c r="D142" s="8" t="s">
        <v>265</v>
      </c>
      <c r="E142" s="125">
        <f>INDEX('Revised 2018 Lockdown'!H$5:H$253,MATCH(B142,'Revised 2018 Lockdown'!B$5:B$253,0))</f>
        <v>439.19048015518462</v>
      </c>
      <c r="F142" s="7">
        <f>INDEX('Revised 2018 Lockdown'!E$5:E$253,MATCH(B142,'Revised 2018 Lockdown'!B$5:B$253,0))</f>
        <v>181392.42</v>
      </c>
      <c r="G142" s="7">
        <f>INDEX('Revised 2018 Lockdown'!F$5:F$253,MATCH(B142,'Revised 2018 Lockdown'!B$5:B$253,0))</f>
        <v>158.49</v>
      </c>
      <c r="H142" s="7">
        <f t="shared" si="16"/>
        <v>181233.93000000002</v>
      </c>
      <c r="I142" s="6">
        <f t="shared" si="17"/>
        <v>412.65450456932126</v>
      </c>
      <c r="J142" s="6">
        <f t="shared" si="20"/>
        <v>412.65450456932126</v>
      </c>
      <c r="K142" s="5">
        <f t="shared" si="18"/>
        <v>181233.93000000002</v>
      </c>
      <c r="L142" s="4">
        <f t="shared" si="19"/>
        <v>0</v>
      </c>
      <c r="M142" s="2" cm="1">
        <f t="array" ref="M142">SUMPRODUCT(--($L$6:$L$300&lt;&gt;1),--($C$6:$C$300=$C142),$H$6:$H$300)/SUMPRODUCT(--($L$6:$L$300&lt;&gt;1),--($C$6:$C$300=$C142),$E$6:$E$300)</f>
        <v>477.53718767922453</v>
      </c>
      <c r="N142" s="1" cm="1">
        <f t="array" ref="N142">SUMPRODUCT(--($L$6:$L$300&lt;&gt;1),--($C$6:$C$300=$C142))</f>
        <v>66</v>
      </c>
      <c r="O142" s="3">
        <f t="shared" si="21"/>
        <v>4209.7625675401268</v>
      </c>
      <c r="P142" s="2" cm="1">
        <f t="array" ref="P142">SQRT(SUMPRODUCT(--($L$6:$L$300&lt;&gt;1),--($C$6:$C$300=$C142),$E$6:$E$300,$O$6:$O$300)/((N142-1)*SUMPRODUCT(--($L$6:$L$300&lt;&gt;1),--($C$6:$C$300=$C142),$E$6:$E$300)/N142))</f>
        <v>192.45445155677626</v>
      </c>
      <c r="Q142" s="2">
        <f t="shared" si="15"/>
        <v>230.89688399061041</v>
      </c>
      <c r="R142" s="2">
        <f t="shared" si="15"/>
        <v>724.17749136783868</v>
      </c>
      <c r="S142" s="2">
        <f t="shared" si="22"/>
        <v>412.65450456932126</v>
      </c>
    </row>
    <row r="143" spans="2:19" x14ac:dyDescent="0.3">
      <c r="B143" s="9">
        <v>434</v>
      </c>
      <c r="C143" s="9">
        <v>7</v>
      </c>
      <c r="D143" s="8" t="s">
        <v>175</v>
      </c>
      <c r="E143" s="125">
        <f>INDEX('Revised 2018 Lockdown'!H$5:H$253,MATCH(B143,'Revised 2018 Lockdown'!B$5:B$253,0))</f>
        <v>314.12901317026297</v>
      </c>
      <c r="F143" s="7">
        <f>INDEX('Revised 2018 Lockdown'!E$5:E$253,MATCH(B143,'Revised 2018 Lockdown'!B$5:B$253,0))</f>
        <v>130973.72</v>
      </c>
      <c r="G143" s="7">
        <f>INDEX('Revised 2018 Lockdown'!F$5:F$253,MATCH(B143,'Revised 2018 Lockdown'!B$5:B$253,0))</f>
        <v>0</v>
      </c>
      <c r="H143" s="7">
        <f t="shared" si="16"/>
        <v>130973.72</v>
      </c>
      <c r="I143" s="6">
        <f t="shared" si="17"/>
        <v>416.94244883076158</v>
      </c>
      <c r="J143" s="6">
        <f t="shared" si="20"/>
        <v>416.94244883076158</v>
      </c>
      <c r="K143" s="5">
        <f t="shared" si="18"/>
        <v>130973.72</v>
      </c>
      <c r="L143" s="4">
        <f t="shared" si="19"/>
        <v>0</v>
      </c>
      <c r="M143" s="2" cm="1">
        <f t="array" ref="M143">SUMPRODUCT(--($L$6:$L$300&lt;&gt;1),--($C$6:$C$300=$C143),$H$6:$H$300)/SUMPRODUCT(--($L$6:$L$300&lt;&gt;1),--($C$6:$C$300=$C143),$E$6:$E$300)</f>
        <v>477.53718767922453</v>
      </c>
      <c r="N143" s="1" cm="1">
        <f t="array" ref="N143">SUMPRODUCT(--($L$6:$L$300&lt;&gt;1),--($C$6:$C$300=$C143))</f>
        <v>66</v>
      </c>
      <c r="O143" s="3">
        <f t="shared" si="21"/>
        <v>3671.7223761134255</v>
      </c>
      <c r="P143" s="2" cm="1">
        <f t="array" ref="P143">SQRT(SUMPRODUCT(--($L$6:$L$300&lt;&gt;1),--($C$6:$C$300=$C143),$E$6:$E$300,$O$6:$O$300)/((N143-1)*SUMPRODUCT(--($L$6:$L$300&lt;&gt;1),--($C$6:$C$300=$C143),$E$6:$E$300)/N143))</f>
        <v>192.45445155677626</v>
      </c>
      <c r="Q143" s="2">
        <f t="shared" si="15"/>
        <v>230.89688399061041</v>
      </c>
      <c r="R143" s="2">
        <f t="shared" si="15"/>
        <v>724.17749136783868</v>
      </c>
      <c r="S143" s="2">
        <f t="shared" si="22"/>
        <v>416.94244883076158</v>
      </c>
    </row>
    <row r="144" spans="2:19" x14ac:dyDescent="0.3">
      <c r="B144" s="9">
        <v>437</v>
      </c>
      <c r="C144" s="9">
        <v>7</v>
      </c>
      <c r="D144" s="8" t="s">
        <v>176</v>
      </c>
      <c r="E144" s="125">
        <f>INDEX('Revised 2018 Lockdown'!H$5:H$253,MATCH(B144,'Revised 2018 Lockdown'!B$5:B$253,0))</f>
        <v>381.25325546155779</v>
      </c>
      <c r="F144" s="7">
        <f>INDEX('Revised 2018 Lockdown'!E$5:E$253,MATCH(B144,'Revised 2018 Lockdown'!B$5:B$253,0))</f>
        <v>234070.56</v>
      </c>
      <c r="G144" s="7">
        <f>INDEX('Revised 2018 Lockdown'!F$5:F$253,MATCH(B144,'Revised 2018 Lockdown'!B$5:B$253,0))</f>
        <v>0</v>
      </c>
      <c r="H144" s="7">
        <f t="shared" si="16"/>
        <v>234070.56</v>
      </c>
      <c r="I144" s="6">
        <f t="shared" si="17"/>
        <v>613.95032474313291</v>
      </c>
      <c r="J144" s="6">
        <f t="shared" si="20"/>
        <v>613.95032474313291</v>
      </c>
      <c r="K144" s="5">
        <f t="shared" si="18"/>
        <v>234070.56000000003</v>
      </c>
      <c r="L144" s="4">
        <f t="shared" si="19"/>
        <v>0</v>
      </c>
      <c r="M144" s="2" cm="1">
        <f t="array" ref="M144">SUMPRODUCT(--($L$6:$L$300&lt;&gt;1),--($C$6:$C$300=$C144),$H$6:$H$300)/SUMPRODUCT(--($L$6:$L$300&lt;&gt;1),--($C$6:$C$300=$C144),$E$6:$E$300)</f>
        <v>477.53718767922453</v>
      </c>
      <c r="N144" s="1" cm="1">
        <f t="array" ref="N144">SUMPRODUCT(--($L$6:$L$300&lt;&gt;1),--($C$6:$C$300=$C144))</f>
        <v>66</v>
      </c>
      <c r="O144" s="3">
        <f t="shared" si="21"/>
        <v>18608.543963616656</v>
      </c>
      <c r="P144" s="2" cm="1">
        <f t="array" ref="P144">SQRT(SUMPRODUCT(--($L$6:$L$300&lt;&gt;1),--($C$6:$C$300=$C144),$E$6:$E$300,$O$6:$O$300)/((N144-1)*SUMPRODUCT(--($L$6:$L$300&lt;&gt;1),--($C$6:$C$300=$C144),$E$6:$E$300)/N144))</f>
        <v>192.45445155677626</v>
      </c>
      <c r="Q144" s="2">
        <f t="shared" si="15"/>
        <v>230.89688399061041</v>
      </c>
      <c r="R144" s="2">
        <f t="shared" si="15"/>
        <v>724.17749136783868</v>
      </c>
      <c r="S144" s="2">
        <f t="shared" si="22"/>
        <v>613.95032474313291</v>
      </c>
    </row>
    <row r="145" spans="2:19" x14ac:dyDescent="0.3">
      <c r="B145" s="9">
        <v>502</v>
      </c>
      <c r="C145" s="9">
        <v>7</v>
      </c>
      <c r="D145" s="8" t="s">
        <v>177</v>
      </c>
      <c r="E145" s="125">
        <f>INDEX('Revised 2018 Lockdown'!H$5:H$253,MATCH(B145,'Revised 2018 Lockdown'!B$5:B$253,0))</f>
        <v>668.14703661521571</v>
      </c>
      <c r="F145" s="7">
        <f>INDEX('Revised 2018 Lockdown'!E$5:E$253,MATCH(B145,'Revised 2018 Lockdown'!B$5:B$253,0))</f>
        <v>321308.17</v>
      </c>
      <c r="G145" s="7">
        <f>INDEX('Revised 2018 Lockdown'!F$5:F$253,MATCH(B145,'Revised 2018 Lockdown'!B$5:B$253,0))</f>
        <v>0</v>
      </c>
      <c r="H145" s="7">
        <f t="shared" si="16"/>
        <v>321308.17</v>
      </c>
      <c r="I145" s="6">
        <f t="shared" si="17"/>
        <v>480.89440256702147</v>
      </c>
      <c r="J145" s="6">
        <f t="shared" si="20"/>
        <v>480.89440256702147</v>
      </c>
      <c r="K145" s="5">
        <f t="shared" si="18"/>
        <v>321308.17</v>
      </c>
      <c r="L145" s="4">
        <f t="shared" si="19"/>
        <v>0</v>
      </c>
      <c r="M145" s="2" cm="1">
        <f t="array" ref="M145">SUMPRODUCT(--($L$6:$L$300&lt;&gt;1),--($C$6:$C$300=$C145),$H$6:$H$300)/SUMPRODUCT(--($L$6:$L$300&lt;&gt;1),--($C$6:$C$300=$C145),$E$6:$E$300)</f>
        <v>477.53718767922453</v>
      </c>
      <c r="N145" s="1" cm="1">
        <f t="array" ref="N145">SUMPRODUCT(--($L$6:$L$300&lt;&gt;1),--($C$6:$C$300=$C145))</f>
        <v>66</v>
      </c>
      <c r="O145" s="3">
        <f t="shared" si="21"/>
        <v>11.270891802845437</v>
      </c>
      <c r="P145" s="2" cm="1">
        <f t="array" ref="P145">SQRT(SUMPRODUCT(--($L$6:$L$300&lt;&gt;1),--($C$6:$C$300=$C145),$E$6:$E$300,$O$6:$O$300)/((N145-1)*SUMPRODUCT(--($L$6:$L$300&lt;&gt;1),--($C$6:$C$300=$C145),$E$6:$E$300)/N145))</f>
        <v>192.45445155677626</v>
      </c>
      <c r="Q145" s="2">
        <f t="shared" si="15"/>
        <v>230.89688399061041</v>
      </c>
      <c r="R145" s="2">
        <f t="shared" si="15"/>
        <v>724.17749136783868</v>
      </c>
      <c r="S145" s="2">
        <f t="shared" si="22"/>
        <v>480.89440256702147</v>
      </c>
    </row>
    <row r="146" spans="2:19" x14ac:dyDescent="0.3">
      <c r="B146" s="9">
        <v>503</v>
      </c>
      <c r="C146" s="9">
        <v>7</v>
      </c>
      <c r="D146" s="8" t="s">
        <v>178</v>
      </c>
      <c r="E146" s="125">
        <f>INDEX('Revised 2018 Lockdown'!H$5:H$253,MATCH(B146,'Revised 2018 Lockdown'!B$5:B$253,0))</f>
        <v>362.80000000000007</v>
      </c>
      <c r="F146" s="7">
        <f>INDEX('Revised 2018 Lockdown'!E$5:E$253,MATCH(B146,'Revised 2018 Lockdown'!B$5:B$253,0))</f>
        <v>200464.15</v>
      </c>
      <c r="G146" s="7">
        <f>INDEX('Revised 2018 Lockdown'!F$5:F$253,MATCH(B146,'Revised 2018 Lockdown'!B$5:B$253,0))</f>
        <v>51599.19000000001</v>
      </c>
      <c r="H146" s="7">
        <f t="shared" si="16"/>
        <v>148864.95999999999</v>
      </c>
      <c r="I146" s="6">
        <f t="shared" si="17"/>
        <v>410.32238147739793</v>
      </c>
      <c r="J146" s="6">
        <f t="shared" si="20"/>
        <v>410.32238147739793</v>
      </c>
      <c r="K146" s="5">
        <f t="shared" si="18"/>
        <v>148864.95999999999</v>
      </c>
      <c r="L146" s="4">
        <f t="shared" si="19"/>
        <v>0</v>
      </c>
      <c r="M146" s="2" cm="1">
        <f t="array" ref="M146">SUMPRODUCT(--($L$6:$L$300&lt;&gt;1),--($C$6:$C$300=$C146),$H$6:$H$300)/SUMPRODUCT(--($L$6:$L$300&lt;&gt;1),--($C$6:$C$300=$C146),$E$6:$E$300)</f>
        <v>477.53718767922453</v>
      </c>
      <c r="N146" s="1" cm="1">
        <f t="array" ref="N146">SUMPRODUCT(--($L$6:$L$300&lt;&gt;1),--($C$6:$C$300=$C146))</f>
        <v>66</v>
      </c>
      <c r="O146" s="3">
        <f t="shared" si="21"/>
        <v>4517.830172749108</v>
      </c>
      <c r="P146" s="2" cm="1">
        <f t="array" ref="P146">SQRT(SUMPRODUCT(--($L$6:$L$300&lt;&gt;1),--($C$6:$C$300=$C146),$E$6:$E$300,$O$6:$O$300)/((N146-1)*SUMPRODUCT(--($L$6:$L$300&lt;&gt;1),--($C$6:$C$300=$C146),$E$6:$E$300)/N146))</f>
        <v>192.45445155677626</v>
      </c>
      <c r="Q146" s="2">
        <f t="shared" si="15"/>
        <v>230.89688399061041</v>
      </c>
      <c r="R146" s="2">
        <f t="shared" si="15"/>
        <v>724.17749136783868</v>
      </c>
      <c r="S146" s="2">
        <f t="shared" si="22"/>
        <v>410.32238147739793</v>
      </c>
    </row>
    <row r="147" spans="2:19" x14ac:dyDescent="0.3">
      <c r="B147" s="9">
        <v>510</v>
      </c>
      <c r="C147" s="9">
        <v>7</v>
      </c>
      <c r="D147" s="8" t="s">
        <v>179</v>
      </c>
      <c r="E147" s="125">
        <f>INDEX('Revised 2018 Lockdown'!H$5:H$253,MATCH(B147,'Revised 2018 Lockdown'!B$5:B$253,0))</f>
        <v>488.33690475423634</v>
      </c>
      <c r="F147" s="7">
        <f>INDEX('Revised 2018 Lockdown'!E$5:E$253,MATCH(B147,'Revised 2018 Lockdown'!B$5:B$253,0))</f>
        <v>225129.38</v>
      </c>
      <c r="G147" s="7">
        <f>INDEX('Revised 2018 Lockdown'!F$5:F$253,MATCH(B147,'Revised 2018 Lockdown'!B$5:B$253,0))</f>
        <v>1049</v>
      </c>
      <c r="H147" s="7">
        <f t="shared" si="16"/>
        <v>224080.38</v>
      </c>
      <c r="I147" s="6">
        <f t="shared" si="17"/>
        <v>458.86431645540324</v>
      </c>
      <c r="J147" s="6">
        <f t="shared" si="20"/>
        <v>458.86431645540324</v>
      </c>
      <c r="K147" s="5">
        <f t="shared" si="18"/>
        <v>224080.38</v>
      </c>
      <c r="L147" s="4">
        <f t="shared" si="19"/>
        <v>0</v>
      </c>
      <c r="M147" s="2" cm="1">
        <f t="array" ref="M147">SUMPRODUCT(--($L$6:$L$300&lt;&gt;1),--($C$6:$C$300=$C147),$H$6:$H$300)/SUMPRODUCT(--($L$6:$L$300&lt;&gt;1),--($C$6:$C$300=$C147),$E$6:$E$300)</f>
        <v>477.53718767922453</v>
      </c>
      <c r="N147" s="1" cm="1">
        <f t="array" ref="N147">SUMPRODUCT(--($L$6:$L$300&lt;&gt;1),--($C$6:$C$300=$C147))</f>
        <v>66</v>
      </c>
      <c r="O147" s="3">
        <f t="shared" si="21"/>
        <v>348.67611974141317</v>
      </c>
      <c r="P147" s="2" cm="1">
        <f t="array" ref="P147">SQRT(SUMPRODUCT(--($L$6:$L$300&lt;&gt;1),--($C$6:$C$300=$C147),$E$6:$E$300,$O$6:$O$300)/((N147-1)*SUMPRODUCT(--($L$6:$L$300&lt;&gt;1),--($C$6:$C$300=$C147),$E$6:$E$300)/N147))</f>
        <v>192.45445155677626</v>
      </c>
      <c r="Q147" s="2">
        <f t="shared" si="15"/>
        <v>230.89688399061041</v>
      </c>
      <c r="R147" s="2">
        <f t="shared" si="15"/>
        <v>724.17749136783868</v>
      </c>
      <c r="S147" s="2">
        <f t="shared" si="22"/>
        <v>458.86431645540324</v>
      </c>
    </row>
    <row r="148" spans="2:19" x14ac:dyDescent="0.3">
      <c r="B148" s="9">
        <v>531</v>
      </c>
      <c r="C148" s="9">
        <v>7</v>
      </c>
      <c r="D148" s="8" t="s">
        <v>180</v>
      </c>
      <c r="E148" s="125">
        <f>INDEX('Revised 2018 Lockdown'!H$5:H$253,MATCH(B148,'Revised 2018 Lockdown'!B$5:B$253,0))</f>
        <v>2134.37</v>
      </c>
      <c r="F148" s="7">
        <f>INDEX('Revised 2018 Lockdown'!E$5:E$253,MATCH(B148,'Revised 2018 Lockdown'!B$5:B$253,0))</f>
        <v>619077.55000000005</v>
      </c>
      <c r="G148" s="7">
        <f>INDEX('Revised 2018 Lockdown'!F$5:F$253,MATCH(B148,'Revised 2018 Lockdown'!B$5:B$253,0))</f>
        <v>5174.5599999999995</v>
      </c>
      <c r="H148" s="7">
        <f t="shared" si="16"/>
        <v>613902.99</v>
      </c>
      <c r="I148" s="6">
        <f t="shared" si="17"/>
        <v>287.62725769196533</v>
      </c>
      <c r="J148" s="6">
        <f t="shared" si="20"/>
        <v>287.62725769196533</v>
      </c>
      <c r="K148" s="5">
        <f t="shared" si="18"/>
        <v>613902.99</v>
      </c>
      <c r="L148" s="4">
        <f t="shared" si="19"/>
        <v>0</v>
      </c>
      <c r="M148" s="2" cm="1">
        <f t="array" ref="M148">SUMPRODUCT(--($L$6:$L$300&lt;&gt;1),--($C$6:$C$300=$C148),$H$6:$H$300)/SUMPRODUCT(--($L$6:$L$300&lt;&gt;1),--($C$6:$C$300=$C148),$E$6:$E$300)</f>
        <v>477.53718767922453</v>
      </c>
      <c r="N148" s="1" cm="1">
        <f t="array" ref="N148">SUMPRODUCT(--($L$6:$L$300&lt;&gt;1),--($C$6:$C$300=$C148))</f>
        <v>66</v>
      </c>
      <c r="O148" s="3">
        <f t="shared" si="21"/>
        <v>36065.781507765692</v>
      </c>
      <c r="P148" s="2" cm="1">
        <f t="array" ref="P148">SQRT(SUMPRODUCT(--($L$6:$L$300&lt;&gt;1),--($C$6:$C$300=$C148),$E$6:$E$300,$O$6:$O$300)/((N148-1)*SUMPRODUCT(--($L$6:$L$300&lt;&gt;1),--($C$6:$C$300=$C148),$E$6:$E$300)/N148))</f>
        <v>192.45445155677626</v>
      </c>
      <c r="Q148" s="2">
        <f t="shared" si="15"/>
        <v>230.89688399061041</v>
      </c>
      <c r="R148" s="2">
        <f t="shared" si="15"/>
        <v>724.17749136783868</v>
      </c>
      <c r="S148" s="2">
        <f t="shared" si="22"/>
        <v>287.62725769196533</v>
      </c>
    </row>
    <row r="149" spans="2:19" x14ac:dyDescent="0.3">
      <c r="B149" s="9">
        <v>550</v>
      </c>
      <c r="C149" s="9">
        <v>7</v>
      </c>
      <c r="D149" s="8" t="s">
        <v>181</v>
      </c>
      <c r="E149" s="125">
        <f>INDEX('Revised 2018 Lockdown'!H$5:H$253,MATCH(B149,'Revised 2018 Lockdown'!B$5:B$253,0))</f>
        <v>257.69</v>
      </c>
      <c r="F149" s="7">
        <f>INDEX('Revised 2018 Lockdown'!E$5:E$253,MATCH(B149,'Revised 2018 Lockdown'!B$5:B$253,0))</f>
        <v>412541.65</v>
      </c>
      <c r="G149" s="7">
        <f>INDEX('Revised 2018 Lockdown'!F$5:F$253,MATCH(B149,'Revised 2018 Lockdown'!B$5:B$253,0))</f>
        <v>100</v>
      </c>
      <c r="H149" s="7">
        <f t="shared" si="16"/>
        <v>412441.65</v>
      </c>
      <c r="I149" s="6">
        <f t="shared" si="17"/>
        <v>1600.5341689627073</v>
      </c>
      <c r="J149" s="6">
        <f t="shared" si="20"/>
        <v>724.17749136783868</v>
      </c>
      <c r="K149" s="5">
        <f t="shared" si="18"/>
        <v>186613.29775057835</v>
      </c>
      <c r="L149" s="4">
        <f t="shared" si="19"/>
        <v>0</v>
      </c>
      <c r="M149" s="2" cm="1">
        <f t="array" ref="M149">SUMPRODUCT(--($L$6:$L$300&lt;&gt;1),--($C$6:$C$300=$C149),$H$6:$H$300)/SUMPRODUCT(--($L$6:$L$300&lt;&gt;1),--($C$6:$C$300=$C149),$E$6:$E$300)</f>
        <v>477.53718767922453</v>
      </c>
      <c r="N149" s="1" cm="1">
        <f t="array" ref="N149">SUMPRODUCT(--($L$6:$L$300&lt;&gt;1),--($C$6:$C$300=$C149))</f>
        <v>66</v>
      </c>
      <c r="O149" s="3">
        <f t="shared" si="21"/>
        <v>1261122.2199718154</v>
      </c>
      <c r="P149" s="2" cm="1">
        <f t="array" ref="P149">SQRT(SUMPRODUCT(--($L$6:$L$300&lt;&gt;1),--($C$6:$C$300=$C149),$E$6:$E$300,$O$6:$O$300)/((N149-1)*SUMPRODUCT(--($L$6:$L$300&lt;&gt;1),--($C$6:$C$300=$C149),$E$6:$E$300)/N149))</f>
        <v>192.45445155677626</v>
      </c>
      <c r="Q149" s="2">
        <f t="shared" si="15"/>
        <v>230.89688399061041</v>
      </c>
      <c r="R149" s="2">
        <f t="shared" si="15"/>
        <v>724.17749136783868</v>
      </c>
      <c r="S149" s="2">
        <f t="shared" si="22"/>
        <v>724.17749136783868</v>
      </c>
    </row>
    <row r="150" spans="2:19" x14ac:dyDescent="0.3">
      <c r="B150" s="9">
        <v>551</v>
      </c>
      <c r="C150" s="9">
        <v>7</v>
      </c>
      <c r="D150" s="8" t="s">
        <v>182</v>
      </c>
      <c r="E150" s="125">
        <f>INDEX('Revised 2018 Lockdown'!H$5:H$253,MATCH(B150,'Revised 2018 Lockdown'!B$5:B$253,0))</f>
        <v>172.97</v>
      </c>
      <c r="F150" s="7">
        <f>INDEX('Revised 2018 Lockdown'!E$5:E$253,MATCH(B150,'Revised 2018 Lockdown'!B$5:B$253,0))</f>
        <v>85940.15</v>
      </c>
      <c r="G150" s="7">
        <f>INDEX('Revised 2018 Lockdown'!F$5:F$253,MATCH(B150,'Revised 2018 Lockdown'!B$5:B$253,0))</f>
        <v>201</v>
      </c>
      <c r="H150" s="7">
        <f t="shared" si="16"/>
        <v>85739.15</v>
      </c>
      <c r="I150" s="6">
        <f t="shared" si="17"/>
        <v>495.68798057466608</v>
      </c>
      <c r="J150" s="6">
        <f t="shared" si="20"/>
        <v>495.68798057466608</v>
      </c>
      <c r="K150" s="5">
        <f t="shared" si="18"/>
        <v>85739.15</v>
      </c>
      <c r="L150" s="4">
        <f t="shared" si="19"/>
        <v>0</v>
      </c>
      <c r="M150" s="2" cm="1">
        <f t="array" ref="M150">SUMPRODUCT(--($L$6:$L$300&lt;&gt;1),--($C$6:$C$300=$C150),$H$6:$H$300)/SUMPRODUCT(--($L$6:$L$300&lt;&gt;1),--($C$6:$C$300=$C150),$E$6:$E$300)</f>
        <v>477.53718767922453</v>
      </c>
      <c r="N150" s="1" cm="1">
        <f t="array" ref="N150">SUMPRODUCT(--($L$6:$L$300&lt;&gt;1),--($C$6:$C$300=$C150))</f>
        <v>66</v>
      </c>
      <c r="O150" s="3">
        <f t="shared" si="21"/>
        <v>329.4512827332116</v>
      </c>
      <c r="P150" s="2" cm="1">
        <f t="array" ref="P150">SQRT(SUMPRODUCT(--($L$6:$L$300&lt;&gt;1),--($C$6:$C$300=$C150),$E$6:$E$300,$O$6:$O$300)/((N150-1)*SUMPRODUCT(--($L$6:$L$300&lt;&gt;1),--($C$6:$C$300=$C150),$E$6:$E$300)/N150))</f>
        <v>192.45445155677626</v>
      </c>
      <c r="Q150" s="2">
        <f t="shared" si="15"/>
        <v>230.89688399061041</v>
      </c>
      <c r="R150" s="2">
        <f t="shared" si="15"/>
        <v>724.17749136783868</v>
      </c>
      <c r="S150" s="2">
        <f t="shared" si="22"/>
        <v>495.68798057466608</v>
      </c>
    </row>
    <row r="151" spans="2:19" x14ac:dyDescent="0.3">
      <c r="B151" s="9">
        <v>555</v>
      </c>
      <c r="C151" s="9">
        <v>7</v>
      </c>
      <c r="D151" s="8" t="s">
        <v>183</v>
      </c>
      <c r="E151" s="125">
        <f>INDEX('Revised 2018 Lockdown'!H$5:H$253,MATCH(B151,'Revised 2018 Lockdown'!B$5:B$253,0))</f>
        <v>603.33664613851852</v>
      </c>
      <c r="F151" s="7">
        <f>INDEX('Revised 2018 Lockdown'!E$5:E$253,MATCH(B151,'Revised 2018 Lockdown'!B$5:B$253,0))</f>
        <v>492787.09</v>
      </c>
      <c r="G151" s="7">
        <f>INDEX('Revised 2018 Lockdown'!F$5:F$253,MATCH(B151,'Revised 2018 Lockdown'!B$5:B$253,0))</f>
        <v>498</v>
      </c>
      <c r="H151" s="7">
        <f t="shared" si="16"/>
        <v>492289.09</v>
      </c>
      <c r="I151" s="6">
        <f t="shared" si="17"/>
        <v>815.94428773845209</v>
      </c>
      <c r="J151" s="6">
        <f t="shared" si="20"/>
        <v>724.17749136783868</v>
      </c>
      <c r="K151" s="5">
        <f t="shared" si="18"/>
        <v>436922.81885087775</v>
      </c>
      <c r="L151" s="4">
        <f t="shared" si="19"/>
        <v>0</v>
      </c>
      <c r="M151" s="2" cm="1">
        <f t="array" ref="M151">SUMPRODUCT(--($L$6:$L$300&lt;&gt;1),--($C$6:$C$300=$C151),$H$6:$H$300)/SUMPRODUCT(--($L$6:$L$300&lt;&gt;1),--($C$6:$C$300=$C151),$E$6:$E$300)</f>
        <v>477.53718767922453</v>
      </c>
      <c r="N151" s="1" cm="1">
        <f t="array" ref="N151">SUMPRODUCT(--($L$6:$L$300&lt;&gt;1),--($C$6:$C$300=$C151))</f>
        <v>66</v>
      </c>
      <c r="O151" s="3">
        <f t="shared" si="21"/>
        <v>114519.36537049606</v>
      </c>
      <c r="P151" s="2" cm="1">
        <f t="array" ref="P151">SQRT(SUMPRODUCT(--($L$6:$L$300&lt;&gt;1),--($C$6:$C$300=$C151),$E$6:$E$300,$O$6:$O$300)/((N151-1)*SUMPRODUCT(--($L$6:$L$300&lt;&gt;1),--($C$6:$C$300=$C151),$E$6:$E$300)/N151))</f>
        <v>192.45445155677626</v>
      </c>
      <c r="Q151" s="2">
        <f t="shared" si="15"/>
        <v>230.89688399061041</v>
      </c>
      <c r="R151" s="2">
        <f t="shared" si="15"/>
        <v>724.17749136783868</v>
      </c>
      <c r="S151" s="2">
        <f t="shared" si="22"/>
        <v>724.17749136783868</v>
      </c>
    </row>
    <row r="152" spans="2:19" x14ac:dyDescent="0.3">
      <c r="B152" s="9">
        <v>556</v>
      </c>
      <c r="C152" s="9">
        <v>7</v>
      </c>
      <c r="D152" s="8" t="s">
        <v>184</v>
      </c>
      <c r="E152" s="125">
        <f>INDEX('Revised 2018 Lockdown'!H$5:H$253,MATCH(B152,'Revised 2018 Lockdown'!B$5:B$253,0))</f>
        <v>391.24484408487012</v>
      </c>
      <c r="F152" s="7">
        <f>INDEX('Revised 2018 Lockdown'!E$5:E$253,MATCH(B152,'Revised 2018 Lockdown'!B$5:B$253,0))</f>
        <v>144657.59</v>
      </c>
      <c r="G152" s="7">
        <f>INDEX('Revised 2018 Lockdown'!F$5:F$253,MATCH(B152,'Revised 2018 Lockdown'!B$5:B$253,0))</f>
        <v>350.51</v>
      </c>
      <c r="H152" s="7">
        <f t="shared" si="16"/>
        <v>144307.07999999999</v>
      </c>
      <c r="I152" s="6">
        <f t="shared" si="17"/>
        <v>368.84084782647363</v>
      </c>
      <c r="J152" s="6">
        <f t="shared" si="20"/>
        <v>368.84084782647363</v>
      </c>
      <c r="K152" s="5">
        <f t="shared" si="18"/>
        <v>144307.07999999999</v>
      </c>
      <c r="L152" s="4">
        <f t="shared" si="19"/>
        <v>0</v>
      </c>
      <c r="M152" s="2" cm="1">
        <f t="array" ref="M152">SUMPRODUCT(--($L$6:$L$300&lt;&gt;1),--($C$6:$C$300=$C152),$H$6:$H$300)/SUMPRODUCT(--($L$6:$L$300&lt;&gt;1),--($C$6:$C$300=$C152),$E$6:$E$300)</f>
        <v>477.53718767922453</v>
      </c>
      <c r="N152" s="1" cm="1">
        <f t="array" ref="N152">SUMPRODUCT(--($L$6:$L$300&lt;&gt;1),--($C$6:$C$300=$C152))</f>
        <v>66</v>
      </c>
      <c r="O152" s="3">
        <f t="shared" si="21"/>
        <v>11814.894297384722</v>
      </c>
      <c r="P152" s="2" cm="1">
        <f t="array" ref="P152">SQRT(SUMPRODUCT(--($L$6:$L$300&lt;&gt;1),--($C$6:$C$300=$C152),$E$6:$E$300,$O$6:$O$300)/((N152-1)*SUMPRODUCT(--($L$6:$L$300&lt;&gt;1),--($C$6:$C$300=$C152),$E$6:$E$300)/N152))</f>
        <v>192.45445155677626</v>
      </c>
      <c r="Q152" s="2">
        <f t="shared" si="15"/>
        <v>230.89688399061041</v>
      </c>
      <c r="R152" s="2">
        <f t="shared" si="15"/>
        <v>724.17749136783868</v>
      </c>
      <c r="S152" s="2">
        <f t="shared" si="22"/>
        <v>368.84084782647363</v>
      </c>
    </row>
    <row r="153" spans="2:19" x14ac:dyDescent="0.3">
      <c r="B153" s="9">
        <v>558</v>
      </c>
      <c r="C153" s="9">
        <v>7</v>
      </c>
      <c r="D153" s="8" t="s">
        <v>185</v>
      </c>
      <c r="E153" s="125">
        <f>INDEX('Revised 2018 Lockdown'!H$5:H$253,MATCH(B153,'Revised 2018 Lockdown'!B$5:B$253,0))</f>
        <v>347.54359974511453</v>
      </c>
      <c r="F153" s="7">
        <f>INDEX('Revised 2018 Lockdown'!E$5:E$253,MATCH(B153,'Revised 2018 Lockdown'!B$5:B$253,0))</f>
        <v>230639.34</v>
      </c>
      <c r="G153" s="7">
        <f>INDEX('Revised 2018 Lockdown'!F$5:F$253,MATCH(B153,'Revised 2018 Lockdown'!B$5:B$253,0))</f>
        <v>26698.63</v>
      </c>
      <c r="H153" s="7">
        <f t="shared" si="16"/>
        <v>203940.71</v>
      </c>
      <c r="I153" s="6">
        <f t="shared" si="17"/>
        <v>586.80611626733548</v>
      </c>
      <c r="J153" s="6">
        <f t="shared" si="20"/>
        <v>586.80611626733548</v>
      </c>
      <c r="K153" s="5">
        <f t="shared" si="18"/>
        <v>203940.71</v>
      </c>
      <c r="L153" s="4">
        <f t="shared" si="19"/>
        <v>0</v>
      </c>
      <c r="M153" s="2" cm="1">
        <f t="array" ref="M153">SUMPRODUCT(--($L$6:$L$300&lt;&gt;1),--($C$6:$C$300=$C153),$H$6:$H$300)/SUMPRODUCT(--($L$6:$L$300&lt;&gt;1),--($C$6:$C$300=$C153),$E$6:$E$300)</f>
        <v>477.53718767922453</v>
      </c>
      <c r="N153" s="1" cm="1">
        <f t="array" ref="N153">SUMPRODUCT(--($L$6:$L$300&lt;&gt;1),--($C$6:$C$300=$C153))</f>
        <v>66</v>
      </c>
      <c r="O153" s="3">
        <f t="shared" si="21"/>
        <v>11939.698754793691</v>
      </c>
      <c r="P153" s="2" cm="1">
        <f t="array" ref="P153">SQRT(SUMPRODUCT(--($L$6:$L$300&lt;&gt;1),--($C$6:$C$300=$C153),$E$6:$E$300,$O$6:$O$300)/((N153-1)*SUMPRODUCT(--($L$6:$L$300&lt;&gt;1),--($C$6:$C$300=$C153),$E$6:$E$300)/N153))</f>
        <v>192.45445155677626</v>
      </c>
      <c r="Q153" s="2">
        <f t="shared" si="15"/>
        <v>230.89688399061041</v>
      </c>
      <c r="R153" s="2">
        <f t="shared" si="15"/>
        <v>724.17749136783868</v>
      </c>
      <c r="S153" s="2">
        <f t="shared" si="22"/>
        <v>586.80611626733548</v>
      </c>
    </row>
    <row r="154" spans="2:19" x14ac:dyDescent="0.3">
      <c r="B154" s="9">
        <v>600</v>
      </c>
      <c r="C154" s="9">
        <v>7</v>
      </c>
      <c r="D154" s="8" t="s">
        <v>186</v>
      </c>
      <c r="E154" s="125">
        <f>INDEX('Revised 2018 Lockdown'!H$5:H$253,MATCH(B154,'Revised 2018 Lockdown'!B$5:B$253,0))</f>
        <v>804.36</v>
      </c>
      <c r="F154" s="7">
        <f>INDEX('Revised 2018 Lockdown'!E$5:E$253,MATCH(B154,'Revised 2018 Lockdown'!B$5:B$253,0))</f>
        <v>251152.74</v>
      </c>
      <c r="G154" s="7">
        <f>INDEX('Revised 2018 Lockdown'!F$5:F$253,MATCH(B154,'Revised 2018 Lockdown'!B$5:B$253,0))</f>
        <v>0</v>
      </c>
      <c r="H154" s="7">
        <f t="shared" si="16"/>
        <v>251152.74</v>
      </c>
      <c r="I154" s="6">
        <f t="shared" si="17"/>
        <v>312.23922124421898</v>
      </c>
      <c r="J154" s="6">
        <f t="shared" si="20"/>
        <v>312.23922124421898</v>
      </c>
      <c r="K154" s="5">
        <f t="shared" si="18"/>
        <v>251152.74</v>
      </c>
      <c r="L154" s="4">
        <f t="shared" si="19"/>
        <v>0</v>
      </c>
      <c r="M154" s="2" cm="1">
        <f t="array" ref="M154">SUMPRODUCT(--($L$6:$L$300&lt;&gt;1),--($C$6:$C$300=$C154),$H$6:$H$300)/SUMPRODUCT(--($L$6:$L$300&lt;&gt;1),--($C$6:$C$300=$C154),$E$6:$E$300)</f>
        <v>477.53718767922453</v>
      </c>
      <c r="N154" s="1" cm="1">
        <f t="array" ref="N154">SUMPRODUCT(--($L$6:$L$300&lt;&gt;1),--($C$6:$C$300=$C154))</f>
        <v>66</v>
      </c>
      <c r="O154" s="3">
        <f t="shared" si="21"/>
        <v>27323.417707548222</v>
      </c>
      <c r="P154" s="2" cm="1">
        <f t="array" ref="P154">SQRT(SUMPRODUCT(--($L$6:$L$300&lt;&gt;1),--($C$6:$C$300=$C154),$E$6:$E$300,$O$6:$O$300)/((N154-1)*SUMPRODUCT(--($L$6:$L$300&lt;&gt;1),--($C$6:$C$300=$C154),$E$6:$E$300)/N154))</f>
        <v>192.45445155677626</v>
      </c>
      <c r="Q154" s="2">
        <f t="shared" si="15"/>
        <v>230.89688399061041</v>
      </c>
      <c r="R154" s="2">
        <f t="shared" si="15"/>
        <v>724.17749136783868</v>
      </c>
      <c r="S154" s="2">
        <f t="shared" si="22"/>
        <v>312.23922124421898</v>
      </c>
    </row>
    <row r="155" spans="2:19" x14ac:dyDescent="0.3">
      <c r="B155" s="9">
        <v>604</v>
      </c>
      <c r="C155" s="9">
        <v>7</v>
      </c>
      <c r="D155" s="8" t="s">
        <v>187</v>
      </c>
      <c r="E155" s="125">
        <f>INDEX('Revised 2018 Lockdown'!H$5:H$253,MATCH(B155,'Revised 2018 Lockdown'!B$5:B$253,0))</f>
        <v>727.41720759868917</v>
      </c>
      <c r="F155" s="7">
        <f>INDEX('Revised 2018 Lockdown'!E$5:E$253,MATCH(B155,'Revised 2018 Lockdown'!B$5:B$253,0))</f>
        <v>238868.16</v>
      </c>
      <c r="G155" s="7">
        <f>INDEX('Revised 2018 Lockdown'!F$5:F$253,MATCH(B155,'Revised 2018 Lockdown'!B$5:B$253,0))</f>
        <v>30079.71</v>
      </c>
      <c r="H155" s="7">
        <f t="shared" si="16"/>
        <v>208788.45</v>
      </c>
      <c r="I155" s="6">
        <f t="shared" si="17"/>
        <v>287.02709781810262</v>
      </c>
      <c r="J155" s="6">
        <f t="shared" si="20"/>
        <v>287.02709781810262</v>
      </c>
      <c r="K155" s="5">
        <f t="shared" si="18"/>
        <v>208788.45</v>
      </c>
      <c r="L155" s="4">
        <f t="shared" si="19"/>
        <v>0</v>
      </c>
      <c r="M155" s="2" cm="1">
        <f t="array" ref="M155">SUMPRODUCT(--($L$6:$L$300&lt;&gt;1),--($C$6:$C$300=$C155),$H$6:$H$300)/SUMPRODUCT(--($L$6:$L$300&lt;&gt;1),--($C$6:$C$300=$C155),$E$6:$E$300)</f>
        <v>477.53718767922453</v>
      </c>
      <c r="N155" s="1" cm="1">
        <f t="array" ref="N155">SUMPRODUCT(--($L$6:$L$300&lt;&gt;1),--($C$6:$C$300=$C155))</f>
        <v>66</v>
      </c>
      <c r="O155" s="3">
        <f t="shared" si="21"/>
        <v>36294.094338892748</v>
      </c>
      <c r="P155" s="2" cm="1">
        <f t="array" ref="P155">SQRT(SUMPRODUCT(--($L$6:$L$300&lt;&gt;1),--($C$6:$C$300=$C155),$E$6:$E$300,$O$6:$O$300)/((N155-1)*SUMPRODUCT(--($L$6:$L$300&lt;&gt;1),--($C$6:$C$300=$C155),$E$6:$E$300)/N155))</f>
        <v>192.45445155677626</v>
      </c>
      <c r="Q155" s="2">
        <f t="shared" si="15"/>
        <v>230.89688399061041</v>
      </c>
      <c r="R155" s="2">
        <f t="shared" si="15"/>
        <v>724.17749136783868</v>
      </c>
      <c r="S155" s="2">
        <f t="shared" si="22"/>
        <v>287.02709781810262</v>
      </c>
    </row>
    <row r="156" spans="2:19" x14ac:dyDescent="0.3">
      <c r="B156" s="9">
        <v>612</v>
      </c>
      <c r="C156" s="9">
        <v>7</v>
      </c>
      <c r="D156" s="8" t="s">
        <v>188</v>
      </c>
      <c r="E156" s="125">
        <f>INDEX('Revised 2018 Lockdown'!H$5:H$253,MATCH(B156,'Revised 2018 Lockdown'!B$5:B$253,0))</f>
        <v>488.86576888424196</v>
      </c>
      <c r="F156" s="7">
        <f>INDEX('Revised 2018 Lockdown'!E$5:E$253,MATCH(B156,'Revised 2018 Lockdown'!B$5:B$253,0))</f>
        <v>278541.06</v>
      </c>
      <c r="G156" s="7">
        <f>INDEX('Revised 2018 Lockdown'!F$5:F$253,MATCH(B156,'Revised 2018 Lockdown'!B$5:B$253,0))</f>
        <v>7776.44</v>
      </c>
      <c r="H156" s="7">
        <f t="shared" si="16"/>
        <v>270764.62</v>
      </c>
      <c r="I156" s="6">
        <f t="shared" si="17"/>
        <v>553.86291541331889</v>
      </c>
      <c r="J156" s="6">
        <f t="shared" si="20"/>
        <v>553.86291541331889</v>
      </c>
      <c r="K156" s="5">
        <f t="shared" si="18"/>
        <v>270764.62</v>
      </c>
      <c r="L156" s="4">
        <f t="shared" si="19"/>
        <v>0</v>
      </c>
      <c r="M156" s="2" cm="1">
        <f t="array" ref="M156">SUMPRODUCT(--($L$6:$L$300&lt;&gt;1),--($C$6:$C$300=$C156),$H$6:$H$300)/SUMPRODUCT(--($L$6:$L$300&lt;&gt;1),--($C$6:$C$300=$C156),$E$6:$E$300)</f>
        <v>477.53718767922453</v>
      </c>
      <c r="N156" s="1" cm="1">
        <f t="array" ref="N156">SUMPRODUCT(--($L$6:$L$300&lt;&gt;1),--($C$6:$C$300=$C156))</f>
        <v>66</v>
      </c>
      <c r="O156" s="3">
        <f t="shared" si="21"/>
        <v>5825.6167141391006</v>
      </c>
      <c r="P156" s="2" cm="1">
        <f t="array" ref="P156">SQRT(SUMPRODUCT(--($L$6:$L$300&lt;&gt;1),--($C$6:$C$300=$C156),$E$6:$E$300,$O$6:$O$300)/((N156-1)*SUMPRODUCT(--($L$6:$L$300&lt;&gt;1),--($C$6:$C$300=$C156),$E$6:$E$300)/N156))</f>
        <v>192.45445155677626</v>
      </c>
      <c r="Q156" s="2">
        <f t="shared" si="15"/>
        <v>230.89688399061041</v>
      </c>
      <c r="R156" s="2">
        <f t="shared" si="15"/>
        <v>724.17749136783868</v>
      </c>
      <c r="S156" s="2">
        <f t="shared" si="22"/>
        <v>553.86291541331889</v>
      </c>
    </row>
    <row r="157" spans="2:19" x14ac:dyDescent="0.3">
      <c r="B157" s="9">
        <v>635</v>
      </c>
      <c r="C157" s="9">
        <v>7</v>
      </c>
      <c r="D157" s="8" t="s">
        <v>293</v>
      </c>
      <c r="E157" s="125">
        <f>INDEX('Revised 2018 Lockdown'!H$5:H$253,MATCH(B157,'Revised 2018 Lockdown'!B$5:B$253,0))</f>
        <v>48.589999999999996</v>
      </c>
      <c r="F157" s="7">
        <f>INDEX('Revised 2018 Lockdown'!E$5:E$253,MATCH(B157,'Revised 2018 Lockdown'!B$5:B$253,0))</f>
        <v>41866.43</v>
      </c>
      <c r="G157" s="7">
        <f>INDEX('Revised 2018 Lockdown'!F$5:F$253,MATCH(B157,'Revised 2018 Lockdown'!B$5:B$253,0))</f>
        <v>7688.1000000000013</v>
      </c>
      <c r="H157" s="7">
        <f t="shared" si="16"/>
        <v>34178.33</v>
      </c>
      <c r="I157" s="6">
        <f t="shared" si="17"/>
        <v>703.40255196542512</v>
      </c>
      <c r="J157" s="6">
        <f t="shared" si="20"/>
        <v>703.40255196542512</v>
      </c>
      <c r="K157" s="5">
        <f t="shared" si="18"/>
        <v>34178.33</v>
      </c>
      <c r="L157" s="4">
        <f t="shared" si="19"/>
        <v>0</v>
      </c>
      <c r="M157" s="2" cm="1">
        <f t="array" ref="M157">SUMPRODUCT(--($L$6:$L$300&lt;&gt;1),--($C$6:$C$300=$C157),$H$6:$H$300)/SUMPRODUCT(--($L$6:$L$300&lt;&gt;1),--($C$6:$C$300=$C157),$E$6:$E$300)</f>
        <v>477.53718767922453</v>
      </c>
      <c r="N157" s="1" cm="1">
        <f t="array" ref="N157">SUMPRODUCT(--($L$6:$L$300&lt;&gt;1),--($C$6:$C$300=$C157))</f>
        <v>66</v>
      </c>
      <c r="O157" s="3">
        <f t="shared" si="21"/>
        <v>51015.162784138098</v>
      </c>
      <c r="P157" s="2" cm="1">
        <f t="array" ref="P157">SQRT(SUMPRODUCT(--($L$6:$L$300&lt;&gt;1),--($C$6:$C$300=$C157),$E$6:$E$300,$O$6:$O$300)/((N157-1)*SUMPRODUCT(--($L$6:$L$300&lt;&gt;1),--($C$6:$C$300=$C157),$E$6:$E$300)/N157))</f>
        <v>192.45445155677626</v>
      </c>
      <c r="Q157" s="2">
        <f t="shared" si="15"/>
        <v>230.89688399061041</v>
      </c>
      <c r="R157" s="2">
        <f t="shared" si="15"/>
        <v>724.17749136783868</v>
      </c>
      <c r="S157" s="2">
        <f t="shared" si="22"/>
        <v>703.40255196542512</v>
      </c>
    </row>
    <row r="158" spans="2:19" x14ac:dyDescent="0.3">
      <c r="B158" s="9">
        <v>711</v>
      </c>
      <c r="C158" s="9">
        <v>7</v>
      </c>
      <c r="D158" s="8" t="s">
        <v>189</v>
      </c>
      <c r="E158" s="125">
        <f>INDEX('Revised 2018 Lockdown'!H$5:H$253,MATCH(B158,'Revised 2018 Lockdown'!B$5:B$253,0))</f>
        <v>420.12</v>
      </c>
      <c r="F158" s="7">
        <f>INDEX('Revised 2018 Lockdown'!E$5:E$253,MATCH(B158,'Revised 2018 Lockdown'!B$5:B$253,0))</f>
        <v>219303.41</v>
      </c>
      <c r="G158" s="7">
        <f>INDEX('Revised 2018 Lockdown'!F$5:F$253,MATCH(B158,'Revised 2018 Lockdown'!B$5:B$253,0))</f>
        <v>15317.63</v>
      </c>
      <c r="H158" s="7">
        <f t="shared" si="16"/>
        <v>203985.78</v>
      </c>
      <c r="I158" s="6">
        <f t="shared" si="17"/>
        <v>485.54170237075118</v>
      </c>
      <c r="J158" s="6">
        <f t="shared" si="20"/>
        <v>485.54170237075118</v>
      </c>
      <c r="K158" s="5">
        <f t="shared" si="18"/>
        <v>203985.78</v>
      </c>
      <c r="L158" s="4">
        <f t="shared" si="19"/>
        <v>0</v>
      </c>
      <c r="M158" s="2" cm="1">
        <f t="array" ref="M158">SUMPRODUCT(--($L$6:$L$300&lt;&gt;1),--($C$6:$C$300=$C158),$H$6:$H$300)/SUMPRODUCT(--($L$6:$L$300&lt;&gt;1),--($C$6:$C$300=$C158),$E$6:$E$300)</f>
        <v>477.53718767922453</v>
      </c>
      <c r="N158" s="1" cm="1">
        <f t="array" ref="N158">SUMPRODUCT(--($L$6:$L$300&lt;&gt;1),--($C$6:$C$300=$C158))</f>
        <v>66</v>
      </c>
      <c r="O158" s="3">
        <f t="shared" si="21"/>
        <v>64.072255446866009</v>
      </c>
      <c r="P158" s="2" cm="1">
        <f t="array" ref="P158">SQRT(SUMPRODUCT(--($L$6:$L$300&lt;&gt;1),--($C$6:$C$300=$C158),$E$6:$E$300,$O$6:$O$300)/((N158-1)*SUMPRODUCT(--($L$6:$L$300&lt;&gt;1),--($C$6:$C$300=$C158),$E$6:$E$300)/N158))</f>
        <v>192.45445155677626</v>
      </c>
      <c r="Q158" s="2">
        <f t="shared" si="15"/>
        <v>230.89688399061041</v>
      </c>
      <c r="R158" s="2">
        <f t="shared" si="15"/>
        <v>724.17749136783868</v>
      </c>
      <c r="S158" s="2">
        <f t="shared" si="22"/>
        <v>485.54170237075118</v>
      </c>
    </row>
    <row r="159" spans="2:19" x14ac:dyDescent="0.3">
      <c r="B159" s="9">
        <v>712</v>
      </c>
      <c r="C159" s="9">
        <v>7</v>
      </c>
      <c r="D159" s="8" t="s">
        <v>190</v>
      </c>
      <c r="E159" s="125">
        <f>INDEX('Revised 2018 Lockdown'!H$5:H$253,MATCH(B159,'Revised 2018 Lockdown'!B$5:B$253,0))</f>
        <v>743.30000000000007</v>
      </c>
      <c r="F159" s="7">
        <f>INDEX('Revised 2018 Lockdown'!E$5:E$253,MATCH(B159,'Revised 2018 Lockdown'!B$5:B$253,0))</f>
        <v>285648.96000000002</v>
      </c>
      <c r="G159" s="7">
        <f>INDEX('Revised 2018 Lockdown'!F$5:F$253,MATCH(B159,'Revised 2018 Lockdown'!B$5:B$253,0))</f>
        <v>0</v>
      </c>
      <c r="H159" s="7">
        <f t="shared" si="16"/>
        <v>285648.96000000002</v>
      </c>
      <c r="I159" s="6">
        <f t="shared" si="17"/>
        <v>384.29834521727429</v>
      </c>
      <c r="J159" s="6">
        <f t="shared" si="20"/>
        <v>384.29834521727429</v>
      </c>
      <c r="K159" s="5">
        <f t="shared" si="18"/>
        <v>285648.96000000002</v>
      </c>
      <c r="L159" s="4">
        <f t="shared" si="19"/>
        <v>0</v>
      </c>
      <c r="M159" s="2" cm="1">
        <f t="array" ref="M159">SUMPRODUCT(--($L$6:$L$300&lt;&gt;1),--($C$6:$C$300=$C159),$H$6:$H$300)/SUMPRODUCT(--($L$6:$L$300&lt;&gt;1),--($C$6:$C$300=$C159),$E$6:$E$300)</f>
        <v>477.53718767922453</v>
      </c>
      <c r="N159" s="1" cm="1">
        <f t="array" ref="N159">SUMPRODUCT(--($L$6:$L$300&lt;&gt;1),--($C$6:$C$300=$C159))</f>
        <v>66</v>
      </c>
      <c r="O159" s="3">
        <f t="shared" si="21"/>
        <v>8693.4817436443755</v>
      </c>
      <c r="P159" s="2" cm="1">
        <f t="array" ref="P159">SQRT(SUMPRODUCT(--($L$6:$L$300&lt;&gt;1),--($C$6:$C$300=$C159),$E$6:$E$300,$O$6:$O$300)/((N159-1)*SUMPRODUCT(--($L$6:$L$300&lt;&gt;1),--($C$6:$C$300=$C159),$E$6:$E$300)/N159))</f>
        <v>192.45445155677626</v>
      </c>
      <c r="Q159" s="2">
        <f t="shared" si="15"/>
        <v>230.89688399061041</v>
      </c>
      <c r="R159" s="2">
        <f t="shared" si="15"/>
        <v>724.17749136783868</v>
      </c>
      <c r="S159" s="2">
        <f t="shared" si="22"/>
        <v>384.29834521727429</v>
      </c>
    </row>
    <row r="160" spans="2:19" x14ac:dyDescent="0.3">
      <c r="B160" s="9">
        <v>718</v>
      </c>
      <c r="C160" s="9">
        <v>7</v>
      </c>
      <c r="D160" s="8" t="s">
        <v>191</v>
      </c>
      <c r="E160" s="125">
        <f>INDEX('Revised 2018 Lockdown'!H$5:H$253,MATCH(B160,'Revised 2018 Lockdown'!B$5:B$253,0))</f>
        <v>29.977429817390671</v>
      </c>
      <c r="F160" s="7">
        <f>INDEX('Revised 2018 Lockdown'!E$5:E$253,MATCH(B160,'Revised 2018 Lockdown'!B$5:B$253,0))</f>
        <v>22733.55</v>
      </c>
      <c r="G160" s="7">
        <f>INDEX('Revised 2018 Lockdown'!F$5:F$253,MATCH(B160,'Revised 2018 Lockdown'!B$5:B$253,0))</f>
        <v>0</v>
      </c>
      <c r="H160" s="7">
        <f t="shared" si="16"/>
        <v>22733.55</v>
      </c>
      <c r="I160" s="6">
        <f t="shared" si="17"/>
        <v>758.35554076793096</v>
      </c>
      <c r="J160" s="6">
        <f t="shared" si="20"/>
        <v>724.17749136783868</v>
      </c>
      <c r="K160" s="5">
        <f t="shared" si="18"/>
        <v>21708.979922813422</v>
      </c>
      <c r="L160" s="4">
        <f t="shared" si="19"/>
        <v>0</v>
      </c>
      <c r="M160" s="2" cm="1">
        <f t="array" ref="M160">SUMPRODUCT(--($L$6:$L$300&lt;&gt;1),--($C$6:$C$300=$C160),$H$6:$H$300)/SUMPRODUCT(--($L$6:$L$300&lt;&gt;1),--($C$6:$C$300=$C160),$E$6:$E$300)</f>
        <v>477.53718767922453</v>
      </c>
      <c r="N160" s="1" cm="1">
        <f t="array" ref="N160">SUMPRODUCT(--($L$6:$L$300&lt;&gt;1),--($C$6:$C$300=$C160))</f>
        <v>66</v>
      </c>
      <c r="O160" s="3">
        <f t="shared" si="21"/>
        <v>78858.947431453402</v>
      </c>
      <c r="P160" s="2" cm="1">
        <f t="array" ref="P160">SQRT(SUMPRODUCT(--($L$6:$L$300&lt;&gt;1),--($C$6:$C$300=$C160),$E$6:$E$300,$O$6:$O$300)/((N160-1)*SUMPRODUCT(--($L$6:$L$300&lt;&gt;1),--($C$6:$C$300=$C160),$E$6:$E$300)/N160))</f>
        <v>192.45445155677626</v>
      </c>
      <c r="Q160" s="2">
        <f t="shared" si="15"/>
        <v>230.89688399061041</v>
      </c>
      <c r="R160" s="2">
        <f t="shared" si="15"/>
        <v>724.17749136783868</v>
      </c>
      <c r="S160" s="2">
        <f t="shared" si="22"/>
        <v>724.17749136783868</v>
      </c>
    </row>
    <row r="161" spans="2:19" x14ac:dyDescent="0.3">
      <c r="B161" s="9">
        <v>736</v>
      </c>
      <c r="C161" s="9">
        <v>7</v>
      </c>
      <c r="D161" s="8" t="s">
        <v>192</v>
      </c>
      <c r="E161" s="125">
        <f>INDEX('Revised 2018 Lockdown'!H$5:H$253,MATCH(B161,'Revised 2018 Lockdown'!B$5:B$253,0))</f>
        <v>138.56381575605857</v>
      </c>
      <c r="F161" s="7">
        <f>INDEX('Revised 2018 Lockdown'!E$5:E$253,MATCH(B161,'Revised 2018 Lockdown'!B$5:B$253,0))</f>
        <v>55322.1</v>
      </c>
      <c r="G161" s="7">
        <f>INDEX('Revised 2018 Lockdown'!F$5:F$253,MATCH(B161,'Revised 2018 Lockdown'!B$5:B$253,0))</f>
        <v>161</v>
      </c>
      <c r="H161" s="7">
        <f t="shared" si="16"/>
        <v>55161.1</v>
      </c>
      <c r="I161" s="6">
        <f t="shared" si="17"/>
        <v>398.09166411172629</v>
      </c>
      <c r="J161" s="6">
        <f t="shared" si="20"/>
        <v>398.09166411172629</v>
      </c>
      <c r="K161" s="5">
        <f t="shared" si="18"/>
        <v>55161.1</v>
      </c>
      <c r="L161" s="4">
        <f t="shared" si="19"/>
        <v>0</v>
      </c>
      <c r="M161" s="2" cm="1">
        <f t="array" ref="M161">SUMPRODUCT(--($L$6:$L$300&lt;&gt;1),--($C$6:$C$300=$C161),$H$6:$H$300)/SUMPRODUCT(--($L$6:$L$300&lt;&gt;1),--($C$6:$C$300=$C161),$E$6:$E$300)</f>
        <v>477.53718767922453</v>
      </c>
      <c r="N161" s="1" cm="1">
        <f t="array" ref="N161">SUMPRODUCT(--($L$6:$L$300&lt;&gt;1),--($C$6:$C$300=$C161))</f>
        <v>66</v>
      </c>
      <c r="O161" s="3">
        <f t="shared" si="21"/>
        <v>6311.5912149139185</v>
      </c>
      <c r="P161" s="2" cm="1">
        <f t="array" ref="P161">SQRT(SUMPRODUCT(--($L$6:$L$300&lt;&gt;1),--($C$6:$C$300=$C161),$E$6:$E$300,$O$6:$O$300)/((N161-1)*SUMPRODUCT(--($L$6:$L$300&lt;&gt;1),--($C$6:$C$300=$C161),$E$6:$E$300)/N161))</f>
        <v>192.45445155677626</v>
      </c>
      <c r="Q161" s="2">
        <f t="shared" si="15"/>
        <v>230.89688399061041</v>
      </c>
      <c r="R161" s="2">
        <f t="shared" si="15"/>
        <v>724.17749136783868</v>
      </c>
      <c r="S161" s="2">
        <f t="shared" si="22"/>
        <v>398.09166411172629</v>
      </c>
    </row>
    <row r="162" spans="2:19" x14ac:dyDescent="0.3">
      <c r="B162" s="9">
        <v>757</v>
      </c>
      <c r="C162" s="9">
        <v>7</v>
      </c>
      <c r="D162" s="8" t="s">
        <v>193</v>
      </c>
      <c r="E162" s="125">
        <f>INDEX('Revised 2018 Lockdown'!H$5:H$253,MATCH(B162,'Revised 2018 Lockdown'!B$5:B$253,0))</f>
        <v>535.91999999999996</v>
      </c>
      <c r="F162" s="7">
        <f>INDEX('Revised 2018 Lockdown'!E$5:E$253,MATCH(B162,'Revised 2018 Lockdown'!B$5:B$253,0))</f>
        <v>334652.7</v>
      </c>
      <c r="G162" s="7">
        <f>INDEX('Revised 2018 Lockdown'!F$5:F$253,MATCH(B162,'Revised 2018 Lockdown'!B$5:B$253,0))</f>
        <v>65666.5</v>
      </c>
      <c r="H162" s="7">
        <f t="shared" si="16"/>
        <v>268986.2</v>
      </c>
      <c r="I162" s="6">
        <f t="shared" si="17"/>
        <v>501.91483803552774</v>
      </c>
      <c r="J162" s="6">
        <f t="shared" si="20"/>
        <v>501.91483803552774</v>
      </c>
      <c r="K162" s="5">
        <f t="shared" si="18"/>
        <v>268986.2</v>
      </c>
      <c r="L162" s="4">
        <f t="shared" si="19"/>
        <v>0</v>
      </c>
      <c r="M162" s="2" cm="1">
        <f t="array" ref="M162">SUMPRODUCT(--($L$6:$L$300&lt;&gt;1),--($C$6:$C$300=$C162),$H$6:$H$300)/SUMPRODUCT(--($L$6:$L$300&lt;&gt;1),--($C$6:$C$300=$C162),$E$6:$E$300)</f>
        <v>477.53718767922453</v>
      </c>
      <c r="N162" s="1" cm="1">
        <f t="array" ref="N162">SUMPRODUCT(--($L$6:$L$300&lt;&gt;1),--($C$6:$C$300=$C162))</f>
        <v>66</v>
      </c>
      <c r="O162" s="3">
        <f t="shared" si="21"/>
        <v>594.26983689416988</v>
      </c>
      <c r="P162" s="2" cm="1">
        <f t="array" ref="P162">SQRT(SUMPRODUCT(--($L$6:$L$300&lt;&gt;1),--($C$6:$C$300=$C162),$E$6:$E$300,$O$6:$O$300)/((N162-1)*SUMPRODUCT(--($L$6:$L$300&lt;&gt;1),--($C$6:$C$300=$C162),$E$6:$E$300)/N162))</f>
        <v>192.45445155677626</v>
      </c>
      <c r="Q162" s="2">
        <f t="shared" si="15"/>
        <v>230.89688399061041</v>
      </c>
      <c r="R162" s="2">
        <f t="shared" si="15"/>
        <v>724.17749136783868</v>
      </c>
      <c r="S162" s="2">
        <f t="shared" si="22"/>
        <v>501.91483803552774</v>
      </c>
    </row>
    <row r="163" spans="2:19" x14ac:dyDescent="0.3">
      <c r="B163" s="9">
        <v>786</v>
      </c>
      <c r="C163" s="9">
        <v>7</v>
      </c>
      <c r="D163" s="32" t="s">
        <v>194</v>
      </c>
      <c r="E163" s="125">
        <f>INDEX('Revised 2018 Lockdown'!H$5:H$253,MATCH(B163,'Revised 2018 Lockdown'!B$5:B$253,0))</f>
        <v>3145.58</v>
      </c>
      <c r="F163" s="7">
        <f>INDEX('Revised 2018 Lockdown'!E$5:E$253,MATCH(B163,'Revised 2018 Lockdown'!B$5:B$253,0))</f>
        <v>1566858.3</v>
      </c>
      <c r="G163" s="7">
        <f>INDEX('Revised 2018 Lockdown'!F$5:F$253,MATCH(B163,'Revised 2018 Lockdown'!B$5:B$253,0))</f>
        <v>287163.78999999998</v>
      </c>
      <c r="H163" s="7">
        <f t="shared" si="16"/>
        <v>1279694.51</v>
      </c>
      <c r="I163" s="6">
        <f t="shared" si="17"/>
        <v>406.82306919550609</v>
      </c>
      <c r="J163" s="6">
        <f t="shared" si="20"/>
        <v>406.82306919550609</v>
      </c>
      <c r="K163" s="5">
        <f t="shared" si="18"/>
        <v>1279694.51</v>
      </c>
      <c r="L163" s="4">
        <f t="shared" si="19"/>
        <v>0</v>
      </c>
      <c r="M163" s="2" cm="1">
        <f t="array" ref="M163">SUMPRODUCT(--($L$6:$L$300&lt;&gt;1),--($C$6:$C$300=$C163),$H$6:$H$300)/SUMPRODUCT(--($L$6:$L$300&lt;&gt;1),--($C$6:$C$300=$C163),$E$6:$E$300)</f>
        <v>477.53718767922453</v>
      </c>
      <c r="N163" s="1" cm="1">
        <f t="array" ref="N163">SUMPRODUCT(--($L$6:$L$300&lt;&gt;1),--($C$6:$C$300=$C163))</f>
        <v>66</v>
      </c>
      <c r="O163" s="3">
        <f t="shared" si="21"/>
        <v>5000.4865529293693</v>
      </c>
      <c r="P163" s="2" cm="1">
        <f t="array" ref="P163">SQRT(SUMPRODUCT(--($L$6:$L$300&lt;&gt;1),--($C$6:$C$300=$C163),$E$6:$E$300,$O$6:$O$300)/((N163-1)*SUMPRODUCT(--($L$6:$L$300&lt;&gt;1),--($C$6:$C$300=$C163),$E$6:$E$300)/N163))</f>
        <v>192.45445155677626</v>
      </c>
      <c r="Q163" s="2">
        <f t="shared" si="15"/>
        <v>230.89688399061041</v>
      </c>
      <c r="R163" s="2">
        <f t="shared" si="15"/>
        <v>724.17749136783868</v>
      </c>
      <c r="S163" s="2">
        <f t="shared" si="22"/>
        <v>406.82306919550609</v>
      </c>
    </row>
    <row r="164" spans="2:19" x14ac:dyDescent="0.3">
      <c r="B164" s="9">
        <v>854</v>
      </c>
      <c r="C164" s="9">
        <v>7</v>
      </c>
      <c r="D164" s="8" t="s">
        <v>195</v>
      </c>
      <c r="E164" s="125">
        <f>INDEX('Revised 2018 Lockdown'!H$5:H$253,MATCH(B164,'Revised 2018 Lockdown'!B$5:B$253,0))</f>
        <v>839.93</v>
      </c>
      <c r="F164" s="7">
        <f>INDEX('Revised 2018 Lockdown'!E$5:E$253,MATCH(B164,'Revised 2018 Lockdown'!B$5:B$253,0))</f>
        <v>490740.21</v>
      </c>
      <c r="G164" s="7">
        <f>INDEX('Revised 2018 Lockdown'!F$5:F$253,MATCH(B164,'Revised 2018 Lockdown'!B$5:B$253,0))</f>
        <v>37547.699999999997</v>
      </c>
      <c r="H164" s="7">
        <f t="shared" si="16"/>
        <v>453192.51</v>
      </c>
      <c r="I164" s="6">
        <f t="shared" si="17"/>
        <v>539.55985617849115</v>
      </c>
      <c r="J164" s="6">
        <f t="shared" si="20"/>
        <v>539.55985617849115</v>
      </c>
      <c r="K164" s="5">
        <f t="shared" si="18"/>
        <v>453192.51000000007</v>
      </c>
      <c r="L164" s="4">
        <f t="shared" si="19"/>
        <v>0</v>
      </c>
      <c r="M164" s="2" cm="1">
        <f t="array" ref="M164">SUMPRODUCT(--($L$6:$L$300&lt;&gt;1),--($C$6:$C$300=$C164),$H$6:$H$300)/SUMPRODUCT(--($L$6:$L$300&lt;&gt;1),--($C$6:$C$300=$C164),$E$6:$E$300)</f>
        <v>477.53718767922453</v>
      </c>
      <c r="N164" s="1" cm="1">
        <f t="array" ref="N164">SUMPRODUCT(--($L$6:$L$300&lt;&gt;1),--($C$6:$C$300=$C164))</f>
        <v>66</v>
      </c>
      <c r="O164" s="3">
        <f t="shared" si="21"/>
        <v>3846.8114077699192</v>
      </c>
      <c r="P164" s="2" cm="1">
        <f t="array" ref="P164">SQRT(SUMPRODUCT(--($L$6:$L$300&lt;&gt;1),--($C$6:$C$300=$C164),$E$6:$E$300,$O$6:$O$300)/((N164-1)*SUMPRODUCT(--($L$6:$L$300&lt;&gt;1),--($C$6:$C$300=$C164),$E$6:$E$300)/N164))</f>
        <v>192.45445155677626</v>
      </c>
      <c r="Q164" s="2">
        <f t="shared" si="15"/>
        <v>230.89688399061041</v>
      </c>
      <c r="R164" s="2">
        <f t="shared" si="15"/>
        <v>724.17749136783868</v>
      </c>
      <c r="S164" s="2">
        <f t="shared" si="22"/>
        <v>539.55985617849115</v>
      </c>
    </row>
    <row r="165" spans="2:19" x14ac:dyDescent="0.3">
      <c r="B165" s="36">
        <v>855</v>
      </c>
      <c r="C165" s="36">
        <v>7</v>
      </c>
      <c r="D165" s="37" t="s">
        <v>196</v>
      </c>
      <c r="E165" s="125">
        <f>INDEX('Revised 2018 Lockdown'!H$5:H$253,MATCH(B165,'Revised 2018 Lockdown'!B$5:B$253,0))</f>
        <v>208.08754355551341</v>
      </c>
      <c r="F165" s="7">
        <f>INDEX('Revised 2018 Lockdown'!E$5:E$253,MATCH(B165,'Revised 2018 Lockdown'!B$5:B$253,0))</f>
        <v>140079.48000000001</v>
      </c>
      <c r="G165" s="7">
        <f>INDEX('Revised 2018 Lockdown'!F$5:F$253,MATCH(B165,'Revised 2018 Lockdown'!B$5:B$253,0))</f>
        <v>12090</v>
      </c>
      <c r="H165" s="7">
        <f t="shared" si="16"/>
        <v>127989.48000000001</v>
      </c>
      <c r="I165" s="6">
        <f t="shared" si="17"/>
        <v>615.07516410205062</v>
      </c>
      <c r="J165" s="6">
        <f t="shared" si="20"/>
        <v>615.07516410205062</v>
      </c>
      <c r="K165" s="5">
        <f t="shared" si="18"/>
        <v>127989.48000000001</v>
      </c>
      <c r="L165" s="4">
        <f t="shared" si="19"/>
        <v>0</v>
      </c>
      <c r="M165" s="2" cm="1">
        <f t="array" ref="M165">SUMPRODUCT(--($L$6:$L$300&lt;&gt;1),--($C$6:$C$300=$C165),$H$6:$H$300)/SUMPRODUCT(--($L$6:$L$300&lt;&gt;1),--($C$6:$C$300=$C165),$E$6:$E$300)</f>
        <v>477.53718767922453</v>
      </c>
      <c r="N165" s="1" cm="1">
        <f t="array" ref="N165">SUMPRODUCT(--($L$6:$L$300&lt;&gt;1),--($C$6:$C$300=$C165))</f>
        <v>66</v>
      </c>
      <c r="O165" s="3">
        <f t="shared" si="21"/>
        <v>18916.694958485867</v>
      </c>
      <c r="P165" s="2" cm="1">
        <f t="array" ref="P165">SQRT(SUMPRODUCT(--($L$6:$L$300&lt;&gt;1),--($C$6:$C$300=$C165),$E$6:$E$300,$O$6:$O$300)/((N165-1)*SUMPRODUCT(--($L$6:$L$300&lt;&gt;1),--($C$6:$C$300=$C165),$E$6:$E$300)/N165))</f>
        <v>192.45445155677626</v>
      </c>
      <c r="Q165" s="2">
        <f t="shared" si="15"/>
        <v>230.89688399061041</v>
      </c>
      <c r="R165" s="2">
        <f t="shared" si="15"/>
        <v>724.17749136783868</v>
      </c>
      <c r="S165" s="2">
        <f t="shared" si="22"/>
        <v>615.07516410205062</v>
      </c>
    </row>
    <row r="166" spans="2:19" x14ac:dyDescent="0.3">
      <c r="B166" s="36">
        <v>862</v>
      </c>
      <c r="C166" s="36">
        <v>7</v>
      </c>
      <c r="D166" s="37" t="s">
        <v>197</v>
      </c>
      <c r="E166" s="125">
        <f>INDEX('Revised 2018 Lockdown'!H$5:H$253,MATCH(B166,'Revised 2018 Lockdown'!B$5:B$253,0))</f>
        <v>13.057425824207526</v>
      </c>
      <c r="F166" s="7">
        <f>INDEX('Revised 2018 Lockdown'!E$5:E$253,MATCH(B166,'Revised 2018 Lockdown'!B$5:B$253,0))</f>
        <v>10884.05</v>
      </c>
      <c r="G166" s="7">
        <f>INDEX('Revised 2018 Lockdown'!F$5:F$253,MATCH(B166,'Revised 2018 Lockdown'!B$5:B$253,0))</f>
        <v>8152.2</v>
      </c>
      <c r="H166" s="7">
        <f t="shared" si="16"/>
        <v>2731.8499999999995</v>
      </c>
      <c r="I166" s="6">
        <f t="shared" si="17"/>
        <v>209.21811364498404</v>
      </c>
      <c r="J166" s="6">
        <f t="shared" si="20"/>
        <v>209.21811364498404</v>
      </c>
      <c r="K166" s="5">
        <f t="shared" si="18"/>
        <v>2731.8499999999995</v>
      </c>
      <c r="L166" s="4">
        <f t="shared" si="19"/>
        <v>0</v>
      </c>
      <c r="M166" s="2" cm="1">
        <f t="array" ref="M166">SUMPRODUCT(--($L$6:$L$300&lt;&gt;1),--($C$6:$C$300=$C166),$H$6:$H$300)/SUMPRODUCT(--($L$6:$L$300&lt;&gt;1),--($C$6:$C$300=$C166),$E$6:$E$300)</f>
        <v>477.53718767922453</v>
      </c>
      <c r="N166" s="1" cm="1">
        <f t="array" ref="N166">SUMPRODUCT(--($L$6:$L$300&lt;&gt;1),--($C$6:$C$300=$C166))</f>
        <v>66</v>
      </c>
      <c r="O166" s="3">
        <f t="shared" si="21"/>
        <v>71995.125490592225</v>
      </c>
      <c r="P166" s="2" cm="1">
        <f t="array" ref="P166">SQRT(SUMPRODUCT(--($L$6:$L$300&lt;&gt;1),--($C$6:$C$300=$C166),$E$6:$E$300,$O$6:$O$300)/((N166-1)*SUMPRODUCT(--($L$6:$L$300&lt;&gt;1),--($C$6:$C$300=$C166),$E$6:$E$300)/N166))</f>
        <v>192.45445155677626</v>
      </c>
      <c r="Q166" s="2">
        <f t="shared" si="15"/>
        <v>230.89688399061041</v>
      </c>
      <c r="R166" s="2">
        <f t="shared" si="15"/>
        <v>724.17749136783868</v>
      </c>
      <c r="S166" s="2">
        <f t="shared" si="22"/>
        <v>230.89688399061041</v>
      </c>
    </row>
    <row r="167" spans="2:19" x14ac:dyDescent="0.3">
      <c r="B167" s="36">
        <v>958</v>
      </c>
      <c r="C167" s="36">
        <v>7</v>
      </c>
      <c r="D167" s="37" t="s">
        <v>198</v>
      </c>
      <c r="E167" s="125">
        <f>INDEX('Revised 2018 Lockdown'!H$5:H$253,MATCH(B167,'Revised 2018 Lockdown'!B$5:B$253,0))</f>
        <v>510.68241662743128</v>
      </c>
      <c r="F167" s="7">
        <f>INDEX('Revised 2018 Lockdown'!E$5:E$253,MATCH(B167,'Revised 2018 Lockdown'!B$5:B$253,0))</f>
        <v>165631.01</v>
      </c>
      <c r="G167" s="7">
        <f>INDEX('Revised 2018 Lockdown'!F$5:F$253,MATCH(B167,'Revised 2018 Lockdown'!B$5:B$253,0))</f>
        <v>290.27999999999997</v>
      </c>
      <c r="H167" s="7">
        <f t="shared" si="16"/>
        <v>165340.73000000001</v>
      </c>
      <c r="I167" s="6">
        <f t="shared" si="17"/>
        <v>323.76428993172965</v>
      </c>
      <c r="J167" s="6">
        <f t="shared" si="20"/>
        <v>323.76428993172965</v>
      </c>
      <c r="K167" s="5">
        <f t="shared" si="18"/>
        <v>165340.73000000001</v>
      </c>
      <c r="L167" s="4">
        <f t="shared" si="19"/>
        <v>0</v>
      </c>
      <c r="M167" s="2" cm="1">
        <f t="array" ref="M167">SUMPRODUCT(--($L$6:$L$300&lt;&gt;1),--($C$6:$C$300=$C167),$H$6:$H$300)/SUMPRODUCT(--($L$6:$L$300&lt;&gt;1),--($C$6:$C$300=$C167),$E$6:$E$300)</f>
        <v>477.53718767922453</v>
      </c>
      <c r="N167" s="1" cm="1">
        <f t="array" ref="N167">SUMPRODUCT(--($L$6:$L$300&lt;&gt;1),--($C$6:$C$300=$C167))</f>
        <v>66</v>
      </c>
      <c r="O167" s="3">
        <f t="shared" si="21"/>
        <v>23646.104081661517</v>
      </c>
      <c r="P167" s="2" cm="1">
        <f t="array" ref="P167">SQRT(SUMPRODUCT(--($L$6:$L$300&lt;&gt;1),--($C$6:$C$300=$C167),$E$6:$E$300,$O$6:$O$300)/((N167-1)*SUMPRODUCT(--($L$6:$L$300&lt;&gt;1),--($C$6:$C$300=$C167),$E$6:$E$300)/N167))</f>
        <v>192.45445155677626</v>
      </c>
      <c r="Q167" s="2">
        <f t="shared" si="15"/>
        <v>230.89688399061041</v>
      </c>
      <c r="R167" s="2">
        <f t="shared" si="15"/>
        <v>724.17749136783868</v>
      </c>
      <c r="S167" s="2">
        <f t="shared" si="22"/>
        <v>323.76428993172965</v>
      </c>
    </row>
    <row r="168" spans="2:19" x14ac:dyDescent="0.3">
      <c r="B168" s="9">
        <v>967</v>
      </c>
      <c r="C168" s="9">
        <v>7</v>
      </c>
      <c r="D168" s="8" t="s">
        <v>199</v>
      </c>
      <c r="E168" s="125">
        <f>INDEX('Revised 2018 Lockdown'!H$5:H$253,MATCH(B168,'Revised 2018 Lockdown'!B$5:B$253,0))</f>
        <v>180.72090534733633</v>
      </c>
      <c r="F168" s="7">
        <f>INDEX('Revised 2018 Lockdown'!E$5:E$253,MATCH(B168,'Revised 2018 Lockdown'!B$5:B$253,0))</f>
        <v>85175.039999999994</v>
      </c>
      <c r="G168" s="7">
        <f>INDEX('Revised 2018 Lockdown'!F$5:F$253,MATCH(B168,'Revised 2018 Lockdown'!B$5:B$253,0))</f>
        <v>0</v>
      </c>
      <c r="H168" s="7">
        <f t="shared" si="16"/>
        <v>85175.039999999994</v>
      </c>
      <c r="I168" s="6">
        <f t="shared" si="17"/>
        <v>471.3070678585741</v>
      </c>
      <c r="J168" s="6">
        <f t="shared" si="20"/>
        <v>471.3070678585741</v>
      </c>
      <c r="K168" s="5">
        <f t="shared" si="18"/>
        <v>85175.039999999994</v>
      </c>
      <c r="L168" s="4">
        <f t="shared" si="19"/>
        <v>0</v>
      </c>
      <c r="M168" s="2" cm="1">
        <f t="array" ref="M168">SUMPRODUCT(--($L$6:$L$300&lt;&gt;1),--($C$6:$C$300=$C168),$H$6:$H$300)/SUMPRODUCT(--($L$6:$L$300&lt;&gt;1),--($C$6:$C$300=$C168),$E$6:$E$300)</f>
        <v>477.53718767922453</v>
      </c>
      <c r="N168" s="1" cm="1">
        <f t="array" ref="N168">SUMPRODUCT(--($L$6:$L$300&lt;&gt;1),--($C$6:$C$300=$C168))</f>
        <v>66</v>
      </c>
      <c r="O168" s="3">
        <f t="shared" si="21"/>
        <v>38.814392979661342</v>
      </c>
      <c r="P168" s="2" cm="1">
        <f t="array" ref="P168">SQRT(SUMPRODUCT(--($L$6:$L$300&lt;&gt;1),--($C$6:$C$300=$C168),$E$6:$E$300,$O$6:$O$300)/((N168-1)*SUMPRODUCT(--($L$6:$L$300&lt;&gt;1),--($C$6:$C$300=$C168),$E$6:$E$300)/N168))</f>
        <v>192.45445155677626</v>
      </c>
      <c r="Q168" s="2">
        <f t="shared" si="15"/>
        <v>230.89688399061041</v>
      </c>
      <c r="R168" s="2">
        <f t="shared" si="15"/>
        <v>724.17749136783868</v>
      </c>
      <c r="S168" s="2">
        <f t="shared" si="22"/>
        <v>471.3070678585741</v>
      </c>
    </row>
    <row r="169" spans="2:19" x14ac:dyDescent="0.3">
      <c r="B169" s="9">
        <v>971</v>
      </c>
      <c r="C169" s="9">
        <v>7</v>
      </c>
      <c r="D169" s="8" t="s">
        <v>200</v>
      </c>
      <c r="E169" s="125">
        <f>INDEX('Revised 2018 Lockdown'!H$5:H$253,MATCH(B169,'Revised 2018 Lockdown'!B$5:B$253,0))</f>
        <v>976</v>
      </c>
      <c r="F169" s="7">
        <f>INDEX('Revised 2018 Lockdown'!E$5:E$253,MATCH(B169,'Revised 2018 Lockdown'!B$5:B$253,0))</f>
        <v>536513.62</v>
      </c>
      <c r="G169" s="7">
        <f>INDEX('Revised 2018 Lockdown'!F$5:F$253,MATCH(B169,'Revised 2018 Lockdown'!B$5:B$253,0))</f>
        <v>137200.55999999997</v>
      </c>
      <c r="H169" s="7">
        <f t="shared" si="16"/>
        <v>399313.06000000006</v>
      </c>
      <c r="I169" s="6">
        <f t="shared" si="17"/>
        <v>409.13223360655741</v>
      </c>
      <c r="J169" s="6">
        <f t="shared" si="20"/>
        <v>409.13223360655741</v>
      </c>
      <c r="K169" s="5">
        <f t="shared" si="18"/>
        <v>399313.06000000006</v>
      </c>
      <c r="L169" s="4">
        <f t="shared" si="19"/>
        <v>0</v>
      </c>
      <c r="M169" s="2" cm="1">
        <f t="array" ref="M169">SUMPRODUCT(--($L$6:$L$300&lt;&gt;1),--($C$6:$C$300=$C169),$H$6:$H$300)/SUMPRODUCT(--($L$6:$L$300&lt;&gt;1),--($C$6:$C$300=$C169),$E$6:$E$300)</f>
        <v>477.53718767922453</v>
      </c>
      <c r="N169" s="1" cm="1">
        <f t="array" ref="N169">SUMPRODUCT(--($L$6:$L$300&lt;&gt;1),--($C$6:$C$300=$C169))</f>
        <v>66</v>
      </c>
      <c r="O169" s="3">
        <f t="shared" si="21"/>
        <v>4679.2377416836989</v>
      </c>
      <c r="P169" s="2" cm="1">
        <f t="array" ref="P169">SQRT(SUMPRODUCT(--($L$6:$L$300&lt;&gt;1),--($C$6:$C$300=$C169),$E$6:$E$300,$O$6:$O$300)/((N169-1)*SUMPRODUCT(--($L$6:$L$300&lt;&gt;1),--($C$6:$C$300=$C169),$E$6:$E$300)/N169))</f>
        <v>192.45445155677626</v>
      </c>
      <c r="Q169" s="2">
        <f t="shared" si="15"/>
        <v>230.89688399061041</v>
      </c>
      <c r="R169" s="2">
        <f t="shared" si="15"/>
        <v>724.17749136783868</v>
      </c>
      <c r="S169" s="2">
        <f t="shared" si="22"/>
        <v>409.13223360655741</v>
      </c>
    </row>
    <row r="170" spans="2:19" x14ac:dyDescent="0.3">
      <c r="B170" s="9">
        <v>975</v>
      </c>
      <c r="C170" s="9">
        <v>7</v>
      </c>
      <c r="D170" s="8" t="s">
        <v>201</v>
      </c>
      <c r="E170" s="125">
        <f>INDEX('Revised 2018 Lockdown'!H$5:H$253,MATCH(B170,'Revised 2018 Lockdown'!B$5:B$253,0))</f>
        <v>19.270524161831133</v>
      </c>
      <c r="F170" s="7">
        <f>INDEX('Revised 2018 Lockdown'!E$5:E$253,MATCH(B170,'Revised 2018 Lockdown'!B$5:B$253,0))</f>
        <v>55760.17</v>
      </c>
      <c r="G170" s="7">
        <f>INDEX('Revised 2018 Lockdown'!F$5:F$253,MATCH(B170,'Revised 2018 Lockdown'!B$5:B$253,0))</f>
        <v>0</v>
      </c>
      <c r="H170" s="7">
        <f t="shared" si="16"/>
        <v>55760.17</v>
      </c>
      <c r="I170" s="6">
        <f t="shared" si="17"/>
        <v>2893.5471361201171</v>
      </c>
      <c r="J170" s="6">
        <f t="shared" si="20"/>
        <v>724.17749136783868</v>
      </c>
      <c r="K170" s="5">
        <f t="shared" si="18"/>
        <v>13955.279844858193</v>
      </c>
      <c r="L170" s="4">
        <f t="shared" si="19"/>
        <v>0</v>
      </c>
      <c r="M170" s="2" cm="1">
        <f t="array" ref="M170">SUMPRODUCT(--($L$6:$L$300&lt;&gt;1),--($C$6:$C$300=$C170),$H$6:$H$300)/SUMPRODUCT(--($L$6:$L$300&lt;&gt;1),--($C$6:$C$300=$C170),$E$6:$E$300)</f>
        <v>477.53718767922453</v>
      </c>
      <c r="N170" s="1" cm="1">
        <f t="array" ref="N170">SUMPRODUCT(--($L$6:$L$300&lt;&gt;1),--($C$6:$C$300=$C170))</f>
        <v>66</v>
      </c>
      <c r="O170" s="3">
        <f t="shared" si="21"/>
        <v>5837104.0709653636</v>
      </c>
      <c r="P170" s="2" cm="1">
        <f t="array" ref="P170">SQRT(SUMPRODUCT(--($L$6:$L$300&lt;&gt;1),--($C$6:$C$300=$C170),$E$6:$E$300,$O$6:$O$300)/((N170-1)*SUMPRODUCT(--($L$6:$L$300&lt;&gt;1),--($C$6:$C$300=$C170),$E$6:$E$300)/N170))</f>
        <v>192.45445155677626</v>
      </c>
      <c r="Q170" s="2">
        <f t="shared" si="15"/>
        <v>230.89688399061041</v>
      </c>
      <c r="R170" s="2">
        <f t="shared" si="15"/>
        <v>724.17749136783868</v>
      </c>
      <c r="S170" s="2">
        <f t="shared" si="22"/>
        <v>724.17749136783868</v>
      </c>
    </row>
    <row r="171" spans="2:19" x14ac:dyDescent="0.3">
      <c r="B171" s="9">
        <v>976</v>
      </c>
      <c r="C171" s="9">
        <v>7</v>
      </c>
      <c r="D171" s="8" t="s">
        <v>202</v>
      </c>
      <c r="E171" s="125">
        <f>INDEX('Revised 2018 Lockdown'!H$5:H$253,MATCH(B171,'Revised 2018 Lockdown'!B$5:B$253,0))</f>
        <v>29.487418815717273</v>
      </c>
      <c r="F171" s="7">
        <f>INDEX('Revised 2018 Lockdown'!E$5:E$253,MATCH(B171,'Revised 2018 Lockdown'!B$5:B$253,0))</f>
        <v>25941.279999999999</v>
      </c>
      <c r="G171" s="7">
        <f>INDEX('Revised 2018 Lockdown'!F$5:F$253,MATCH(B171,'Revised 2018 Lockdown'!B$5:B$253,0))</f>
        <v>0</v>
      </c>
      <c r="H171" s="7">
        <f t="shared" si="16"/>
        <v>25941.279999999999</v>
      </c>
      <c r="I171" s="6">
        <f t="shared" si="17"/>
        <v>879.74061623097623</v>
      </c>
      <c r="J171" s="6">
        <f t="shared" si="20"/>
        <v>724.17749136783868</v>
      </c>
      <c r="K171" s="5">
        <f t="shared" si="18"/>
        <v>21354.124984878941</v>
      </c>
      <c r="L171" s="4">
        <f t="shared" si="19"/>
        <v>0</v>
      </c>
      <c r="M171" s="2" cm="1">
        <f t="array" ref="M171">SUMPRODUCT(--($L$6:$L$300&lt;&gt;1),--($C$6:$C$300=$C171),$H$6:$H$300)/SUMPRODUCT(--($L$6:$L$300&lt;&gt;1),--($C$6:$C$300=$C171),$E$6:$E$300)</f>
        <v>477.53718767922453</v>
      </c>
      <c r="N171" s="1" cm="1">
        <f t="array" ref="N171">SUMPRODUCT(--($L$6:$L$300&lt;&gt;1),--($C$6:$C$300=$C171))</f>
        <v>66</v>
      </c>
      <c r="O171" s="3">
        <f t="shared" si="21"/>
        <v>161767.59793878402</v>
      </c>
      <c r="P171" s="2" cm="1">
        <f t="array" ref="P171">SQRT(SUMPRODUCT(--($L$6:$L$300&lt;&gt;1),--($C$6:$C$300=$C171),$E$6:$E$300,$O$6:$O$300)/((N171-1)*SUMPRODUCT(--($L$6:$L$300&lt;&gt;1),--($C$6:$C$300=$C171),$E$6:$E$300)/N171))</f>
        <v>192.45445155677626</v>
      </c>
      <c r="Q171" s="2">
        <f t="shared" si="15"/>
        <v>230.89688399061041</v>
      </c>
      <c r="R171" s="2">
        <f t="shared" si="15"/>
        <v>724.17749136783868</v>
      </c>
      <c r="S171" s="2">
        <f t="shared" si="22"/>
        <v>724.17749136783868</v>
      </c>
    </row>
    <row r="172" spans="2:19" x14ac:dyDescent="0.3">
      <c r="B172" s="9">
        <v>977</v>
      </c>
      <c r="C172" s="9">
        <v>7</v>
      </c>
      <c r="D172" s="8" t="s">
        <v>203</v>
      </c>
      <c r="E172" s="125">
        <f>INDEX('Revised 2018 Lockdown'!H$5:H$253,MATCH(B172,'Revised 2018 Lockdown'!B$5:B$253,0))</f>
        <v>40.759415747987155</v>
      </c>
      <c r="F172" s="7">
        <f>INDEX('Revised 2018 Lockdown'!E$5:E$253,MATCH(B172,'Revised 2018 Lockdown'!B$5:B$253,0))</f>
        <v>31893.51</v>
      </c>
      <c r="G172" s="7">
        <f>INDEX('Revised 2018 Lockdown'!F$5:F$253,MATCH(B172,'Revised 2018 Lockdown'!B$5:B$253,0))</f>
        <v>0</v>
      </c>
      <c r="H172" s="7">
        <f t="shared" si="16"/>
        <v>31893.51</v>
      </c>
      <c r="I172" s="6">
        <f t="shared" si="17"/>
        <v>782.4820207727098</v>
      </c>
      <c r="J172" s="6">
        <f t="shared" si="20"/>
        <v>724.17749136783868</v>
      </c>
      <c r="K172" s="5">
        <f t="shared" si="18"/>
        <v>29517.051445996116</v>
      </c>
      <c r="L172" s="4">
        <f t="shared" si="19"/>
        <v>0</v>
      </c>
      <c r="M172" s="2" cm="1">
        <f t="array" ref="M172">SUMPRODUCT(--($L$6:$L$300&lt;&gt;1),--($C$6:$C$300=$C172),$H$6:$H$300)/SUMPRODUCT(--($L$6:$L$300&lt;&gt;1),--($C$6:$C$300=$C172),$E$6:$E$300)</f>
        <v>477.53718767922453</v>
      </c>
      <c r="N172" s="1" cm="1">
        <f t="array" ref="N172">SUMPRODUCT(--($L$6:$L$300&lt;&gt;1),--($C$6:$C$300=$C172))</f>
        <v>66</v>
      </c>
      <c r="O172" s="3">
        <f t="shared" si="21"/>
        <v>92991.351230413595</v>
      </c>
      <c r="P172" s="2" cm="1">
        <f t="array" ref="P172">SQRT(SUMPRODUCT(--($L$6:$L$300&lt;&gt;1),--($C$6:$C$300=$C172),$E$6:$E$300,$O$6:$O$300)/((N172-1)*SUMPRODUCT(--($L$6:$L$300&lt;&gt;1),--($C$6:$C$300=$C172),$E$6:$E$300)/N172))</f>
        <v>192.45445155677626</v>
      </c>
      <c r="Q172" s="2">
        <f t="shared" si="15"/>
        <v>230.89688399061041</v>
      </c>
      <c r="R172" s="2">
        <f t="shared" si="15"/>
        <v>724.17749136783868</v>
      </c>
      <c r="S172" s="2">
        <f t="shared" si="22"/>
        <v>724.17749136783868</v>
      </c>
    </row>
    <row r="173" spans="2:19" x14ac:dyDescent="0.3">
      <c r="B173" s="9">
        <v>979</v>
      </c>
      <c r="C173" s="9">
        <v>7</v>
      </c>
      <c r="D173" s="8" t="s">
        <v>287</v>
      </c>
      <c r="E173" s="125">
        <f>INDEX('Revised 2018 Lockdown'!H$5:H$253,MATCH(B173,'Revised 2018 Lockdown'!B$5:B$253,0))</f>
        <v>68.082572495004712</v>
      </c>
      <c r="F173" s="7">
        <f>INDEX('Revised 2018 Lockdown'!E$5:E$253,MATCH(B173,'Revised 2018 Lockdown'!B$5:B$253,0))</f>
        <v>116196.12</v>
      </c>
      <c r="G173" s="7">
        <f>INDEX('Revised 2018 Lockdown'!F$5:F$253,MATCH(B173,'Revised 2018 Lockdown'!B$5:B$253,0))</f>
        <v>0</v>
      </c>
      <c r="H173" s="7">
        <f t="shared" si="16"/>
        <v>116196.12</v>
      </c>
      <c r="I173" s="6">
        <f t="shared" si="17"/>
        <v>1706.6940296435689</v>
      </c>
      <c r="J173" s="6">
        <f t="shared" si="20"/>
        <v>724.17749136783868</v>
      </c>
      <c r="K173" s="5">
        <f t="shared" si="18"/>
        <v>49303.866555301523</v>
      </c>
      <c r="L173" s="4">
        <f t="shared" si="19"/>
        <v>0</v>
      </c>
      <c r="M173" s="2" cm="1">
        <f t="array" ref="M173">SUMPRODUCT(--($L$6:$L$300&lt;&gt;1),--($C$6:$C$300=$C173),$H$6:$H$300)/SUMPRODUCT(--($L$6:$L$300&lt;&gt;1),--($C$6:$C$300=$C173),$E$6:$E$300)</f>
        <v>477.53718767922453</v>
      </c>
      <c r="N173" s="1" cm="1">
        <f t="array" ref="N173">SUMPRODUCT(--($L$6:$L$300&lt;&gt;1),--($C$6:$C$300=$C173))</f>
        <v>66</v>
      </c>
      <c r="O173" s="3">
        <f t="shared" si="21"/>
        <v>1510826.5421477605</v>
      </c>
      <c r="P173" s="2" cm="1">
        <f t="array" ref="P173">SQRT(SUMPRODUCT(--($L$6:$L$300&lt;&gt;1),--($C$6:$C$300=$C173),$E$6:$E$300,$O$6:$O$300)/((N173-1)*SUMPRODUCT(--($L$6:$L$300&lt;&gt;1),--($C$6:$C$300=$C173),$E$6:$E$300)/N173))</f>
        <v>192.45445155677626</v>
      </c>
      <c r="Q173" s="2">
        <f t="shared" si="15"/>
        <v>230.89688399061041</v>
      </c>
      <c r="R173" s="2">
        <f t="shared" si="15"/>
        <v>724.17749136783868</v>
      </c>
      <c r="S173" s="2">
        <f t="shared" si="22"/>
        <v>724.17749136783868</v>
      </c>
    </row>
    <row r="174" spans="2:19" x14ac:dyDescent="0.3">
      <c r="B174" s="9">
        <v>983</v>
      </c>
      <c r="C174" s="9">
        <v>7</v>
      </c>
      <c r="D174" s="8" t="s">
        <v>205</v>
      </c>
      <c r="E174" s="125">
        <f>INDEX('Revised 2018 Lockdown'!H$5:H$253,MATCH(B174,'Revised 2018 Lockdown'!B$5:B$253,0))</f>
        <v>86.135726155269523</v>
      </c>
      <c r="F174" s="7">
        <f>INDEX('Revised 2018 Lockdown'!E$5:E$253,MATCH(B174,'Revised 2018 Lockdown'!B$5:B$253,0))</f>
        <v>30825.599999999999</v>
      </c>
      <c r="G174" s="7">
        <f>INDEX('Revised 2018 Lockdown'!F$5:F$253,MATCH(B174,'Revised 2018 Lockdown'!B$5:B$253,0))</f>
        <v>250</v>
      </c>
      <c r="H174" s="7">
        <f t="shared" si="16"/>
        <v>30575.599999999999</v>
      </c>
      <c r="I174" s="6">
        <f t="shared" si="17"/>
        <v>354.97001493763429</v>
      </c>
      <c r="J174" s="6">
        <f t="shared" si="20"/>
        <v>354.97001493763429</v>
      </c>
      <c r="K174" s="5">
        <f t="shared" si="18"/>
        <v>30575.599999999999</v>
      </c>
      <c r="L174" s="4">
        <f t="shared" si="19"/>
        <v>0</v>
      </c>
      <c r="M174" s="2" cm="1">
        <f t="array" ref="M174">SUMPRODUCT(--($L$6:$L$300&lt;&gt;1),--($C$6:$C$300=$C174),$H$6:$H$300)/SUMPRODUCT(--($L$6:$L$300&lt;&gt;1),--($C$6:$C$300=$C174),$E$6:$E$300)</f>
        <v>477.53718767922453</v>
      </c>
      <c r="N174" s="1" cm="1">
        <f t="array" ref="N174">SUMPRODUCT(--($L$6:$L$300&lt;&gt;1),--($C$6:$C$300=$C174))</f>
        <v>66</v>
      </c>
      <c r="O174" s="3">
        <f t="shared" si="21"/>
        <v>15022.711833866822</v>
      </c>
      <c r="P174" s="2" cm="1">
        <f t="array" ref="P174">SQRT(SUMPRODUCT(--($L$6:$L$300&lt;&gt;1),--($C$6:$C$300=$C174),$E$6:$E$300,$O$6:$O$300)/((N174-1)*SUMPRODUCT(--($L$6:$L$300&lt;&gt;1),--($C$6:$C$300=$C174),$E$6:$E$300)/N174))</f>
        <v>192.45445155677626</v>
      </c>
      <c r="Q174" s="2">
        <f t="shared" si="15"/>
        <v>230.89688399061041</v>
      </c>
      <c r="R174" s="2">
        <f t="shared" si="15"/>
        <v>724.17749136783868</v>
      </c>
      <c r="S174" s="2">
        <f t="shared" si="22"/>
        <v>354.97001493763429</v>
      </c>
    </row>
    <row r="175" spans="2:19" x14ac:dyDescent="0.3">
      <c r="B175" s="9">
        <v>188</v>
      </c>
      <c r="C175" s="9">
        <v>8</v>
      </c>
      <c r="D175" s="8" t="s">
        <v>206</v>
      </c>
      <c r="E175" s="125">
        <f>INDEX('Revised 2018 Lockdown'!H$5:H$253,MATCH(B175,'Revised 2018 Lockdown'!B$5:B$253,0))</f>
        <v>187.63</v>
      </c>
      <c r="F175" s="7">
        <f>INDEX('Revised 2018 Lockdown'!E$5:E$253,MATCH(B175,'Revised 2018 Lockdown'!B$5:B$253,0))</f>
        <v>125246.14</v>
      </c>
      <c r="G175" s="7">
        <f>INDEX('Revised 2018 Lockdown'!F$5:F$253,MATCH(B175,'Revised 2018 Lockdown'!B$5:B$253,0))</f>
        <v>23903.22</v>
      </c>
      <c r="H175" s="7">
        <f t="shared" si="16"/>
        <v>101342.92</v>
      </c>
      <c r="I175" s="6">
        <f t="shared" si="17"/>
        <v>540.12108937803123</v>
      </c>
      <c r="J175" s="6">
        <f t="shared" si="20"/>
        <v>540.12108937803123</v>
      </c>
      <c r="K175" s="5">
        <f t="shared" si="18"/>
        <v>101342.92</v>
      </c>
      <c r="L175" s="4">
        <f t="shared" si="19"/>
        <v>0</v>
      </c>
      <c r="M175" s="2" cm="1">
        <f t="array" ref="M175">SUMPRODUCT(--($L$6:$L$300&lt;&gt;1),--($C$6:$C$300=$C175),$H$6:$H$300)/SUMPRODUCT(--($L$6:$L$300&lt;&gt;1),--($C$6:$C$300=$C175),$E$6:$E$300)</f>
        <v>880.714673659087</v>
      </c>
      <c r="N175" s="1" cm="1">
        <f t="array" ref="N175">SUMPRODUCT(--($L$6:$L$300&lt;&gt;1),--($C$6:$C$300=$C175))</f>
        <v>50</v>
      </c>
      <c r="O175" s="3">
        <f t="shared" si="21"/>
        <v>116003.98965341663</v>
      </c>
      <c r="P175" s="2" cm="1">
        <f t="array" ref="P175">SQRT(SUMPRODUCT(--($L$6:$L$300&lt;&gt;1),--($C$6:$C$300=$C175),$E$6:$E$300,$O$6:$O$300)/((N175-1)*SUMPRODUCT(--($L$6:$L$300&lt;&gt;1),--($C$6:$C$300=$C175),$E$6:$E$300)/N175))</f>
        <v>656.20300757816824</v>
      </c>
      <c r="Q175" s="2">
        <f t="shared" si="15"/>
        <v>39.756681982210125</v>
      </c>
      <c r="R175" s="2">
        <f t="shared" si="15"/>
        <v>1721.6726653359638</v>
      </c>
      <c r="S175" s="2">
        <f t="shared" si="22"/>
        <v>540.12108937803123</v>
      </c>
    </row>
    <row r="176" spans="2:19" x14ac:dyDescent="0.3">
      <c r="B176" s="9">
        <v>232</v>
      </c>
      <c r="C176" s="9">
        <v>8</v>
      </c>
      <c r="D176" s="8" t="s">
        <v>207</v>
      </c>
      <c r="E176" s="125">
        <f>INDEX('Revised 2018 Lockdown'!H$5:H$253,MATCH(B176,'Revised 2018 Lockdown'!B$5:B$253,0))</f>
        <v>97.380622566033892</v>
      </c>
      <c r="F176" s="7">
        <f>INDEX('Revised 2018 Lockdown'!E$5:E$253,MATCH(B176,'Revised 2018 Lockdown'!B$5:B$253,0))</f>
        <v>101873.03</v>
      </c>
      <c r="G176" s="7">
        <f>INDEX('Revised 2018 Lockdown'!F$5:F$253,MATCH(B176,'Revised 2018 Lockdown'!B$5:B$253,0))</f>
        <v>0</v>
      </c>
      <c r="H176" s="7">
        <f t="shared" si="16"/>
        <v>101873.03</v>
      </c>
      <c r="I176" s="6">
        <f t="shared" si="17"/>
        <v>1046.1324575217191</v>
      </c>
      <c r="J176" s="6">
        <f t="shared" si="20"/>
        <v>1046.1324575217191</v>
      </c>
      <c r="K176" s="5">
        <f t="shared" si="18"/>
        <v>101873.03000000001</v>
      </c>
      <c r="L176" s="4">
        <f t="shared" si="19"/>
        <v>0</v>
      </c>
      <c r="M176" s="2" cm="1">
        <f t="array" ref="M176">SUMPRODUCT(--($L$6:$L$300&lt;&gt;1),--($C$6:$C$300=$C176),$H$6:$H$300)/SUMPRODUCT(--($L$6:$L$300&lt;&gt;1),--($C$6:$C$300=$C176),$E$6:$E$300)</f>
        <v>880.714673659087</v>
      </c>
      <c r="N176" s="1" cm="1">
        <f t="array" ref="N176">SUMPRODUCT(--($L$6:$L$300&lt;&gt;1),--($C$6:$C$300=$C176))</f>
        <v>50</v>
      </c>
      <c r="O176" s="3">
        <f t="shared" si="21"/>
        <v>27363.043218024457</v>
      </c>
      <c r="P176" s="2" cm="1">
        <f t="array" ref="P176">SQRT(SUMPRODUCT(--($L$6:$L$300&lt;&gt;1),--($C$6:$C$300=$C176),$E$6:$E$300,$O$6:$O$300)/((N176-1)*SUMPRODUCT(--($L$6:$L$300&lt;&gt;1),--($C$6:$C$300=$C176),$E$6:$E$300)/N176))</f>
        <v>656.20300757816824</v>
      </c>
      <c r="Q176" s="2">
        <f t="shared" si="15"/>
        <v>39.756681982210125</v>
      </c>
      <c r="R176" s="2">
        <f t="shared" si="15"/>
        <v>1721.6726653359638</v>
      </c>
      <c r="S176" s="2">
        <f t="shared" si="22"/>
        <v>1046.1324575217191</v>
      </c>
    </row>
    <row r="177" spans="2:19" x14ac:dyDescent="0.3">
      <c r="B177" s="9">
        <v>245</v>
      </c>
      <c r="C177" s="9">
        <v>8</v>
      </c>
      <c r="D177" s="8" t="s">
        <v>208</v>
      </c>
      <c r="E177" s="125">
        <f>INDEX('Revised 2018 Lockdown'!H$5:H$253,MATCH(B177,'Revised 2018 Lockdown'!B$5:B$253,0))</f>
        <v>182.45227672734177</v>
      </c>
      <c r="F177" s="7">
        <f>INDEX('Revised 2018 Lockdown'!E$5:E$253,MATCH(B177,'Revised 2018 Lockdown'!B$5:B$253,0))</f>
        <v>620305.29</v>
      </c>
      <c r="G177" s="7">
        <f>INDEX('Revised 2018 Lockdown'!F$5:F$253,MATCH(B177,'Revised 2018 Lockdown'!B$5:B$253,0))</f>
        <v>0</v>
      </c>
      <c r="H177" s="7">
        <f t="shared" si="16"/>
        <v>620305.29</v>
      </c>
      <c r="I177" s="6">
        <f t="shared" si="17"/>
        <v>3399.8221404876713</v>
      </c>
      <c r="J177" s="6">
        <f t="shared" si="20"/>
        <v>1721.6726653359638</v>
      </c>
      <c r="K177" s="5">
        <f t="shared" si="18"/>
        <v>314123.09756977734</v>
      </c>
      <c r="L177" s="4">
        <f t="shared" si="19"/>
        <v>0</v>
      </c>
      <c r="M177" s="2" cm="1">
        <f t="array" ref="M177">SUMPRODUCT(--($L$6:$L$300&lt;&gt;1),--($C$6:$C$300=$C177),$H$6:$H$300)/SUMPRODUCT(--($L$6:$L$300&lt;&gt;1),--($C$6:$C$300=$C177),$E$6:$E$300)</f>
        <v>880.714673659087</v>
      </c>
      <c r="N177" s="1" cm="1">
        <f t="array" ref="N177">SUMPRODUCT(--($L$6:$L$300&lt;&gt;1),--($C$6:$C$300=$C177))</f>
        <v>50</v>
      </c>
      <c r="O177" s="3">
        <f t="shared" si="21"/>
        <v>6345902.429431526</v>
      </c>
      <c r="P177" s="2" cm="1">
        <f t="array" ref="P177">SQRT(SUMPRODUCT(--($L$6:$L$300&lt;&gt;1),--($C$6:$C$300=$C177),$E$6:$E$300,$O$6:$O$300)/((N177-1)*SUMPRODUCT(--($L$6:$L$300&lt;&gt;1),--($C$6:$C$300=$C177),$E$6:$E$300)/N177))</f>
        <v>656.20300757816824</v>
      </c>
      <c r="Q177" s="2">
        <f t="shared" si="15"/>
        <v>39.756681982210125</v>
      </c>
      <c r="R177" s="2">
        <f t="shared" si="15"/>
        <v>1721.6726653359638</v>
      </c>
      <c r="S177" s="2">
        <f t="shared" si="22"/>
        <v>1721.6726653359638</v>
      </c>
    </row>
    <row r="178" spans="2:19" x14ac:dyDescent="0.3">
      <c r="B178" s="9">
        <v>372</v>
      </c>
      <c r="C178" s="9">
        <v>8</v>
      </c>
      <c r="D178" s="8" t="s">
        <v>209</v>
      </c>
      <c r="E178" s="125">
        <f>INDEX('Revised 2018 Lockdown'!H$5:H$253,MATCH(B178,'Revised 2018 Lockdown'!B$5:B$253,0))</f>
        <v>120.44</v>
      </c>
      <c r="F178" s="7">
        <f>INDEX('Revised 2018 Lockdown'!E$5:E$253,MATCH(B178,'Revised 2018 Lockdown'!B$5:B$253,0))</f>
        <v>83312.27</v>
      </c>
      <c r="G178" s="7">
        <f>INDEX('Revised 2018 Lockdown'!F$5:F$253,MATCH(B178,'Revised 2018 Lockdown'!B$5:B$253,0))</f>
        <v>0</v>
      </c>
      <c r="H178" s="7">
        <f t="shared" si="16"/>
        <v>83312.27</v>
      </c>
      <c r="I178" s="6">
        <f t="shared" si="17"/>
        <v>691.73256393224847</v>
      </c>
      <c r="J178" s="6">
        <f t="shared" si="20"/>
        <v>691.73256393224847</v>
      </c>
      <c r="K178" s="5">
        <f t="shared" si="18"/>
        <v>83312.27</v>
      </c>
      <c r="L178" s="4">
        <f t="shared" si="19"/>
        <v>0</v>
      </c>
      <c r="M178" s="2" cm="1">
        <f t="array" ref="M178">SUMPRODUCT(--($L$6:$L$300&lt;&gt;1),--($C$6:$C$300=$C178),$H$6:$H$300)/SUMPRODUCT(--($L$6:$L$300&lt;&gt;1),--($C$6:$C$300=$C178),$E$6:$E$300)</f>
        <v>880.714673659087</v>
      </c>
      <c r="N178" s="1" cm="1">
        <f t="array" ref="N178">SUMPRODUCT(--($L$6:$L$300&lt;&gt;1),--($C$6:$C$300=$C178))</f>
        <v>50</v>
      </c>
      <c r="O178" s="3">
        <f t="shared" si="21"/>
        <v>35714.237796806839</v>
      </c>
      <c r="P178" s="2" cm="1">
        <f t="array" ref="P178">SQRT(SUMPRODUCT(--($L$6:$L$300&lt;&gt;1),--($C$6:$C$300=$C178),$E$6:$E$300,$O$6:$O$300)/((N178-1)*SUMPRODUCT(--($L$6:$L$300&lt;&gt;1),--($C$6:$C$300=$C178),$E$6:$E$300)/N178))</f>
        <v>656.20300757816824</v>
      </c>
      <c r="Q178" s="2">
        <f t="shared" si="15"/>
        <v>39.756681982210125</v>
      </c>
      <c r="R178" s="2">
        <f t="shared" si="15"/>
        <v>1721.6726653359638</v>
      </c>
      <c r="S178" s="2">
        <f t="shared" si="22"/>
        <v>691.73256393224847</v>
      </c>
    </row>
    <row r="179" spans="2:19" x14ac:dyDescent="0.3">
      <c r="B179" s="9">
        <v>375</v>
      </c>
      <c r="C179" s="9">
        <v>8</v>
      </c>
      <c r="D179" s="8" t="s">
        <v>210</v>
      </c>
      <c r="E179" s="125">
        <f>INDEX('Revised 2018 Lockdown'!H$5:H$253,MATCH(B179,'Revised 2018 Lockdown'!B$5:B$253,0))</f>
        <v>165.84</v>
      </c>
      <c r="F179" s="7">
        <f>INDEX('Revised 2018 Lockdown'!E$5:E$253,MATCH(B179,'Revised 2018 Lockdown'!B$5:B$253,0))</f>
        <v>245447.76</v>
      </c>
      <c r="G179" s="7">
        <f>INDEX('Revised 2018 Lockdown'!F$5:F$253,MATCH(B179,'Revised 2018 Lockdown'!B$5:B$253,0))</f>
        <v>0</v>
      </c>
      <c r="H179" s="7">
        <f t="shared" si="16"/>
        <v>245447.76</v>
      </c>
      <c r="I179" s="6">
        <f t="shared" si="17"/>
        <v>1480.027496382055</v>
      </c>
      <c r="J179" s="6">
        <f t="shared" si="20"/>
        <v>1480.027496382055</v>
      </c>
      <c r="K179" s="5">
        <f t="shared" si="18"/>
        <v>245447.76</v>
      </c>
      <c r="L179" s="4">
        <f t="shared" si="19"/>
        <v>0</v>
      </c>
      <c r="M179" s="2" cm="1">
        <f t="array" ref="M179">SUMPRODUCT(--($L$6:$L$300&lt;&gt;1),--($C$6:$C$300=$C179),$H$6:$H$300)/SUMPRODUCT(--($L$6:$L$300&lt;&gt;1),--($C$6:$C$300=$C179),$E$6:$E$300)</f>
        <v>880.714673659087</v>
      </c>
      <c r="N179" s="1" cm="1">
        <f t="array" ref="N179">SUMPRODUCT(--($L$6:$L$300&lt;&gt;1),--($C$6:$C$300=$C179))</f>
        <v>50</v>
      </c>
      <c r="O179" s="3">
        <f t="shared" si="21"/>
        <v>359175.8594801717</v>
      </c>
      <c r="P179" s="2" cm="1">
        <f t="array" ref="P179">SQRT(SUMPRODUCT(--($L$6:$L$300&lt;&gt;1),--($C$6:$C$300=$C179),$E$6:$E$300,$O$6:$O$300)/((N179-1)*SUMPRODUCT(--($L$6:$L$300&lt;&gt;1),--($C$6:$C$300=$C179),$E$6:$E$300)/N179))</f>
        <v>656.20300757816824</v>
      </c>
      <c r="Q179" s="2">
        <f t="shared" ref="Q179:R242" si="23">NORMINV(Q$4,$M179,$P179)</f>
        <v>39.756681982210125</v>
      </c>
      <c r="R179" s="2">
        <f t="shared" si="23"/>
        <v>1721.6726653359638</v>
      </c>
      <c r="S179" s="2">
        <f t="shared" si="22"/>
        <v>1480.027496382055</v>
      </c>
    </row>
    <row r="180" spans="2:19" x14ac:dyDescent="0.3">
      <c r="B180" s="9">
        <v>404</v>
      </c>
      <c r="C180" s="9">
        <v>8</v>
      </c>
      <c r="D180" s="8" t="s">
        <v>211</v>
      </c>
      <c r="E180" s="125">
        <f>INDEX('Revised 2018 Lockdown'!H$5:H$253,MATCH(B180,'Revised 2018 Lockdown'!B$5:B$253,0))</f>
        <v>471.42898112137107</v>
      </c>
      <c r="F180" s="7">
        <f>INDEX('Revised 2018 Lockdown'!E$5:E$253,MATCH(B180,'Revised 2018 Lockdown'!B$5:B$253,0))</f>
        <v>260768.05</v>
      </c>
      <c r="G180" s="7">
        <f>INDEX('Revised 2018 Lockdown'!F$5:F$253,MATCH(B180,'Revised 2018 Lockdown'!B$5:B$253,0))</f>
        <v>28484.19</v>
      </c>
      <c r="H180" s="7">
        <f t="shared" si="16"/>
        <v>232283.86</v>
      </c>
      <c r="I180" s="6">
        <f t="shared" si="17"/>
        <v>492.72291119539312</v>
      </c>
      <c r="J180" s="6">
        <f t="shared" si="20"/>
        <v>492.72291119539312</v>
      </c>
      <c r="K180" s="5">
        <f t="shared" si="18"/>
        <v>232283.86</v>
      </c>
      <c r="L180" s="4">
        <f t="shared" si="19"/>
        <v>0</v>
      </c>
      <c r="M180" s="2" cm="1">
        <f t="array" ref="M180">SUMPRODUCT(--($L$6:$L$300&lt;&gt;1),--($C$6:$C$300=$C180),$H$6:$H$300)/SUMPRODUCT(--($L$6:$L$300&lt;&gt;1),--($C$6:$C$300=$C180),$E$6:$E$300)</f>
        <v>880.714673659087</v>
      </c>
      <c r="N180" s="1" cm="1">
        <f t="array" ref="N180">SUMPRODUCT(--($L$6:$L$300&lt;&gt;1),--($C$6:$C$300=$C180))</f>
        <v>50</v>
      </c>
      <c r="O180" s="3">
        <f t="shared" si="21"/>
        <v>150537.60773968344</v>
      </c>
      <c r="P180" s="2" cm="1">
        <f t="array" ref="P180">SQRT(SUMPRODUCT(--($L$6:$L$300&lt;&gt;1),--($C$6:$C$300=$C180),$E$6:$E$300,$O$6:$O$300)/((N180-1)*SUMPRODUCT(--($L$6:$L$300&lt;&gt;1),--($C$6:$C$300=$C180),$E$6:$E$300)/N180))</f>
        <v>656.20300757816824</v>
      </c>
      <c r="Q180" s="2">
        <f t="shared" si="23"/>
        <v>39.756681982210125</v>
      </c>
      <c r="R180" s="2">
        <f t="shared" si="23"/>
        <v>1721.6726653359638</v>
      </c>
      <c r="S180" s="2">
        <f t="shared" si="22"/>
        <v>492.72291119539312</v>
      </c>
    </row>
    <row r="181" spans="2:19" x14ac:dyDescent="0.3">
      <c r="B181" s="9">
        <v>413</v>
      </c>
      <c r="C181" s="9">
        <v>8</v>
      </c>
      <c r="D181" s="8" t="s">
        <v>212</v>
      </c>
      <c r="E181" s="125">
        <f>INDEX('Revised 2018 Lockdown'!H$5:H$253,MATCH(B181,'Revised 2018 Lockdown'!B$5:B$253,0))</f>
        <v>73.969999999999985</v>
      </c>
      <c r="F181" s="7">
        <f>INDEX('Revised 2018 Lockdown'!E$5:E$253,MATCH(B181,'Revised 2018 Lockdown'!B$5:B$253,0))</f>
        <v>59936.91</v>
      </c>
      <c r="G181" s="7">
        <f>INDEX('Revised 2018 Lockdown'!F$5:F$253,MATCH(B181,'Revised 2018 Lockdown'!B$5:B$253,0))</f>
        <v>95</v>
      </c>
      <c r="H181" s="7">
        <f t="shared" si="16"/>
        <v>59841.91</v>
      </c>
      <c r="I181" s="6">
        <f t="shared" si="17"/>
        <v>809.00243341895384</v>
      </c>
      <c r="J181" s="6">
        <f t="shared" si="20"/>
        <v>809.00243341895384</v>
      </c>
      <c r="K181" s="5">
        <f t="shared" si="18"/>
        <v>59841.91</v>
      </c>
      <c r="L181" s="4">
        <f t="shared" si="19"/>
        <v>0</v>
      </c>
      <c r="M181" s="2" cm="1">
        <f t="array" ref="M181">SUMPRODUCT(--($L$6:$L$300&lt;&gt;1),--($C$6:$C$300=$C181),$H$6:$H$300)/SUMPRODUCT(--($L$6:$L$300&lt;&gt;1),--($C$6:$C$300=$C181),$E$6:$E$300)</f>
        <v>880.714673659087</v>
      </c>
      <c r="N181" s="1" cm="1">
        <f t="array" ref="N181">SUMPRODUCT(--($L$6:$L$300&lt;&gt;1),--($C$6:$C$300=$C181))</f>
        <v>50</v>
      </c>
      <c r="O181" s="3">
        <f t="shared" si="21"/>
        <v>5142.6454002585733</v>
      </c>
      <c r="P181" s="2" cm="1">
        <f t="array" ref="P181">SQRT(SUMPRODUCT(--($L$6:$L$300&lt;&gt;1),--($C$6:$C$300=$C181),$E$6:$E$300,$O$6:$O$300)/((N181-1)*SUMPRODUCT(--($L$6:$L$300&lt;&gt;1),--($C$6:$C$300=$C181),$E$6:$E$300)/N181))</f>
        <v>656.20300757816824</v>
      </c>
      <c r="Q181" s="2">
        <f t="shared" si="23"/>
        <v>39.756681982210125</v>
      </c>
      <c r="R181" s="2">
        <f t="shared" si="23"/>
        <v>1721.6726653359638</v>
      </c>
      <c r="S181" s="2">
        <f t="shared" si="22"/>
        <v>809.00243341895384</v>
      </c>
    </row>
    <row r="182" spans="2:19" x14ac:dyDescent="0.3">
      <c r="B182" s="9">
        <v>537</v>
      </c>
      <c r="C182" s="9">
        <v>8</v>
      </c>
      <c r="D182" s="8" t="s">
        <v>213</v>
      </c>
      <c r="E182" s="125">
        <f>INDEX('Revised 2018 Lockdown'!H$5:H$253,MATCH(B182,'Revised 2018 Lockdown'!B$5:B$253,0))</f>
        <v>21.43637439455869</v>
      </c>
      <c r="F182" s="7">
        <f>INDEX('Revised 2018 Lockdown'!E$5:E$253,MATCH(B182,'Revised 2018 Lockdown'!B$5:B$253,0))</f>
        <v>7779.28</v>
      </c>
      <c r="G182" s="7">
        <f>INDEX('Revised 2018 Lockdown'!F$5:F$253,MATCH(B182,'Revised 2018 Lockdown'!B$5:B$253,0))</f>
        <v>0</v>
      </c>
      <c r="H182" s="7">
        <f t="shared" si="16"/>
        <v>7779.28</v>
      </c>
      <c r="I182" s="6">
        <f t="shared" si="17"/>
        <v>362.90092050149377</v>
      </c>
      <c r="J182" s="6">
        <f t="shared" si="20"/>
        <v>362.90092050149377</v>
      </c>
      <c r="K182" s="5">
        <f t="shared" si="18"/>
        <v>7779.28</v>
      </c>
      <c r="L182" s="4">
        <f t="shared" si="19"/>
        <v>0</v>
      </c>
      <c r="M182" s="2" cm="1">
        <f t="array" ref="M182">SUMPRODUCT(--($L$6:$L$300&lt;&gt;1),--($C$6:$C$300=$C182),$H$6:$H$300)/SUMPRODUCT(--($L$6:$L$300&lt;&gt;1),--($C$6:$C$300=$C182),$E$6:$E$300)</f>
        <v>880.714673659087</v>
      </c>
      <c r="N182" s="1" cm="1">
        <f t="array" ref="N182">SUMPRODUCT(--($L$6:$L$300&lt;&gt;1),--($C$6:$C$300=$C182))</f>
        <v>50</v>
      </c>
      <c r="O182" s="3">
        <f t="shared" si="21"/>
        <v>268131.08295915293</v>
      </c>
      <c r="P182" s="2" cm="1">
        <f t="array" ref="P182">SQRT(SUMPRODUCT(--($L$6:$L$300&lt;&gt;1),--($C$6:$C$300=$C182),$E$6:$E$300,$O$6:$O$300)/((N182-1)*SUMPRODUCT(--($L$6:$L$300&lt;&gt;1),--($C$6:$C$300=$C182),$E$6:$E$300)/N182))</f>
        <v>656.20300757816824</v>
      </c>
      <c r="Q182" s="2">
        <f t="shared" si="23"/>
        <v>39.756681982210125</v>
      </c>
      <c r="R182" s="2">
        <f t="shared" si="23"/>
        <v>1721.6726653359638</v>
      </c>
      <c r="S182" s="2">
        <f t="shared" si="22"/>
        <v>362.90092050149377</v>
      </c>
    </row>
    <row r="183" spans="2:19" x14ac:dyDescent="0.3">
      <c r="B183" s="9">
        <v>545</v>
      </c>
      <c r="C183" s="9">
        <v>8</v>
      </c>
      <c r="D183" s="8" t="s">
        <v>214</v>
      </c>
      <c r="E183" s="125">
        <f>INDEX('Revised 2018 Lockdown'!H$5:H$253,MATCH(B183,'Revised 2018 Lockdown'!B$5:B$253,0))</f>
        <v>14.770762085671219</v>
      </c>
      <c r="F183" s="7">
        <f>INDEX('Revised 2018 Lockdown'!E$5:E$253,MATCH(B183,'Revised 2018 Lockdown'!B$5:B$253,0))</f>
        <v>6792.3</v>
      </c>
      <c r="G183" s="7">
        <f>INDEX('Revised 2018 Lockdown'!F$5:F$253,MATCH(B183,'Revised 2018 Lockdown'!B$5:B$253,0))</f>
        <v>0</v>
      </c>
      <c r="H183" s="7">
        <f t="shared" si="16"/>
        <v>6792.3</v>
      </c>
      <c r="I183" s="6">
        <f t="shared" si="17"/>
        <v>459.84763417109372</v>
      </c>
      <c r="J183" s="6">
        <f t="shared" si="20"/>
        <v>459.84763417109372</v>
      </c>
      <c r="K183" s="5">
        <f t="shared" si="18"/>
        <v>6792.3</v>
      </c>
      <c r="L183" s="4">
        <f t="shared" si="19"/>
        <v>0</v>
      </c>
      <c r="M183" s="2" cm="1">
        <f t="array" ref="M183">SUMPRODUCT(--($L$6:$L$300&lt;&gt;1),--($C$6:$C$300=$C183),$H$6:$H$300)/SUMPRODUCT(--($L$6:$L$300&lt;&gt;1),--($C$6:$C$300=$C183),$E$6:$E$300)</f>
        <v>880.714673659087</v>
      </c>
      <c r="N183" s="1" cm="1">
        <f t="array" ref="N183">SUMPRODUCT(--($L$6:$L$300&lt;&gt;1),--($C$6:$C$300=$C183))</f>
        <v>50</v>
      </c>
      <c r="O183" s="3">
        <f t="shared" si="21"/>
        <v>177129.0649273881</v>
      </c>
      <c r="P183" s="2" cm="1">
        <f t="array" ref="P183">SQRT(SUMPRODUCT(--($L$6:$L$300&lt;&gt;1),--($C$6:$C$300=$C183),$E$6:$E$300,$O$6:$O$300)/((N183-1)*SUMPRODUCT(--($L$6:$L$300&lt;&gt;1),--($C$6:$C$300=$C183),$E$6:$E$300)/N183))</f>
        <v>656.20300757816824</v>
      </c>
      <c r="Q183" s="2">
        <f t="shared" si="23"/>
        <v>39.756681982210125</v>
      </c>
      <c r="R183" s="2">
        <f t="shared" si="23"/>
        <v>1721.6726653359638</v>
      </c>
      <c r="S183" s="2">
        <f t="shared" si="22"/>
        <v>459.84763417109372</v>
      </c>
    </row>
    <row r="184" spans="2:19" x14ac:dyDescent="0.3">
      <c r="B184" s="9">
        <v>602</v>
      </c>
      <c r="C184" s="9">
        <v>8</v>
      </c>
      <c r="D184" s="8" t="s">
        <v>215</v>
      </c>
      <c r="E184" s="125">
        <f>INDEX('Revised 2018 Lockdown'!H$5:H$253,MATCH(B184,'Revised 2018 Lockdown'!B$5:B$253,0))</f>
        <v>19.642035020014156</v>
      </c>
      <c r="F184" s="7">
        <f>INDEX('Revised 2018 Lockdown'!E$5:E$253,MATCH(B184,'Revised 2018 Lockdown'!B$5:B$253,0))</f>
        <v>28173.42</v>
      </c>
      <c r="G184" s="7">
        <f>INDEX('Revised 2018 Lockdown'!F$5:F$253,MATCH(B184,'Revised 2018 Lockdown'!B$5:B$253,0))</f>
        <v>0</v>
      </c>
      <c r="H184" s="7">
        <f t="shared" si="16"/>
        <v>28173.42</v>
      </c>
      <c r="I184" s="6">
        <f t="shared" si="17"/>
        <v>1434.3432323225586</v>
      </c>
      <c r="J184" s="6">
        <f t="shared" si="20"/>
        <v>1434.3432323225586</v>
      </c>
      <c r="K184" s="5">
        <f t="shared" si="18"/>
        <v>28173.419999999995</v>
      </c>
      <c r="L184" s="4">
        <f t="shared" si="19"/>
        <v>0</v>
      </c>
      <c r="M184" s="2" cm="1">
        <f t="array" ref="M184">SUMPRODUCT(--($L$6:$L$300&lt;&gt;1),--($C$6:$C$300=$C184),$H$6:$H$300)/SUMPRODUCT(--($L$6:$L$300&lt;&gt;1),--($C$6:$C$300=$C184),$E$6:$E$300)</f>
        <v>880.714673659087</v>
      </c>
      <c r="N184" s="1" cm="1">
        <f t="array" ref="N184">SUMPRODUCT(--($L$6:$L$300&lt;&gt;1),--($C$6:$C$300=$C184))</f>
        <v>50</v>
      </c>
      <c r="O184" s="3">
        <f t="shared" si="21"/>
        <v>306504.58096779301</v>
      </c>
      <c r="P184" s="2" cm="1">
        <f t="array" ref="P184">SQRT(SUMPRODUCT(--($L$6:$L$300&lt;&gt;1),--($C$6:$C$300=$C184),$E$6:$E$300,$O$6:$O$300)/((N184-1)*SUMPRODUCT(--($L$6:$L$300&lt;&gt;1),--($C$6:$C$300=$C184),$E$6:$E$300)/N184))</f>
        <v>656.20300757816824</v>
      </c>
      <c r="Q184" s="2">
        <f t="shared" si="23"/>
        <v>39.756681982210125</v>
      </c>
      <c r="R184" s="2">
        <f t="shared" si="23"/>
        <v>1721.6726653359638</v>
      </c>
      <c r="S184" s="2">
        <f t="shared" si="22"/>
        <v>1434.3432323225586</v>
      </c>
    </row>
    <row r="185" spans="2:19" x14ac:dyDescent="0.3">
      <c r="B185" s="9">
        <v>605</v>
      </c>
      <c r="C185" s="9">
        <v>8</v>
      </c>
      <c r="D185" s="8" t="s">
        <v>216</v>
      </c>
      <c r="E185" s="125">
        <f>INDEX('Revised 2018 Lockdown'!H$5:H$253,MATCH(B185,'Revised 2018 Lockdown'!B$5:B$253,0))</f>
        <v>10.431092897352221</v>
      </c>
      <c r="F185" s="7">
        <f>INDEX('Revised 2018 Lockdown'!E$5:E$253,MATCH(B185,'Revised 2018 Lockdown'!B$5:B$253,0))</f>
        <v>7392.31</v>
      </c>
      <c r="G185" s="7">
        <f>INDEX('Revised 2018 Lockdown'!F$5:F$253,MATCH(B185,'Revised 2018 Lockdown'!B$5:B$253,0))</f>
        <v>0</v>
      </c>
      <c r="H185" s="7">
        <f t="shared" si="16"/>
        <v>7392.31</v>
      </c>
      <c r="I185" s="6">
        <f t="shared" si="17"/>
        <v>708.68029579876804</v>
      </c>
      <c r="J185" s="6">
        <f t="shared" si="20"/>
        <v>708.68029579876804</v>
      </c>
      <c r="K185" s="5">
        <f t="shared" si="18"/>
        <v>7392.31</v>
      </c>
      <c r="L185" s="4">
        <f t="shared" si="19"/>
        <v>0</v>
      </c>
      <c r="M185" s="2" cm="1">
        <f t="array" ref="M185">SUMPRODUCT(--($L$6:$L$300&lt;&gt;1),--($C$6:$C$300=$C185),$H$6:$H$300)/SUMPRODUCT(--($L$6:$L$300&lt;&gt;1),--($C$6:$C$300=$C185),$E$6:$E$300)</f>
        <v>880.714673659087</v>
      </c>
      <c r="N185" s="1" cm="1">
        <f t="array" ref="N185">SUMPRODUCT(--($L$6:$L$300&lt;&gt;1),--($C$6:$C$300=$C185))</f>
        <v>50</v>
      </c>
      <c r="O185" s="3">
        <f t="shared" si="21"/>
        <v>29595.827165786999</v>
      </c>
      <c r="P185" s="2" cm="1">
        <f t="array" ref="P185">SQRT(SUMPRODUCT(--($L$6:$L$300&lt;&gt;1),--($C$6:$C$300=$C185),$E$6:$E$300,$O$6:$O$300)/((N185-1)*SUMPRODUCT(--($L$6:$L$300&lt;&gt;1),--($C$6:$C$300=$C185),$E$6:$E$300)/N185))</f>
        <v>656.20300757816824</v>
      </c>
      <c r="Q185" s="2">
        <f t="shared" si="23"/>
        <v>39.756681982210125</v>
      </c>
      <c r="R185" s="2">
        <f t="shared" si="23"/>
        <v>1721.6726653359638</v>
      </c>
      <c r="S185" s="2">
        <f t="shared" si="22"/>
        <v>708.68029579876804</v>
      </c>
    </row>
    <row r="186" spans="2:19" x14ac:dyDescent="0.3">
      <c r="B186" s="9">
        <v>607</v>
      </c>
      <c r="C186" s="9">
        <v>8</v>
      </c>
      <c r="D186" s="8" t="s">
        <v>217</v>
      </c>
      <c r="E186" s="125">
        <f>INDEX('Revised 2018 Lockdown'!H$5:H$253,MATCH(B186,'Revised 2018 Lockdown'!B$5:B$253,0))</f>
        <v>15.646639346028332</v>
      </c>
      <c r="F186" s="7">
        <f>INDEX('Revised 2018 Lockdown'!E$5:E$253,MATCH(B186,'Revised 2018 Lockdown'!B$5:B$253,0))</f>
        <v>11273.44</v>
      </c>
      <c r="G186" s="7">
        <f>INDEX('Revised 2018 Lockdown'!F$5:F$253,MATCH(B186,'Revised 2018 Lockdown'!B$5:B$253,0))</f>
        <v>0</v>
      </c>
      <c r="H186" s="7">
        <f t="shared" si="16"/>
        <v>11273.44</v>
      </c>
      <c r="I186" s="6">
        <f t="shared" si="17"/>
        <v>720.50232325841887</v>
      </c>
      <c r="J186" s="6">
        <f t="shared" si="20"/>
        <v>720.50232325841887</v>
      </c>
      <c r="K186" s="5">
        <f t="shared" si="18"/>
        <v>11273.44</v>
      </c>
      <c r="L186" s="4">
        <f t="shared" si="19"/>
        <v>0</v>
      </c>
      <c r="M186" s="2" cm="1">
        <f t="array" ref="M186">SUMPRODUCT(--($L$6:$L$300&lt;&gt;1),--($C$6:$C$300=$C186),$H$6:$H$300)/SUMPRODUCT(--($L$6:$L$300&lt;&gt;1),--($C$6:$C$300=$C186),$E$6:$E$300)</f>
        <v>880.714673659087</v>
      </c>
      <c r="N186" s="1" cm="1">
        <f t="array" ref="N186">SUMPRODUCT(--($L$6:$L$300&lt;&gt;1),--($C$6:$C$300=$C186))</f>
        <v>50</v>
      </c>
      <c r="O186" s="3">
        <f t="shared" si="21"/>
        <v>25667.997220906465</v>
      </c>
      <c r="P186" s="2" cm="1">
        <f t="array" ref="P186">SQRT(SUMPRODUCT(--($L$6:$L$300&lt;&gt;1),--($C$6:$C$300=$C186),$E$6:$E$300,$O$6:$O$300)/((N186-1)*SUMPRODUCT(--($L$6:$L$300&lt;&gt;1),--($C$6:$C$300=$C186),$E$6:$E$300)/N186))</f>
        <v>656.20300757816824</v>
      </c>
      <c r="Q186" s="2">
        <f t="shared" si="23"/>
        <v>39.756681982210125</v>
      </c>
      <c r="R186" s="2">
        <f t="shared" si="23"/>
        <v>1721.6726653359638</v>
      </c>
      <c r="S186" s="2">
        <f t="shared" si="22"/>
        <v>720.50232325841887</v>
      </c>
    </row>
    <row r="187" spans="2:19" x14ac:dyDescent="0.3">
      <c r="B187" s="9">
        <v>610</v>
      </c>
      <c r="C187" s="9">
        <v>8</v>
      </c>
      <c r="D187" s="8" t="s">
        <v>218</v>
      </c>
      <c r="E187" s="125">
        <f>INDEX('Revised 2018 Lockdown'!H$5:H$253,MATCH(B187,'Revised 2018 Lockdown'!B$5:B$253,0))</f>
        <v>73.258651516479233</v>
      </c>
      <c r="F187" s="7">
        <f>INDEX('Revised 2018 Lockdown'!E$5:E$253,MATCH(B187,'Revised 2018 Lockdown'!B$5:B$253,0))</f>
        <v>31778.68</v>
      </c>
      <c r="G187" s="7">
        <f>INDEX('Revised 2018 Lockdown'!F$5:F$253,MATCH(B187,'Revised 2018 Lockdown'!B$5:B$253,0))</f>
        <v>0</v>
      </c>
      <c r="H187" s="7">
        <f t="shared" si="16"/>
        <v>31778.68</v>
      </c>
      <c r="I187" s="6">
        <f t="shared" si="17"/>
        <v>433.78740042534793</v>
      </c>
      <c r="J187" s="6">
        <f t="shared" si="20"/>
        <v>433.78740042534793</v>
      </c>
      <c r="K187" s="5">
        <f t="shared" si="18"/>
        <v>31778.68</v>
      </c>
      <c r="L187" s="4">
        <f t="shared" si="19"/>
        <v>0</v>
      </c>
      <c r="M187" s="2" cm="1">
        <f t="array" ref="M187">SUMPRODUCT(--($L$6:$L$300&lt;&gt;1),--($C$6:$C$300=$C187),$H$6:$H$300)/SUMPRODUCT(--($L$6:$L$300&lt;&gt;1),--($C$6:$C$300=$C187),$E$6:$E$300)</f>
        <v>880.714673659087</v>
      </c>
      <c r="N187" s="1" cm="1">
        <f t="array" ref="N187">SUMPRODUCT(--($L$6:$L$300&lt;&gt;1),--($C$6:$C$300=$C187))</f>
        <v>50</v>
      </c>
      <c r="O187" s="3">
        <f t="shared" si="21"/>
        <v>199743.98756014527</v>
      </c>
      <c r="P187" s="2" cm="1">
        <f t="array" ref="P187">SQRT(SUMPRODUCT(--($L$6:$L$300&lt;&gt;1),--($C$6:$C$300=$C187),$E$6:$E$300,$O$6:$O$300)/((N187-1)*SUMPRODUCT(--($L$6:$L$300&lt;&gt;1),--($C$6:$C$300=$C187),$E$6:$E$300)/N187))</f>
        <v>656.20300757816824</v>
      </c>
      <c r="Q187" s="2">
        <f t="shared" si="23"/>
        <v>39.756681982210125</v>
      </c>
      <c r="R187" s="2">
        <f t="shared" si="23"/>
        <v>1721.6726653359638</v>
      </c>
      <c r="S187" s="2">
        <f t="shared" si="22"/>
        <v>433.78740042534793</v>
      </c>
    </row>
    <row r="188" spans="2:19" x14ac:dyDescent="0.3">
      <c r="B188" s="9">
        <v>611</v>
      </c>
      <c r="C188" s="9">
        <v>8</v>
      </c>
      <c r="D188" s="8" t="s">
        <v>219</v>
      </c>
      <c r="E188" s="125">
        <f>INDEX('Revised 2018 Lockdown'!H$5:H$253,MATCH(B188,'Revised 2018 Lockdown'!B$5:B$253,0))</f>
        <v>19.550068499227841</v>
      </c>
      <c r="F188" s="7">
        <f>INDEX('Revised 2018 Lockdown'!E$5:E$253,MATCH(B188,'Revised 2018 Lockdown'!B$5:B$253,0))</f>
        <v>31143.71</v>
      </c>
      <c r="G188" s="7">
        <f>INDEX('Revised 2018 Lockdown'!F$5:F$253,MATCH(B188,'Revised 2018 Lockdown'!B$5:B$253,0))</f>
        <v>0</v>
      </c>
      <c r="H188" s="7">
        <f t="shared" si="16"/>
        <v>31143.71</v>
      </c>
      <c r="I188" s="6">
        <f t="shared" si="17"/>
        <v>1593.0230628721361</v>
      </c>
      <c r="J188" s="6">
        <f t="shared" si="20"/>
        <v>1593.0230628721361</v>
      </c>
      <c r="K188" s="5">
        <f t="shared" si="18"/>
        <v>31143.71</v>
      </c>
      <c r="L188" s="4">
        <f t="shared" si="19"/>
        <v>0</v>
      </c>
      <c r="M188" s="2" cm="1">
        <f t="array" ref="M188">SUMPRODUCT(--($L$6:$L$300&lt;&gt;1),--($C$6:$C$300=$C188),$H$6:$H$300)/SUMPRODUCT(--($L$6:$L$300&lt;&gt;1),--($C$6:$C$300=$C188),$E$6:$E$300)</f>
        <v>880.714673659087</v>
      </c>
      <c r="N188" s="1" cm="1">
        <f t="array" ref="N188">SUMPRODUCT(--($L$6:$L$300&lt;&gt;1),--($C$6:$C$300=$C188))</f>
        <v>50</v>
      </c>
      <c r="O188" s="3">
        <f t="shared" si="21"/>
        <v>507383.24134328857</v>
      </c>
      <c r="P188" s="2" cm="1">
        <f t="array" ref="P188">SQRT(SUMPRODUCT(--($L$6:$L$300&lt;&gt;1),--($C$6:$C$300=$C188),$E$6:$E$300,$O$6:$O$300)/((N188-1)*SUMPRODUCT(--($L$6:$L$300&lt;&gt;1),--($C$6:$C$300=$C188),$E$6:$E$300)/N188))</f>
        <v>656.20300757816824</v>
      </c>
      <c r="Q188" s="2">
        <f t="shared" si="23"/>
        <v>39.756681982210125</v>
      </c>
      <c r="R188" s="2">
        <f t="shared" si="23"/>
        <v>1721.6726653359638</v>
      </c>
      <c r="S188" s="2">
        <f t="shared" si="22"/>
        <v>1593.0230628721361</v>
      </c>
    </row>
    <row r="189" spans="2:19" x14ac:dyDescent="0.3">
      <c r="B189" s="9">
        <v>616</v>
      </c>
      <c r="C189" s="9">
        <v>8</v>
      </c>
      <c r="D189" s="8" t="s">
        <v>220</v>
      </c>
      <c r="E189" s="125">
        <f>INDEX('Revised 2018 Lockdown'!H$5:H$253,MATCH(B189,'Revised 2018 Lockdown'!B$5:B$253,0))</f>
        <v>186.85</v>
      </c>
      <c r="F189" s="7">
        <f>INDEX('Revised 2018 Lockdown'!E$5:E$253,MATCH(B189,'Revised 2018 Lockdown'!B$5:B$253,0))</f>
        <v>256312.37</v>
      </c>
      <c r="G189" s="7">
        <f>INDEX('Revised 2018 Lockdown'!F$5:F$253,MATCH(B189,'Revised 2018 Lockdown'!B$5:B$253,0))</f>
        <v>0</v>
      </c>
      <c r="H189" s="7">
        <f t="shared" si="16"/>
        <v>256312.37</v>
      </c>
      <c r="I189" s="6">
        <f t="shared" si="17"/>
        <v>1371.7547230398716</v>
      </c>
      <c r="J189" s="6">
        <f t="shared" si="20"/>
        <v>1371.7547230398716</v>
      </c>
      <c r="K189" s="5">
        <f t="shared" si="18"/>
        <v>256312.37</v>
      </c>
      <c r="L189" s="4">
        <f t="shared" si="19"/>
        <v>0</v>
      </c>
      <c r="M189" s="2" cm="1">
        <f t="array" ref="M189">SUMPRODUCT(--($L$6:$L$300&lt;&gt;1),--($C$6:$C$300=$C189),$H$6:$H$300)/SUMPRODUCT(--($L$6:$L$300&lt;&gt;1),--($C$6:$C$300=$C189),$E$6:$E$300)</f>
        <v>880.714673659087</v>
      </c>
      <c r="N189" s="1" cm="1">
        <f t="array" ref="N189">SUMPRODUCT(--($L$6:$L$300&lt;&gt;1),--($C$6:$C$300=$C189))</f>
        <v>50</v>
      </c>
      <c r="O189" s="3">
        <f t="shared" si="21"/>
        <v>241120.33009588337</v>
      </c>
      <c r="P189" s="2" cm="1">
        <f t="array" ref="P189">SQRT(SUMPRODUCT(--($L$6:$L$300&lt;&gt;1),--($C$6:$C$300=$C189),$E$6:$E$300,$O$6:$O$300)/((N189-1)*SUMPRODUCT(--($L$6:$L$300&lt;&gt;1),--($C$6:$C$300=$C189),$E$6:$E$300)/N189))</f>
        <v>656.20300757816824</v>
      </c>
      <c r="Q189" s="2">
        <f t="shared" si="23"/>
        <v>39.756681982210125</v>
      </c>
      <c r="R189" s="2">
        <f t="shared" si="23"/>
        <v>1721.6726653359638</v>
      </c>
      <c r="S189" s="2">
        <f t="shared" si="22"/>
        <v>1371.7547230398716</v>
      </c>
    </row>
    <row r="190" spans="2:19" x14ac:dyDescent="0.3">
      <c r="B190" s="9">
        <v>637</v>
      </c>
      <c r="C190" s="9">
        <v>8</v>
      </c>
      <c r="D190" s="8" t="s">
        <v>295</v>
      </c>
      <c r="E190" s="125">
        <f>INDEX('Revised 2018 Lockdown'!H$5:H$253,MATCH(B190,'Revised 2018 Lockdown'!B$5:B$253,0))</f>
        <v>2.2728298744230755</v>
      </c>
      <c r="F190" s="7">
        <f>INDEX('Revised 2018 Lockdown'!E$5:E$253,MATCH(B190,'Revised 2018 Lockdown'!B$5:B$253,0))</f>
        <v>7158.52</v>
      </c>
      <c r="G190" s="7">
        <f>INDEX('Revised 2018 Lockdown'!F$5:F$253,MATCH(B190,'Revised 2018 Lockdown'!B$5:B$253,0))</f>
        <v>0</v>
      </c>
      <c r="H190" s="7">
        <f t="shared" si="16"/>
        <v>7158.52</v>
      </c>
      <c r="I190" s="6">
        <f t="shared" si="17"/>
        <v>3149.6066118090275</v>
      </c>
      <c r="J190" s="6">
        <f t="shared" si="20"/>
        <v>1721.6726653359638</v>
      </c>
      <c r="K190" s="5">
        <f t="shared" si="18"/>
        <v>3913.0690677531802</v>
      </c>
      <c r="L190" s="4">
        <f t="shared" si="19"/>
        <v>0</v>
      </c>
      <c r="M190" s="2" cm="1">
        <f t="array" ref="M190">SUMPRODUCT(--($L$6:$L$300&lt;&gt;1),--($C$6:$C$300=$C190),$H$6:$H$300)/SUMPRODUCT(--($L$6:$L$300&lt;&gt;1),--($C$6:$C$300=$C190),$E$6:$E$300)</f>
        <v>880.714673659087</v>
      </c>
      <c r="N190" s="1" cm="1">
        <f t="array" ref="N190">SUMPRODUCT(--($L$6:$L$300&lt;&gt;1),--($C$6:$C$300=$C190))</f>
        <v>50</v>
      </c>
      <c r="O190" s="3">
        <f t="shared" si="21"/>
        <v>5147870.6270017931</v>
      </c>
      <c r="P190" s="2" cm="1">
        <f t="array" ref="P190">SQRT(SUMPRODUCT(--($L$6:$L$300&lt;&gt;1),--($C$6:$C$300=$C190),$E$6:$E$300,$O$6:$O$300)/((N190-1)*SUMPRODUCT(--($L$6:$L$300&lt;&gt;1),--($C$6:$C$300=$C190),$E$6:$E$300)/N190))</f>
        <v>656.20300757816824</v>
      </c>
      <c r="Q190" s="2">
        <f t="shared" si="23"/>
        <v>39.756681982210125</v>
      </c>
      <c r="R190" s="2">
        <f t="shared" si="23"/>
        <v>1721.6726653359638</v>
      </c>
      <c r="S190" s="2">
        <f t="shared" si="22"/>
        <v>1721.6726653359638</v>
      </c>
    </row>
    <row r="191" spans="2:19" x14ac:dyDescent="0.3">
      <c r="B191" s="9">
        <v>638</v>
      </c>
      <c r="C191" s="9">
        <v>8</v>
      </c>
      <c r="D191" s="8" t="s">
        <v>296</v>
      </c>
      <c r="E191" s="125">
        <f>INDEX('Revised 2018 Lockdown'!H$5:H$253,MATCH(B191,'Revised 2018 Lockdown'!B$5:B$253,0))</f>
        <v>10.470967105675433</v>
      </c>
      <c r="F191" s="7">
        <f>INDEX('Revised 2018 Lockdown'!E$5:E$253,MATCH(B191,'Revised 2018 Lockdown'!B$5:B$253,0))</f>
        <v>20375.98</v>
      </c>
      <c r="G191" s="7">
        <f>INDEX('Revised 2018 Lockdown'!F$5:F$253,MATCH(B191,'Revised 2018 Lockdown'!B$5:B$253,0))</f>
        <v>0</v>
      </c>
      <c r="H191" s="7">
        <f t="shared" si="16"/>
        <v>20375.98</v>
      </c>
      <c r="I191" s="6">
        <f t="shared" si="17"/>
        <v>1945.9501490512648</v>
      </c>
      <c r="J191" s="6">
        <f t="shared" si="20"/>
        <v>1721.6726653359638</v>
      </c>
      <c r="K191" s="5">
        <f t="shared" si="18"/>
        <v>18027.577845473425</v>
      </c>
      <c r="L191" s="4">
        <f t="shared" si="19"/>
        <v>0</v>
      </c>
      <c r="M191" s="2" cm="1">
        <f t="array" ref="M191">SUMPRODUCT(--($L$6:$L$300&lt;&gt;1),--($C$6:$C$300=$C191),$H$6:$H$300)/SUMPRODUCT(--($L$6:$L$300&lt;&gt;1),--($C$6:$C$300=$C191),$E$6:$E$300)</f>
        <v>880.714673659087</v>
      </c>
      <c r="N191" s="1" cm="1">
        <f t="array" ref="N191">SUMPRODUCT(--($L$6:$L$300&lt;&gt;1),--($C$6:$C$300=$C191))</f>
        <v>50</v>
      </c>
      <c r="O191" s="3">
        <f t="shared" si="21"/>
        <v>1134726.6180339989</v>
      </c>
      <c r="P191" s="2" cm="1">
        <f t="array" ref="P191">SQRT(SUMPRODUCT(--($L$6:$L$300&lt;&gt;1),--($C$6:$C$300=$C191),$E$6:$E$300,$O$6:$O$300)/((N191-1)*SUMPRODUCT(--($L$6:$L$300&lt;&gt;1),--($C$6:$C$300=$C191),$E$6:$E$300)/N191))</f>
        <v>656.20300757816824</v>
      </c>
      <c r="Q191" s="2">
        <f t="shared" si="23"/>
        <v>39.756681982210125</v>
      </c>
      <c r="R191" s="2">
        <f t="shared" si="23"/>
        <v>1721.6726653359638</v>
      </c>
      <c r="S191" s="2">
        <f t="shared" si="22"/>
        <v>1721.6726653359638</v>
      </c>
    </row>
    <row r="192" spans="2:19" x14ac:dyDescent="0.3">
      <c r="B192" s="9">
        <v>639</v>
      </c>
      <c r="C192" s="9">
        <v>8</v>
      </c>
      <c r="D192" s="8" t="s">
        <v>297</v>
      </c>
      <c r="E192" s="125">
        <f>INDEX('Revised 2018 Lockdown'!H$5:H$253,MATCH(B192,'Revised 2018 Lockdown'!B$5:B$253,0))</f>
        <v>21.173204619625494</v>
      </c>
      <c r="F192" s="7">
        <f>INDEX('Revised 2018 Lockdown'!E$5:E$253,MATCH(B192,'Revised 2018 Lockdown'!B$5:B$253,0))</f>
        <v>17243.23</v>
      </c>
      <c r="G192" s="7">
        <f>INDEX('Revised 2018 Lockdown'!F$5:F$253,MATCH(B192,'Revised 2018 Lockdown'!B$5:B$253,0))</f>
        <v>0</v>
      </c>
      <c r="H192" s="7">
        <f t="shared" si="16"/>
        <v>17243.23</v>
      </c>
      <c r="I192" s="6">
        <f t="shared" si="17"/>
        <v>814.3892391243038</v>
      </c>
      <c r="J192" s="6">
        <f t="shared" si="20"/>
        <v>814.3892391243038</v>
      </c>
      <c r="K192" s="5">
        <f t="shared" si="18"/>
        <v>17243.23</v>
      </c>
      <c r="L192" s="4">
        <f t="shared" si="19"/>
        <v>0</v>
      </c>
      <c r="M192" s="2" cm="1">
        <f t="array" ref="M192">SUMPRODUCT(--($L$6:$L$300&lt;&gt;1),--($C$6:$C$300=$C192),$H$6:$H$300)/SUMPRODUCT(--($L$6:$L$300&lt;&gt;1),--($C$6:$C$300=$C192),$E$6:$E$300)</f>
        <v>880.714673659087</v>
      </c>
      <c r="N192" s="1" cm="1">
        <f t="array" ref="N192">SUMPRODUCT(--($L$6:$L$300&lt;&gt;1),--($C$6:$C$300=$C192))</f>
        <v>50</v>
      </c>
      <c r="O192" s="3">
        <f t="shared" si="21"/>
        <v>4399.0632662278122</v>
      </c>
      <c r="P192" s="2" cm="1">
        <f t="array" ref="P192">SQRT(SUMPRODUCT(--($L$6:$L$300&lt;&gt;1),--($C$6:$C$300=$C192),$E$6:$E$300,$O$6:$O$300)/((N192-1)*SUMPRODUCT(--($L$6:$L$300&lt;&gt;1),--($C$6:$C$300=$C192),$E$6:$E$300)/N192))</f>
        <v>656.20300757816824</v>
      </c>
      <c r="Q192" s="2">
        <f t="shared" si="23"/>
        <v>39.756681982210125</v>
      </c>
      <c r="R192" s="2">
        <f t="shared" si="23"/>
        <v>1721.6726653359638</v>
      </c>
      <c r="S192" s="2">
        <f t="shared" si="22"/>
        <v>814.3892391243038</v>
      </c>
    </row>
    <row r="193" spans="2:19" x14ac:dyDescent="0.3">
      <c r="B193" s="9">
        <v>709</v>
      </c>
      <c r="C193" s="9">
        <v>8</v>
      </c>
      <c r="D193" s="8" t="s">
        <v>222</v>
      </c>
      <c r="E193" s="125">
        <f>INDEX('Revised 2018 Lockdown'!H$5:H$253,MATCH(B193,'Revised 2018 Lockdown'!B$5:B$253,0))</f>
        <v>74.935917540859478</v>
      </c>
      <c r="F193" s="7">
        <f>INDEX('Revised 2018 Lockdown'!E$5:E$253,MATCH(B193,'Revised 2018 Lockdown'!B$5:B$253,0))</f>
        <v>45634.17</v>
      </c>
      <c r="G193" s="7">
        <f>INDEX('Revised 2018 Lockdown'!F$5:F$253,MATCH(B193,'Revised 2018 Lockdown'!B$5:B$253,0))</f>
        <v>0</v>
      </c>
      <c r="H193" s="7">
        <f t="shared" si="16"/>
        <v>45634.17</v>
      </c>
      <c r="I193" s="6">
        <f t="shared" si="17"/>
        <v>608.97592900117036</v>
      </c>
      <c r="J193" s="6">
        <f t="shared" si="20"/>
        <v>608.97592900117036</v>
      </c>
      <c r="K193" s="5">
        <f t="shared" si="18"/>
        <v>45634.17</v>
      </c>
      <c r="L193" s="4">
        <f t="shared" si="19"/>
        <v>0</v>
      </c>
      <c r="M193" s="2" cm="1">
        <f t="array" ref="M193">SUMPRODUCT(--($L$6:$L$300&lt;&gt;1),--($C$6:$C$300=$C193),$H$6:$H$300)/SUMPRODUCT(--($L$6:$L$300&lt;&gt;1),--($C$6:$C$300=$C193),$E$6:$E$300)</f>
        <v>880.714673659087</v>
      </c>
      <c r="N193" s="1" cm="1">
        <f t="array" ref="N193">SUMPRODUCT(--($L$6:$L$300&lt;&gt;1),--($C$6:$C$300=$C193))</f>
        <v>50</v>
      </c>
      <c r="O193" s="3">
        <f t="shared" si="21"/>
        <v>73841.945348260415</v>
      </c>
      <c r="P193" s="2" cm="1">
        <f t="array" ref="P193">SQRT(SUMPRODUCT(--($L$6:$L$300&lt;&gt;1),--($C$6:$C$300=$C193),$E$6:$E$300,$O$6:$O$300)/((N193-1)*SUMPRODUCT(--($L$6:$L$300&lt;&gt;1),--($C$6:$C$300=$C193),$E$6:$E$300)/N193))</f>
        <v>656.20300757816824</v>
      </c>
      <c r="Q193" s="2">
        <f t="shared" si="23"/>
        <v>39.756681982210125</v>
      </c>
      <c r="R193" s="2">
        <f t="shared" si="23"/>
        <v>1721.6726653359638</v>
      </c>
      <c r="S193" s="2">
        <f t="shared" si="22"/>
        <v>608.97592900117036</v>
      </c>
    </row>
    <row r="194" spans="2:19" x14ac:dyDescent="0.3">
      <c r="B194" s="9">
        <v>714</v>
      </c>
      <c r="C194" s="9">
        <v>8</v>
      </c>
      <c r="D194" s="8" t="s">
        <v>223</v>
      </c>
      <c r="E194" s="125">
        <f>INDEX('Revised 2018 Lockdown'!H$5:H$253,MATCH(B194,'Revised 2018 Lockdown'!B$5:B$253,0))</f>
        <v>57.802554926222534</v>
      </c>
      <c r="F194" s="7">
        <f>INDEX('Revised 2018 Lockdown'!E$5:E$253,MATCH(B194,'Revised 2018 Lockdown'!B$5:B$253,0))</f>
        <v>49120.9</v>
      </c>
      <c r="G194" s="7">
        <f>INDEX('Revised 2018 Lockdown'!F$5:F$253,MATCH(B194,'Revised 2018 Lockdown'!B$5:B$253,0))</f>
        <v>0</v>
      </c>
      <c r="H194" s="7">
        <f t="shared" si="16"/>
        <v>49120.9</v>
      </c>
      <c r="I194" s="6">
        <f t="shared" si="17"/>
        <v>849.80499672888959</v>
      </c>
      <c r="J194" s="6">
        <f t="shared" si="20"/>
        <v>849.80499672888959</v>
      </c>
      <c r="K194" s="5">
        <f t="shared" si="18"/>
        <v>49120.9</v>
      </c>
      <c r="L194" s="4">
        <f t="shared" si="19"/>
        <v>0</v>
      </c>
      <c r="M194" s="2" cm="1">
        <f t="array" ref="M194">SUMPRODUCT(--($L$6:$L$300&lt;&gt;1),--($C$6:$C$300=$C194),$H$6:$H$300)/SUMPRODUCT(--($L$6:$L$300&lt;&gt;1),--($C$6:$C$300=$C194),$E$6:$E$300)</f>
        <v>880.714673659087</v>
      </c>
      <c r="N194" s="1" cm="1">
        <f t="array" ref="N194">SUMPRODUCT(--($L$6:$L$300&lt;&gt;1),--($C$6:$C$300=$C194))</f>
        <v>50</v>
      </c>
      <c r="O194" s="3">
        <f t="shared" si="21"/>
        <v>955.40812792917779</v>
      </c>
      <c r="P194" s="2" cm="1">
        <f t="array" ref="P194">SQRT(SUMPRODUCT(--($L$6:$L$300&lt;&gt;1),--($C$6:$C$300=$C194),$E$6:$E$300,$O$6:$O$300)/((N194-1)*SUMPRODUCT(--($L$6:$L$300&lt;&gt;1),--($C$6:$C$300=$C194),$E$6:$E$300)/N194))</f>
        <v>656.20300757816824</v>
      </c>
      <c r="Q194" s="2">
        <f t="shared" si="23"/>
        <v>39.756681982210125</v>
      </c>
      <c r="R194" s="2">
        <f t="shared" si="23"/>
        <v>1721.6726653359638</v>
      </c>
      <c r="S194" s="2">
        <f t="shared" si="22"/>
        <v>849.80499672888959</v>
      </c>
    </row>
    <row r="195" spans="2:19" x14ac:dyDescent="0.3">
      <c r="B195" s="9">
        <v>749</v>
      </c>
      <c r="C195" s="9">
        <v>8</v>
      </c>
      <c r="D195" s="8" t="s">
        <v>224</v>
      </c>
      <c r="E195" s="125">
        <f>INDEX('Revised 2018 Lockdown'!H$5:H$253,MATCH(B195,'Revised 2018 Lockdown'!B$5:B$253,0))</f>
        <v>22.435687465903538</v>
      </c>
      <c r="F195" s="7">
        <f>INDEX('Revised 2018 Lockdown'!E$5:E$253,MATCH(B195,'Revised 2018 Lockdown'!B$5:B$253,0))</f>
        <v>4850.01</v>
      </c>
      <c r="G195" s="7">
        <f>INDEX('Revised 2018 Lockdown'!F$5:F$253,MATCH(B195,'Revised 2018 Lockdown'!B$5:B$253,0))</f>
        <v>0</v>
      </c>
      <c r="H195" s="7">
        <f t="shared" si="16"/>
        <v>4850.01</v>
      </c>
      <c r="I195" s="6">
        <f t="shared" si="17"/>
        <v>216.17389738427963</v>
      </c>
      <c r="J195" s="6">
        <f t="shared" si="20"/>
        <v>216.17389738427963</v>
      </c>
      <c r="K195" s="5">
        <f t="shared" si="18"/>
        <v>4850.01</v>
      </c>
      <c r="L195" s="4">
        <f t="shared" si="19"/>
        <v>0</v>
      </c>
      <c r="M195" s="2" cm="1">
        <f t="array" ref="M195">SUMPRODUCT(--($L$6:$L$300&lt;&gt;1),--($C$6:$C$300=$C195),$H$6:$H$300)/SUMPRODUCT(--($L$6:$L$300&lt;&gt;1),--($C$6:$C$300=$C195),$E$6:$E$300)</f>
        <v>880.714673659087</v>
      </c>
      <c r="N195" s="1" cm="1">
        <f t="array" ref="N195">SUMPRODUCT(--($L$6:$L$300&lt;&gt;1),--($C$6:$C$300=$C195))</f>
        <v>50</v>
      </c>
      <c r="O195" s="3">
        <f t="shared" si="21"/>
        <v>441614.44333192363</v>
      </c>
      <c r="P195" s="2" cm="1">
        <f t="array" ref="P195">SQRT(SUMPRODUCT(--($L$6:$L$300&lt;&gt;1),--($C$6:$C$300=$C195),$E$6:$E$300,$O$6:$O$300)/((N195-1)*SUMPRODUCT(--($L$6:$L$300&lt;&gt;1),--($C$6:$C$300=$C195),$E$6:$E$300)/N195))</f>
        <v>656.20300757816824</v>
      </c>
      <c r="Q195" s="2">
        <f t="shared" si="23"/>
        <v>39.756681982210125</v>
      </c>
      <c r="R195" s="2">
        <f t="shared" si="23"/>
        <v>1721.6726653359638</v>
      </c>
      <c r="S195" s="2">
        <f t="shared" si="22"/>
        <v>216.17389738427963</v>
      </c>
    </row>
    <row r="196" spans="2:19" x14ac:dyDescent="0.3">
      <c r="B196" s="9">
        <v>764</v>
      </c>
      <c r="C196" s="9">
        <v>8</v>
      </c>
      <c r="D196" s="8" t="s">
        <v>225</v>
      </c>
      <c r="E196" s="125">
        <f>INDEX('Revised 2018 Lockdown'!H$5:H$253,MATCH(B196,'Revised 2018 Lockdown'!B$5:B$253,0))</f>
        <v>34.6</v>
      </c>
      <c r="F196" s="7">
        <f>INDEX('Revised 2018 Lockdown'!E$5:E$253,MATCH(B196,'Revised 2018 Lockdown'!B$5:B$253,0))</f>
        <v>12986.28</v>
      </c>
      <c r="G196" s="7">
        <f>INDEX('Revised 2018 Lockdown'!F$5:F$253,MATCH(B196,'Revised 2018 Lockdown'!B$5:B$253,0))</f>
        <v>0</v>
      </c>
      <c r="H196" s="7">
        <f t="shared" si="16"/>
        <v>12986.28</v>
      </c>
      <c r="I196" s="6">
        <f t="shared" si="17"/>
        <v>375.32601156069364</v>
      </c>
      <c r="J196" s="6">
        <f t="shared" si="20"/>
        <v>375.32601156069364</v>
      </c>
      <c r="K196" s="5">
        <f t="shared" si="18"/>
        <v>12986.28</v>
      </c>
      <c r="L196" s="4">
        <f t="shared" si="19"/>
        <v>0</v>
      </c>
      <c r="M196" s="2" cm="1">
        <f t="array" ref="M196">SUMPRODUCT(--($L$6:$L$300&lt;&gt;1),--($C$6:$C$300=$C196),$H$6:$H$300)/SUMPRODUCT(--($L$6:$L$300&lt;&gt;1),--($C$6:$C$300=$C196),$E$6:$E$300)</f>
        <v>880.714673659087</v>
      </c>
      <c r="N196" s="1" cm="1">
        <f t="array" ref="N196">SUMPRODUCT(--($L$6:$L$300&lt;&gt;1),--($C$6:$C$300=$C196))</f>
        <v>50</v>
      </c>
      <c r="O196" s="3">
        <f t="shared" si="21"/>
        <v>255417.69977760402</v>
      </c>
      <c r="P196" s="2" cm="1">
        <f t="array" ref="P196">SQRT(SUMPRODUCT(--($L$6:$L$300&lt;&gt;1),--($C$6:$C$300=$C196),$E$6:$E$300,$O$6:$O$300)/((N196-1)*SUMPRODUCT(--($L$6:$L$300&lt;&gt;1),--($C$6:$C$300=$C196),$E$6:$E$300)/N196))</f>
        <v>656.20300757816824</v>
      </c>
      <c r="Q196" s="2">
        <f t="shared" si="23"/>
        <v>39.756681982210125</v>
      </c>
      <c r="R196" s="2">
        <f t="shared" si="23"/>
        <v>1721.6726653359638</v>
      </c>
      <c r="S196" s="2">
        <f t="shared" si="22"/>
        <v>375.32601156069364</v>
      </c>
    </row>
    <row r="197" spans="2:19" x14ac:dyDescent="0.3">
      <c r="B197" s="9">
        <v>775</v>
      </c>
      <c r="C197" s="9">
        <v>8</v>
      </c>
      <c r="D197" s="8" t="s">
        <v>226</v>
      </c>
      <c r="E197" s="125">
        <f>INDEX('Revised 2018 Lockdown'!H$5:H$253,MATCH(B197,'Revised 2018 Lockdown'!B$5:B$253,0))</f>
        <v>188.94792356037169</v>
      </c>
      <c r="F197" s="7">
        <f>INDEX('Revised 2018 Lockdown'!E$5:E$253,MATCH(B197,'Revised 2018 Lockdown'!B$5:B$253,0))</f>
        <v>102121.4</v>
      </c>
      <c r="G197" s="7">
        <f>INDEX('Revised 2018 Lockdown'!F$5:F$253,MATCH(B197,'Revised 2018 Lockdown'!B$5:B$253,0))</f>
        <v>0</v>
      </c>
      <c r="H197" s="7">
        <f t="shared" si="16"/>
        <v>102121.4</v>
      </c>
      <c r="I197" s="6">
        <f t="shared" si="17"/>
        <v>540.47378809839461</v>
      </c>
      <c r="J197" s="6">
        <f t="shared" si="20"/>
        <v>540.47378809839461</v>
      </c>
      <c r="K197" s="5">
        <f t="shared" si="18"/>
        <v>102121.4</v>
      </c>
      <c r="L197" s="4">
        <f t="shared" si="19"/>
        <v>0</v>
      </c>
      <c r="M197" s="2" cm="1">
        <f t="array" ref="M197">SUMPRODUCT(--($L$6:$L$300&lt;&gt;1),--($C$6:$C$300=$C197),$H$6:$H$300)/SUMPRODUCT(--($L$6:$L$300&lt;&gt;1),--($C$6:$C$300=$C197),$E$6:$E$300)</f>
        <v>880.714673659087</v>
      </c>
      <c r="N197" s="1" cm="1">
        <f t="array" ref="N197">SUMPRODUCT(--($L$6:$L$300&lt;&gt;1),--($C$6:$C$300=$C197))</f>
        <v>50</v>
      </c>
      <c r="O197" s="3">
        <f t="shared" si="21"/>
        <v>115763.86020712418</v>
      </c>
      <c r="P197" s="2" cm="1">
        <f t="array" ref="P197">SQRT(SUMPRODUCT(--($L$6:$L$300&lt;&gt;1),--($C$6:$C$300=$C197),$E$6:$E$300,$O$6:$O$300)/((N197-1)*SUMPRODUCT(--($L$6:$L$300&lt;&gt;1),--($C$6:$C$300=$C197),$E$6:$E$300)/N197))</f>
        <v>656.20300757816824</v>
      </c>
      <c r="Q197" s="2">
        <f t="shared" si="23"/>
        <v>39.756681982210125</v>
      </c>
      <c r="R197" s="2">
        <f t="shared" si="23"/>
        <v>1721.6726653359638</v>
      </c>
      <c r="S197" s="2">
        <f t="shared" si="22"/>
        <v>540.47378809839461</v>
      </c>
    </row>
    <row r="198" spans="2:19" x14ac:dyDescent="0.3">
      <c r="B198" s="9">
        <v>790</v>
      </c>
      <c r="C198" s="9">
        <v>8</v>
      </c>
      <c r="D198" s="8" t="s">
        <v>227</v>
      </c>
      <c r="E198" s="125">
        <f>INDEX('Revised 2018 Lockdown'!H$5:H$253,MATCH(B198,'Revised 2018 Lockdown'!B$5:B$253,0))</f>
        <v>21.43637439455869</v>
      </c>
      <c r="F198" s="7">
        <f>INDEX('Revised 2018 Lockdown'!E$5:E$253,MATCH(B198,'Revised 2018 Lockdown'!B$5:B$253,0))</f>
        <v>7906.08</v>
      </c>
      <c r="G198" s="7">
        <f>INDEX('Revised 2018 Lockdown'!F$5:F$253,MATCH(B198,'Revised 2018 Lockdown'!B$5:B$253,0))</f>
        <v>0</v>
      </c>
      <c r="H198" s="7">
        <f t="shared" ref="H198:H246" si="24">F198-G198</f>
        <v>7906.08</v>
      </c>
      <c r="I198" s="6">
        <f t="shared" ref="I198:I246" si="25">H198/E198</f>
        <v>368.81609989079323</v>
      </c>
      <c r="J198" s="6">
        <f t="shared" si="20"/>
        <v>368.81609989079323</v>
      </c>
      <c r="K198" s="5">
        <f t="shared" ref="K198:K246" si="26">J198*E198</f>
        <v>7906.08</v>
      </c>
      <c r="L198" s="4">
        <f t="shared" ref="L198:L246" si="27">IF(ISERROR(I198),1,0)</f>
        <v>0</v>
      </c>
      <c r="M198" s="2" cm="1">
        <f t="array" ref="M198">SUMPRODUCT(--($L$6:$L$300&lt;&gt;1),--($C$6:$C$300=$C198),$H$6:$H$300)/SUMPRODUCT(--($L$6:$L$300&lt;&gt;1),--($C$6:$C$300=$C198),$E$6:$E$300)</f>
        <v>880.714673659087</v>
      </c>
      <c r="N198" s="1" cm="1">
        <f t="array" ref="N198">SUMPRODUCT(--($L$6:$L$300&lt;&gt;1),--($C$6:$C$300=$C198))</f>
        <v>50</v>
      </c>
      <c r="O198" s="3">
        <f t="shared" si="21"/>
        <v>262040.14982601331</v>
      </c>
      <c r="P198" s="2" cm="1">
        <f t="array" ref="P198">SQRT(SUMPRODUCT(--($L$6:$L$300&lt;&gt;1),--($C$6:$C$300=$C198),$E$6:$E$300,$O$6:$O$300)/((N198-1)*SUMPRODUCT(--($L$6:$L$300&lt;&gt;1),--($C$6:$C$300=$C198),$E$6:$E$300)/N198))</f>
        <v>656.20300757816824</v>
      </c>
      <c r="Q198" s="2">
        <f t="shared" si="23"/>
        <v>39.756681982210125</v>
      </c>
      <c r="R198" s="2">
        <f t="shared" si="23"/>
        <v>1721.6726653359638</v>
      </c>
      <c r="S198" s="2">
        <f t="shared" si="22"/>
        <v>368.81609989079323</v>
      </c>
    </row>
    <row r="199" spans="2:19" x14ac:dyDescent="0.3">
      <c r="B199" s="9">
        <v>795</v>
      </c>
      <c r="C199" s="9">
        <v>8</v>
      </c>
      <c r="D199" s="8" t="s">
        <v>298</v>
      </c>
      <c r="E199" s="125">
        <f>INDEX('Revised 2018 Lockdown'!H$5:H$253,MATCH(B199,'Revised 2018 Lockdown'!B$5:B$253,0))</f>
        <v>330.20629396618199</v>
      </c>
      <c r="F199" s="7">
        <f>INDEX('Revised 2018 Lockdown'!E$5:E$253,MATCH(B199,'Revised 2018 Lockdown'!B$5:B$253,0))</f>
        <v>328034.84000000003</v>
      </c>
      <c r="G199" s="7">
        <f>INDEX('Revised 2018 Lockdown'!F$5:F$253,MATCH(B199,'Revised 2018 Lockdown'!B$5:B$253,0))</f>
        <v>121984.66</v>
      </c>
      <c r="H199" s="7">
        <f t="shared" si="24"/>
        <v>206050.18000000002</v>
      </c>
      <c r="I199" s="6">
        <f t="shared" si="25"/>
        <v>624.00439896249407</v>
      </c>
      <c r="J199" s="6">
        <f t="shared" ref="J199:J246" si="28">IF(ISERROR(IF($J$2=1,MAX(MIN(I199,R199),Q199),MIN(I199,R199))),R199,IF($J$2=1,MAX(MIN(I199,R199),Q199),MIN(I199,R199)))</f>
        <v>624.00439896249407</v>
      </c>
      <c r="K199" s="5">
        <f t="shared" si="26"/>
        <v>206050.18000000002</v>
      </c>
      <c r="L199" s="4">
        <f t="shared" si="27"/>
        <v>0</v>
      </c>
      <c r="M199" s="2" cm="1">
        <f t="array" ref="M199">SUMPRODUCT(--($L$6:$L$300&lt;&gt;1),--($C$6:$C$300=$C199),$H$6:$H$300)/SUMPRODUCT(--($L$6:$L$300&lt;&gt;1),--($C$6:$C$300=$C199),$E$6:$E$300)</f>
        <v>880.714673659087</v>
      </c>
      <c r="N199" s="1" cm="1">
        <f t="array" ref="N199">SUMPRODUCT(--($L$6:$L$300&lt;&gt;1),--($C$6:$C$300=$C199))</f>
        <v>50</v>
      </c>
      <c r="O199" s="3">
        <f t="shared" ref="O199:O254" si="29">IF(ISERROR((I199-M199)^2),0,(I199-M199)^2)</f>
        <v>65900.165134800205</v>
      </c>
      <c r="P199" s="2" cm="1">
        <f t="array" ref="P199">SQRT(SUMPRODUCT(--($L$6:$L$300&lt;&gt;1),--($C$6:$C$300=$C199),$E$6:$E$300,$O$6:$O$300)/((N199-1)*SUMPRODUCT(--($L$6:$L$300&lt;&gt;1),--($C$6:$C$300=$C199),$E$6:$E$300)/N199))</f>
        <v>656.20300757816824</v>
      </c>
      <c r="Q199" s="2">
        <f t="shared" si="23"/>
        <v>39.756681982210125</v>
      </c>
      <c r="R199" s="2">
        <f t="shared" si="23"/>
        <v>1721.6726653359638</v>
      </c>
      <c r="S199" s="2">
        <f t="shared" ref="S199:S254" si="30">IF(ISERROR(MAX(MIN(I199,R199),Q199)),R199,MAX(MIN(I199,R199),Q199))</f>
        <v>624.00439896249407</v>
      </c>
    </row>
    <row r="200" spans="2:19" x14ac:dyDescent="0.3">
      <c r="B200" s="9">
        <v>796</v>
      </c>
      <c r="C200" s="9">
        <v>8</v>
      </c>
      <c r="D200" s="8" t="s">
        <v>228</v>
      </c>
      <c r="E200" s="125">
        <f>INDEX('Revised 2018 Lockdown'!H$5:H$253,MATCH(B200,'Revised 2018 Lockdown'!B$5:B$253,0))</f>
        <v>23.924524993927111</v>
      </c>
      <c r="F200" s="7">
        <f>INDEX('Revised 2018 Lockdown'!E$5:E$253,MATCH(B200,'Revised 2018 Lockdown'!B$5:B$253,0))</f>
        <v>19423.14</v>
      </c>
      <c r="G200" s="7">
        <f>INDEX('Revised 2018 Lockdown'!F$5:F$253,MATCH(B200,'Revised 2018 Lockdown'!B$5:B$253,0))</f>
        <v>0</v>
      </c>
      <c r="H200" s="7">
        <f t="shared" si="24"/>
        <v>19423.14</v>
      </c>
      <c r="I200" s="6">
        <f t="shared" si="25"/>
        <v>811.85060121069398</v>
      </c>
      <c r="J200" s="6">
        <f t="shared" si="28"/>
        <v>811.85060121069398</v>
      </c>
      <c r="K200" s="5">
        <f t="shared" si="26"/>
        <v>19423.14</v>
      </c>
      <c r="L200" s="4">
        <f t="shared" si="27"/>
        <v>0</v>
      </c>
      <c r="M200" s="2" cm="1">
        <f t="array" ref="M200">SUMPRODUCT(--($L$6:$L$300&lt;&gt;1),--($C$6:$C$300=$C200),$H$6:$H$300)/SUMPRODUCT(--($L$6:$L$300&lt;&gt;1),--($C$6:$C$300=$C200),$E$6:$E$300)</f>
        <v>880.714673659087</v>
      </c>
      <c r="N200" s="1" cm="1">
        <f t="array" ref="N200">SUMPRODUCT(--($L$6:$L$300&lt;&gt;1),--($C$6:$C$300=$C200))</f>
        <v>50</v>
      </c>
      <c r="O200" s="3">
        <f t="shared" si="29"/>
        <v>4742.2604741775222</v>
      </c>
      <c r="P200" s="2" cm="1">
        <f t="array" ref="P200">SQRT(SUMPRODUCT(--($L$6:$L$300&lt;&gt;1),--($C$6:$C$300=$C200),$E$6:$E$300,$O$6:$O$300)/((N200-1)*SUMPRODUCT(--($L$6:$L$300&lt;&gt;1),--($C$6:$C$300=$C200),$E$6:$E$300)/N200))</f>
        <v>656.20300757816824</v>
      </c>
      <c r="Q200" s="2">
        <f t="shared" si="23"/>
        <v>39.756681982210125</v>
      </c>
      <c r="R200" s="2">
        <f t="shared" si="23"/>
        <v>1721.6726653359638</v>
      </c>
      <c r="S200" s="2">
        <f t="shared" si="30"/>
        <v>811.85060121069398</v>
      </c>
    </row>
    <row r="201" spans="2:19" x14ac:dyDescent="0.3">
      <c r="B201" s="9">
        <v>797</v>
      </c>
      <c r="C201" s="9">
        <v>8</v>
      </c>
      <c r="D201" s="8" t="s">
        <v>229</v>
      </c>
      <c r="E201" s="125">
        <f>INDEX('Revised 2018 Lockdown'!H$5:H$253,MATCH(B201,'Revised 2018 Lockdown'!B$5:B$253,0))</f>
        <v>27.81917035060788</v>
      </c>
      <c r="F201" s="7">
        <f>INDEX('Revised 2018 Lockdown'!E$5:E$253,MATCH(B201,'Revised 2018 Lockdown'!B$5:B$253,0))</f>
        <v>39509.410000000003</v>
      </c>
      <c r="G201" s="7">
        <f>INDEX('Revised 2018 Lockdown'!F$5:F$253,MATCH(B201,'Revised 2018 Lockdown'!B$5:B$253,0))</f>
        <v>1800</v>
      </c>
      <c r="H201" s="7">
        <f t="shared" si="24"/>
        <v>37709.410000000003</v>
      </c>
      <c r="I201" s="6">
        <f t="shared" si="25"/>
        <v>1355.5188571314102</v>
      </c>
      <c r="J201" s="6">
        <f t="shared" si="28"/>
        <v>1355.5188571314102</v>
      </c>
      <c r="K201" s="5">
        <f t="shared" si="26"/>
        <v>37709.410000000003</v>
      </c>
      <c r="L201" s="4">
        <f t="shared" si="27"/>
        <v>0</v>
      </c>
      <c r="M201" s="2" cm="1">
        <f t="array" ref="M201">SUMPRODUCT(--($L$6:$L$300&lt;&gt;1),--($C$6:$C$300=$C201),$H$6:$H$300)/SUMPRODUCT(--($L$6:$L$300&lt;&gt;1),--($C$6:$C$300=$C201),$E$6:$E$300)</f>
        <v>880.714673659087</v>
      </c>
      <c r="N201" s="1" cm="1">
        <f t="array" ref="N201">SUMPRODUCT(--($L$6:$L$300&lt;&gt;1),--($C$6:$C$300=$C201))</f>
        <v>50</v>
      </c>
      <c r="O201" s="3">
        <f t="shared" si="29"/>
        <v>225439.01264281955</v>
      </c>
      <c r="P201" s="2" cm="1">
        <f t="array" ref="P201">SQRT(SUMPRODUCT(--($L$6:$L$300&lt;&gt;1),--($C$6:$C$300=$C201),$E$6:$E$300,$O$6:$O$300)/((N201-1)*SUMPRODUCT(--($L$6:$L$300&lt;&gt;1),--($C$6:$C$300=$C201),$E$6:$E$300)/N201))</f>
        <v>656.20300757816824</v>
      </c>
      <c r="Q201" s="2">
        <f t="shared" si="23"/>
        <v>39.756681982210125</v>
      </c>
      <c r="R201" s="2">
        <f t="shared" si="23"/>
        <v>1721.6726653359638</v>
      </c>
      <c r="S201" s="2">
        <f t="shared" si="30"/>
        <v>1355.5188571314102</v>
      </c>
    </row>
    <row r="202" spans="2:19" x14ac:dyDescent="0.3">
      <c r="B202" s="9">
        <v>801</v>
      </c>
      <c r="C202" s="9">
        <v>8</v>
      </c>
      <c r="D202" s="8" t="s">
        <v>230</v>
      </c>
      <c r="E202" s="125">
        <f>INDEX('Revised 2018 Lockdown'!H$5:H$253,MATCH(B202,'Revised 2018 Lockdown'!B$5:B$253,0))</f>
        <v>143.33410461034433</v>
      </c>
      <c r="F202" s="7">
        <f>INDEX('Revised 2018 Lockdown'!E$5:E$253,MATCH(B202,'Revised 2018 Lockdown'!B$5:B$253,0))</f>
        <v>102578.78</v>
      </c>
      <c r="G202" s="7">
        <f>INDEX('Revised 2018 Lockdown'!F$5:F$253,MATCH(B202,'Revised 2018 Lockdown'!B$5:B$253,0))</f>
        <v>0</v>
      </c>
      <c r="H202" s="7">
        <f t="shared" si="24"/>
        <v>102578.78</v>
      </c>
      <c r="I202" s="6">
        <f t="shared" si="25"/>
        <v>715.66205599750162</v>
      </c>
      <c r="J202" s="6">
        <f t="shared" si="28"/>
        <v>715.66205599750162</v>
      </c>
      <c r="K202" s="5">
        <f t="shared" si="26"/>
        <v>102578.78</v>
      </c>
      <c r="L202" s="4">
        <f t="shared" si="27"/>
        <v>0</v>
      </c>
      <c r="M202" s="2" cm="1">
        <f t="array" ref="M202">SUMPRODUCT(--($L$6:$L$300&lt;&gt;1),--($C$6:$C$300=$C202),$H$6:$H$300)/SUMPRODUCT(--($L$6:$L$300&lt;&gt;1),--($C$6:$C$300=$C202),$E$6:$E$300)</f>
        <v>880.714673659087</v>
      </c>
      <c r="N202" s="1" cm="1">
        <f t="array" ref="N202">SUMPRODUCT(--($L$6:$L$300&lt;&gt;1),--($C$6:$C$300=$C202))</f>
        <v>50</v>
      </c>
      <c r="O202" s="3">
        <f t="shared" si="29"/>
        <v>27242.366596941483</v>
      </c>
      <c r="P202" s="2" cm="1">
        <f t="array" ref="P202">SQRT(SUMPRODUCT(--($L$6:$L$300&lt;&gt;1),--($C$6:$C$300=$C202),$E$6:$E$300,$O$6:$O$300)/((N202-1)*SUMPRODUCT(--($L$6:$L$300&lt;&gt;1),--($C$6:$C$300=$C202),$E$6:$E$300)/N202))</f>
        <v>656.20300757816824</v>
      </c>
      <c r="Q202" s="2">
        <f t="shared" si="23"/>
        <v>39.756681982210125</v>
      </c>
      <c r="R202" s="2">
        <f t="shared" si="23"/>
        <v>1721.6726653359638</v>
      </c>
      <c r="S202" s="2">
        <f t="shared" si="30"/>
        <v>715.66205599750162</v>
      </c>
    </row>
    <row r="203" spans="2:19" x14ac:dyDescent="0.3">
      <c r="B203" s="9">
        <v>810</v>
      </c>
      <c r="C203" s="9">
        <v>8</v>
      </c>
      <c r="D203" s="8" t="s">
        <v>231</v>
      </c>
      <c r="E203" s="125">
        <f>INDEX('Revised 2018 Lockdown'!H$5:H$253,MATCH(B203,'Revised 2018 Lockdown'!B$5:B$253,0))</f>
        <v>129.91</v>
      </c>
      <c r="F203" s="7">
        <f>INDEX('Revised 2018 Lockdown'!E$5:E$253,MATCH(B203,'Revised 2018 Lockdown'!B$5:B$253,0))</f>
        <v>133935.18</v>
      </c>
      <c r="G203" s="7">
        <f>INDEX('Revised 2018 Lockdown'!F$5:F$253,MATCH(B203,'Revised 2018 Lockdown'!B$5:B$253,0))</f>
        <v>0</v>
      </c>
      <c r="H203" s="7">
        <f t="shared" si="24"/>
        <v>133935.18</v>
      </c>
      <c r="I203" s="6">
        <f t="shared" si="25"/>
        <v>1030.9843737972442</v>
      </c>
      <c r="J203" s="6">
        <f t="shared" si="28"/>
        <v>1030.9843737972442</v>
      </c>
      <c r="K203" s="5">
        <f t="shared" si="26"/>
        <v>133935.18</v>
      </c>
      <c r="L203" s="4">
        <f t="shared" si="27"/>
        <v>0</v>
      </c>
      <c r="M203" s="2" cm="1">
        <f t="array" ref="M203">SUMPRODUCT(--($L$6:$L$300&lt;&gt;1),--($C$6:$C$300=$C203),$H$6:$H$300)/SUMPRODUCT(--($L$6:$L$300&lt;&gt;1),--($C$6:$C$300=$C203),$E$6:$E$300)</f>
        <v>880.714673659087</v>
      </c>
      <c r="N203" s="1" cm="1">
        <f t="array" ref="N203">SUMPRODUCT(--($L$6:$L$300&lt;&gt;1),--($C$6:$C$300=$C203))</f>
        <v>50</v>
      </c>
      <c r="O203" s="3">
        <f t="shared" si="29"/>
        <v>22580.982779611681</v>
      </c>
      <c r="P203" s="2" cm="1">
        <f t="array" ref="P203">SQRT(SUMPRODUCT(--($L$6:$L$300&lt;&gt;1),--($C$6:$C$300=$C203),$E$6:$E$300,$O$6:$O$300)/((N203-1)*SUMPRODUCT(--($L$6:$L$300&lt;&gt;1),--($C$6:$C$300=$C203),$E$6:$E$300)/N203))</f>
        <v>656.20300757816824</v>
      </c>
      <c r="Q203" s="2">
        <f t="shared" si="23"/>
        <v>39.756681982210125</v>
      </c>
      <c r="R203" s="2">
        <f t="shared" si="23"/>
        <v>1721.6726653359638</v>
      </c>
      <c r="S203" s="2">
        <f t="shared" si="30"/>
        <v>1030.9843737972442</v>
      </c>
    </row>
    <row r="204" spans="2:19" x14ac:dyDescent="0.3">
      <c r="B204" s="9">
        <v>812</v>
      </c>
      <c r="C204" s="9">
        <v>8</v>
      </c>
      <c r="D204" s="8" t="s">
        <v>232</v>
      </c>
      <c r="E204" s="125">
        <f>INDEX('Revised 2018 Lockdown'!H$5:H$253,MATCH(B204,'Revised 2018 Lockdown'!B$5:B$253,0))</f>
        <v>52.402684578365019</v>
      </c>
      <c r="F204" s="7">
        <f>INDEX('Revised 2018 Lockdown'!E$5:E$253,MATCH(B204,'Revised 2018 Lockdown'!B$5:B$253,0))</f>
        <v>75414.47</v>
      </c>
      <c r="G204" s="7">
        <f>INDEX('Revised 2018 Lockdown'!F$5:F$253,MATCH(B204,'Revised 2018 Lockdown'!B$5:B$253,0))</f>
        <v>196</v>
      </c>
      <c r="H204" s="7">
        <f t="shared" si="24"/>
        <v>75218.47</v>
      </c>
      <c r="I204" s="6">
        <f t="shared" si="25"/>
        <v>1435.3934460650651</v>
      </c>
      <c r="J204" s="6">
        <f t="shared" si="28"/>
        <v>1435.3934460650651</v>
      </c>
      <c r="K204" s="5">
        <f t="shared" si="26"/>
        <v>75218.47</v>
      </c>
      <c r="L204" s="4">
        <f t="shared" si="27"/>
        <v>0</v>
      </c>
      <c r="M204" s="2" cm="1">
        <f t="array" ref="M204">SUMPRODUCT(--($L$6:$L$300&lt;&gt;1),--($C$6:$C$300=$C204),$H$6:$H$300)/SUMPRODUCT(--($L$6:$L$300&lt;&gt;1),--($C$6:$C$300=$C204),$E$6:$E$300)</f>
        <v>880.714673659087</v>
      </c>
      <c r="N204" s="1" cm="1">
        <f t="array" ref="N204">SUMPRODUCT(--($L$6:$L$300&lt;&gt;1),--($C$6:$C$300=$C204))</f>
        <v>50</v>
      </c>
      <c r="O204" s="3">
        <f t="shared" si="29"/>
        <v>307668.54055780283</v>
      </c>
      <c r="P204" s="2" cm="1">
        <f t="array" ref="P204">SQRT(SUMPRODUCT(--($L$6:$L$300&lt;&gt;1),--($C$6:$C$300=$C204),$E$6:$E$300,$O$6:$O$300)/((N204-1)*SUMPRODUCT(--($L$6:$L$300&lt;&gt;1),--($C$6:$C$300=$C204),$E$6:$E$300)/N204))</f>
        <v>656.20300757816824</v>
      </c>
      <c r="Q204" s="2">
        <f t="shared" si="23"/>
        <v>39.756681982210125</v>
      </c>
      <c r="R204" s="2">
        <f t="shared" si="23"/>
        <v>1721.6726653359638</v>
      </c>
      <c r="S204" s="2">
        <f t="shared" si="30"/>
        <v>1435.3934460650651</v>
      </c>
    </row>
    <row r="205" spans="2:19" x14ac:dyDescent="0.3">
      <c r="B205" s="9">
        <v>818</v>
      </c>
      <c r="C205" s="9">
        <v>8</v>
      </c>
      <c r="D205" s="8" t="s">
        <v>233</v>
      </c>
      <c r="E205" s="125">
        <f>INDEX('Revised 2018 Lockdown'!H$5:H$253,MATCH(B205,'Revised 2018 Lockdown'!B$5:B$253,0))</f>
        <v>39.084698998412264</v>
      </c>
      <c r="F205" s="7">
        <f>INDEX('Revised 2018 Lockdown'!E$5:E$253,MATCH(B205,'Revised 2018 Lockdown'!B$5:B$253,0))</f>
        <v>16701.97</v>
      </c>
      <c r="G205" s="7">
        <f>INDEX('Revised 2018 Lockdown'!F$5:F$253,MATCH(B205,'Revised 2018 Lockdown'!B$5:B$253,0))</f>
        <v>0</v>
      </c>
      <c r="H205" s="7">
        <f t="shared" si="24"/>
        <v>16701.97</v>
      </c>
      <c r="I205" s="6">
        <f t="shared" si="25"/>
        <v>427.32758414433442</v>
      </c>
      <c r="J205" s="6">
        <f t="shared" si="28"/>
        <v>427.32758414433442</v>
      </c>
      <c r="K205" s="5">
        <f t="shared" si="26"/>
        <v>16701.97</v>
      </c>
      <c r="L205" s="4">
        <f t="shared" si="27"/>
        <v>0</v>
      </c>
      <c r="M205" s="2" cm="1">
        <f t="array" ref="M205">SUMPRODUCT(--($L$6:$L$300&lt;&gt;1),--($C$6:$C$300=$C205),$H$6:$H$300)/SUMPRODUCT(--($L$6:$L$300&lt;&gt;1),--($C$6:$C$300=$C205),$E$6:$E$300)</f>
        <v>880.714673659087</v>
      </c>
      <c r="N205" s="1" cm="1">
        <f t="array" ref="N205">SUMPRODUCT(--($L$6:$L$300&lt;&gt;1),--($C$6:$C$300=$C205))</f>
        <v>50</v>
      </c>
      <c r="O205" s="3">
        <f t="shared" si="29"/>
        <v>205559.85293865827</v>
      </c>
      <c r="P205" s="2" cm="1">
        <f t="array" ref="P205">SQRT(SUMPRODUCT(--($L$6:$L$300&lt;&gt;1),--($C$6:$C$300=$C205),$E$6:$E$300,$O$6:$O$300)/((N205-1)*SUMPRODUCT(--($L$6:$L$300&lt;&gt;1),--($C$6:$C$300=$C205),$E$6:$E$300)/N205))</f>
        <v>656.20300757816824</v>
      </c>
      <c r="Q205" s="2">
        <f t="shared" si="23"/>
        <v>39.756681982210125</v>
      </c>
      <c r="R205" s="2">
        <f t="shared" si="23"/>
        <v>1721.6726653359638</v>
      </c>
      <c r="S205" s="2">
        <f t="shared" si="30"/>
        <v>427.32758414433442</v>
      </c>
    </row>
    <row r="206" spans="2:19" ht="28.8" x14ac:dyDescent="0.3">
      <c r="B206" s="9">
        <v>833</v>
      </c>
      <c r="C206" s="9">
        <v>8</v>
      </c>
      <c r="D206" s="8" t="s">
        <v>234</v>
      </c>
      <c r="E206" s="125">
        <f>INDEX('Revised 2018 Lockdown'!H$5:H$253,MATCH(B206,'Revised 2018 Lockdown'!B$5:B$253,0))</f>
        <v>68.49738022146434</v>
      </c>
      <c r="F206" s="7">
        <f>INDEX('Revised 2018 Lockdown'!E$5:E$253,MATCH(B206,'Revised 2018 Lockdown'!B$5:B$253,0))</f>
        <v>37369.64</v>
      </c>
      <c r="G206" s="7">
        <f>INDEX('Revised 2018 Lockdown'!F$5:F$253,MATCH(B206,'Revised 2018 Lockdown'!B$5:B$253,0))</f>
        <v>0</v>
      </c>
      <c r="H206" s="7">
        <f t="shared" si="24"/>
        <v>37369.64</v>
      </c>
      <c r="I206" s="6">
        <f t="shared" si="25"/>
        <v>545.56305480847936</v>
      </c>
      <c r="J206" s="6">
        <f t="shared" si="28"/>
        <v>545.56305480847936</v>
      </c>
      <c r="K206" s="5">
        <f t="shared" si="26"/>
        <v>37369.64</v>
      </c>
      <c r="L206" s="4">
        <f t="shared" si="27"/>
        <v>0</v>
      </c>
      <c r="M206" s="2" cm="1">
        <f t="array" ref="M206">SUMPRODUCT(--($L$6:$L$300&lt;&gt;1),--($C$6:$C$300=$C206),$H$6:$H$300)/SUMPRODUCT(--($L$6:$L$300&lt;&gt;1),--($C$6:$C$300=$C206),$E$6:$E$300)</f>
        <v>880.714673659087</v>
      </c>
      <c r="N206" s="1" cm="1">
        <f t="array" ref="N206">SUMPRODUCT(--($L$6:$L$300&lt;&gt;1),--($C$6:$C$300=$C206))</f>
        <v>50</v>
      </c>
      <c r="O206" s="3">
        <f t="shared" si="29"/>
        <v>112326.60761818297</v>
      </c>
      <c r="P206" s="2" cm="1">
        <f t="array" ref="P206">SQRT(SUMPRODUCT(--($L$6:$L$300&lt;&gt;1),--($C$6:$C$300=$C206),$E$6:$E$300,$O$6:$O$300)/((N206-1)*SUMPRODUCT(--($L$6:$L$300&lt;&gt;1),--($C$6:$C$300=$C206),$E$6:$E$300)/N206))</f>
        <v>656.20300757816824</v>
      </c>
      <c r="Q206" s="2">
        <f t="shared" si="23"/>
        <v>39.756681982210125</v>
      </c>
      <c r="R206" s="2">
        <f t="shared" si="23"/>
        <v>1721.6726653359638</v>
      </c>
      <c r="S206" s="2">
        <f t="shared" si="30"/>
        <v>545.56305480847936</v>
      </c>
    </row>
    <row r="207" spans="2:19" x14ac:dyDescent="0.3">
      <c r="B207" s="9">
        <v>834</v>
      </c>
      <c r="C207" s="9">
        <v>8</v>
      </c>
      <c r="D207" s="8" t="s">
        <v>235</v>
      </c>
      <c r="E207" s="125">
        <f>INDEX('Revised 2018 Lockdown'!H$5:H$253,MATCH(B207,'Revised 2018 Lockdown'!B$5:B$253,0))</f>
        <v>93.830000000000013</v>
      </c>
      <c r="F207" s="7">
        <f>INDEX('Revised 2018 Lockdown'!E$5:E$253,MATCH(B207,'Revised 2018 Lockdown'!B$5:B$253,0))</f>
        <v>64791.31</v>
      </c>
      <c r="G207" s="7">
        <f>INDEX('Revised 2018 Lockdown'!F$5:F$253,MATCH(B207,'Revised 2018 Lockdown'!B$5:B$253,0))</f>
        <v>5551.2800000000007</v>
      </c>
      <c r="H207" s="7">
        <f t="shared" si="24"/>
        <v>59240.03</v>
      </c>
      <c r="I207" s="6">
        <f t="shared" si="25"/>
        <v>631.35489715442816</v>
      </c>
      <c r="J207" s="6">
        <f t="shared" si="28"/>
        <v>631.35489715442816</v>
      </c>
      <c r="K207" s="5">
        <f t="shared" si="26"/>
        <v>59240.03</v>
      </c>
      <c r="L207" s="4">
        <f t="shared" si="27"/>
        <v>0</v>
      </c>
      <c r="M207" s="2" cm="1">
        <f t="array" ref="M207">SUMPRODUCT(--($L$6:$L$300&lt;&gt;1),--($C$6:$C$300=$C207),$H$6:$H$300)/SUMPRODUCT(--($L$6:$L$300&lt;&gt;1),--($C$6:$C$300=$C207),$E$6:$E$300)</f>
        <v>880.714673659087</v>
      </c>
      <c r="N207" s="1" cm="1">
        <f t="array" ref="N207">SUMPRODUCT(--($L$6:$L$300&lt;&gt;1),--($C$6:$C$300=$C207))</f>
        <v>50</v>
      </c>
      <c r="O207" s="3">
        <f t="shared" si="29"/>
        <v>62180.298138453407</v>
      </c>
      <c r="P207" s="2" cm="1">
        <f t="array" ref="P207">SQRT(SUMPRODUCT(--($L$6:$L$300&lt;&gt;1),--($C$6:$C$300=$C207),$E$6:$E$300,$O$6:$O$300)/((N207-1)*SUMPRODUCT(--($L$6:$L$300&lt;&gt;1),--($C$6:$C$300=$C207),$E$6:$E$300)/N207))</f>
        <v>656.20300757816824</v>
      </c>
      <c r="Q207" s="2">
        <f t="shared" si="23"/>
        <v>39.756681982210125</v>
      </c>
      <c r="R207" s="2">
        <f t="shared" si="23"/>
        <v>1721.6726653359638</v>
      </c>
      <c r="S207" s="2">
        <f t="shared" si="30"/>
        <v>631.35489715442816</v>
      </c>
    </row>
    <row r="208" spans="2:19" x14ac:dyDescent="0.3">
      <c r="B208" s="9">
        <v>837</v>
      </c>
      <c r="C208" s="9">
        <v>8</v>
      </c>
      <c r="D208" s="8" t="s">
        <v>236</v>
      </c>
      <c r="E208" s="125">
        <f>INDEX('Revised 2018 Lockdown'!H$5:H$253,MATCH(B208,'Revised 2018 Lockdown'!B$5:B$253,0))</f>
        <v>191.19000000000003</v>
      </c>
      <c r="F208" s="7">
        <f>INDEX('Revised 2018 Lockdown'!E$5:E$253,MATCH(B208,'Revised 2018 Lockdown'!B$5:B$253,0))</f>
        <v>133882.48000000001</v>
      </c>
      <c r="G208" s="7">
        <f>INDEX('Revised 2018 Lockdown'!F$5:F$253,MATCH(B208,'Revised 2018 Lockdown'!B$5:B$253,0))</f>
        <v>0</v>
      </c>
      <c r="H208" s="7">
        <f t="shared" si="24"/>
        <v>133882.48000000001</v>
      </c>
      <c r="I208" s="6">
        <f t="shared" si="25"/>
        <v>700.25880014645111</v>
      </c>
      <c r="J208" s="6">
        <f t="shared" si="28"/>
        <v>700.25880014645111</v>
      </c>
      <c r="K208" s="5">
        <f t="shared" si="26"/>
        <v>133882.48000000001</v>
      </c>
      <c r="L208" s="4">
        <f t="shared" si="27"/>
        <v>0</v>
      </c>
      <c r="M208" s="2" cm="1">
        <f t="array" ref="M208">SUMPRODUCT(--($L$6:$L$300&lt;&gt;1),--($C$6:$C$300=$C208),$H$6:$H$300)/SUMPRODUCT(--($L$6:$L$300&lt;&gt;1),--($C$6:$C$300=$C208),$E$6:$E$300)</f>
        <v>880.714673659087</v>
      </c>
      <c r="N208" s="1" cm="1">
        <f t="array" ref="N208">SUMPRODUCT(--($L$6:$L$300&lt;&gt;1),--($C$6:$C$300=$C208))</f>
        <v>50</v>
      </c>
      <c r="O208" s="3">
        <f t="shared" si="29"/>
        <v>32564.322285208444</v>
      </c>
      <c r="P208" s="2" cm="1">
        <f t="array" ref="P208">SQRT(SUMPRODUCT(--($L$6:$L$300&lt;&gt;1),--($C$6:$C$300=$C208),$E$6:$E$300,$O$6:$O$300)/((N208-1)*SUMPRODUCT(--($L$6:$L$300&lt;&gt;1),--($C$6:$C$300=$C208),$E$6:$E$300)/N208))</f>
        <v>656.20300757816824</v>
      </c>
      <c r="Q208" s="2">
        <f t="shared" si="23"/>
        <v>39.756681982210125</v>
      </c>
      <c r="R208" s="2">
        <f t="shared" si="23"/>
        <v>1721.6726653359638</v>
      </c>
      <c r="S208" s="2">
        <f t="shared" si="30"/>
        <v>700.25880014645111</v>
      </c>
    </row>
    <row r="209" spans="2:19" x14ac:dyDescent="0.3">
      <c r="B209" s="9">
        <v>845</v>
      </c>
      <c r="C209" s="9">
        <v>8</v>
      </c>
      <c r="D209" s="8" t="s">
        <v>300</v>
      </c>
      <c r="E209" s="125">
        <f>INDEX('Revised 2018 Lockdown'!H$5:H$253,MATCH(B209,'Revised 2018 Lockdown'!B$5:B$253,0))</f>
        <v>5.5265652735971607</v>
      </c>
      <c r="F209" s="7">
        <f>INDEX('Revised 2018 Lockdown'!E$5:E$253,MATCH(B209,'Revised 2018 Lockdown'!B$5:B$253,0))</f>
        <v>9336.9500000000007</v>
      </c>
      <c r="G209" s="7">
        <f>INDEX('Revised 2018 Lockdown'!F$5:F$253,MATCH(B209,'Revised 2018 Lockdown'!B$5:B$253,0))</f>
        <v>0</v>
      </c>
      <c r="H209" s="7">
        <f t="shared" si="24"/>
        <v>9336.9500000000007</v>
      </c>
      <c r="I209" s="6">
        <f t="shared" si="25"/>
        <v>1689.4670627716509</v>
      </c>
      <c r="J209" s="6">
        <f t="shared" si="28"/>
        <v>1689.4670627716509</v>
      </c>
      <c r="K209" s="5">
        <f t="shared" si="26"/>
        <v>9336.9500000000007</v>
      </c>
      <c r="L209" s="4">
        <f t="shared" si="27"/>
        <v>0</v>
      </c>
      <c r="M209" s="2" cm="1">
        <f t="array" ref="M209">SUMPRODUCT(--($L$6:$L$300&lt;&gt;1),--($C$6:$C$300=$C209),$H$6:$H$300)/SUMPRODUCT(--($L$6:$L$300&lt;&gt;1),--($C$6:$C$300=$C209),$E$6:$E$300)</f>
        <v>880.714673659087</v>
      </c>
      <c r="N209" s="1" cm="1">
        <f t="array" ref="N209">SUMPRODUCT(--($L$6:$L$300&lt;&gt;1),--($C$6:$C$300=$C209))</f>
        <v>50</v>
      </c>
      <c r="O209" s="3">
        <f t="shared" si="29"/>
        <v>654080.42689528002</v>
      </c>
      <c r="P209" s="2" cm="1">
        <f t="array" ref="P209">SQRT(SUMPRODUCT(--($L$6:$L$300&lt;&gt;1),--($C$6:$C$300=$C209),$E$6:$E$300,$O$6:$O$300)/((N209-1)*SUMPRODUCT(--($L$6:$L$300&lt;&gt;1),--($C$6:$C$300=$C209),$E$6:$E$300)/N209))</f>
        <v>656.20300757816824</v>
      </c>
      <c r="Q209" s="2">
        <f t="shared" si="23"/>
        <v>39.756681982210125</v>
      </c>
      <c r="R209" s="2">
        <f t="shared" si="23"/>
        <v>1721.6726653359638</v>
      </c>
      <c r="S209" s="2">
        <f t="shared" si="30"/>
        <v>1689.4670627716509</v>
      </c>
    </row>
    <row r="210" spans="2:19" x14ac:dyDescent="0.3">
      <c r="B210" s="9">
        <v>847</v>
      </c>
      <c r="C210" s="9">
        <v>8</v>
      </c>
      <c r="D210" s="8" t="s">
        <v>237</v>
      </c>
      <c r="E210" s="125">
        <f>INDEX('Revised 2018 Lockdown'!H$5:H$253,MATCH(B210,'Revised 2018 Lockdown'!B$5:B$253,0))</f>
        <v>70.589453972304213</v>
      </c>
      <c r="F210" s="7">
        <f>INDEX('Revised 2018 Lockdown'!E$5:E$253,MATCH(B210,'Revised 2018 Lockdown'!B$5:B$253,0))</f>
        <v>114871.03</v>
      </c>
      <c r="G210" s="7">
        <f>INDEX('Revised 2018 Lockdown'!F$5:F$253,MATCH(B210,'Revised 2018 Lockdown'!B$5:B$253,0))</f>
        <v>0</v>
      </c>
      <c r="H210" s="7">
        <f t="shared" si="24"/>
        <v>114871.03</v>
      </c>
      <c r="I210" s="6">
        <f t="shared" si="25"/>
        <v>1627.3114967721619</v>
      </c>
      <c r="J210" s="6">
        <f t="shared" si="28"/>
        <v>1627.3114967721619</v>
      </c>
      <c r="K210" s="5">
        <f t="shared" si="26"/>
        <v>114871.03</v>
      </c>
      <c r="L210" s="4">
        <f t="shared" si="27"/>
        <v>0</v>
      </c>
      <c r="M210" s="2" cm="1">
        <f t="array" ref="M210">SUMPRODUCT(--($L$6:$L$300&lt;&gt;1),--($C$6:$C$300=$C210),$H$6:$H$300)/SUMPRODUCT(--($L$6:$L$300&lt;&gt;1),--($C$6:$C$300=$C210),$E$6:$E$300)</f>
        <v>880.714673659087</v>
      </c>
      <c r="N210" s="1" cm="1">
        <f t="array" ref="N210">SUMPRODUCT(--($L$6:$L$300&lt;&gt;1),--($C$6:$C$300=$C210))</f>
        <v>50</v>
      </c>
      <c r="O210" s="3">
        <f t="shared" si="29"/>
        <v>557406.81628253614</v>
      </c>
      <c r="P210" s="2" cm="1">
        <f t="array" ref="P210">SQRT(SUMPRODUCT(--($L$6:$L$300&lt;&gt;1),--($C$6:$C$300=$C210),$E$6:$E$300,$O$6:$O$300)/((N210-1)*SUMPRODUCT(--($L$6:$L$300&lt;&gt;1),--($C$6:$C$300=$C210),$E$6:$E$300)/N210))</f>
        <v>656.20300757816824</v>
      </c>
      <c r="Q210" s="2">
        <f t="shared" si="23"/>
        <v>39.756681982210125</v>
      </c>
      <c r="R210" s="2">
        <f t="shared" si="23"/>
        <v>1721.6726653359638</v>
      </c>
      <c r="S210" s="2">
        <f t="shared" si="30"/>
        <v>1627.3114967721619</v>
      </c>
    </row>
    <row r="211" spans="2:19" x14ac:dyDescent="0.3">
      <c r="B211" s="9">
        <v>866</v>
      </c>
      <c r="C211" s="9">
        <v>8</v>
      </c>
      <c r="D211" s="8" t="s">
        <v>238</v>
      </c>
      <c r="E211" s="125">
        <f>INDEX('Revised 2018 Lockdown'!H$5:H$253,MATCH(B211,'Revised 2018 Lockdown'!B$5:B$253,0))</f>
        <v>160.53059013987732</v>
      </c>
      <c r="F211" s="7">
        <f>INDEX('Revised 2018 Lockdown'!E$5:E$253,MATCH(B211,'Revised 2018 Lockdown'!B$5:B$253,0))</f>
        <v>63164.800000000003</v>
      </c>
      <c r="G211" s="7">
        <f>INDEX('Revised 2018 Lockdown'!F$5:F$253,MATCH(B211,'Revised 2018 Lockdown'!B$5:B$253,0))</f>
        <v>0</v>
      </c>
      <c r="H211" s="7">
        <f t="shared" si="24"/>
        <v>63164.800000000003</v>
      </c>
      <c r="I211" s="6">
        <f t="shared" si="25"/>
        <v>393.47516224142544</v>
      </c>
      <c r="J211" s="6">
        <f t="shared" si="28"/>
        <v>393.47516224142544</v>
      </c>
      <c r="K211" s="5">
        <f t="shared" si="26"/>
        <v>63164.799999999996</v>
      </c>
      <c r="L211" s="4">
        <f t="shared" si="27"/>
        <v>0</v>
      </c>
      <c r="M211" s="2" cm="1">
        <f t="array" ref="M211">SUMPRODUCT(--($L$6:$L$300&lt;&gt;1),--($C$6:$C$300=$C211),$H$6:$H$300)/SUMPRODUCT(--($L$6:$L$300&lt;&gt;1),--($C$6:$C$300=$C211),$E$6:$E$300)</f>
        <v>880.714673659087</v>
      </c>
      <c r="N211" s="1" cm="1">
        <f t="array" ref="N211">SUMPRODUCT(--($L$6:$L$300&lt;&gt;1),--($C$6:$C$300=$C211))</f>
        <v>50</v>
      </c>
      <c r="O211" s="3">
        <f t="shared" si="29"/>
        <v>237402.34148652156</v>
      </c>
      <c r="P211" s="2" cm="1">
        <f t="array" ref="P211">SQRT(SUMPRODUCT(--($L$6:$L$300&lt;&gt;1),--($C$6:$C$300=$C211),$E$6:$E$300,$O$6:$O$300)/((N211-1)*SUMPRODUCT(--($L$6:$L$300&lt;&gt;1),--($C$6:$C$300=$C211),$E$6:$E$300)/N211))</f>
        <v>656.20300757816824</v>
      </c>
      <c r="Q211" s="2">
        <f t="shared" si="23"/>
        <v>39.756681982210125</v>
      </c>
      <c r="R211" s="2">
        <f t="shared" si="23"/>
        <v>1721.6726653359638</v>
      </c>
      <c r="S211" s="2">
        <f t="shared" si="30"/>
        <v>393.47516224142544</v>
      </c>
    </row>
    <row r="212" spans="2:19" x14ac:dyDescent="0.3">
      <c r="B212" s="9">
        <v>871</v>
      </c>
      <c r="C212" s="9">
        <v>8</v>
      </c>
      <c r="D212" s="8" t="s">
        <v>239</v>
      </c>
      <c r="E212" s="125">
        <f>INDEX('Revised 2018 Lockdown'!H$5:H$253,MATCH(B212,'Revised 2018 Lockdown'!B$5:B$253,0))</f>
        <v>16.078308179946145</v>
      </c>
      <c r="F212" s="7">
        <f>INDEX('Revised 2018 Lockdown'!E$5:E$253,MATCH(B212,'Revised 2018 Lockdown'!B$5:B$253,0))</f>
        <v>11872.16</v>
      </c>
      <c r="G212" s="7">
        <f>INDEX('Revised 2018 Lockdown'!F$5:F$253,MATCH(B212,'Revised 2018 Lockdown'!B$5:B$253,0))</f>
        <v>0</v>
      </c>
      <c r="H212" s="7">
        <f t="shared" si="24"/>
        <v>11872.16</v>
      </c>
      <c r="I212" s="6">
        <f t="shared" si="25"/>
        <v>738.39609659974599</v>
      </c>
      <c r="J212" s="6">
        <f t="shared" si="28"/>
        <v>738.39609659974599</v>
      </c>
      <c r="K212" s="5">
        <f t="shared" si="26"/>
        <v>11872.16</v>
      </c>
      <c r="L212" s="4">
        <f t="shared" si="27"/>
        <v>0</v>
      </c>
      <c r="M212" s="2" cm="1">
        <f t="array" ref="M212">SUMPRODUCT(--($L$6:$L$300&lt;&gt;1),--($C$6:$C$300=$C212),$H$6:$H$300)/SUMPRODUCT(--($L$6:$L$300&lt;&gt;1),--($C$6:$C$300=$C212),$E$6:$E$300)</f>
        <v>880.714673659087</v>
      </c>
      <c r="N212" s="1" cm="1">
        <f t="array" ref="N212">SUMPRODUCT(--($L$6:$L$300&lt;&gt;1),--($C$6:$C$300=$C212))</f>
        <v>50</v>
      </c>
      <c r="O212" s="3">
        <f t="shared" si="29"/>
        <v>20254.577376195586</v>
      </c>
      <c r="P212" s="2" cm="1">
        <f t="array" ref="P212">SQRT(SUMPRODUCT(--($L$6:$L$300&lt;&gt;1),--($C$6:$C$300=$C212),$E$6:$E$300,$O$6:$O$300)/((N212-1)*SUMPRODUCT(--($L$6:$L$300&lt;&gt;1),--($C$6:$C$300=$C212),$E$6:$E$300)/N212))</f>
        <v>656.20300757816824</v>
      </c>
      <c r="Q212" s="2">
        <f t="shared" si="23"/>
        <v>39.756681982210125</v>
      </c>
      <c r="R212" s="2">
        <f t="shared" si="23"/>
        <v>1721.6726653359638</v>
      </c>
      <c r="S212" s="2">
        <f t="shared" si="30"/>
        <v>738.39609659974599</v>
      </c>
    </row>
    <row r="213" spans="2:19" x14ac:dyDescent="0.3">
      <c r="B213" s="9">
        <v>873</v>
      </c>
      <c r="C213" s="9">
        <v>8</v>
      </c>
      <c r="D213" s="8" t="s">
        <v>240</v>
      </c>
      <c r="E213" s="125">
        <f>INDEX('Revised 2018 Lockdown'!H$5:H$253,MATCH(B213,'Revised 2018 Lockdown'!B$5:B$253,0))</f>
        <v>159.24</v>
      </c>
      <c r="F213" s="7">
        <f>INDEX('Revised 2018 Lockdown'!E$5:E$253,MATCH(B213,'Revised 2018 Lockdown'!B$5:B$253,0))</f>
        <v>68071.05</v>
      </c>
      <c r="G213" s="7">
        <f>INDEX('Revised 2018 Lockdown'!F$5:F$253,MATCH(B213,'Revised 2018 Lockdown'!B$5:B$253,0))</f>
        <v>0</v>
      </c>
      <c r="H213" s="7">
        <f t="shared" si="24"/>
        <v>68071.05</v>
      </c>
      <c r="I213" s="6">
        <f t="shared" si="25"/>
        <v>427.47456669178598</v>
      </c>
      <c r="J213" s="6">
        <f t="shared" si="28"/>
        <v>427.47456669178598</v>
      </c>
      <c r="K213" s="5">
        <f t="shared" si="26"/>
        <v>68071.05</v>
      </c>
      <c r="L213" s="4">
        <f t="shared" si="27"/>
        <v>0</v>
      </c>
      <c r="M213" s="2" cm="1">
        <f t="array" ref="M213">SUMPRODUCT(--($L$6:$L$300&lt;&gt;1),--($C$6:$C$300=$C213),$H$6:$H$300)/SUMPRODUCT(--($L$6:$L$300&lt;&gt;1),--($C$6:$C$300=$C213),$E$6:$E$300)</f>
        <v>880.714673659087</v>
      </c>
      <c r="N213" s="1" cm="1">
        <f t="array" ref="N213">SUMPRODUCT(--($L$6:$L$300&lt;&gt;1),--($C$6:$C$300=$C213))</f>
        <v>50</v>
      </c>
      <c r="O213" s="3">
        <f t="shared" si="29"/>
        <v>205426.59456373047</v>
      </c>
      <c r="P213" s="2" cm="1">
        <f t="array" ref="P213">SQRT(SUMPRODUCT(--($L$6:$L$300&lt;&gt;1),--($C$6:$C$300=$C213),$E$6:$E$300,$O$6:$O$300)/((N213-1)*SUMPRODUCT(--($L$6:$L$300&lt;&gt;1),--($C$6:$C$300=$C213),$E$6:$E$300)/N213))</f>
        <v>656.20300757816824</v>
      </c>
      <c r="Q213" s="2">
        <f t="shared" si="23"/>
        <v>39.756681982210125</v>
      </c>
      <c r="R213" s="2">
        <f t="shared" si="23"/>
        <v>1721.6726653359638</v>
      </c>
      <c r="S213" s="2">
        <f t="shared" si="30"/>
        <v>427.47456669178598</v>
      </c>
    </row>
    <row r="214" spans="2:19" x14ac:dyDescent="0.3">
      <c r="B214" s="9">
        <v>895</v>
      </c>
      <c r="C214" s="9">
        <v>8</v>
      </c>
      <c r="D214" s="8" t="s">
        <v>241</v>
      </c>
      <c r="E214" s="125">
        <f>INDEX('Revised 2018 Lockdown'!H$5:H$253,MATCH(B214,'Revised 2018 Lockdown'!B$5:B$253,0))</f>
        <v>9.8090552475101163</v>
      </c>
      <c r="F214" s="7">
        <f>INDEX('Revised 2018 Lockdown'!E$5:E$253,MATCH(B214,'Revised 2018 Lockdown'!B$5:B$253,0))</f>
        <v>4417.1099999999997</v>
      </c>
      <c r="G214" s="7">
        <f>INDEX('Revised 2018 Lockdown'!F$5:F$253,MATCH(B214,'Revised 2018 Lockdown'!B$5:B$253,0))</f>
        <v>0</v>
      </c>
      <c r="H214" s="7">
        <f t="shared" si="24"/>
        <v>4417.1099999999997</v>
      </c>
      <c r="I214" s="6">
        <f t="shared" si="25"/>
        <v>450.30942211496034</v>
      </c>
      <c r="J214" s="6">
        <f t="shared" si="28"/>
        <v>450.30942211496034</v>
      </c>
      <c r="K214" s="5">
        <f t="shared" si="26"/>
        <v>4417.1099999999997</v>
      </c>
      <c r="L214" s="4">
        <f t="shared" si="27"/>
        <v>0</v>
      </c>
      <c r="M214" s="2" cm="1">
        <f t="array" ref="M214">SUMPRODUCT(--($L$6:$L$300&lt;&gt;1),--($C$6:$C$300=$C214),$H$6:$H$300)/SUMPRODUCT(--($L$6:$L$300&lt;&gt;1),--($C$6:$C$300=$C214),$E$6:$E$300)</f>
        <v>880.714673659087</v>
      </c>
      <c r="N214" s="1" cm="1">
        <f t="array" ref="N214">SUMPRODUCT(--($L$6:$L$300&lt;&gt;1),--($C$6:$C$300=$C214))</f>
        <v>50</v>
      </c>
      <c r="O214" s="3">
        <f t="shared" si="29"/>
        <v>185248.68055676293</v>
      </c>
      <c r="P214" s="2" cm="1">
        <f t="array" ref="P214">SQRT(SUMPRODUCT(--($L$6:$L$300&lt;&gt;1),--($C$6:$C$300=$C214),$E$6:$E$300,$O$6:$O$300)/((N214-1)*SUMPRODUCT(--($L$6:$L$300&lt;&gt;1),--($C$6:$C$300=$C214),$E$6:$E$300)/N214))</f>
        <v>656.20300757816824</v>
      </c>
      <c r="Q214" s="2">
        <f t="shared" si="23"/>
        <v>39.756681982210125</v>
      </c>
      <c r="R214" s="2">
        <f t="shared" si="23"/>
        <v>1721.6726653359638</v>
      </c>
      <c r="S214" s="2">
        <f t="shared" si="30"/>
        <v>450.30942211496034</v>
      </c>
    </row>
    <row r="215" spans="2:19" x14ac:dyDescent="0.3">
      <c r="B215" s="36">
        <v>905</v>
      </c>
      <c r="C215" s="36">
        <v>8</v>
      </c>
      <c r="D215" s="37" t="s">
        <v>243</v>
      </c>
      <c r="E215" s="125">
        <f>INDEX('Revised 2018 Lockdown'!H$5:H$253,MATCH(B215,'Revised 2018 Lockdown'!B$5:B$253,0))</f>
        <v>92.835772693519658</v>
      </c>
      <c r="F215" s="7">
        <f>INDEX('Revised 2018 Lockdown'!E$5:E$253,MATCH(B215,'Revised 2018 Lockdown'!B$5:B$253,0))</f>
        <v>57092.91</v>
      </c>
      <c r="G215" s="7">
        <f>INDEX('Revised 2018 Lockdown'!F$5:F$253,MATCH(B215,'Revised 2018 Lockdown'!B$5:B$253,0))</f>
        <v>0</v>
      </c>
      <c r="H215" s="7">
        <f t="shared" si="24"/>
        <v>57092.91</v>
      </c>
      <c r="I215" s="6">
        <f t="shared" si="25"/>
        <v>614.9882566118323</v>
      </c>
      <c r="J215" s="6">
        <f t="shared" si="28"/>
        <v>614.9882566118323</v>
      </c>
      <c r="K215" s="5">
        <f t="shared" si="26"/>
        <v>57092.91</v>
      </c>
      <c r="L215" s="4">
        <f t="shared" si="27"/>
        <v>0</v>
      </c>
      <c r="M215" s="2" cm="1">
        <f t="array" ref="M215">SUMPRODUCT(--($L$6:$L$300&lt;&gt;1),--($C$6:$C$300=$C215),$H$6:$H$300)/SUMPRODUCT(--($L$6:$L$300&lt;&gt;1),--($C$6:$C$300=$C215),$E$6:$E$300)</f>
        <v>880.714673659087</v>
      </c>
      <c r="N215" s="1" cm="1">
        <f t="array" ref="N215">SUMPRODUCT(--($L$6:$L$300&lt;&gt;1),--($C$6:$C$300=$C215))</f>
        <v>50</v>
      </c>
      <c r="O215" s="3">
        <f t="shared" si="29"/>
        <v>70610.528716771529</v>
      </c>
      <c r="P215" s="2" cm="1">
        <f t="array" ref="P215">SQRT(SUMPRODUCT(--($L$6:$L$300&lt;&gt;1),--($C$6:$C$300=$C215),$E$6:$E$300,$O$6:$O$300)/((N215-1)*SUMPRODUCT(--($L$6:$L$300&lt;&gt;1),--($C$6:$C$300=$C215),$E$6:$E$300)/N215))</f>
        <v>656.20300757816824</v>
      </c>
      <c r="Q215" s="2">
        <f t="shared" si="23"/>
        <v>39.756681982210125</v>
      </c>
      <c r="R215" s="2">
        <f t="shared" si="23"/>
        <v>1721.6726653359638</v>
      </c>
      <c r="S215" s="2">
        <f t="shared" si="30"/>
        <v>614.9882566118323</v>
      </c>
    </row>
    <row r="216" spans="2:19" x14ac:dyDescent="0.3">
      <c r="B216" s="36">
        <v>907</v>
      </c>
      <c r="C216" s="36">
        <v>8</v>
      </c>
      <c r="D216" s="37" t="s">
        <v>244</v>
      </c>
      <c r="E216" s="125">
        <f>INDEX('Revised 2018 Lockdown'!H$5:H$253,MATCH(B216,'Revised 2018 Lockdown'!B$5:B$253,0))</f>
        <v>17.277643562970734</v>
      </c>
      <c r="F216" s="7">
        <f>INDEX('Revised 2018 Lockdown'!E$5:E$253,MATCH(B216,'Revised 2018 Lockdown'!B$5:B$253,0))</f>
        <v>19453.25</v>
      </c>
      <c r="G216" s="7">
        <f>INDEX('Revised 2018 Lockdown'!F$5:F$253,MATCH(B216,'Revised 2018 Lockdown'!B$5:B$253,0))</f>
        <v>0</v>
      </c>
      <c r="H216" s="7">
        <f t="shared" si="24"/>
        <v>19453.25</v>
      </c>
      <c r="I216" s="6">
        <f t="shared" si="25"/>
        <v>1125.9203217788336</v>
      </c>
      <c r="J216" s="6">
        <f t="shared" si="28"/>
        <v>1125.9203217788336</v>
      </c>
      <c r="K216" s="5">
        <f t="shared" si="26"/>
        <v>19453.25</v>
      </c>
      <c r="L216" s="4">
        <f t="shared" si="27"/>
        <v>0</v>
      </c>
      <c r="M216" s="2" cm="1">
        <f t="array" ref="M216">SUMPRODUCT(--($L$6:$L$300&lt;&gt;1),--($C$6:$C$300=$C216),$H$6:$H$300)/SUMPRODUCT(--($L$6:$L$300&lt;&gt;1),--($C$6:$C$300=$C216),$E$6:$E$300)</f>
        <v>880.714673659087</v>
      </c>
      <c r="N216" s="1" cm="1">
        <f t="array" ref="N216">SUMPRODUCT(--($L$6:$L$300&lt;&gt;1),--($C$6:$C$300=$C216))</f>
        <v>50</v>
      </c>
      <c r="O216" s="3">
        <f t="shared" si="29"/>
        <v>60125.809869824974</v>
      </c>
      <c r="P216" s="2" cm="1">
        <f t="array" ref="P216">SQRT(SUMPRODUCT(--($L$6:$L$300&lt;&gt;1),--($C$6:$C$300=$C216),$E$6:$E$300,$O$6:$O$300)/((N216-1)*SUMPRODUCT(--($L$6:$L$300&lt;&gt;1),--($C$6:$C$300=$C216),$E$6:$E$300)/N216))</f>
        <v>656.20300757816824</v>
      </c>
      <c r="Q216" s="2">
        <f t="shared" si="23"/>
        <v>39.756681982210125</v>
      </c>
      <c r="R216" s="2">
        <f t="shared" si="23"/>
        <v>1721.6726653359638</v>
      </c>
      <c r="S216" s="2">
        <f t="shared" si="30"/>
        <v>1125.9203217788336</v>
      </c>
    </row>
    <row r="217" spans="2:19" x14ac:dyDescent="0.3">
      <c r="B217" s="9">
        <v>918</v>
      </c>
      <c r="C217" s="9">
        <v>8</v>
      </c>
      <c r="D217" s="8" t="s">
        <v>245</v>
      </c>
      <c r="E217" s="125">
        <f>INDEX('Revised 2018 Lockdown'!H$5:H$253,MATCH(B217,'Revised 2018 Lockdown'!B$5:B$253,0))</f>
        <v>63.790214282074615</v>
      </c>
      <c r="F217" s="7">
        <f>INDEX('Revised 2018 Lockdown'!E$5:E$253,MATCH(B217,'Revised 2018 Lockdown'!B$5:B$253,0))</f>
        <v>58594.77</v>
      </c>
      <c r="G217" s="7">
        <f>INDEX('Revised 2018 Lockdown'!F$5:F$253,MATCH(B217,'Revised 2018 Lockdown'!B$5:B$253,0))</f>
        <v>0</v>
      </c>
      <c r="H217" s="7">
        <f t="shared" si="24"/>
        <v>58594.77</v>
      </c>
      <c r="I217" s="6">
        <f t="shared" si="25"/>
        <v>918.55421179335076</v>
      </c>
      <c r="J217" s="6">
        <f t="shared" si="28"/>
        <v>918.55421179335076</v>
      </c>
      <c r="K217" s="5">
        <f t="shared" si="26"/>
        <v>58594.77</v>
      </c>
      <c r="L217" s="4">
        <f t="shared" si="27"/>
        <v>0</v>
      </c>
      <c r="M217" s="2" cm="1">
        <f t="array" ref="M217">SUMPRODUCT(--($L$6:$L$300&lt;&gt;1),--($C$6:$C$300=$C217),$H$6:$H$300)/SUMPRODUCT(--($L$6:$L$300&lt;&gt;1),--($C$6:$C$300=$C217),$E$6:$E$300)</f>
        <v>880.714673659087</v>
      </c>
      <c r="N217" s="1" cm="1">
        <f t="array" ref="N217">SUMPRODUCT(--($L$6:$L$300&lt;&gt;1),--($C$6:$C$300=$C217))</f>
        <v>50</v>
      </c>
      <c r="O217" s="3">
        <f t="shared" si="29"/>
        <v>1431.8306462144014</v>
      </c>
      <c r="P217" s="2" cm="1">
        <f t="array" ref="P217">SQRT(SUMPRODUCT(--($L$6:$L$300&lt;&gt;1),--($C$6:$C$300=$C217),$E$6:$E$300,$O$6:$O$300)/((N217-1)*SUMPRODUCT(--($L$6:$L$300&lt;&gt;1),--($C$6:$C$300=$C217),$E$6:$E$300)/N217))</f>
        <v>656.20300757816824</v>
      </c>
      <c r="Q217" s="2">
        <f t="shared" si="23"/>
        <v>39.756681982210125</v>
      </c>
      <c r="R217" s="2">
        <f t="shared" si="23"/>
        <v>1721.6726653359638</v>
      </c>
      <c r="S217" s="2">
        <f t="shared" si="30"/>
        <v>918.55421179335076</v>
      </c>
    </row>
    <row r="218" spans="2:19" x14ac:dyDescent="0.3">
      <c r="B218" s="9">
        <v>922</v>
      </c>
      <c r="C218" s="9">
        <v>8</v>
      </c>
      <c r="D218" s="8" t="s">
        <v>246</v>
      </c>
      <c r="E218" s="125">
        <f>INDEX('Revised 2018 Lockdown'!H$5:H$253,MATCH(B218,'Revised 2018 Lockdown'!B$5:B$253,0))</f>
        <v>137.07</v>
      </c>
      <c r="F218" s="7">
        <f>INDEX('Revised 2018 Lockdown'!E$5:E$253,MATCH(B218,'Revised 2018 Lockdown'!B$5:B$253,0))</f>
        <v>138545.48000000001</v>
      </c>
      <c r="G218" s="7">
        <f>INDEX('Revised 2018 Lockdown'!F$5:F$253,MATCH(B218,'Revised 2018 Lockdown'!B$5:B$253,0))</f>
        <v>12389.89</v>
      </c>
      <c r="H218" s="7">
        <f t="shared" si="24"/>
        <v>126155.59000000001</v>
      </c>
      <c r="I218" s="6">
        <f t="shared" si="25"/>
        <v>920.37345881666317</v>
      </c>
      <c r="J218" s="6">
        <f t="shared" si="28"/>
        <v>920.37345881666317</v>
      </c>
      <c r="K218" s="5">
        <f t="shared" si="26"/>
        <v>126155.59000000001</v>
      </c>
      <c r="L218" s="4">
        <f t="shared" si="27"/>
        <v>0</v>
      </c>
      <c r="M218" s="2" cm="1">
        <f t="array" ref="M218">SUMPRODUCT(--($L$6:$L$300&lt;&gt;1),--($C$6:$C$300=$C218),$H$6:$H$300)/SUMPRODUCT(--($L$6:$L$300&lt;&gt;1),--($C$6:$C$300=$C218),$E$6:$E$300)</f>
        <v>880.714673659087</v>
      </c>
      <c r="N218" s="1" cm="1">
        <f t="array" ref="N218">SUMPRODUCT(--($L$6:$L$300&lt;&gt;1),--($C$6:$C$300=$C218))</f>
        <v>50</v>
      </c>
      <c r="O218" s="3">
        <f t="shared" si="29"/>
        <v>1572.8192401747845</v>
      </c>
      <c r="P218" s="2" cm="1">
        <f t="array" ref="P218">SQRT(SUMPRODUCT(--($L$6:$L$300&lt;&gt;1),--($C$6:$C$300=$C218),$E$6:$E$300,$O$6:$O$300)/((N218-1)*SUMPRODUCT(--($L$6:$L$300&lt;&gt;1),--($C$6:$C$300=$C218),$E$6:$E$300)/N218))</f>
        <v>656.20300757816824</v>
      </c>
      <c r="Q218" s="2">
        <f t="shared" si="23"/>
        <v>39.756681982210125</v>
      </c>
      <c r="R218" s="2">
        <f t="shared" si="23"/>
        <v>1721.6726653359638</v>
      </c>
      <c r="S218" s="2">
        <f t="shared" si="30"/>
        <v>920.37345881666317</v>
      </c>
    </row>
    <row r="219" spans="2:19" x14ac:dyDescent="0.3">
      <c r="B219" s="9">
        <v>924</v>
      </c>
      <c r="C219" s="9">
        <v>8</v>
      </c>
      <c r="D219" s="8" t="s">
        <v>247</v>
      </c>
      <c r="E219" s="125">
        <f>INDEX('Revised 2018 Lockdown'!H$5:H$253,MATCH(B219,'Revised 2018 Lockdown'!B$5:B$253,0))</f>
        <v>101.88038464219379</v>
      </c>
      <c r="F219" s="7">
        <f>INDEX('Revised 2018 Lockdown'!E$5:E$253,MATCH(B219,'Revised 2018 Lockdown'!B$5:B$253,0))</f>
        <v>59433.15</v>
      </c>
      <c r="G219" s="7">
        <f>INDEX('Revised 2018 Lockdown'!F$5:F$253,MATCH(B219,'Revised 2018 Lockdown'!B$5:B$253,0))</f>
        <v>0</v>
      </c>
      <c r="H219" s="7">
        <f t="shared" si="24"/>
        <v>59433.15</v>
      </c>
      <c r="I219" s="6">
        <f t="shared" si="25"/>
        <v>583.36204961073292</v>
      </c>
      <c r="J219" s="6">
        <f t="shared" si="28"/>
        <v>583.36204961073292</v>
      </c>
      <c r="K219" s="5">
        <f t="shared" si="26"/>
        <v>59433.150000000009</v>
      </c>
      <c r="L219" s="4">
        <f t="shared" si="27"/>
        <v>0</v>
      </c>
      <c r="M219" s="2" cm="1">
        <f t="array" ref="M219">SUMPRODUCT(--($L$6:$L$300&lt;&gt;1),--($C$6:$C$300=$C219),$H$6:$H$300)/SUMPRODUCT(--($L$6:$L$300&lt;&gt;1),--($C$6:$C$300=$C219),$E$6:$E$300)</f>
        <v>880.714673659087</v>
      </c>
      <c r="N219" s="1" cm="1">
        <f t="array" ref="N219">SUMPRODUCT(--($L$6:$L$300&lt;&gt;1),--($C$6:$C$300=$C219))</f>
        <v>50</v>
      </c>
      <c r="O219" s="3">
        <f t="shared" si="29"/>
        <v>88418.583028441804</v>
      </c>
      <c r="P219" s="2" cm="1">
        <f t="array" ref="P219">SQRT(SUMPRODUCT(--($L$6:$L$300&lt;&gt;1),--($C$6:$C$300=$C219),$E$6:$E$300,$O$6:$O$300)/((N219-1)*SUMPRODUCT(--($L$6:$L$300&lt;&gt;1),--($C$6:$C$300=$C219),$E$6:$E$300)/N219))</f>
        <v>656.20300757816824</v>
      </c>
      <c r="Q219" s="2">
        <f t="shared" si="23"/>
        <v>39.756681982210125</v>
      </c>
      <c r="R219" s="2">
        <f t="shared" si="23"/>
        <v>1721.6726653359638</v>
      </c>
      <c r="S219" s="2">
        <f t="shared" si="30"/>
        <v>583.36204961073292</v>
      </c>
    </row>
    <row r="220" spans="2:19" x14ac:dyDescent="0.3">
      <c r="B220" s="9">
        <v>929</v>
      </c>
      <c r="C220" s="9">
        <v>8</v>
      </c>
      <c r="D220" s="8" t="s">
        <v>248</v>
      </c>
      <c r="E220" s="125">
        <f>INDEX('Revised 2018 Lockdown'!H$5:H$253,MATCH(B220,'Revised 2018 Lockdown'!B$5:B$253,0))</f>
        <v>63.122914896030849</v>
      </c>
      <c r="F220" s="7">
        <f>INDEX('Revised 2018 Lockdown'!E$5:E$253,MATCH(B220,'Revised 2018 Lockdown'!B$5:B$253,0))</f>
        <v>48337.61</v>
      </c>
      <c r="G220" s="7">
        <f>INDEX('Revised 2018 Lockdown'!F$5:F$253,MATCH(B220,'Revised 2018 Lockdown'!B$5:B$253,0))</f>
        <v>0</v>
      </c>
      <c r="H220" s="7">
        <f t="shared" si="24"/>
        <v>48337.61</v>
      </c>
      <c r="I220" s="6">
        <f t="shared" si="25"/>
        <v>765.76961123573608</v>
      </c>
      <c r="J220" s="6">
        <f t="shared" si="28"/>
        <v>765.76961123573608</v>
      </c>
      <c r="K220" s="5">
        <f t="shared" si="26"/>
        <v>48337.61</v>
      </c>
      <c r="L220" s="4">
        <f t="shared" si="27"/>
        <v>0</v>
      </c>
      <c r="M220" s="2" cm="1">
        <f t="array" ref="M220">SUMPRODUCT(--($L$6:$L$300&lt;&gt;1),--($C$6:$C$300=$C220),$H$6:$H$300)/SUMPRODUCT(--($L$6:$L$300&lt;&gt;1),--($C$6:$C$300=$C220),$E$6:$E$300)</f>
        <v>880.714673659087</v>
      </c>
      <c r="N220" s="1" cm="1">
        <f t="array" ref="N220">SUMPRODUCT(--($L$6:$L$300&lt;&gt;1),--($C$6:$C$300=$C220))</f>
        <v>50</v>
      </c>
      <c r="O220" s="3">
        <f t="shared" si="29"/>
        <v>13212.36737550804</v>
      </c>
      <c r="P220" s="2" cm="1">
        <f t="array" ref="P220">SQRT(SUMPRODUCT(--($L$6:$L$300&lt;&gt;1),--($C$6:$C$300=$C220),$E$6:$E$300,$O$6:$O$300)/((N220-1)*SUMPRODUCT(--($L$6:$L$300&lt;&gt;1),--($C$6:$C$300=$C220),$E$6:$E$300)/N220))</f>
        <v>656.20300757816824</v>
      </c>
      <c r="Q220" s="2">
        <f t="shared" si="23"/>
        <v>39.756681982210125</v>
      </c>
      <c r="R220" s="2">
        <f t="shared" si="23"/>
        <v>1721.6726653359638</v>
      </c>
      <c r="S220" s="2">
        <f t="shared" si="30"/>
        <v>765.76961123573608</v>
      </c>
    </row>
    <row r="221" spans="2:19" x14ac:dyDescent="0.3">
      <c r="B221" s="9">
        <v>955</v>
      </c>
      <c r="C221" s="9">
        <v>8</v>
      </c>
      <c r="D221" s="8" t="s">
        <v>249</v>
      </c>
      <c r="E221" s="125">
        <f>INDEX('Revised 2018 Lockdown'!H$5:H$253,MATCH(B221,'Revised 2018 Lockdown'!B$5:B$253,0))</f>
        <v>40.67169248967609</v>
      </c>
      <c r="F221" s="7">
        <f>INDEX('Revised 2018 Lockdown'!E$5:E$253,MATCH(B221,'Revised 2018 Lockdown'!B$5:B$253,0))</f>
        <v>22678.11</v>
      </c>
      <c r="G221" s="7">
        <f>INDEX('Revised 2018 Lockdown'!F$5:F$253,MATCH(B221,'Revised 2018 Lockdown'!B$5:B$253,0))</f>
        <v>0</v>
      </c>
      <c r="H221" s="7">
        <f t="shared" si="24"/>
        <v>22678.11</v>
      </c>
      <c r="I221" s="6">
        <f t="shared" si="25"/>
        <v>557.58953246798137</v>
      </c>
      <c r="J221" s="6">
        <f t="shared" si="28"/>
        <v>557.58953246798137</v>
      </c>
      <c r="K221" s="5">
        <f t="shared" si="26"/>
        <v>22678.11</v>
      </c>
      <c r="L221" s="4">
        <f t="shared" si="27"/>
        <v>0</v>
      </c>
      <c r="M221" s="2" cm="1">
        <f t="array" ref="M221">SUMPRODUCT(--($L$6:$L$300&lt;&gt;1),--($C$6:$C$300=$C221),$H$6:$H$300)/SUMPRODUCT(--($L$6:$L$300&lt;&gt;1),--($C$6:$C$300=$C221),$E$6:$E$300)</f>
        <v>880.714673659087</v>
      </c>
      <c r="N221" s="1" cm="1">
        <f t="array" ref="N221">SUMPRODUCT(--($L$6:$L$300&lt;&gt;1),--($C$6:$C$300=$C221))</f>
        <v>50</v>
      </c>
      <c r="O221" s="3">
        <f t="shared" si="29"/>
        <v>104409.85686977195</v>
      </c>
      <c r="P221" s="2" cm="1">
        <f t="array" ref="P221">SQRT(SUMPRODUCT(--($L$6:$L$300&lt;&gt;1),--($C$6:$C$300=$C221),$E$6:$E$300,$O$6:$O$300)/((N221-1)*SUMPRODUCT(--($L$6:$L$300&lt;&gt;1),--($C$6:$C$300=$C221),$E$6:$E$300)/N221))</f>
        <v>656.20300757816824</v>
      </c>
      <c r="Q221" s="2">
        <f t="shared" si="23"/>
        <v>39.756681982210125</v>
      </c>
      <c r="R221" s="2">
        <f t="shared" si="23"/>
        <v>1721.6726653359638</v>
      </c>
      <c r="S221" s="2">
        <f t="shared" si="30"/>
        <v>557.58953246798137</v>
      </c>
    </row>
    <row r="222" spans="2:19" x14ac:dyDescent="0.3">
      <c r="B222" s="9">
        <v>973</v>
      </c>
      <c r="C222" s="9">
        <v>8</v>
      </c>
      <c r="D222" s="8" t="s">
        <v>250</v>
      </c>
      <c r="E222" s="125">
        <f>INDEX('Revised 2018 Lockdown'!H$5:H$253,MATCH(B222,'Revised 2018 Lockdown'!B$5:B$253,0))</f>
        <v>7.5601498980809678</v>
      </c>
      <c r="F222" s="7">
        <f>INDEX('Revised 2018 Lockdown'!E$5:E$253,MATCH(B222,'Revised 2018 Lockdown'!B$5:B$253,0))</f>
        <v>10497.69</v>
      </c>
      <c r="G222" s="7">
        <f>INDEX('Revised 2018 Lockdown'!F$5:F$253,MATCH(B222,'Revised 2018 Lockdown'!B$5:B$253,0))</f>
        <v>0</v>
      </c>
      <c r="H222" s="7">
        <f t="shared" si="24"/>
        <v>10497.69</v>
      </c>
      <c r="I222" s="6">
        <f t="shared" si="25"/>
        <v>1388.5558013426009</v>
      </c>
      <c r="J222" s="6">
        <f t="shared" si="28"/>
        <v>1388.5558013426009</v>
      </c>
      <c r="K222" s="5">
        <f t="shared" si="26"/>
        <v>10497.69</v>
      </c>
      <c r="L222" s="4">
        <f t="shared" si="27"/>
        <v>0</v>
      </c>
      <c r="M222" s="2" cm="1">
        <f t="array" ref="M222">SUMPRODUCT(--($L$6:$L$300&lt;&gt;1),--($C$6:$C$300=$C222),$H$6:$H$300)/SUMPRODUCT(--($L$6:$L$300&lt;&gt;1),--($C$6:$C$300=$C222),$E$6:$E$300)</f>
        <v>880.714673659087</v>
      </c>
      <c r="N222" s="1" cm="1">
        <f t="array" ref="N222">SUMPRODUCT(--($L$6:$L$300&lt;&gt;1),--($C$6:$C$300=$C222))</f>
        <v>50</v>
      </c>
      <c r="O222" s="3">
        <f t="shared" si="29"/>
        <v>257902.61096686311</v>
      </c>
      <c r="P222" s="2" cm="1">
        <f t="array" ref="P222">SQRT(SUMPRODUCT(--($L$6:$L$300&lt;&gt;1),--($C$6:$C$300=$C222),$E$6:$E$300,$O$6:$O$300)/((N222-1)*SUMPRODUCT(--($L$6:$L$300&lt;&gt;1),--($C$6:$C$300=$C222),$E$6:$E$300)/N222))</f>
        <v>656.20300757816824</v>
      </c>
      <c r="Q222" s="2">
        <f t="shared" si="23"/>
        <v>39.756681982210125</v>
      </c>
      <c r="R222" s="2">
        <f t="shared" si="23"/>
        <v>1721.6726653359638</v>
      </c>
      <c r="S222" s="2">
        <f t="shared" si="30"/>
        <v>1388.5558013426009</v>
      </c>
    </row>
    <row r="223" spans="2:19" x14ac:dyDescent="0.3">
      <c r="B223" s="9">
        <v>974</v>
      </c>
      <c r="C223" s="9">
        <v>8</v>
      </c>
      <c r="D223" s="8" t="s">
        <v>251</v>
      </c>
      <c r="E223" s="125">
        <f>INDEX('Revised 2018 Lockdown'!H$5:H$253,MATCH(B223,'Revised 2018 Lockdown'!B$5:B$253,0))</f>
        <v>15.839999999999998</v>
      </c>
      <c r="F223" s="7">
        <f>INDEX('Revised 2018 Lockdown'!E$5:E$253,MATCH(B223,'Revised 2018 Lockdown'!B$5:B$253,0))</f>
        <v>14226.72</v>
      </c>
      <c r="G223" s="7">
        <f>INDEX('Revised 2018 Lockdown'!F$5:F$253,MATCH(B223,'Revised 2018 Lockdown'!B$5:B$253,0))</f>
        <v>0</v>
      </c>
      <c r="H223" s="7">
        <f t="shared" si="24"/>
        <v>14226.72</v>
      </c>
      <c r="I223" s="6">
        <f t="shared" si="25"/>
        <v>898.15151515151524</v>
      </c>
      <c r="J223" s="6">
        <f t="shared" si="28"/>
        <v>898.15151515151524</v>
      </c>
      <c r="K223" s="5">
        <f t="shared" si="26"/>
        <v>14226.72</v>
      </c>
      <c r="L223" s="4">
        <f t="shared" si="27"/>
        <v>0</v>
      </c>
      <c r="M223" s="2" cm="1">
        <f t="array" ref="M223">SUMPRODUCT(--($L$6:$L$300&lt;&gt;1),--($C$6:$C$300=$C223),$H$6:$H$300)/SUMPRODUCT(--($L$6:$L$300&lt;&gt;1),--($C$6:$C$300=$C223),$E$6:$E$300)</f>
        <v>880.714673659087</v>
      </c>
      <c r="N223" s="1" cm="1">
        <f t="array" ref="N223">SUMPRODUCT(--($L$6:$L$300&lt;&gt;1),--($C$6:$C$300=$C223))</f>
        <v>50</v>
      </c>
      <c r="O223" s="3">
        <f t="shared" si="29"/>
        <v>304.04344123206721</v>
      </c>
      <c r="P223" s="2" cm="1">
        <f t="array" ref="P223">SQRT(SUMPRODUCT(--($L$6:$L$300&lt;&gt;1),--($C$6:$C$300=$C223),$E$6:$E$300,$O$6:$O$300)/((N223-1)*SUMPRODUCT(--($L$6:$L$300&lt;&gt;1),--($C$6:$C$300=$C223),$E$6:$E$300)/N223))</f>
        <v>656.20300757816824</v>
      </c>
      <c r="Q223" s="2">
        <f t="shared" si="23"/>
        <v>39.756681982210125</v>
      </c>
      <c r="R223" s="2">
        <f t="shared" si="23"/>
        <v>1721.6726653359638</v>
      </c>
      <c r="S223" s="2">
        <f t="shared" si="30"/>
        <v>898.15151515151524</v>
      </c>
    </row>
    <row r="224" spans="2:19" x14ac:dyDescent="0.3">
      <c r="B224" s="9">
        <v>985</v>
      </c>
      <c r="C224" s="9">
        <v>8</v>
      </c>
      <c r="D224" s="8" t="s">
        <v>253</v>
      </c>
      <c r="E224" s="125">
        <f>INDEX('Revised 2018 Lockdown'!H$5:H$253,MATCH(B224,'Revised 2018 Lockdown'!B$5:B$253,0))</f>
        <v>44.348356494097104</v>
      </c>
      <c r="F224" s="7">
        <f>INDEX('Revised 2018 Lockdown'!E$5:E$253,MATCH(B224,'Revised 2018 Lockdown'!B$5:B$253,0))</f>
        <v>97273.34</v>
      </c>
      <c r="G224" s="7">
        <f>INDEX('Revised 2018 Lockdown'!F$5:F$253,MATCH(B224,'Revised 2018 Lockdown'!B$5:B$253,0))</f>
        <v>0</v>
      </c>
      <c r="H224" s="7">
        <f t="shared" si="24"/>
        <v>97273.34</v>
      </c>
      <c r="I224" s="6">
        <f t="shared" si="25"/>
        <v>2193.3922176563042</v>
      </c>
      <c r="J224" s="6">
        <f t="shared" si="28"/>
        <v>1721.6726653359638</v>
      </c>
      <c r="K224" s="5">
        <f t="shared" si="26"/>
        <v>76353.353128461662</v>
      </c>
      <c r="L224" s="4">
        <f t="shared" si="27"/>
        <v>0</v>
      </c>
      <c r="M224" s="2" cm="1">
        <f t="array" ref="M224">SUMPRODUCT(--($L$6:$L$300&lt;&gt;1),--($C$6:$C$300=$C224),$H$6:$H$300)/SUMPRODUCT(--($L$6:$L$300&lt;&gt;1),--($C$6:$C$300=$C224),$E$6:$E$300)</f>
        <v>880.714673659087</v>
      </c>
      <c r="N224" s="1" cm="1">
        <f t="array" ref="N224">SUMPRODUCT(--($L$6:$L$300&lt;&gt;1),--($C$6:$C$300=$C224))</f>
        <v>50</v>
      </c>
      <c r="O224" s="3">
        <f t="shared" si="29"/>
        <v>1723122.3345145658</v>
      </c>
      <c r="P224" s="2" cm="1">
        <f t="array" ref="P224">SQRT(SUMPRODUCT(--($L$6:$L$300&lt;&gt;1),--($C$6:$C$300=$C224),$E$6:$E$300,$O$6:$O$300)/((N224-1)*SUMPRODUCT(--($L$6:$L$300&lt;&gt;1),--($C$6:$C$300=$C224),$E$6:$E$300)/N224))</f>
        <v>656.20300757816824</v>
      </c>
      <c r="Q224" s="2">
        <f t="shared" si="23"/>
        <v>39.756681982210125</v>
      </c>
      <c r="R224" s="2">
        <f t="shared" si="23"/>
        <v>1721.6726653359638</v>
      </c>
      <c r="S224" s="2">
        <f t="shared" si="30"/>
        <v>1721.6726653359638</v>
      </c>
    </row>
    <row r="225" spans="2:19" x14ac:dyDescent="0.3">
      <c r="B225" s="9">
        <v>159</v>
      </c>
      <c r="C225" s="9">
        <v>9</v>
      </c>
      <c r="D225" s="8" t="s">
        <v>255</v>
      </c>
      <c r="E225" s="125">
        <f>INDEX('Revised 2018 Lockdown'!H$5:H$253,MATCH(B225,'Revised 2018 Lockdown'!B$5:B$253,0))</f>
        <v>836.30648189824205</v>
      </c>
      <c r="F225" s="7">
        <f>INDEX('Revised 2018 Lockdown'!E$5:E$253,MATCH(B225,'Revised 2018 Lockdown'!B$5:B$253,0))</f>
        <v>185850.32</v>
      </c>
      <c r="G225" s="7">
        <f>INDEX('Revised 2018 Lockdown'!F$5:F$253,MATCH(B225,'Revised 2018 Lockdown'!B$5:B$253,0))</f>
        <v>0</v>
      </c>
      <c r="H225" s="7">
        <f t="shared" si="24"/>
        <v>185850.32</v>
      </c>
      <c r="I225" s="6">
        <f t="shared" si="25"/>
        <v>222.22752546190767</v>
      </c>
      <c r="J225" s="6">
        <f t="shared" si="28"/>
        <v>222.22752546190767</v>
      </c>
      <c r="K225" s="5">
        <f t="shared" si="26"/>
        <v>185850.32</v>
      </c>
      <c r="L225" s="4">
        <f t="shared" si="27"/>
        <v>0</v>
      </c>
      <c r="M225" s="2" cm="1">
        <f t="array" ref="M225">SUMPRODUCT(--($L$6:$L$300&lt;&gt;1),--($C$6:$C$300=$C225),$H$6:$H$300)/SUMPRODUCT(--($L$6:$L$300&lt;&gt;1),--($C$6:$C$300=$C225),$E$6:$E$300)</f>
        <v>654.14930531507116</v>
      </c>
      <c r="N225" s="1" cm="1">
        <f t="array" ref="N225">SUMPRODUCT(--($L$6:$L$300&lt;&gt;1),--($C$6:$C$300=$C225))</f>
        <v>30</v>
      </c>
      <c r="O225" s="3">
        <f t="shared" si="29"/>
        <v>186556.42391152459</v>
      </c>
      <c r="P225" s="2" cm="1">
        <f t="array" ref="P225">SQRT(SUMPRODUCT(--($L$6:$L$300&lt;&gt;1),--($C$6:$C$300=$C225),$E$6:$E$300,$O$6:$O$300)/((N225-1)*SUMPRODUCT(--($L$6:$L$300&lt;&gt;1),--($C$6:$C$300=$C225),$E$6:$E$300)/N225))</f>
        <v>549.95980378695197</v>
      </c>
      <c r="Q225" s="2">
        <f t="shared" si="23"/>
        <v>-50.652542214698542</v>
      </c>
      <c r="R225" s="2">
        <f t="shared" si="23"/>
        <v>1358.9511528448409</v>
      </c>
      <c r="S225" s="2">
        <f t="shared" si="30"/>
        <v>222.22752546190767</v>
      </c>
    </row>
    <row r="226" spans="2:19" x14ac:dyDescent="0.3">
      <c r="B226" s="9">
        <v>173</v>
      </c>
      <c r="C226" s="9">
        <v>9</v>
      </c>
      <c r="D226" s="8" t="s">
        <v>256</v>
      </c>
      <c r="E226" s="125">
        <f>INDEX('Revised 2018 Lockdown'!H$5:H$253,MATCH(B226,'Revised 2018 Lockdown'!B$5:B$253,0))</f>
        <v>331.48</v>
      </c>
      <c r="F226" s="7">
        <f>INDEX('Revised 2018 Lockdown'!E$5:E$253,MATCH(B226,'Revised 2018 Lockdown'!B$5:B$253,0))</f>
        <v>163416.66</v>
      </c>
      <c r="G226" s="7">
        <f>INDEX('Revised 2018 Lockdown'!F$5:F$253,MATCH(B226,'Revised 2018 Lockdown'!B$5:B$253,0))</f>
        <v>8.85</v>
      </c>
      <c r="H226" s="7">
        <f t="shared" si="24"/>
        <v>163407.81</v>
      </c>
      <c r="I226" s="6">
        <f t="shared" si="25"/>
        <v>492.96431157234218</v>
      </c>
      <c r="J226" s="6">
        <f t="shared" si="28"/>
        <v>492.96431157234218</v>
      </c>
      <c r="K226" s="5">
        <f t="shared" si="26"/>
        <v>163407.81</v>
      </c>
      <c r="L226" s="4">
        <f t="shared" si="27"/>
        <v>0</v>
      </c>
      <c r="M226" s="2" cm="1">
        <f t="array" ref="M226">SUMPRODUCT(--($L$6:$L$300&lt;&gt;1),--($C$6:$C$300=$C226),$H$6:$H$300)/SUMPRODUCT(--($L$6:$L$300&lt;&gt;1),--($C$6:$C$300=$C226),$E$6:$E$300)</f>
        <v>654.14930531507116</v>
      </c>
      <c r="N226" s="1" cm="1">
        <f t="array" ref="N226">SUMPRODUCT(--($L$6:$L$300&lt;&gt;1),--($C$6:$C$300=$C226))</f>
        <v>30</v>
      </c>
      <c r="O226" s="3">
        <f t="shared" si="29"/>
        <v>25980.602207843578</v>
      </c>
      <c r="P226" s="2" cm="1">
        <f t="array" ref="P226">SQRT(SUMPRODUCT(--($L$6:$L$300&lt;&gt;1),--($C$6:$C$300=$C226),$E$6:$E$300,$O$6:$O$300)/((N226-1)*SUMPRODUCT(--($L$6:$L$300&lt;&gt;1),--($C$6:$C$300=$C226),$E$6:$E$300)/N226))</f>
        <v>549.95980378695197</v>
      </c>
      <c r="Q226" s="2">
        <f t="shared" si="23"/>
        <v>-50.652542214698542</v>
      </c>
      <c r="R226" s="2">
        <f t="shared" si="23"/>
        <v>1358.9511528448409</v>
      </c>
      <c r="S226" s="2">
        <f t="shared" si="30"/>
        <v>492.96431157234218</v>
      </c>
    </row>
    <row r="227" spans="2:19" x14ac:dyDescent="0.3">
      <c r="B227" s="9">
        <v>204</v>
      </c>
      <c r="C227" s="9">
        <v>9</v>
      </c>
      <c r="D227" s="8" t="s">
        <v>257</v>
      </c>
      <c r="E227" s="125">
        <f>INDEX('Revised 2018 Lockdown'!H$5:H$253,MATCH(B227,'Revised 2018 Lockdown'!B$5:B$253,0))</f>
        <v>581.54937871071559</v>
      </c>
      <c r="F227" s="7">
        <f>INDEX('Revised 2018 Lockdown'!E$5:E$253,MATCH(B227,'Revised 2018 Lockdown'!B$5:B$253,0))</f>
        <v>440563.7</v>
      </c>
      <c r="G227" s="7">
        <f>INDEX('Revised 2018 Lockdown'!F$5:F$253,MATCH(B227,'Revised 2018 Lockdown'!B$5:B$253,0))</f>
        <v>14024.64</v>
      </c>
      <c r="H227" s="7">
        <f t="shared" si="24"/>
        <v>426539.06</v>
      </c>
      <c r="I227" s="6">
        <f t="shared" si="25"/>
        <v>733.45286851759579</v>
      </c>
      <c r="J227" s="6">
        <f t="shared" si="28"/>
        <v>733.45286851759579</v>
      </c>
      <c r="K227" s="5">
        <f t="shared" si="26"/>
        <v>426539.06</v>
      </c>
      <c r="L227" s="4">
        <f t="shared" si="27"/>
        <v>0</v>
      </c>
      <c r="M227" s="2" cm="1">
        <f t="array" ref="M227">SUMPRODUCT(--($L$6:$L$300&lt;&gt;1),--($C$6:$C$300=$C227),$H$6:$H$300)/SUMPRODUCT(--($L$6:$L$300&lt;&gt;1),--($C$6:$C$300=$C227),$E$6:$E$300)</f>
        <v>654.14930531507116</v>
      </c>
      <c r="N227" s="1" cm="1">
        <f t="array" ref="N227">SUMPRODUCT(--($L$6:$L$300&lt;&gt;1),--($C$6:$C$300=$C227))</f>
        <v>30</v>
      </c>
      <c r="O227" s="3">
        <f t="shared" si="29"/>
        <v>6289.0551366168183</v>
      </c>
      <c r="P227" s="2" cm="1">
        <f t="array" ref="P227">SQRT(SUMPRODUCT(--($L$6:$L$300&lt;&gt;1),--($C$6:$C$300=$C227),$E$6:$E$300,$O$6:$O$300)/((N227-1)*SUMPRODUCT(--($L$6:$L$300&lt;&gt;1),--($C$6:$C$300=$C227),$E$6:$E$300)/N227))</f>
        <v>549.95980378695197</v>
      </c>
      <c r="Q227" s="2">
        <f t="shared" si="23"/>
        <v>-50.652542214698542</v>
      </c>
      <c r="R227" s="2">
        <f t="shared" si="23"/>
        <v>1358.9511528448409</v>
      </c>
      <c r="S227" s="2">
        <f t="shared" si="30"/>
        <v>733.45286851759579</v>
      </c>
    </row>
    <row r="228" spans="2:19" x14ac:dyDescent="0.3">
      <c r="B228" s="9">
        <v>230</v>
      </c>
      <c r="C228" s="9">
        <v>9</v>
      </c>
      <c r="D228" s="8" t="s">
        <v>259</v>
      </c>
      <c r="E228" s="125">
        <f>INDEX('Revised 2018 Lockdown'!H$5:H$253,MATCH(B228,'Revised 2018 Lockdown'!B$5:B$253,0))</f>
        <v>138.87041277126787</v>
      </c>
      <c r="F228" s="7">
        <f>INDEX('Revised 2018 Lockdown'!E$5:E$253,MATCH(B228,'Revised 2018 Lockdown'!B$5:B$253,0))</f>
        <v>74126.899999999994</v>
      </c>
      <c r="G228" s="7">
        <f>INDEX('Revised 2018 Lockdown'!F$5:F$253,MATCH(B228,'Revised 2018 Lockdown'!B$5:B$253,0))</f>
        <v>2183.36</v>
      </c>
      <c r="H228" s="7">
        <f t="shared" si="24"/>
        <v>71943.539999999994</v>
      </c>
      <c r="I228" s="6">
        <f t="shared" si="25"/>
        <v>518.06240482987198</v>
      </c>
      <c r="J228" s="6">
        <f t="shared" si="28"/>
        <v>518.06240482987198</v>
      </c>
      <c r="K228" s="5">
        <f t="shared" si="26"/>
        <v>71943.539999999994</v>
      </c>
      <c r="L228" s="4">
        <f t="shared" si="27"/>
        <v>0</v>
      </c>
      <c r="M228" s="2" cm="1">
        <f t="array" ref="M228">SUMPRODUCT(--($L$6:$L$300&lt;&gt;1),--($C$6:$C$300=$C228),$H$6:$H$300)/SUMPRODUCT(--($L$6:$L$300&lt;&gt;1),--($C$6:$C$300=$C228),$E$6:$E$300)</f>
        <v>654.14930531507116</v>
      </c>
      <c r="N228" s="1" cm="1">
        <f t="array" ref="N228">SUMPRODUCT(--($L$6:$L$300&lt;&gt;1),--($C$6:$C$300=$C228))</f>
        <v>30</v>
      </c>
      <c r="O228" s="3">
        <f t="shared" si="29"/>
        <v>18519.644483668504</v>
      </c>
      <c r="P228" s="2" cm="1">
        <f t="array" ref="P228">SQRT(SUMPRODUCT(--($L$6:$L$300&lt;&gt;1),--($C$6:$C$300=$C228),$E$6:$E$300,$O$6:$O$300)/((N228-1)*SUMPRODUCT(--($L$6:$L$300&lt;&gt;1),--($C$6:$C$300=$C228),$E$6:$E$300)/N228))</f>
        <v>549.95980378695197</v>
      </c>
      <c r="Q228" s="2">
        <f t="shared" si="23"/>
        <v>-50.652542214698542</v>
      </c>
      <c r="R228" s="2">
        <f t="shared" si="23"/>
        <v>1358.9511528448409</v>
      </c>
      <c r="S228" s="2">
        <f t="shared" si="30"/>
        <v>518.06240482987198</v>
      </c>
    </row>
    <row r="229" spans="2:19" x14ac:dyDescent="0.3">
      <c r="B229" s="9">
        <v>277</v>
      </c>
      <c r="C229" s="9">
        <v>9</v>
      </c>
      <c r="D229" s="8" t="s">
        <v>260</v>
      </c>
      <c r="E229" s="125">
        <f>INDEX('Revised 2018 Lockdown'!H$5:H$253,MATCH(B229,'Revised 2018 Lockdown'!B$5:B$253,0))</f>
        <v>116.68788323704716</v>
      </c>
      <c r="F229" s="7">
        <f>INDEX('Revised 2018 Lockdown'!E$5:E$253,MATCH(B229,'Revised 2018 Lockdown'!B$5:B$253,0))</f>
        <v>80836.320000000007</v>
      </c>
      <c r="G229" s="7">
        <f>INDEX('Revised 2018 Lockdown'!F$5:F$253,MATCH(B229,'Revised 2018 Lockdown'!B$5:B$253,0))</f>
        <v>0</v>
      </c>
      <c r="H229" s="7">
        <f t="shared" si="24"/>
        <v>80836.320000000007</v>
      </c>
      <c r="I229" s="6">
        <f t="shared" si="25"/>
        <v>692.75676066369272</v>
      </c>
      <c r="J229" s="6">
        <f t="shared" si="28"/>
        <v>692.75676066369272</v>
      </c>
      <c r="K229" s="5">
        <f t="shared" si="26"/>
        <v>80836.320000000007</v>
      </c>
      <c r="L229" s="4">
        <f t="shared" si="27"/>
        <v>0</v>
      </c>
      <c r="M229" s="2" cm="1">
        <f t="array" ref="M229">SUMPRODUCT(--($L$6:$L$300&lt;&gt;1),--($C$6:$C$300=$C229),$H$6:$H$300)/SUMPRODUCT(--($L$6:$L$300&lt;&gt;1),--($C$6:$C$300=$C229),$E$6:$E$300)</f>
        <v>654.14930531507116</v>
      </c>
      <c r="N229" s="1" cm="1">
        <f t="array" ref="N229">SUMPRODUCT(--($L$6:$L$300&lt;&gt;1),--($C$6:$C$300=$C229))</f>
        <v>30</v>
      </c>
      <c r="O229" s="3">
        <f t="shared" si="29"/>
        <v>1490.5356084958073</v>
      </c>
      <c r="P229" s="2" cm="1">
        <f t="array" ref="P229">SQRT(SUMPRODUCT(--($L$6:$L$300&lt;&gt;1),--($C$6:$C$300=$C229),$E$6:$E$300,$O$6:$O$300)/((N229-1)*SUMPRODUCT(--($L$6:$L$300&lt;&gt;1),--($C$6:$C$300=$C229),$E$6:$E$300)/N229))</f>
        <v>549.95980378695197</v>
      </c>
      <c r="Q229" s="2">
        <f t="shared" si="23"/>
        <v>-50.652542214698542</v>
      </c>
      <c r="R229" s="2">
        <f t="shared" si="23"/>
        <v>1358.9511528448409</v>
      </c>
      <c r="S229" s="2">
        <f t="shared" si="30"/>
        <v>692.75676066369272</v>
      </c>
    </row>
    <row r="230" spans="2:19" x14ac:dyDescent="0.3">
      <c r="B230" s="9">
        <v>279</v>
      </c>
      <c r="C230" s="9">
        <v>9</v>
      </c>
      <c r="D230" s="8" t="s">
        <v>261</v>
      </c>
      <c r="E230" s="125">
        <f>INDEX('Revised 2018 Lockdown'!H$5:H$253,MATCH(B230,'Revised 2018 Lockdown'!B$5:B$253,0))</f>
        <v>433.73558336916977</v>
      </c>
      <c r="F230" s="7">
        <f>INDEX('Revised 2018 Lockdown'!E$5:E$253,MATCH(B230,'Revised 2018 Lockdown'!B$5:B$253,0))</f>
        <v>170142.93</v>
      </c>
      <c r="G230" s="7">
        <f>INDEX('Revised 2018 Lockdown'!F$5:F$253,MATCH(B230,'Revised 2018 Lockdown'!B$5:B$253,0))</f>
        <v>671.56</v>
      </c>
      <c r="H230" s="7">
        <f t="shared" si="24"/>
        <v>169471.37</v>
      </c>
      <c r="I230" s="6">
        <f t="shared" si="25"/>
        <v>390.72507882240342</v>
      </c>
      <c r="J230" s="6">
        <f t="shared" si="28"/>
        <v>390.72507882240342</v>
      </c>
      <c r="K230" s="5">
        <f t="shared" si="26"/>
        <v>169471.37</v>
      </c>
      <c r="L230" s="4">
        <f t="shared" si="27"/>
        <v>0</v>
      </c>
      <c r="M230" s="2" cm="1">
        <f t="array" ref="M230">SUMPRODUCT(--($L$6:$L$300&lt;&gt;1),--($C$6:$C$300=$C230),$H$6:$H$300)/SUMPRODUCT(--($L$6:$L$300&lt;&gt;1),--($C$6:$C$300=$C230),$E$6:$E$300)</f>
        <v>654.14930531507116</v>
      </c>
      <c r="N230" s="1" cm="1">
        <f t="array" ref="N230">SUMPRODUCT(--($L$6:$L$300&lt;&gt;1),--($C$6:$C$300=$C230))</f>
        <v>30</v>
      </c>
      <c r="O230" s="3">
        <f t="shared" si="29"/>
        <v>69392.323103260307</v>
      </c>
      <c r="P230" s="2" cm="1">
        <f t="array" ref="P230">SQRT(SUMPRODUCT(--($L$6:$L$300&lt;&gt;1),--($C$6:$C$300=$C230),$E$6:$E$300,$O$6:$O$300)/((N230-1)*SUMPRODUCT(--($L$6:$L$300&lt;&gt;1),--($C$6:$C$300=$C230),$E$6:$E$300)/N230))</f>
        <v>549.95980378695197</v>
      </c>
      <c r="Q230" s="2">
        <f t="shared" si="23"/>
        <v>-50.652542214698542</v>
      </c>
      <c r="R230" s="2">
        <f t="shared" si="23"/>
        <v>1358.9511528448409</v>
      </c>
      <c r="S230" s="2">
        <f t="shared" si="30"/>
        <v>390.72507882240342</v>
      </c>
    </row>
    <row r="231" spans="2:19" x14ac:dyDescent="0.3">
      <c r="B231" s="9">
        <v>331</v>
      </c>
      <c r="C231" s="9">
        <v>9</v>
      </c>
      <c r="D231" s="8" t="s">
        <v>262</v>
      </c>
      <c r="E231" s="125">
        <f>INDEX('Revised 2018 Lockdown'!H$5:H$253,MATCH(B231,'Revised 2018 Lockdown'!B$5:B$253,0))</f>
        <v>394.9961487415485</v>
      </c>
      <c r="F231" s="7">
        <f>INDEX('Revised 2018 Lockdown'!E$5:E$253,MATCH(B231,'Revised 2018 Lockdown'!B$5:B$253,0))</f>
        <v>154031.09</v>
      </c>
      <c r="G231" s="7">
        <f>INDEX('Revised 2018 Lockdown'!F$5:F$253,MATCH(B231,'Revised 2018 Lockdown'!B$5:B$253,0))</f>
        <v>1052.98</v>
      </c>
      <c r="H231" s="7">
        <f t="shared" si="24"/>
        <v>152978.10999999999</v>
      </c>
      <c r="I231" s="6">
        <f t="shared" si="25"/>
        <v>387.2901305174388</v>
      </c>
      <c r="J231" s="6">
        <f t="shared" si="28"/>
        <v>387.2901305174388</v>
      </c>
      <c r="K231" s="5">
        <f t="shared" si="26"/>
        <v>152978.10999999999</v>
      </c>
      <c r="L231" s="4">
        <f t="shared" si="27"/>
        <v>0</v>
      </c>
      <c r="M231" s="2" cm="1">
        <f t="array" ref="M231">SUMPRODUCT(--($L$6:$L$300&lt;&gt;1),--($C$6:$C$300=$C231),$H$6:$H$300)/SUMPRODUCT(--($L$6:$L$300&lt;&gt;1),--($C$6:$C$300=$C231),$E$6:$E$300)</f>
        <v>654.14930531507116</v>
      </c>
      <c r="N231" s="1" cm="1">
        <f t="array" ref="N231">SUMPRODUCT(--($L$6:$L$300&lt;&gt;1),--($C$6:$C$300=$C231))</f>
        <v>30</v>
      </c>
      <c r="O231" s="3">
        <f t="shared" si="29"/>
        <v>71213.819173673299</v>
      </c>
      <c r="P231" s="2" cm="1">
        <f t="array" ref="P231">SQRT(SUMPRODUCT(--($L$6:$L$300&lt;&gt;1),--($C$6:$C$300=$C231),$E$6:$E$300,$O$6:$O$300)/((N231-1)*SUMPRODUCT(--($L$6:$L$300&lt;&gt;1),--($C$6:$C$300=$C231),$E$6:$E$300)/N231))</f>
        <v>549.95980378695197</v>
      </c>
      <c r="Q231" s="2">
        <f t="shared" si="23"/>
        <v>-50.652542214698542</v>
      </c>
      <c r="R231" s="2">
        <f t="shared" si="23"/>
        <v>1358.9511528448409</v>
      </c>
      <c r="S231" s="2">
        <f t="shared" si="30"/>
        <v>387.2901305174388</v>
      </c>
    </row>
    <row r="232" spans="2:19" x14ac:dyDescent="0.3">
      <c r="B232" s="9">
        <v>369</v>
      </c>
      <c r="C232" s="9">
        <v>9</v>
      </c>
      <c r="D232" s="8" t="s">
        <v>263</v>
      </c>
      <c r="E232" s="125">
        <f>INDEX('Revised 2018 Lockdown'!H$5:H$253,MATCH(B232,'Revised 2018 Lockdown'!B$5:B$253,0))</f>
        <v>361.24999999999994</v>
      </c>
      <c r="F232" s="7">
        <f>INDEX('Revised 2018 Lockdown'!E$5:E$253,MATCH(B232,'Revised 2018 Lockdown'!B$5:B$253,0))</f>
        <v>450151.28</v>
      </c>
      <c r="G232" s="7">
        <f>INDEX('Revised 2018 Lockdown'!F$5:F$253,MATCH(B232,'Revised 2018 Lockdown'!B$5:B$253,0))</f>
        <v>0</v>
      </c>
      <c r="H232" s="7">
        <f t="shared" si="24"/>
        <v>450151.28</v>
      </c>
      <c r="I232" s="6">
        <f t="shared" si="25"/>
        <v>1246.0935086505192</v>
      </c>
      <c r="J232" s="6">
        <f t="shared" si="28"/>
        <v>1246.0935086505192</v>
      </c>
      <c r="K232" s="5">
        <f t="shared" si="26"/>
        <v>450151.27999999997</v>
      </c>
      <c r="L232" s="4">
        <f t="shared" si="27"/>
        <v>0</v>
      </c>
      <c r="M232" s="2" cm="1">
        <f t="array" ref="M232">SUMPRODUCT(--($L$6:$L$300&lt;&gt;1),--($C$6:$C$300=$C232),$H$6:$H$300)/SUMPRODUCT(--($L$6:$L$300&lt;&gt;1),--($C$6:$C$300=$C232),$E$6:$E$300)</f>
        <v>654.14930531507116</v>
      </c>
      <c r="N232" s="1" cm="1">
        <f t="array" ref="N232">SUMPRODUCT(--($L$6:$L$300&lt;&gt;1),--($C$6:$C$300=$C232))</f>
        <v>30</v>
      </c>
      <c r="O232" s="3">
        <f t="shared" si="29"/>
        <v>350397.93986243824</v>
      </c>
      <c r="P232" s="2" cm="1">
        <f t="array" ref="P232">SQRT(SUMPRODUCT(--($L$6:$L$300&lt;&gt;1),--($C$6:$C$300=$C232),$E$6:$E$300,$O$6:$O$300)/((N232-1)*SUMPRODUCT(--($L$6:$L$300&lt;&gt;1),--($C$6:$C$300=$C232),$E$6:$E$300)/N232))</f>
        <v>549.95980378695197</v>
      </c>
      <c r="Q232" s="2">
        <f t="shared" si="23"/>
        <v>-50.652542214698542</v>
      </c>
      <c r="R232" s="2">
        <f t="shared" si="23"/>
        <v>1358.9511528448409</v>
      </c>
      <c r="S232" s="2">
        <f t="shared" si="30"/>
        <v>1246.0935086505192</v>
      </c>
    </row>
    <row r="233" spans="2:19" x14ac:dyDescent="0.3">
      <c r="B233" s="9">
        <v>416</v>
      </c>
      <c r="C233" s="9">
        <v>9</v>
      </c>
      <c r="D233" s="8" t="s">
        <v>264</v>
      </c>
      <c r="E233" s="125">
        <f>INDEX('Revised 2018 Lockdown'!H$5:H$253,MATCH(B233,'Revised 2018 Lockdown'!B$5:B$253,0))</f>
        <v>77.118166884407984</v>
      </c>
      <c r="F233" s="7">
        <f>INDEX('Revised 2018 Lockdown'!E$5:E$253,MATCH(B233,'Revised 2018 Lockdown'!B$5:B$253,0))</f>
        <v>53379.53</v>
      </c>
      <c r="G233" s="7">
        <f>INDEX('Revised 2018 Lockdown'!F$5:F$253,MATCH(B233,'Revised 2018 Lockdown'!B$5:B$253,0))</f>
        <v>735</v>
      </c>
      <c r="H233" s="7">
        <f t="shared" si="24"/>
        <v>52644.53</v>
      </c>
      <c r="I233" s="6">
        <f t="shared" si="25"/>
        <v>682.64758003011934</v>
      </c>
      <c r="J233" s="6">
        <f t="shared" si="28"/>
        <v>682.64758003011934</v>
      </c>
      <c r="K233" s="5">
        <f t="shared" si="26"/>
        <v>52644.53</v>
      </c>
      <c r="L233" s="4">
        <f t="shared" si="27"/>
        <v>0</v>
      </c>
      <c r="M233" s="2" cm="1">
        <f t="array" ref="M233">SUMPRODUCT(--($L$6:$L$300&lt;&gt;1),--($C$6:$C$300=$C233),$H$6:$H$300)/SUMPRODUCT(--($L$6:$L$300&lt;&gt;1),--($C$6:$C$300=$C233),$E$6:$E$300)</f>
        <v>654.14930531507116</v>
      </c>
      <c r="N233" s="1" cm="1">
        <f t="array" ref="N233">SUMPRODUCT(--($L$6:$L$300&lt;&gt;1),--($C$6:$C$300=$C233))</f>
        <v>30</v>
      </c>
      <c r="O233" s="3">
        <f t="shared" si="29"/>
        <v>812.15166173435455</v>
      </c>
      <c r="P233" s="2" cm="1">
        <f t="array" ref="P233">SQRT(SUMPRODUCT(--($L$6:$L$300&lt;&gt;1),--($C$6:$C$300=$C233),$E$6:$E$300,$O$6:$O$300)/((N233-1)*SUMPRODUCT(--($L$6:$L$300&lt;&gt;1),--($C$6:$C$300=$C233),$E$6:$E$300)/N233))</f>
        <v>549.95980378695197</v>
      </c>
      <c r="Q233" s="2">
        <f t="shared" si="23"/>
        <v>-50.652542214698542</v>
      </c>
      <c r="R233" s="2">
        <f t="shared" si="23"/>
        <v>1358.9511528448409</v>
      </c>
      <c r="S233" s="2">
        <f t="shared" si="30"/>
        <v>682.64758003011934</v>
      </c>
    </row>
    <row r="234" spans="2:19" x14ac:dyDescent="0.3">
      <c r="B234" s="9">
        <v>508</v>
      </c>
      <c r="C234" s="9">
        <v>9</v>
      </c>
      <c r="D234" s="8" t="s">
        <v>266</v>
      </c>
      <c r="E234" s="125">
        <f>INDEX('Revised 2018 Lockdown'!H$5:H$253,MATCH(B234,'Revised 2018 Lockdown'!B$5:B$253,0))</f>
        <v>97.533921073638524</v>
      </c>
      <c r="F234" s="7">
        <f>INDEX('Revised 2018 Lockdown'!E$5:E$253,MATCH(B234,'Revised 2018 Lockdown'!B$5:B$253,0))</f>
        <v>70511.86</v>
      </c>
      <c r="G234" s="7">
        <f>INDEX('Revised 2018 Lockdown'!F$5:F$253,MATCH(B234,'Revised 2018 Lockdown'!B$5:B$253,0))</f>
        <v>0</v>
      </c>
      <c r="H234" s="7">
        <f t="shared" si="24"/>
        <v>70511.86</v>
      </c>
      <c r="I234" s="6">
        <f t="shared" si="25"/>
        <v>722.94704471855744</v>
      </c>
      <c r="J234" s="6">
        <f t="shared" si="28"/>
        <v>722.94704471855744</v>
      </c>
      <c r="K234" s="5">
        <f t="shared" si="26"/>
        <v>70511.86</v>
      </c>
      <c r="L234" s="4">
        <f t="shared" si="27"/>
        <v>0</v>
      </c>
      <c r="M234" s="2" cm="1">
        <f t="array" ref="M234">SUMPRODUCT(--($L$6:$L$300&lt;&gt;1),--($C$6:$C$300=$C234),$H$6:$H$300)/SUMPRODUCT(--($L$6:$L$300&lt;&gt;1),--($C$6:$C$300=$C234),$E$6:$E$300)</f>
        <v>654.14930531507116</v>
      </c>
      <c r="N234" s="1" cm="1">
        <f t="array" ref="N234">SUMPRODUCT(--($L$6:$L$300&lt;&gt;1),--($C$6:$C$300=$C234))</f>
        <v>30</v>
      </c>
      <c r="O234" s="3">
        <f t="shared" si="29"/>
        <v>4733.128947030008</v>
      </c>
      <c r="P234" s="2" cm="1">
        <f t="array" ref="P234">SQRT(SUMPRODUCT(--($L$6:$L$300&lt;&gt;1),--($C$6:$C$300=$C234),$E$6:$E$300,$O$6:$O$300)/((N234-1)*SUMPRODUCT(--($L$6:$L$300&lt;&gt;1),--($C$6:$C$300=$C234),$E$6:$E$300)/N234))</f>
        <v>549.95980378695197</v>
      </c>
      <c r="Q234" s="2">
        <f t="shared" si="23"/>
        <v>-50.652542214698542</v>
      </c>
      <c r="R234" s="2">
        <f t="shared" si="23"/>
        <v>1358.9511528448409</v>
      </c>
      <c r="S234" s="2">
        <f t="shared" si="30"/>
        <v>722.94704471855744</v>
      </c>
    </row>
    <row r="235" spans="2:19" x14ac:dyDescent="0.3">
      <c r="B235" s="9">
        <v>512</v>
      </c>
      <c r="C235" s="9">
        <v>9</v>
      </c>
      <c r="D235" s="8" t="s">
        <v>267</v>
      </c>
      <c r="E235" s="125">
        <f>INDEX('Revised 2018 Lockdown'!H$5:H$253,MATCH(B235,'Revised 2018 Lockdown'!B$5:B$253,0))</f>
        <v>240.71472717637823</v>
      </c>
      <c r="F235" s="7">
        <f>INDEX('Revised 2018 Lockdown'!E$5:E$253,MATCH(B235,'Revised 2018 Lockdown'!B$5:B$253,0))</f>
        <v>292037.07</v>
      </c>
      <c r="G235" s="7">
        <f>INDEX('Revised 2018 Lockdown'!F$5:F$253,MATCH(B235,'Revised 2018 Lockdown'!B$5:B$253,0))</f>
        <v>6673.84</v>
      </c>
      <c r="H235" s="7">
        <f t="shared" si="24"/>
        <v>285363.23</v>
      </c>
      <c r="I235" s="6">
        <f t="shared" si="25"/>
        <v>1185.4830543496682</v>
      </c>
      <c r="J235" s="6">
        <f t="shared" si="28"/>
        <v>1185.4830543496682</v>
      </c>
      <c r="K235" s="5">
        <f t="shared" si="26"/>
        <v>285363.23</v>
      </c>
      <c r="L235" s="4">
        <f t="shared" si="27"/>
        <v>0</v>
      </c>
      <c r="M235" s="2" cm="1">
        <f t="array" ref="M235">SUMPRODUCT(--($L$6:$L$300&lt;&gt;1),--($C$6:$C$300=$C235),$H$6:$H$300)/SUMPRODUCT(--($L$6:$L$300&lt;&gt;1),--($C$6:$C$300=$C235),$E$6:$E$300)</f>
        <v>654.14930531507116</v>
      </c>
      <c r="N235" s="1" cm="1">
        <f t="array" ref="N235">SUMPRODUCT(--($L$6:$L$300&lt;&gt;1),--($C$6:$C$300=$C235))</f>
        <v>30</v>
      </c>
      <c r="O235" s="3">
        <f t="shared" si="29"/>
        <v>282315.55286316021</v>
      </c>
      <c r="P235" s="2" cm="1">
        <f t="array" ref="P235">SQRT(SUMPRODUCT(--($L$6:$L$300&lt;&gt;1),--($C$6:$C$300=$C235),$E$6:$E$300,$O$6:$O$300)/((N235-1)*SUMPRODUCT(--($L$6:$L$300&lt;&gt;1),--($C$6:$C$300=$C235),$E$6:$E$300)/N235))</f>
        <v>549.95980378695197</v>
      </c>
      <c r="Q235" s="2">
        <f t="shared" si="23"/>
        <v>-50.652542214698542</v>
      </c>
      <c r="R235" s="2">
        <f t="shared" si="23"/>
        <v>1358.9511528448409</v>
      </c>
      <c r="S235" s="2">
        <f t="shared" si="30"/>
        <v>1185.4830543496682</v>
      </c>
    </row>
    <row r="236" spans="2:19" x14ac:dyDescent="0.3">
      <c r="B236" s="9">
        <v>516</v>
      </c>
      <c r="C236" s="9">
        <v>9</v>
      </c>
      <c r="D236" s="8" t="s">
        <v>268</v>
      </c>
      <c r="E236" s="125">
        <f>INDEX('Revised 2018 Lockdown'!H$5:H$253,MATCH(B236,'Revised 2018 Lockdown'!B$5:B$253,0))</f>
        <v>342.008970465966</v>
      </c>
      <c r="F236" s="7">
        <f>INDEX('Revised 2018 Lockdown'!E$5:E$253,MATCH(B236,'Revised 2018 Lockdown'!B$5:B$253,0))</f>
        <v>167497.34</v>
      </c>
      <c r="G236" s="7">
        <f>INDEX('Revised 2018 Lockdown'!F$5:F$253,MATCH(B236,'Revised 2018 Lockdown'!B$5:B$253,0))</f>
        <v>180.64</v>
      </c>
      <c r="H236" s="7">
        <f t="shared" si="24"/>
        <v>167316.69999999998</v>
      </c>
      <c r="I236" s="6">
        <f t="shared" si="25"/>
        <v>489.2172850672348</v>
      </c>
      <c r="J236" s="6">
        <f t="shared" si="28"/>
        <v>489.2172850672348</v>
      </c>
      <c r="K236" s="5">
        <f t="shared" si="26"/>
        <v>167316.69999999998</v>
      </c>
      <c r="L236" s="4">
        <f t="shared" si="27"/>
        <v>0</v>
      </c>
      <c r="M236" s="2" cm="1">
        <f t="array" ref="M236">SUMPRODUCT(--($L$6:$L$300&lt;&gt;1),--($C$6:$C$300=$C236),$H$6:$H$300)/SUMPRODUCT(--($L$6:$L$300&lt;&gt;1),--($C$6:$C$300=$C236),$E$6:$E$300)</f>
        <v>654.14930531507116</v>
      </c>
      <c r="N236" s="1" cm="1">
        <f t="array" ref="N236">SUMPRODUCT(--($L$6:$L$300&lt;&gt;1),--($C$6:$C$300=$C236))</f>
        <v>30</v>
      </c>
      <c r="O236" s="3">
        <f t="shared" si="29"/>
        <v>27202.571303032702</v>
      </c>
      <c r="P236" s="2" cm="1">
        <f t="array" ref="P236">SQRT(SUMPRODUCT(--($L$6:$L$300&lt;&gt;1),--($C$6:$C$300=$C236),$E$6:$E$300,$O$6:$O$300)/((N236-1)*SUMPRODUCT(--($L$6:$L$300&lt;&gt;1),--($C$6:$C$300=$C236),$E$6:$E$300)/N236))</f>
        <v>549.95980378695197</v>
      </c>
      <c r="Q236" s="2">
        <f t="shared" si="23"/>
        <v>-50.652542214698542</v>
      </c>
      <c r="R236" s="2">
        <f t="shared" si="23"/>
        <v>1358.9511528448409</v>
      </c>
      <c r="S236" s="2">
        <f t="shared" si="30"/>
        <v>489.2172850672348</v>
      </c>
    </row>
    <row r="237" spans="2:19" x14ac:dyDescent="0.3">
      <c r="B237" s="38">
        <v>521</v>
      </c>
      <c r="C237" s="38">
        <v>9</v>
      </c>
      <c r="D237" s="39" t="s">
        <v>269</v>
      </c>
      <c r="E237" s="125">
        <f>INDEX('Revised 2018 Lockdown'!H$5:H$253,MATCH(B237,'Revised 2018 Lockdown'!B$5:B$253,0))</f>
        <v>150.54815202703358</v>
      </c>
      <c r="F237" s="7">
        <f>INDEX('Revised 2018 Lockdown'!E$5:E$253,MATCH(B237,'Revised 2018 Lockdown'!B$5:B$253,0))</f>
        <v>373633.01</v>
      </c>
      <c r="G237" s="7">
        <f>INDEX('Revised 2018 Lockdown'!F$5:F$253,MATCH(B237,'Revised 2018 Lockdown'!B$5:B$253,0))</f>
        <v>8.85</v>
      </c>
      <c r="H237" s="7">
        <f t="shared" si="24"/>
        <v>373624.16000000003</v>
      </c>
      <c r="I237" s="6">
        <f t="shared" si="25"/>
        <v>2481.7585268858643</v>
      </c>
      <c r="J237" s="6">
        <f t="shared" si="28"/>
        <v>1358.9511528448409</v>
      </c>
      <c r="K237" s="5">
        <f t="shared" si="26"/>
        <v>204587.58475579764</v>
      </c>
      <c r="L237" s="4">
        <f t="shared" si="27"/>
        <v>0</v>
      </c>
      <c r="M237" s="2" cm="1">
        <f t="array" ref="M237">SUMPRODUCT(--($L$6:$L$300&lt;&gt;1),--($C$6:$C$300=$C237),$H$6:$H$300)/SUMPRODUCT(--($L$6:$L$300&lt;&gt;1),--($C$6:$C$300=$C237),$E$6:$E$300)</f>
        <v>654.14930531507116</v>
      </c>
      <c r="N237" s="1" cm="1">
        <f t="array" ref="N237">SUMPRODUCT(--($L$6:$L$300&lt;&gt;1),--($C$6:$C$300=$C237))</f>
        <v>30</v>
      </c>
      <c r="O237" s="3">
        <f t="shared" si="29"/>
        <v>3340155.4667706005</v>
      </c>
      <c r="P237" s="2" cm="1">
        <f t="array" ref="P237">SQRT(SUMPRODUCT(--($L$6:$L$300&lt;&gt;1),--($C$6:$C$300=$C237),$E$6:$E$300,$O$6:$O$300)/((N237-1)*SUMPRODUCT(--($L$6:$L$300&lt;&gt;1),--($C$6:$C$300=$C237),$E$6:$E$300)/N237))</f>
        <v>549.95980378695197</v>
      </c>
      <c r="Q237" s="2">
        <f t="shared" si="23"/>
        <v>-50.652542214698542</v>
      </c>
      <c r="R237" s="2">
        <f t="shared" si="23"/>
        <v>1358.9511528448409</v>
      </c>
      <c r="S237" s="2">
        <f t="shared" si="30"/>
        <v>1358.9511528448409</v>
      </c>
    </row>
    <row r="238" spans="2:19" x14ac:dyDescent="0.3">
      <c r="B238" s="38">
        <v>522</v>
      </c>
      <c r="C238" s="38">
        <v>9</v>
      </c>
      <c r="D238" s="39" t="s">
        <v>270</v>
      </c>
      <c r="E238" s="125">
        <f>INDEX('Revised 2018 Lockdown'!H$5:H$253,MATCH(B238,'Revised 2018 Lockdown'!B$5:B$253,0))</f>
        <v>107.92214935367105</v>
      </c>
      <c r="F238" s="7">
        <f>INDEX('Revised 2018 Lockdown'!E$5:E$253,MATCH(B238,'Revised 2018 Lockdown'!B$5:B$253,0))</f>
        <v>93639.74</v>
      </c>
      <c r="G238" s="7">
        <f>INDEX('Revised 2018 Lockdown'!F$5:F$253,MATCH(B238,'Revised 2018 Lockdown'!B$5:B$253,0))</f>
        <v>36</v>
      </c>
      <c r="H238" s="7">
        <f t="shared" si="24"/>
        <v>93603.74</v>
      </c>
      <c r="I238" s="6">
        <f t="shared" si="25"/>
        <v>867.32649933844198</v>
      </c>
      <c r="J238" s="6">
        <f t="shared" si="28"/>
        <v>867.32649933844198</v>
      </c>
      <c r="K238" s="5">
        <f t="shared" si="26"/>
        <v>93603.74</v>
      </c>
      <c r="L238" s="4">
        <f t="shared" si="27"/>
        <v>0</v>
      </c>
      <c r="M238" s="2" cm="1">
        <f t="array" ref="M238">SUMPRODUCT(--($L$6:$L$300&lt;&gt;1),--($C$6:$C$300=$C238),$H$6:$H$300)/SUMPRODUCT(--($L$6:$L$300&lt;&gt;1),--($C$6:$C$300=$C238),$E$6:$E$300)</f>
        <v>654.14930531507116</v>
      </c>
      <c r="N238" s="1" cm="1">
        <f t="array" ref="N238">SUMPRODUCT(--($L$6:$L$300&lt;&gt;1),--($C$6:$C$300=$C238))</f>
        <v>30</v>
      </c>
      <c r="O238" s="3">
        <f t="shared" si="29"/>
        <v>45444.516051677885</v>
      </c>
      <c r="P238" s="2" cm="1">
        <f t="array" ref="P238">SQRT(SUMPRODUCT(--($L$6:$L$300&lt;&gt;1),--($C$6:$C$300=$C238),$E$6:$E$300,$O$6:$O$300)/((N238-1)*SUMPRODUCT(--($L$6:$L$300&lt;&gt;1),--($C$6:$C$300=$C238),$E$6:$E$300)/N238))</f>
        <v>549.95980378695197</v>
      </c>
      <c r="Q238" s="2">
        <f t="shared" si="23"/>
        <v>-50.652542214698542</v>
      </c>
      <c r="R238" s="2">
        <f t="shared" si="23"/>
        <v>1358.9511528448409</v>
      </c>
      <c r="S238" s="2">
        <f t="shared" si="30"/>
        <v>867.32649933844198</v>
      </c>
    </row>
    <row r="239" spans="2:19" x14ac:dyDescent="0.3">
      <c r="B239" s="38">
        <v>523</v>
      </c>
      <c r="C239" s="38">
        <v>9</v>
      </c>
      <c r="D239" s="39" t="s">
        <v>271</v>
      </c>
      <c r="E239" s="125">
        <f>INDEX('Revised 2018 Lockdown'!H$5:H$253,MATCH(B239,'Revised 2018 Lockdown'!B$5:B$253,0))</f>
        <v>909.71843192232575</v>
      </c>
      <c r="F239" s="7">
        <f>INDEX('Revised 2018 Lockdown'!E$5:E$253,MATCH(B239,'Revised 2018 Lockdown'!B$5:B$253,0))</f>
        <v>285802.86</v>
      </c>
      <c r="G239" s="7">
        <f>INDEX('Revised 2018 Lockdown'!F$5:F$253,MATCH(B239,'Revised 2018 Lockdown'!B$5:B$253,0))</f>
        <v>321.60000000000002</v>
      </c>
      <c r="H239" s="7">
        <f t="shared" si="24"/>
        <v>285481.26</v>
      </c>
      <c r="I239" s="6">
        <f t="shared" si="25"/>
        <v>313.81276885502876</v>
      </c>
      <c r="J239" s="6">
        <f t="shared" si="28"/>
        <v>313.81276885502876</v>
      </c>
      <c r="K239" s="5">
        <f t="shared" si="26"/>
        <v>285481.26</v>
      </c>
      <c r="L239" s="4">
        <f t="shared" si="27"/>
        <v>0</v>
      </c>
      <c r="M239" s="2" cm="1">
        <f t="array" ref="M239">SUMPRODUCT(--($L$6:$L$300&lt;&gt;1),--($C$6:$C$300=$C239),$H$6:$H$300)/SUMPRODUCT(--($L$6:$L$300&lt;&gt;1),--($C$6:$C$300=$C239),$E$6:$E$300)</f>
        <v>654.14930531507116</v>
      </c>
      <c r="N239" s="1" cm="1">
        <f t="array" ref="N239">SUMPRODUCT(--($L$6:$L$300&lt;&gt;1),--($C$6:$C$300=$C239))</f>
        <v>30</v>
      </c>
      <c r="O239" s="3">
        <f t="shared" si="29"/>
        <v>115828.95804961777</v>
      </c>
      <c r="P239" s="2" cm="1">
        <f t="array" ref="P239">SQRT(SUMPRODUCT(--($L$6:$L$300&lt;&gt;1),--($C$6:$C$300=$C239),$E$6:$E$300,$O$6:$O$300)/((N239-1)*SUMPRODUCT(--($L$6:$L$300&lt;&gt;1),--($C$6:$C$300=$C239),$E$6:$E$300)/N239))</f>
        <v>549.95980378695197</v>
      </c>
      <c r="Q239" s="2">
        <f t="shared" si="23"/>
        <v>-50.652542214698542</v>
      </c>
      <c r="R239" s="2">
        <f t="shared" si="23"/>
        <v>1358.9511528448409</v>
      </c>
      <c r="S239" s="2">
        <f t="shared" si="30"/>
        <v>313.81276885502876</v>
      </c>
    </row>
    <row r="240" spans="2:19" x14ac:dyDescent="0.3">
      <c r="B240" s="38">
        <v>527</v>
      </c>
      <c r="C240" s="38">
        <v>9</v>
      </c>
      <c r="D240" s="39" t="s">
        <v>272</v>
      </c>
      <c r="E240" s="125">
        <f>INDEX('Revised 2018 Lockdown'!H$5:H$253,MATCH(B240,'Revised 2018 Lockdown'!B$5:B$253,0))</f>
        <v>178.04269024389046</v>
      </c>
      <c r="F240" s="7">
        <f>INDEX('Revised 2018 Lockdown'!E$5:E$253,MATCH(B240,'Revised 2018 Lockdown'!B$5:B$253,0))</f>
        <v>119863.42</v>
      </c>
      <c r="G240" s="7">
        <f>INDEX('Revised 2018 Lockdown'!F$5:F$253,MATCH(B240,'Revised 2018 Lockdown'!B$5:B$253,0))</f>
        <v>135</v>
      </c>
      <c r="H240" s="7">
        <f t="shared" si="24"/>
        <v>119728.42</v>
      </c>
      <c r="I240" s="6">
        <f t="shared" si="25"/>
        <v>672.47029257977908</v>
      </c>
      <c r="J240" s="6">
        <f t="shared" si="28"/>
        <v>672.47029257977908</v>
      </c>
      <c r="K240" s="5">
        <f t="shared" si="26"/>
        <v>119728.42</v>
      </c>
      <c r="L240" s="4">
        <f t="shared" si="27"/>
        <v>0</v>
      </c>
      <c r="M240" s="2" cm="1">
        <f t="array" ref="M240">SUMPRODUCT(--($L$6:$L$300&lt;&gt;1),--($C$6:$C$300=$C240),$H$6:$H$300)/SUMPRODUCT(--($L$6:$L$300&lt;&gt;1),--($C$6:$C$300=$C240),$E$6:$E$300)</f>
        <v>654.14930531507116</v>
      </c>
      <c r="N240" s="1" cm="1">
        <f t="array" ref="N240">SUMPRODUCT(--($L$6:$L$300&lt;&gt;1),--($C$6:$C$300=$C240))</f>
        <v>30</v>
      </c>
      <c r="O240" s="3">
        <f t="shared" si="29"/>
        <v>335.65857435358993</v>
      </c>
      <c r="P240" s="2" cm="1">
        <f t="array" ref="P240">SQRT(SUMPRODUCT(--($L$6:$L$300&lt;&gt;1),--($C$6:$C$300=$C240),$E$6:$E$300,$O$6:$O$300)/((N240-1)*SUMPRODUCT(--($L$6:$L$300&lt;&gt;1),--($C$6:$C$300=$C240),$E$6:$E$300)/N240))</f>
        <v>549.95980378695197</v>
      </c>
      <c r="Q240" s="2">
        <f t="shared" si="23"/>
        <v>-50.652542214698542</v>
      </c>
      <c r="R240" s="2">
        <f t="shared" si="23"/>
        <v>1358.9511528448409</v>
      </c>
      <c r="S240" s="2">
        <f t="shared" si="30"/>
        <v>672.47029257977908</v>
      </c>
    </row>
    <row r="241" spans="2:19" x14ac:dyDescent="0.3">
      <c r="B241" s="38">
        <v>543</v>
      </c>
      <c r="C241" s="38">
        <v>9</v>
      </c>
      <c r="D241" s="39" t="s">
        <v>273</v>
      </c>
      <c r="E241" s="125">
        <f>INDEX('Revised 2018 Lockdown'!H$5:H$253,MATCH(B241,'Revised 2018 Lockdown'!B$5:B$253,0))</f>
        <v>64.881338953848854</v>
      </c>
      <c r="F241" s="7">
        <f>INDEX('Revised 2018 Lockdown'!E$5:E$253,MATCH(B241,'Revised 2018 Lockdown'!B$5:B$253,0))</f>
        <v>42102.49</v>
      </c>
      <c r="G241" s="7">
        <f>INDEX('Revised 2018 Lockdown'!F$5:F$253,MATCH(B241,'Revised 2018 Lockdown'!B$5:B$253,0))</f>
        <v>0</v>
      </c>
      <c r="H241" s="7">
        <f t="shared" si="24"/>
        <v>42102.49</v>
      </c>
      <c r="I241" s="6">
        <f t="shared" si="25"/>
        <v>648.91524556773061</v>
      </c>
      <c r="J241" s="6">
        <f t="shared" si="28"/>
        <v>648.91524556773061</v>
      </c>
      <c r="K241" s="5">
        <f t="shared" si="26"/>
        <v>42102.49</v>
      </c>
      <c r="L241" s="4">
        <f t="shared" si="27"/>
        <v>0</v>
      </c>
      <c r="M241" s="2" cm="1">
        <f t="array" ref="M241">SUMPRODUCT(--($L$6:$L$300&lt;&gt;1),--($C$6:$C$300=$C241),$H$6:$H$300)/SUMPRODUCT(--($L$6:$L$300&lt;&gt;1),--($C$6:$C$300=$C241),$E$6:$E$300)</f>
        <v>654.14930531507116</v>
      </c>
      <c r="N241" s="1" cm="1">
        <f t="array" ref="N241">SUMPRODUCT(--($L$6:$L$300&lt;&gt;1),--($C$6:$C$300=$C241))</f>
        <v>30</v>
      </c>
      <c r="O241" s="3">
        <f t="shared" si="29"/>
        <v>27.395381438730645</v>
      </c>
      <c r="P241" s="2" cm="1">
        <f t="array" ref="P241">SQRT(SUMPRODUCT(--($L$6:$L$300&lt;&gt;1),--($C$6:$C$300=$C241),$E$6:$E$300,$O$6:$O$300)/((N241-1)*SUMPRODUCT(--($L$6:$L$300&lt;&gt;1),--($C$6:$C$300=$C241),$E$6:$E$300)/N241))</f>
        <v>549.95980378695197</v>
      </c>
      <c r="Q241" s="2">
        <f t="shared" si="23"/>
        <v>-50.652542214698542</v>
      </c>
      <c r="R241" s="2">
        <f t="shared" si="23"/>
        <v>1358.9511528448409</v>
      </c>
      <c r="S241" s="2">
        <f t="shared" si="30"/>
        <v>648.91524556773061</v>
      </c>
    </row>
    <row r="242" spans="2:19" x14ac:dyDescent="0.3">
      <c r="B242" s="38">
        <v>547</v>
      </c>
      <c r="C242" s="38">
        <v>9</v>
      </c>
      <c r="D242" s="39" t="s">
        <v>274</v>
      </c>
      <c r="E242" s="125">
        <f>INDEX('Revised 2018 Lockdown'!H$5:H$253,MATCH(B242,'Revised 2018 Lockdown'!B$5:B$253,0))</f>
        <v>231.3905708903074</v>
      </c>
      <c r="F242" s="7">
        <f>INDEX('Revised 2018 Lockdown'!E$5:E$253,MATCH(B242,'Revised 2018 Lockdown'!B$5:B$253,0))</f>
        <v>122807.2</v>
      </c>
      <c r="G242" s="7">
        <f>INDEX('Revised 2018 Lockdown'!F$5:F$253,MATCH(B242,'Revised 2018 Lockdown'!B$5:B$253,0))</f>
        <v>0</v>
      </c>
      <c r="H242" s="7">
        <f t="shared" si="24"/>
        <v>122807.2</v>
      </c>
      <c r="I242" s="6">
        <f t="shared" si="25"/>
        <v>530.73554176162929</v>
      </c>
      <c r="J242" s="6">
        <f t="shared" si="28"/>
        <v>530.73554176162929</v>
      </c>
      <c r="K242" s="5">
        <f t="shared" si="26"/>
        <v>122807.19999999998</v>
      </c>
      <c r="L242" s="4">
        <f t="shared" si="27"/>
        <v>0</v>
      </c>
      <c r="M242" s="2" cm="1">
        <f t="array" ref="M242">SUMPRODUCT(--($L$6:$L$300&lt;&gt;1),--($C$6:$C$300=$C242),$H$6:$H$300)/SUMPRODUCT(--($L$6:$L$300&lt;&gt;1),--($C$6:$C$300=$C242),$E$6:$E$300)</f>
        <v>654.14930531507116</v>
      </c>
      <c r="N242" s="1" cm="1">
        <f t="array" ref="N242">SUMPRODUCT(--($L$6:$L$300&lt;&gt;1),--($C$6:$C$300=$C242))</f>
        <v>30</v>
      </c>
      <c r="O242" s="3">
        <f t="shared" si="29"/>
        <v>15230.957034424857</v>
      </c>
      <c r="P242" s="2" cm="1">
        <f t="array" ref="P242">SQRT(SUMPRODUCT(--($L$6:$L$300&lt;&gt;1),--($C$6:$C$300=$C242),$E$6:$E$300,$O$6:$O$300)/((N242-1)*SUMPRODUCT(--($L$6:$L$300&lt;&gt;1),--($C$6:$C$300=$C242),$E$6:$E$300)/N242))</f>
        <v>549.95980378695197</v>
      </c>
      <c r="Q242" s="2">
        <f t="shared" si="23"/>
        <v>-50.652542214698542</v>
      </c>
      <c r="R242" s="2">
        <f t="shared" si="23"/>
        <v>1358.9511528448409</v>
      </c>
      <c r="S242" s="2">
        <f t="shared" si="30"/>
        <v>530.73554176162929</v>
      </c>
    </row>
    <row r="243" spans="2:19" x14ac:dyDescent="0.3">
      <c r="B243" s="38">
        <v>552</v>
      </c>
      <c r="C243" s="38">
        <v>9</v>
      </c>
      <c r="D243" s="39" t="s">
        <v>275</v>
      </c>
      <c r="E243" s="125">
        <f>INDEX('Revised 2018 Lockdown'!H$5:H$253,MATCH(B243,'Revised 2018 Lockdown'!B$5:B$253,0))</f>
        <v>114.55</v>
      </c>
      <c r="F243" s="7">
        <f>INDEX('Revised 2018 Lockdown'!E$5:E$253,MATCH(B243,'Revised 2018 Lockdown'!B$5:B$253,0))</f>
        <v>109401.05</v>
      </c>
      <c r="G243" s="7">
        <f>INDEX('Revised 2018 Lockdown'!F$5:F$253,MATCH(B243,'Revised 2018 Lockdown'!B$5:B$253,0))</f>
        <v>0</v>
      </c>
      <c r="H243" s="7">
        <f t="shared" si="24"/>
        <v>109401.05</v>
      </c>
      <c r="I243" s="6">
        <f t="shared" si="25"/>
        <v>955.05063291139243</v>
      </c>
      <c r="J243" s="6">
        <f t="shared" si="28"/>
        <v>955.05063291139243</v>
      </c>
      <c r="K243" s="5">
        <f t="shared" si="26"/>
        <v>109401.05</v>
      </c>
      <c r="L243" s="4">
        <f t="shared" si="27"/>
        <v>0</v>
      </c>
      <c r="M243" s="2" cm="1">
        <f t="array" ref="M243">SUMPRODUCT(--($L$6:$L$300&lt;&gt;1),--($C$6:$C$300=$C243),$H$6:$H$300)/SUMPRODUCT(--($L$6:$L$300&lt;&gt;1),--($C$6:$C$300=$C243),$E$6:$E$300)</f>
        <v>654.14930531507116</v>
      </c>
      <c r="N243" s="1" cm="1">
        <f t="array" ref="N243">SUMPRODUCT(--($L$6:$L$300&lt;&gt;1),--($C$6:$C$300=$C243))</f>
        <v>30</v>
      </c>
      <c r="O243" s="3">
        <f t="shared" si="29"/>
        <v>90541.608949228656</v>
      </c>
      <c r="P243" s="2" cm="1">
        <f t="array" ref="P243">SQRT(SUMPRODUCT(--($L$6:$L$300&lt;&gt;1),--($C$6:$C$300=$C243),$E$6:$E$300,$O$6:$O$300)/((N243-1)*SUMPRODUCT(--($L$6:$L$300&lt;&gt;1),--($C$6:$C$300=$C243),$E$6:$E$300)/N243))</f>
        <v>549.95980378695197</v>
      </c>
      <c r="Q243" s="2">
        <f t="shared" ref="Q243:R254" si="31">NORMINV(Q$4,$M243,$P243)</f>
        <v>-50.652542214698542</v>
      </c>
      <c r="R243" s="2">
        <f t="shared" si="31"/>
        <v>1358.9511528448409</v>
      </c>
      <c r="S243" s="2">
        <f t="shared" si="30"/>
        <v>955.05063291139243</v>
      </c>
    </row>
    <row r="244" spans="2:19" x14ac:dyDescent="0.3">
      <c r="B244" s="38">
        <v>567</v>
      </c>
      <c r="C244" s="38">
        <v>9</v>
      </c>
      <c r="D244" s="39" t="s">
        <v>276</v>
      </c>
      <c r="E244" s="125">
        <f>INDEX('Revised 2018 Lockdown'!H$5:H$253,MATCH(B244,'Revised 2018 Lockdown'!B$5:B$253,0))</f>
        <v>343.68623649034629</v>
      </c>
      <c r="F244" s="7">
        <f>INDEX('Revised 2018 Lockdown'!E$5:E$253,MATCH(B244,'Revised 2018 Lockdown'!B$5:B$253,0))</f>
        <v>195195.07</v>
      </c>
      <c r="G244" s="7">
        <f>INDEX('Revised 2018 Lockdown'!F$5:F$253,MATCH(B244,'Revised 2018 Lockdown'!B$5:B$253,0))</f>
        <v>152</v>
      </c>
      <c r="H244" s="7">
        <f t="shared" si="24"/>
        <v>195043.07</v>
      </c>
      <c r="I244" s="6">
        <f t="shared" si="25"/>
        <v>567.50329018624677</v>
      </c>
      <c r="J244" s="6">
        <f t="shared" si="28"/>
        <v>567.50329018624677</v>
      </c>
      <c r="K244" s="5">
        <f t="shared" si="26"/>
        <v>195043.07000000004</v>
      </c>
      <c r="L244" s="4">
        <f t="shared" si="27"/>
        <v>0</v>
      </c>
      <c r="M244" s="2" cm="1">
        <f t="array" ref="M244">SUMPRODUCT(--($L$6:$L$300&lt;&gt;1),--($C$6:$C$300=$C244),$H$6:$H$300)/SUMPRODUCT(--($L$6:$L$300&lt;&gt;1),--($C$6:$C$300=$C244),$E$6:$E$300)</f>
        <v>654.14930531507116</v>
      </c>
      <c r="N244" s="1" cm="1">
        <f t="array" ref="N244">SUMPRODUCT(--($L$6:$L$300&lt;&gt;1),--($C$6:$C$300=$C244))</f>
        <v>30</v>
      </c>
      <c r="O244" s="3">
        <f t="shared" si="29"/>
        <v>7507.5319377044643</v>
      </c>
      <c r="P244" s="2" cm="1">
        <f t="array" ref="P244">SQRT(SUMPRODUCT(--($L$6:$L$300&lt;&gt;1),--($C$6:$C$300=$C244),$E$6:$E$300,$O$6:$O$300)/((N244-1)*SUMPRODUCT(--($L$6:$L$300&lt;&gt;1),--($C$6:$C$300=$C244),$E$6:$E$300)/N244))</f>
        <v>549.95980378695197</v>
      </c>
      <c r="Q244" s="2">
        <f t="shared" si="31"/>
        <v>-50.652542214698542</v>
      </c>
      <c r="R244" s="2">
        <f t="shared" si="31"/>
        <v>1358.9511528448409</v>
      </c>
      <c r="S244" s="2">
        <f t="shared" si="30"/>
        <v>567.50329018624677</v>
      </c>
    </row>
    <row r="245" spans="2:19" x14ac:dyDescent="0.3">
      <c r="B245" s="38">
        <v>629</v>
      </c>
      <c r="C245" s="38">
        <v>9</v>
      </c>
      <c r="D245" s="39" t="s">
        <v>277</v>
      </c>
      <c r="E245" s="125">
        <f>INDEX('Revised 2018 Lockdown'!H$5:H$253,MATCH(B245,'Revised 2018 Lockdown'!B$5:B$253,0))</f>
        <v>258.73</v>
      </c>
      <c r="F245" s="7">
        <f>INDEX('Revised 2018 Lockdown'!E$5:E$253,MATCH(B245,'Revised 2018 Lockdown'!B$5:B$253,0))</f>
        <v>183277.62</v>
      </c>
      <c r="G245" s="7">
        <f>INDEX('Revised 2018 Lockdown'!F$5:F$253,MATCH(B245,'Revised 2018 Lockdown'!B$5:B$253,0))</f>
        <v>561.61</v>
      </c>
      <c r="H245" s="7">
        <f t="shared" si="24"/>
        <v>182716.01</v>
      </c>
      <c r="I245" s="6">
        <f t="shared" si="25"/>
        <v>706.20341668921264</v>
      </c>
      <c r="J245" s="6">
        <f t="shared" si="28"/>
        <v>706.20341668921264</v>
      </c>
      <c r="K245" s="5">
        <f t="shared" si="26"/>
        <v>182716.01</v>
      </c>
      <c r="L245" s="4">
        <f t="shared" si="27"/>
        <v>0</v>
      </c>
      <c r="M245" s="2" cm="1">
        <f t="array" ref="M245">SUMPRODUCT(--($L$6:$L$300&lt;&gt;1),--($C$6:$C$300=$C245),$H$6:$H$300)/SUMPRODUCT(--($L$6:$L$300&lt;&gt;1),--($C$6:$C$300=$C245),$E$6:$E$300)</f>
        <v>654.14930531507116</v>
      </c>
      <c r="N245" s="1" cm="1">
        <f t="array" ref="N245">SUMPRODUCT(--($L$6:$L$300&lt;&gt;1),--($C$6:$C$300=$C245))</f>
        <v>30</v>
      </c>
      <c r="O245" s="3">
        <f t="shared" si="29"/>
        <v>2709.630510951526</v>
      </c>
      <c r="P245" s="2" cm="1">
        <f t="array" ref="P245">SQRT(SUMPRODUCT(--($L$6:$L$300&lt;&gt;1),--($C$6:$C$300=$C245),$E$6:$E$300,$O$6:$O$300)/((N245-1)*SUMPRODUCT(--($L$6:$L$300&lt;&gt;1),--($C$6:$C$300=$C245),$E$6:$E$300)/N245))</f>
        <v>549.95980378695197</v>
      </c>
      <c r="Q245" s="2">
        <f t="shared" si="31"/>
        <v>-50.652542214698542</v>
      </c>
      <c r="R245" s="2">
        <f t="shared" si="31"/>
        <v>1358.9511528448409</v>
      </c>
      <c r="S245" s="2">
        <f t="shared" si="30"/>
        <v>706.20341668921264</v>
      </c>
    </row>
    <row r="246" spans="2:19" x14ac:dyDescent="0.3">
      <c r="B246" s="38">
        <v>630</v>
      </c>
      <c r="C246" s="38">
        <v>9</v>
      </c>
      <c r="D246" s="39" t="s">
        <v>278</v>
      </c>
      <c r="E246" s="125">
        <f>INDEX('Revised 2018 Lockdown'!H$5:H$253,MATCH(B246,'Revised 2018 Lockdown'!B$5:B$253,0))</f>
        <v>179.48000000000002</v>
      </c>
      <c r="F246" s="7">
        <f>INDEX('Revised 2018 Lockdown'!E$5:E$253,MATCH(B246,'Revised 2018 Lockdown'!B$5:B$253,0))</f>
        <v>233180.61</v>
      </c>
      <c r="G246" s="7">
        <f>INDEX('Revised 2018 Lockdown'!F$5:F$253,MATCH(B246,'Revised 2018 Lockdown'!B$5:B$253,0))</f>
        <v>2518.79</v>
      </c>
      <c r="H246" s="7">
        <f t="shared" si="24"/>
        <v>230661.81999999998</v>
      </c>
      <c r="I246" s="6">
        <f t="shared" si="25"/>
        <v>1285.1672609761531</v>
      </c>
      <c r="J246" s="6">
        <f t="shared" si="28"/>
        <v>1285.1672609761531</v>
      </c>
      <c r="K246" s="5">
        <f t="shared" si="26"/>
        <v>230661.81999999998</v>
      </c>
      <c r="L246" s="4">
        <f t="shared" si="27"/>
        <v>0</v>
      </c>
      <c r="M246" s="2" cm="1">
        <f t="array" ref="M246">SUMPRODUCT(--($L$6:$L$300&lt;&gt;1),--($C$6:$C$300=$C246),$H$6:$H$300)/SUMPRODUCT(--($L$6:$L$300&lt;&gt;1),--($C$6:$C$300=$C246),$E$6:$E$300)</f>
        <v>654.14930531507116</v>
      </c>
      <c r="N246" s="1" cm="1">
        <f t="array" ref="N246">SUMPRODUCT(--($L$6:$L$300&lt;&gt;1),--($C$6:$C$300=$C246))</f>
        <v>30</v>
      </c>
      <c r="O246" s="3">
        <f t="shared" si="29"/>
        <v>398183.66036669118</v>
      </c>
      <c r="P246" s="2" cm="1">
        <f t="array" ref="P246">SQRT(SUMPRODUCT(--($L$6:$L$300&lt;&gt;1),--($C$6:$C$300=$C246),$E$6:$E$300,$O$6:$O$300)/((N246-1)*SUMPRODUCT(--($L$6:$L$300&lt;&gt;1),--($C$6:$C$300=$C246),$E$6:$E$300)/N246))</f>
        <v>549.95980378695197</v>
      </c>
      <c r="Q246" s="2">
        <f t="shared" si="31"/>
        <v>-50.652542214698542</v>
      </c>
      <c r="R246" s="2">
        <f t="shared" si="31"/>
        <v>1358.9511528448409</v>
      </c>
      <c r="S246" s="2">
        <f t="shared" si="30"/>
        <v>1285.1672609761531</v>
      </c>
    </row>
    <row r="247" spans="2:19" x14ac:dyDescent="0.3">
      <c r="B247" s="1">
        <v>695</v>
      </c>
      <c r="C247" s="1">
        <v>9</v>
      </c>
      <c r="D247" t="s">
        <v>279</v>
      </c>
      <c r="E247" s="125">
        <f>INDEX('Revised 2018 Lockdown'!H$5:H$253,MATCH(B247,'Revised 2018 Lockdown'!B$5:B$253,0))</f>
        <v>29.69831035912819</v>
      </c>
      <c r="F247" s="7">
        <f>INDEX('Revised 2018 Lockdown'!E$5:E$253,MATCH(B247,'Revised 2018 Lockdown'!B$5:B$253,0))</f>
        <v>40518.69</v>
      </c>
      <c r="G247" s="7">
        <f>INDEX('Revised 2018 Lockdown'!F$5:F$253,MATCH(B247,'Revised 2018 Lockdown'!B$5:B$253,0))</f>
        <v>0</v>
      </c>
      <c r="H247" s="7">
        <f t="shared" ref="H247:H254" si="32">F247-G247</f>
        <v>40518.69</v>
      </c>
      <c r="I247" s="6">
        <f t="shared" ref="I247:I254" si="33">H247/E247</f>
        <v>1364.3432744161494</v>
      </c>
      <c r="J247" s="6">
        <f t="shared" ref="J247:J254" si="34">IF(ISERROR(IF($J$2=1,MAX(MIN(I247,R247),Q247),MIN(I247,R247))),R247,IF($J$2=1,MAX(MIN(I247,R247),Q247),MIN(I247,R247)))</f>
        <v>1358.9511528448409</v>
      </c>
      <c r="K247" s="5">
        <f t="shared" ref="K247:K254" si="35">J247*E247</f>
        <v>40358.553100081132</v>
      </c>
      <c r="L247" s="4">
        <f t="shared" ref="L247:L254" si="36">IF(ISERROR(I247),1,0)</f>
        <v>0</v>
      </c>
      <c r="M247" s="2" cm="1">
        <f t="array" ref="M247">SUMPRODUCT(--($L$6:$L$300&lt;&gt;1),--($C$6:$C$300=$C247),$H$6:$H$300)/SUMPRODUCT(--($L$6:$L$300&lt;&gt;1),--($C$6:$C$300=$C247),$E$6:$E$300)</f>
        <v>654.14930531507116</v>
      </c>
      <c r="N247" s="1" cm="1">
        <f t="array" ref="N247">SUMPRODUCT(--($L$6:$L$300&lt;&gt;1),--($C$6:$C$300=$C247))</f>
        <v>30</v>
      </c>
      <c r="O247" s="3">
        <f t="shared" si="29"/>
        <v>504375.47374754323</v>
      </c>
      <c r="P247" s="2" cm="1">
        <f t="array" ref="P247">SQRT(SUMPRODUCT(--($L$6:$L$300&lt;&gt;1),--($C$6:$C$300=$C247),$E$6:$E$300,$O$6:$O$300)/((N247-1)*SUMPRODUCT(--($L$6:$L$300&lt;&gt;1),--($C$6:$C$300=$C247),$E$6:$E$300)/N247))</f>
        <v>549.95980378695197</v>
      </c>
      <c r="Q247" s="2">
        <f t="shared" si="31"/>
        <v>-50.652542214698542</v>
      </c>
      <c r="R247" s="2">
        <f t="shared" si="31"/>
        <v>1358.9511528448409</v>
      </c>
      <c r="S247" s="2">
        <f t="shared" si="30"/>
        <v>1358.9511528448409</v>
      </c>
    </row>
    <row r="248" spans="2:19" x14ac:dyDescent="0.3">
      <c r="B248" s="1">
        <v>771</v>
      </c>
      <c r="C248" s="1">
        <v>9</v>
      </c>
      <c r="D248" t="s">
        <v>280</v>
      </c>
      <c r="E248" s="125">
        <f>INDEX('Revised 2018 Lockdown'!H$5:H$253,MATCH(B248,'Revised 2018 Lockdown'!B$5:B$253,0))</f>
        <v>176.36542421951017</v>
      </c>
      <c r="F248" s="7">
        <f>INDEX('Revised 2018 Lockdown'!E$5:E$253,MATCH(B248,'Revised 2018 Lockdown'!B$5:B$253,0))</f>
        <v>63559.46</v>
      </c>
      <c r="G248" s="7">
        <f>INDEX('Revised 2018 Lockdown'!F$5:F$253,MATCH(B248,'Revised 2018 Lockdown'!B$5:B$253,0))</f>
        <v>0</v>
      </c>
      <c r="H248" s="7">
        <f t="shared" si="32"/>
        <v>63559.46</v>
      </c>
      <c r="I248" s="6">
        <f t="shared" si="33"/>
        <v>360.38503738063656</v>
      </c>
      <c r="J248" s="6">
        <f t="shared" si="34"/>
        <v>360.38503738063656</v>
      </c>
      <c r="K248" s="5">
        <f t="shared" si="35"/>
        <v>63559.46</v>
      </c>
      <c r="L248" s="4">
        <f t="shared" si="36"/>
        <v>0</v>
      </c>
      <c r="M248" s="2" cm="1">
        <f t="array" ref="M248">SUMPRODUCT(--($L$6:$L$300&lt;&gt;1),--($C$6:$C$300=$C248),$H$6:$H$300)/SUMPRODUCT(--($L$6:$L$300&lt;&gt;1),--($C$6:$C$300=$C248),$E$6:$E$300)</f>
        <v>654.14930531507116</v>
      </c>
      <c r="N248" s="1" cm="1">
        <f t="array" ref="N248">SUMPRODUCT(--($L$6:$L$300&lt;&gt;1),--($C$6:$C$300=$C248))</f>
        <v>30</v>
      </c>
      <c r="O248" s="3">
        <f t="shared" si="29"/>
        <v>86297.445115054274</v>
      </c>
      <c r="P248" s="2" cm="1">
        <f t="array" ref="P248">SQRT(SUMPRODUCT(--($L$6:$L$300&lt;&gt;1),--($C$6:$C$300=$C248),$E$6:$E$300,$O$6:$O$300)/((N248-1)*SUMPRODUCT(--($L$6:$L$300&lt;&gt;1),--($C$6:$C$300=$C248),$E$6:$E$300)/N248))</f>
        <v>549.95980378695197</v>
      </c>
      <c r="Q248" s="2">
        <f t="shared" si="31"/>
        <v>-50.652542214698542</v>
      </c>
      <c r="R248" s="2">
        <f t="shared" si="31"/>
        <v>1358.9511528448409</v>
      </c>
      <c r="S248" s="2">
        <f t="shared" si="30"/>
        <v>360.38503738063656</v>
      </c>
    </row>
    <row r="249" spans="2:19" x14ac:dyDescent="0.3">
      <c r="B249" s="1">
        <v>830</v>
      </c>
      <c r="C249" s="1">
        <v>9</v>
      </c>
      <c r="D249" t="s">
        <v>281</v>
      </c>
      <c r="E249" s="125">
        <f>INDEX('Revised 2018 Lockdown'!H$5:H$253,MATCH(B249,'Revised 2018 Lockdown'!B$5:B$253,0))</f>
        <v>22.210248484131998</v>
      </c>
      <c r="F249" s="7">
        <f>INDEX('Revised 2018 Lockdown'!E$5:E$253,MATCH(B249,'Revised 2018 Lockdown'!B$5:B$253,0))</f>
        <v>25322.05</v>
      </c>
      <c r="G249" s="7">
        <f>INDEX('Revised 2018 Lockdown'!F$5:F$253,MATCH(B249,'Revised 2018 Lockdown'!B$5:B$253,0))</f>
        <v>0</v>
      </c>
      <c r="H249" s="7">
        <f t="shared" si="32"/>
        <v>25322.05</v>
      </c>
      <c r="I249" s="6">
        <f t="shared" si="33"/>
        <v>1140.1065601805947</v>
      </c>
      <c r="J249" s="6">
        <f t="shared" si="34"/>
        <v>1140.1065601805947</v>
      </c>
      <c r="K249" s="5">
        <f t="shared" si="35"/>
        <v>25322.05</v>
      </c>
      <c r="L249" s="4">
        <f t="shared" si="36"/>
        <v>0</v>
      </c>
      <c r="M249" s="2" cm="1">
        <f t="array" ref="M249">SUMPRODUCT(--($L$6:$L$300&lt;&gt;1),--($C$6:$C$300=$C249),$H$6:$H$300)/SUMPRODUCT(--($L$6:$L$300&lt;&gt;1),--($C$6:$C$300=$C249),$E$6:$E$300)</f>
        <v>654.14930531507116</v>
      </c>
      <c r="N249" s="1" cm="1">
        <f t="array" ref="N249">SUMPRODUCT(--($L$6:$L$300&lt;&gt;1),--($C$6:$C$300=$C249))</f>
        <v>30</v>
      </c>
      <c r="O249" s="3">
        <f t="shared" si="29"/>
        <v>236154.45355643539</v>
      </c>
      <c r="P249" s="2" cm="1">
        <f t="array" ref="P249">SQRT(SUMPRODUCT(--($L$6:$L$300&lt;&gt;1),--($C$6:$C$300=$C249),$E$6:$E$300,$O$6:$O$300)/((N249-1)*SUMPRODUCT(--($L$6:$L$300&lt;&gt;1),--($C$6:$C$300=$C249),$E$6:$E$300)/N249))</f>
        <v>549.95980378695197</v>
      </c>
      <c r="Q249" s="2">
        <f t="shared" si="31"/>
        <v>-50.652542214698542</v>
      </c>
      <c r="R249" s="2">
        <f t="shared" si="31"/>
        <v>1358.9511528448409</v>
      </c>
      <c r="S249" s="2">
        <f t="shared" si="30"/>
        <v>1140.1065601805947</v>
      </c>
    </row>
    <row r="250" spans="2:19" x14ac:dyDescent="0.3">
      <c r="B250" s="1">
        <v>936</v>
      </c>
      <c r="C250" s="1">
        <v>9</v>
      </c>
      <c r="D250" t="s">
        <v>282</v>
      </c>
      <c r="E250" s="125">
        <f>INDEX('Revised 2018 Lockdown'!H$5:H$253,MATCH(B250,'Revised 2018 Lockdown'!B$5:B$253,0))</f>
        <v>43.383477652114919</v>
      </c>
      <c r="F250" s="7">
        <f>INDEX('Revised 2018 Lockdown'!E$5:E$253,MATCH(B250,'Revised 2018 Lockdown'!B$5:B$253,0))</f>
        <v>69869.86</v>
      </c>
      <c r="G250" s="7">
        <f>INDEX('Revised 2018 Lockdown'!F$5:F$253,MATCH(B250,'Revised 2018 Lockdown'!B$5:B$253,0))</f>
        <v>0</v>
      </c>
      <c r="H250" s="7">
        <f t="shared" si="32"/>
        <v>69869.86</v>
      </c>
      <c r="I250" s="6">
        <f t="shared" si="33"/>
        <v>1610.5177312034571</v>
      </c>
      <c r="J250" s="6">
        <f t="shared" si="34"/>
        <v>1358.9511528448409</v>
      </c>
      <c r="K250" s="5">
        <f t="shared" si="35"/>
        <v>58956.026969759958</v>
      </c>
      <c r="L250" s="4">
        <f t="shared" si="36"/>
        <v>0</v>
      </c>
      <c r="M250" s="2" cm="1">
        <f t="array" ref="M250">SUMPRODUCT(--($L$6:$L$300&lt;&gt;1),--($C$6:$C$300=$C250),$H$6:$H$300)/SUMPRODUCT(--($L$6:$L$300&lt;&gt;1),--($C$6:$C$300=$C250),$E$6:$E$300)</f>
        <v>654.14930531507116</v>
      </c>
      <c r="N250" s="1" cm="1">
        <f t="array" ref="N250">SUMPRODUCT(--($L$6:$L$300&lt;&gt;1),--($C$6:$C$300=$C250))</f>
        <v>30</v>
      </c>
      <c r="O250" s="3">
        <f t="shared" si="29"/>
        <v>914640.56603622902</v>
      </c>
      <c r="P250" s="2" cm="1">
        <f t="array" ref="P250">SQRT(SUMPRODUCT(--($L$6:$L$300&lt;&gt;1),--($C$6:$C$300=$C250),$E$6:$E$300,$O$6:$O$300)/((N250-1)*SUMPRODUCT(--($L$6:$L$300&lt;&gt;1),--($C$6:$C$300=$C250),$E$6:$E$300)/N250))</f>
        <v>549.95980378695197</v>
      </c>
      <c r="Q250" s="2">
        <f t="shared" si="31"/>
        <v>-50.652542214698542</v>
      </c>
      <c r="R250" s="2">
        <f t="shared" si="31"/>
        <v>1358.9511528448409</v>
      </c>
      <c r="S250" s="2">
        <f t="shared" si="30"/>
        <v>1358.9511528448409</v>
      </c>
    </row>
    <row r="251" spans="2:19" x14ac:dyDescent="0.3">
      <c r="B251" s="1">
        <v>952</v>
      </c>
      <c r="C251" s="1">
        <v>9</v>
      </c>
      <c r="D251" t="s">
        <v>283</v>
      </c>
      <c r="E251" s="125">
        <f>INDEX('Revised 2018 Lockdown'!H$5:H$253,MATCH(B251,'Revised 2018 Lockdown'!B$5:B$253,0))</f>
        <v>65.756042203122433</v>
      </c>
      <c r="F251" s="7">
        <f>INDEX('Revised 2018 Lockdown'!E$5:E$253,MATCH(B251,'Revised 2018 Lockdown'!B$5:B$253,0))</f>
        <v>81300.5</v>
      </c>
      <c r="G251" s="7">
        <f>INDEX('Revised 2018 Lockdown'!F$5:F$253,MATCH(B251,'Revised 2018 Lockdown'!B$5:B$253,0))</f>
        <v>3878.1</v>
      </c>
      <c r="H251" s="7">
        <f t="shared" si="32"/>
        <v>77422.399999999994</v>
      </c>
      <c r="I251" s="6">
        <f t="shared" si="33"/>
        <v>1177.4187953836977</v>
      </c>
      <c r="J251" s="6">
        <f t="shared" si="34"/>
        <v>1177.4187953836977</v>
      </c>
      <c r="K251" s="5">
        <f t="shared" si="35"/>
        <v>77422.399999999994</v>
      </c>
      <c r="L251" s="4">
        <f t="shared" si="36"/>
        <v>0</v>
      </c>
      <c r="M251" s="2" cm="1">
        <f t="array" ref="M251">SUMPRODUCT(--($L$6:$L$300&lt;&gt;1),--($C$6:$C$300=$C251),$H$6:$H$300)/SUMPRODUCT(--($L$6:$L$300&lt;&gt;1),--($C$6:$C$300=$C251),$E$6:$E$300)</f>
        <v>654.14930531507116</v>
      </c>
      <c r="N251" s="1" cm="1">
        <f t="array" ref="N251">SUMPRODUCT(--($L$6:$L$300&lt;&gt;1),--($C$6:$C$300=$C251))</f>
        <v>30</v>
      </c>
      <c r="O251" s="3">
        <f t="shared" si="29"/>
        <v>273810.95923668041</v>
      </c>
      <c r="P251" s="2" cm="1">
        <f t="array" ref="P251">SQRT(SUMPRODUCT(--($L$6:$L$300&lt;&gt;1),--($C$6:$C$300=$C251),$E$6:$E$300,$O$6:$O$300)/((N251-1)*SUMPRODUCT(--($L$6:$L$300&lt;&gt;1),--($C$6:$C$300=$C251),$E$6:$E$300)/N251))</f>
        <v>549.95980378695197</v>
      </c>
      <c r="Q251" s="2">
        <f t="shared" si="31"/>
        <v>-50.652542214698542</v>
      </c>
      <c r="R251" s="2">
        <f t="shared" si="31"/>
        <v>1358.9511528448409</v>
      </c>
      <c r="S251" s="2">
        <f t="shared" si="30"/>
        <v>1177.4187953836977</v>
      </c>
    </row>
    <row r="252" spans="2:19" x14ac:dyDescent="0.3">
      <c r="B252" s="1">
        <v>982</v>
      </c>
      <c r="C252" s="1">
        <v>9</v>
      </c>
      <c r="D252" t="s">
        <v>284</v>
      </c>
      <c r="E252" s="125">
        <f>INDEX('Revised 2018 Lockdown'!H$5:H$253,MATCH(B252,'Revised 2018 Lockdown'!B$5:B$253,0))</f>
        <v>97.412690933606555</v>
      </c>
      <c r="F252" s="7">
        <f>INDEX('Revised 2018 Lockdown'!E$5:E$253,MATCH(B252,'Revised 2018 Lockdown'!B$5:B$253,0))</f>
        <v>107892.54</v>
      </c>
      <c r="G252" s="7">
        <f>INDEX('Revised 2018 Lockdown'!F$5:F$253,MATCH(B252,'Revised 2018 Lockdown'!B$5:B$253,0))</f>
        <v>0</v>
      </c>
      <c r="H252" s="7">
        <f t="shared" si="32"/>
        <v>107892.54</v>
      </c>
      <c r="I252" s="6">
        <f t="shared" si="33"/>
        <v>1107.5819686937523</v>
      </c>
      <c r="J252" s="6">
        <f t="shared" si="34"/>
        <v>1107.5819686937523</v>
      </c>
      <c r="K252" s="5">
        <f t="shared" si="35"/>
        <v>107892.53999999998</v>
      </c>
      <c r="L252" s="4">
        <f t="shared" si="36"/>
        <v>0</v>
      </c>
      <c r="M252" s="2" cm="1">
        <f t="array" ref="M252">SUMPRODUCT(--($L$6:$L$300&lt;&gt;1),--($C$6:$C$300=$C252),$H$6:$H$300)/SUMPRODUCT(--($L$6:$L$300&lt;&gt;1),--($C$6:$C$300=$C252),$E$6:$E$300)</f>
        <v>654.14930531507116</v>
      </c>
      <c r="N252" s="1" cm="1">
        <f t="array" ref="N252">SUMPRODUCT(--($L$6:$L$300&lt;&gt;1),--($C$6:$C$300=$C252))</f>
        <v>30</v>
      </c>
      <c r="O252" s="3">
        <f t="shared" si="29"/>
        <v>205601.18021868434</v>
      </c>
      <c r="P252" s="2" cm="1">
        <f t="array" ref="P252">SQRT(SUMPRODUCT(--($L$6:$L$300&lt;&gt;1),--($C$6:$C$300=$C252),$E$6:$E$300,$O$6:$O$300)/((N252-1)*SUMPRODUCT(--($L$6:$L$300&lt;&gt;1),--($C$6:$C$300=$C252),$E$6:$E$300)/N252))</f>
        <v>549.95980378695197</v>
      </c>
      <c r="Q252" s="2">
        <f t="shared" si="31"/>
        <v>-50.652542214698542</v>
      </c>
      <c r="R252" s="2">
        <f t="shared" si="31"/>
        <v>1358.9511528448409</v>
      </c>
      <c r="S252" s="2">
        <f t="shared" si="30"/>
        <v>1107.5819686937523</v>
      </c>
    </row>
    <row r="253" spans="2:19" x14ac:dyDescent="0.3">
      <c r="B253" s="1">
        <v>987</v>
      </c>
      <c r="C253" s="1">
        <v>9</v>
      </c>
      <c r="D253" t="s">
        <v>285</v>
      </c>
      <c r="E253" s="125">
        <f>INDEX('Revised 2018 Lockdown'!H$5:H$253,MATCH(B253,'Revised 2018 Lockdown'!B$5:B$253,0))</f>
        <v>253.77541145224947</v>
      </c>
      <c r="F253" s="7">
        <f>INDEX('Revised 2018 Lockdown'!E$5:E$253,MATCH(B253,'Revised 2018 Lockdown'!B$5:B$253,0))</f>
        <v>88557.58</v>
      </c>
      <c r="G253" s="7">
        <f>INDEX('Revised 2018 Lockdown'!F$5:F$253,MATCH(B253,'Revised 2018 Lockdown'!B$5:B$253,0))</f>
        <v>0</v>
      </c>
      <c r="H253" s="7">
        <f t="shared" si="32"/>
        <v>88557.58</v>
      </c>
      <c r="I253" s="6">
        <f t="shared" si="33"/>
        <v>348.96044298863467</v>
      </c>
      <c r="J253" s="6">
        <f t="shared" si="34"/>
        <v>348.96044298863467</v>
      </c>
      <c r="K253" s="5">
        <f t="shared" si="35"/>
        <v>88557.58</v>
      </c>
      <c r="L253" s="4">
        <f t="shared" si="36"/>
        <v>0</v>
      </c>
      <c r="M253" s="2" cm="1">
        <f t="array" ref="M253">SUMPRODUCT(--($L$6:$L$300&lt;&gt;1),--($C$6:$C$300=$C253),$H$6:$H$300)/SUMPRODUCT(--($L$6:$L$300&lt;&gt;1),--($C$6:$C$300=$C253),$E$6:$E$300)</f>
        <v>654.14930531507116</v>
      </c>
      <c r="N253" s="1" cm="1">
        <f t="array" ref="N253">SUMPRODUCT(--($L$6:$L$300&lt;&gt;1),--($C$6:$C$300=$C253))</f>
        <v>30</v>
      </c>
      <c r="O253" s="3">
        <f t="shared" si="29"/>
        <v>93140.241688104608</v>
      </c>
      <c r="P253" s="2" cm="1">
        <f t="array" ref="P253">SQRT(SUMPRODUCT(--($L$6:$L$300&lt;&gt;1),--($C$6:$C$300=$C253),$E$6:$E$300,$O$6:$O$300)/((N253-1)*SUMPRODUCT(--($L$6:$L$300&lt;&gt;1),--($C$6:$C$300=$C253),$E$6:$E$300)/N253))</f>
        <v>549.95980378695197</v>
      </c>
      <c r="Q253" s="2">
        <f t="shared" si="31"/>
        <v>-50.652542214698542</v>
      </c>
      <c r="R253" s="2">
        <f t="shared" si="31"/>
        <v>1358.9511528448409</v>
      </c>
      <c r="S253" s="2">
        <f t="shared" si="30"/>
        <v>348.96044298863467</v>
      </c>
    </row>
    <row r="254" spans="2:19" x14ac:dyDescent="0.3">
      <c r="B254" s="1">
        <v>998</v>
      </c>
      <c r="C254" s="1">
        <v>9</v>
      </c>
      <c r="D254" t="s">
        <v>286</v>
      </c>
      <c r="E254" s="125">
        <f>INDEX('Revised 2018 Lockdown'!H$5:H$253,MATCH(B254,'Revised 2018 Lockdown'!B$5:B$253,0))</f>
        <v>43.5998990746156</v>
      </c>
      <c r="F254" s="7">
        <f>INDEX('Revised 2018 Lockdown'!E$5:E$253,MATCH(B254,'Revised 2018 Lockdown'!B$5:B$253,0))</f>
        <v>219857.96</v>
      </c>
      <c r="G254" s="7">
        <f>INDEX('Revised 2018 Lockdown'!F$5:F$253,MATCH(B254,'Revised 2018 Lockdown'!B$5:B$253,0))</f>
        <v>0</v>
      </c>
      <c r="H254" s="7">
        <f t="shared" si="32"/>
        <v>219857.96</v>
      </c>
      <c r="I254" s="6">
        <f t="shared" si="33"/>
        <v>5042.6254341493195</v>
      </c>
      <c r="J254" s="6">
        <f t="shared" si="34"/>
        <v>1358.9511528448409</v>
      </c>
      <c r="K254" s="5">
        <f t="shared" si="35"/>
        <v>59250.133111367577</v>
      </c>
      <c r="L254" s="4">
        <f t="shared" si="36"/>
        <v>0</v>
      </c>
      <c r="M254" s="2" cm="1">
        <f t="array" ref="M254">SUMPRODUCT(--($L$6:$L$300&lt;&gt;1),--($C$6:$C$300=$C254),$H$6:$H$300)/SUMPRODUCT(--($L$6:$L$300&lt;&gt;1),--($C$6:$C$300=$C254),$E$6:$E$300)</f>
        <v>654.14930531507116</v>
      </c>
      <c r="N254" s="1" cm="1">
        <f t="array" ref="N254">SUMPRODUCT(--($L$6:$L$300&lt;&gt;1),--($C$6:$C$300=$C254))</f>
        <v>30</v>
      </c>
      <c r="O254" s="3">
        <f t="shared" si="29"/>
        <v>19258722.733348034</v>
      </c>
      <c r="P254" s="2" cm="1">
        <f t="array" ref="P254">SQRT(SUMPRODUCT(--($L$6:$L$300&lt;&gt;1),--($C$6:$C$300=$C254),$E$6:$E$300,$O$6:$O$300)/((N254-1)*SUMPRODUCT(--($L$6:$L$300&lt;&gt;1),--($C$6:$C$300=$C254),$E$6:$E$300)/N254))</f>
        <v>549.95980378695197</v>
      </c>
      <c r="Q254" s="2">
        <f t="shared" si="31"/>
        <v>-50.652542214698542</v>
      </c>
      <c r="R254" s="2">
        <f t="shared" si="31"/>
        <v>1358.9511528448409</v>
      </c>
      <c r="S254" s="2">
        <f t="shared" si="30"/>
        <v>1358.9511528448409</v>
      </c>
    </row>
  </sheetData>
  <conditionalFormatting sqref="E6:S6 E75:L254 E74:K74 E7:L73 M7:S254">
    <cfRule type="expression" dxfId="9" priority="10">
      <formula>$C6&lt;&gt;$C5</formula>
    </cfRule>
  </conditionalFormatting>
  <conditionalFormatting sqref="J6:J254">
    <cfRule type="expression" dxfId="8" priority="9">
      <formula>$J6&lt;$I6=TRUE</formula>
    </cfRule>
  </conditionalFormatting>
  <conditionalFormatting sqref="B51:D77 B151:D163 B165:D170 B214:D236 B84:D149 B79:D81 B172:D182 B184:D212 B6:D49">
    <cfRule type="expression" dxfId="7" priority="5">
      <formula>$C6&lt;&gt;$C5</formula>
    </cfRule>
  </conditionalFormatting>
  <conditionalFormatting sqref="B50:D50 B78:D78 B164:D164 B213:D213 B82:D82 B183:D183">
    <cfRule type="expression" dxfId="6" priority="6">
      <formula>$C50&lt;&gt;$C48</formula>
    </cfRule>
  </conditionalFormatting>
  <conditionalFormatting sqref="B150:D150 B171:D171">
    <cfRule type="expression" dxfId="5" priority="7">
      <formula>$C150&lt;&gt;#REF!</formula>
    </cfRule>
  </conditionalFormatting>
  <conditionalFormatting sqref="B83:D83">
    <cfRule type="expression" dxfId="4" priority="8">
      <formula>$C83&lt;&gt;$C80</formula>
    </cfRule>
  </conditionalFormatting>
  <conditionalFormatting sqref="E6:E254">
    <cfRule type="expression" dxfId="3" priority="4">
      <formula>$C6&lt;&gt;$C5</formula>
    </cfRule>
  </conditionalFormatting>
  <conditionalFormatting sqref="E4:H4">
    <cfRule type="expression" dxfId="2" priority="3">
      <formula>$C4&lt;&gt;$C3</formula>
    </cfRule>
  </conditionalFormatting>
  <conditionalFormatting sqref="L74">
    <cfRule type="expression" dxfId="1" priority="2">
      <formula>$C74&lt;&gt;$C73</formula>
    </cfRule>
  </conditionalFormatting>
  <conditionalFormatting sqref="K4">
    <cfRule type="expression" dxfId="0" priority="1">
      <formula>$C4&lt;&gt;$C3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0DE5-541C-49A5-B2CB-56D389B83AF2}">
  <sheetPr codeName="Sheet4">
    <tabColor rgb="FFFFCCFF"/>
  </sheetPr>
  <dimension ref="A1:I253"/>
  <sheetViews>
    <sheetView workbookViewId="0">
      <selection activeCell="I19" sqref="I19"/>
    </sheetView>
  </sheetViews>
  <sheetFormatPr defaultColWidth="8.88671875" defaultRowHeight="14.4" x14ac:dyDescent="0.3"/>
  <cols>
    <col min="1" max="1" width="4.88671875" style="31" customWidth="1"/>
    <col min="2" max="2" width="8.5546875" style="31" customWidth="1"/>
    <col min="3" max="3" width="8.88671875" style="31" customWidth="1"/>
    <col min="4" max="4" width="53" style="31" customWidth="1"/>
    <col min="5" max="8" width="13.88671875" style="31" customWidth="1"/>
    <col min="9" max="9" width="12.88671875" style="31" customWidth="1"/>
    <col min="10" max="16384" width="8.88671875" style="31"/>
  </cols>
  <sheetData>
    <row r="1" spans="1:9" x14ac:dyDescent="0.3">
      <c r="E1" s="31" t="s">
        <v>13</v>
      </c>
      <c r="F1" s="132">
        <v>1000</v>
      </c>
      <c r="H1" s="31" t="s">
        <v>14</v>
      </c>
      <c r="I1" s="133">
        <f t="array" ref="I1">AVERAGE(IF($I$5:$I$300&lt;&gt;0,IF($I$5:$I$300&lt;=F1,$I$5:$I$300)))</f>
        <v>497.64993240812458</v>
      </c>
    </row>
    <row r="2" spans="1:9" x14ac:dyDescent="0.3">
      <c r="B2" s="28" t="s">
        <v>327</v>
      </c>
      <c r="E2" s="29"/>
      <c r="H2" s="31" t="s">
        <v>15</v>
      </c>
      <c r="I2" s="133">
        <f t="array" ref="I2">STDEV(IF($I$5:$I$300&lt;&gt;0,IF($I$5:$I$300&lt;=F1,$I$5:$I$300)))</f>
        <v>204.2601497311461</v>
      </c>
    </row>
    <row r="3" spans="1:9" ht="15" thickBot="1" x14ac:dyDescent="0.35">
      <c r="E3" s="30">
        <f>SUM(E5:E300)</f>
        <v>367209233.82999974</v>
      </c>
      <c r="F3" s="30">
        <f>SUM(F5:F300)</f>
        <v>75152503.179999992</v>
      </c>
      <c r="G3" s="30">
        <f>SUM(G5:G300)</f>
        <v>292056730.64999986</v>
      </c>
      <c r="H3" s="126">
        <f>SUM(H5:H300)</f>
        <v>780409.15570955805</v>
      </c>
      <c r="I3" s="132">
        <f>G3/H3</f>
        <v>374.23539756457382</v>
      </c>
    </row>
    <row r="4" spans="1:9" ht="43.8" thickBot="1" x14ac:dyDescent="0.35">
      <c r="B4" s="134" t="s">
        <v>10</v>
      </c>
      <c r="C4" s="134" t="s">
        <v>9</v>
      </c>
      <c r="D4" s="134" t="s">
        <v>8</v>
      </c>
      <c r="E4" s="134" t="s">
        <v>16</v>
      </c>
      <c r="F4" s="134" t="s">
        <v>17</v>
      </c>
      <c r="G4" s="134" t="s">
        <v>18</v>
      </c>
      <c r="H4" s="135" t="s">
        <v>19</v>
      </c>
      <c r="I4" s="134" t="s">
        <v>20</v>
      </c>
    </row>
    <row r="5" spans="1:9" x14ac:dyDescent="0.3">
      <c r="A5" s="34">
        <v>1</v>
      </c>
      <c r="B5" s="143">
        <v>1</v>
      </c>
      <c r="C5" s="137">
        <v>1</v>
      </c>
      <c r="D5" s="138" t="s">
        <v>48</v>
      </c>
      <c r="E5" s="139">
        <v>9766397.1899999995</v>
      </c>
      <c r="F5" s="140">
        <v>568925.55000000005</v>
      </c>
      <c r="G5" s="140">
        <v>9197471.6399999987</v>
      </c>
      <c r="H5" s="141">
        <v>38728.502695461008</v>
      </c>
      <c r="I5" s="142">
        <f t="shared" ref="I5:I68" si="0">IFERROR(G5/H5,0)</f>
        <v>237.48585666540487</v>
      </c>
    </row>
    <row r="6" spans="1:9" x14ac:dyDescent="0.3">
      <c r="A6" s="34">
        <v>1</v>
      </c>
      <c r="B6" s="143">
        <v>20</v>
      </c>
      <c r="C6" s="137">
        <v>1</v>
      </c>
      <c r="D6" s="138" t="s">
        <v>49</v>
      </c>
      <c r="E6" s="139">
        <v>72205416.569999993</v>
      </c>
      <c r="F6" s="140">
        <v>10663964.02</v>
      </c>
      <c r="G6" s="140">
        <v>61541452.549999997</v>
      </c>
      <c r="H6" s="141">
        <v>95138.34</v>
      </c>
      <c r="I6" s="142">
        <f t="shared" si="0"/>
        <v>646.86279527265242</v>
      </c>
    </row>
    <row r="7" spans="1:9" x14ac:dyDescent="0.3">
      <c r="A7" s="34">
        <v>1</v>
      </c>
      <c r="B7" s="143">
        <v>50</v>
      </c>
      <c r="C7" s="137">
        <v>1</v>
      </c>
      <c r="D7" s="138" t="s">
        <v>50</v>
      </c>
      <c r="E7" s="139">
        <v>10268120.67</v>
      </c>
      <c r="F7" s="140">
        <v>3253400.57</v>
      </c>
      <c r="G7" s="140">
        <v>7014720.0999999996</v>
      </c>
      <c r="H7" s="141">
        <v>21832.32</v>
      </c>
      <c r="I7" s="142">
        <f t="shared" si="0"/>
        <v>321.29980231143549</v>
      </c>
    </row>
    <row r="8" spans="1:9" x14ac:dyDescent="0.3">
      <c r="A8" s="34">
        <v>1</v>
      </c>
      <c r="B8" s="143">
        <v>97</v>
      </c>
      <c r="C8" s="137">
        <v>1</v>
      </c>
      <c r="D8" s="138" t="s">
        <v>51</v>
      </c>
      <c r="E8" s="139">
        <v>29681378.469999999</v>
      </c>
      <c r="F8" s="140">
        <v>5193562.6999999993</v>
      </c>
      <c r="G8" s="140">
        <v>24487815.77</v>
      </c>
      <c r="H8" s="141">
        <v>65818.306144817994</v>
      </c>
      <c r="I8" s="142">
        <f t="shared" si="0"/>
        <v>372.0517467605473</v>
      </c>
    </row>
    <row r="9" spans="1:9" x14ac:dyDescent="0.3">
      <c r="A9" s="34">
        <v>1</v>
      </c>
      <c r="B9" s="143">
        <v>172</v>
      </c>
      <c r="C9" s="137">
        <v>1</v>
      </c>
      <c r="D9" s="138" t="s">
        <v>52</v>
      </c>
      <c r="E9" s="139">
        <v>15497137.449999999</v>
      </c>
      <c r="F9" s="140">
        <v>3445193.7500000005</v>
      </c>
      <c r="G9" s="140">
        <v>12051943.699999999</v>
      </c>
      <c r="H9" s="141">
        <v>34341.100000000006</v>
      </c>
      <c r="I9" s="142">
        <f t="shared" si="0"/>
        <v>350.94809717801695</v>
      </c>
    </row>
    <row r="10" spans="1:9" x14ac:dyDescent="0.3">
      <c r="A10" s="34">
        <v>1</v>
      </c>
      <c r="B10" s="143">
        <v>270</v>
      </c>
      <c r="C10" s="137">
        <v>1</v>
      </c>
      <c r="D10" s="138" t="s">
        <v>53</v>
      </c>
      <c r="E10" s="139">
        <v>36884315.539999999</v>
      </c>
      <c r="F10" s="140">
        <v>6800569.6699999999</v>
      </c>
      <c r="G10" s="140">
        <v>30083745.869999997</v>
      </c>
      <c r="H10" s="141">
        <v>81774.8</v>
      </c>
      <c r="I10" s="142">
        <f t="shared" si="0"/>
        <v>367.88528825506143</v>
      </c>
    </row>
    <row r="11" spans="1:9" x14ac:dyDescent="0.3">
      <c r="A11" s="34">
        <v>2</v>
      </c>
      <c r="B11" s="143">
        <v>6</v>
      </c>
      <c r="C11" s="137">
        <v>2</v>
      </c>
      <c r="D11" s="138" t="s">
        <v>54</v>
      </c>
      <c r="E11" s="139">
        <v>19454497.760000002</v>
      </c>
      <c r="F11" s="140">
        <v>4664058.9000000004</v>
      </c>
      <c r="G11" s="140">
        <v>14790438.860000001</v>
      </c>
      <c r="H11" s="141">
        <v>43278</v>
      </c>
      <c r="I11" s="142">
        <f t="shared" si="0"/>
        <v>341.75421368824811</v>
      </c>
    </row>
    <row r="12" spans="1:9" x14ac:dyDescent="0.3">
      <c r="A12" s="34">
        <v>2</v>
      </c>
      <c r="B12" s="143">
        <v>18</v>
      </c>
      <c r="C12" s="137">
        <v>2</v>
      </c>
      <c r="D12" s="138" t="s">
        <v>55</v>
      </c>
      <c r="E12" s="139">
        <v>8164283.8399999999</v>
      </c>
      <c r="F12" s="140">
        <v>3204604.9</v>
      </c>
      <c r="G12" s="140">
        <v>4959678.9399999995</v>
      </c>
      <c r="H12" s="141">
        <v>23157.74</v>
      </c>
      <c r="I12" s="142">
        <f t="shared" si="0"/>
        <v>214.16938526816517</v>
      </c>
    </row>
    <row r="13" spans="1:9" x14ac:dyDescent="0.3">
      <c r="A13" s="34">
        <v>2</v>
      </c>
      <c r="B13" s="143">
        <v>53</v>
      </c>
      <c r="C13" s="137">
        <v>2</v>
      </c>
      <c r="D13" s="138" t="s">
        <v>56</v>
      </c>
      <c r="E13" s="139">
        <v>11201363.85</v>
      </c>
      <c r="F13" s="140">
        <v>3914991.95</v>
      </c>
      <c r="G13" s="140">
        <v>7286371.8999999994</v>
      </c>
      <c r="H13" s="141">
        <v>36449.64</v>
      </c>
      <c r="I13" s="142">
        <f t="shared" si="0"/>
        <v>199.90243799390061</v>
      </c>
    </row>
    <row r="14" spans="1:9" x14ac:dyDescent="0.3">
      <c r="A14" s="34">
        <v>2</v>
      </c>
      <c r="B14" s="143">
        <v>335</v>
      </c>
      <c r="C14" s="137">
        <v>2</v>
      </c>
      <c r="D14" s="138" t="s">
        <v>57</v>
      </c>
      <c r="E14" s="139">
        <v>10253567.189999999</v>
      </c>
      <c r="F14" s="140">
        <v>3115651.2</v>
      </c>
      <c r="G14" s="140">
        <v>7137915.9899999993</v>
      </c>
      <c r="H14" s="141">
        <v>24830.720000000001</v>
      </c>
      <c r="I14" s="142">
        <f t="shared" si="0"/>
        <v>287.46310980913961</v>
      </c>
    </row>
    <row r="15" spans="1:9" x14ac:dyDescent="0.3">
      <c r="A15" s="34">
        <v>2</v>
      </c>
      <c r="B15" s="143">
        <v>357</v>
      </c>
      <c r="C15" s="137">
        <v>2</v>
      </c>
      <c r="D15" s="138" t="s">
        <v>58</v>
      </c>
      <c r="E15" s="139">
        <v>12842982.59</v>
      </c>
      <c r="F15" s="140">
        <v>4901152.2100000009</v>
      </c>
      <c r="G15" s="140">
        <v>7941830.379999999</v>
      </c>
      <c r="H15" s="141">
        <v>35854.92</v>
      </c>
      <c r="I15" s="142">
        <f t="shared" si="0"/>
        <v>221.49904057797366</v>
      </c>
    </row>
    <row r="16" spans="1:9" x14ac:dyDescent="0.3">
      <c r="A16" s="34">
        <v>2</v>
      </c>
      <c r="B16" s="143">
        <v>441</v>
      </c>
      <c r="C16" s="137">
        <v>2</v>
      </c>
      <c r="D16" s="138" t="s">
        <v>59</v>
      </c>
      <c r="E16" s="139">
        <v>19699847.25</v>
      </c>
      <c r="F16" s="140">
        <v>8176719.9399999995</v>
      </c>
      <c r="G16" s="140">
        <v>11523127.310000001</v>
      </c>
      <c r="H16" s="141">
        <v>56329.880000000012</v>
      </c>
      <c r="I16" s="142">
        <f t="shared" si="0"/>
        <v>204.5650960023348</v>
      </c>
    </row>
    <row r="17" spans="1:9" x14ac:dyDescent="0.3">
      <c r="A17" s="34">
        <v>3</v>
      </c>
      <c r="B17" s="143">
        <v>14</v>
      </c>
      <c r="C17" s="137">
        <v>3</v>
      </c>
      <c r="D17" s="138" t="s">
        <v>60</v>
      </c>
      <c r="E17" s="139">
        <v>2603189.4300000002</v>
      </c>
      <c r="F17" s="140">
        <v>261823.18</v>
      </c>
      <c r="G17" s="140">
        <v>2341366.25</v>
      </c>
      <c r="H17" s="141">
        <v>11321.630000000001</v>
      </c>
      <c r="I17" s="142">
        <f t="shared" si="0"/>
        <v>206.80469596692348</v>
      </c>
    </row>
    <row r="18" spans="1:9" x14ac:dyDescent="0.3">
      <c r="A18" s="34">
        <v>3</v>
      </c>
      <c r="B18" s="143">
        <v>36</v>
      </c>
      <c r="C18" s="137">
        <v>3</v>
      </c>
      <c r="D18" s="138" t="s">
        <v>61</v>
      </c>
      <c r="E18" s="139">
        <v>6197835.3200000003</v>
      </c>
      <c r="F18" s="140">
        <v>874483.81000000017</v>
      </c>
      <c r="G18" s="140">
        <v>5323351.51</v>
      </c>
      <c r="H18" s="141">
        <v>8138.780484742425</v>
      </c>
      <c r="I18" s="142">
        <f t="shared" si="0"/>
        <v>654.07237853134859</v>
      </c>
    </row>
    <row r="19" spans="1:9" x14ac:dyDescent="0.3">
      <c r="A19" s="34">
        <v>3</v>
      </c>
      <c r="B19" s="143">
        <v>55</v>
      </c>
      <c r="C19" s="137">
        <v>3</v>
      </c>
      <c r="D19" s="138" t="s">
        <v>62</v>
      </c>
      <c r="E19" s="139">
        <v>1492885.07</v>
      </c>
      <c r="F19" s="140">
        <v>67559.319999999992</v>
      </c>
      <c r="G19" s="140">
        <v>1425325.75</v>
      </c>
      <c r="H19" s="141">
        <v>3445.1599999999994</v>
      </c>
      <c r="I19" s="142">
        <f t="shared" si="0"/>
        <v>413.71830335891519</v>
      </c>
    </row>
    <row r="20" spans="1:9" x14ac:dyDescent="0.3">
      <c r="A20" s="34">
        <v>3</v>
      </c>
      <c r="B20" s="143">
        <v>103</v>
      </c>
      <c r="C20" s="137">
        <v>3</v>
      </c>
      <c r="D20" s="138" t="s">
        <v>63</v>
      </c>
      <c r="E20" s="139">
        <v>1485991.22</v>
      </c>
      <c r="F20" s="140">
        <v>554001.79</v>
      </c>
      <c r="G20" s="140">
        <v>931989.42999999993</v>
      </c>
      <c r="H20" s="144">
        <v>4118.84</v>
      </c>
      <c r="I20" s="142">
        <f t="shared" si="0"/>
        <v>226.27473511959676</v>
      </c>
    </row>
    <row r="21" spans="1:9" x14ac:dyDescent="0.3">
      <c r="A21" s="34">
        <v>3</v>
      </c>
      <c r="B21" s="143">
        <v>123</v>
      </c>
      <c r="C21" s="137">
        <v>3</v>
      </c>
      <c r="D21" s="138" t="s">
        <v>64</v>
      </c>
      <c r="E21" s="139">
        <v>1284089.29</v>
      </c>
      <c r="F21" s="140">
        <v>0</v>
      </c>
      <c r="G21" s="140">
        <v>1284089.29</v>
      </c>
      <c r="H21" s="144">
        <v>6660.5800000000008</v>
      </c>
      <c r="I21" s="142">
        <f t="shared" si="0"/>
        <v>192.78941023154138</v>
      </c>
    </row>
    <row r="22" spans="1:9" x14ac:dyDescent="0.3">
      <c r="A22" s="34">
        <v>3</v>
      </c>
      <c r="B22" s="143">
        <v>179</v>
      </c>
      <c r="C22" s="137">
        <v>3</v>
      </c>
      <c r="D22" s="138" t="s">
        <v>65</v>
      </c>
      <c r="E22" s="139">
        <v>2468879.0699999998</v>
      </c>
      <c r="F22" s="140">
        <v>713319.58000000007</v>
      </c>
      <c r="G22" s="140">
        <v>1755559.4899999998</v>
      </c>
      <c r="H22" s="144">
        <v>6074.0999999999995</v>
      </c>
      <c r="I22" s="142">
        <f t="shared" si="0"/>
        <v>289.02380434961555</v>
      </c>
    </row>
    <row r="23" spans="1:9" x14ac:dyDescent="0.3">
      <c r="A23" s="34">
        <v>3</v>
      </c>
      <c r="B23" s="143">
        <v>293</v>
      </c>
      <c r="C23" s="137">
        <v>3</v>
      </c>
      <c r="D23" s="138" t="s">
        <v>66</v>
      </c>
      <c r="E23" s="139">
        <v>2370064.7599999998</v>
      </c>
      <c r="F23" s="140">
        <v>992904.63</v>
      </c>
      <c r="G23" s="140">
        <v>1377160.13</v>
      </c>
      <c r="H23" s="144">
        <v>7960.05</v>
      </c>
      <c r="I23" s="142">
        <f t="shared" si="0"/>
        <v>173.00897984309142</v>
      </c>
    </row>
    <row r="24" spans="1:9" x14ac:dyDescent="0.3">
      <c r="A24" s="34">
        <v>4</v>
      </c>
      <c r="B24" s="143">
        <v>12</v>
      </c>
      <c r="C24" s="137">
        <v>4</v>
      </c>
      <c r="D24" s="138" t="s">
        <v>67</v>
      </c>
      <c r="E24" s="139">
        <v>2965866.88</v>
      </c>
      <c r="F24" s="140">
        <v>693708.37</v>
      </c>
      <c r="G24" s="140">
        <v>2272158.5099999998</v>
      </c>
      <c r="H24" s="144">
        <v>5092.2999999999993</v>
      </c>
      <c r="I24" s="142">
        <f t="shared" si="0"/>
        <v>446.1949433458359</v>
      </c>
    </row>
    <row r="25" spans="1:9" x14ac:dyDescent="0.3">
      <c r="A25" s="34">
        <v>4</v>
      </c>
      <c r="B25" s="143">
        <v>21</v>
      </c>
      <c r="C25" s="137">
        <v>4</v>
      </c>
      <c r="D25" s="138" t="s">
        <v>68</v>
      </c>
      <c r="E25" s="139">
        <v>3018158.71</v>
      </c>
      <c r="F25" s="140">
        <v>630793.78</v>
      </c>
      <c r="G25" s="140">
        <v>2387364.9299999997</v>
      </c>
      <c r="H25" s="144">
        <v>5179.17</v>
      </c>
      <c r="I25" s="142">
        <f t="shared" si="0"/>
        <v>460.95512022196601</v>
      </c>
    </row>
    <row r="26" spans="1:9" x14ac:dyDescent="0.3">
      <c r="A26" s="34">
        <v>4</v>
      </c>
      <c r="B26" s="143">
        <v>34</v>
      </c>
      <c r="C26" s="137">
        <v>4</v>
      </c>
      <c r="D26" s="138" t="s">
        <v>69</v>
      </c>
      <c r="E26" s="139">
        <v>2143525.2799999998</v>
      </c>
      <c r="F26" s="140">
        <v>564954.64</v>
      </c>
      <c r="G26" s="140">
        <v>1578570.6399999997</v>
      </c>
      <c r="H26" s="144">
        <v>4762.82</v>
      </c>
      <c r="I26" s="142">
        <f t="shared" si="0"/>
        <v>331.43613237535743</v>
      </c>
    </row>
    <row r="27" spans="1:9" x14ac:dyDescent="0.3">
      <c r="A27" s="34">
        <v>4</v>
      </c>
      <c r="B27" s="143">
        <v>87</v>
      </c>
      <c r="C27" s="137">
        <v>4</v>
      </c>
      <c r="D27" s="138" t="s">
        <v>70</v>
      </c>
      <c r="E27" s="139">
        <v>5182853.97</v>
      </c>
      <c r="F27" s="140">
        <v>1110329.5500000003</v>
      </c>
      <c r="G27" s="140">
        <v>4072524.4199999995</v>
      </c>
      <c r="H27" s="144">
        <v>10810.4</v>
      </c>
      <c r="I27" s="142">
        <f t="shared" si="0"/>
        <v>376.72282431732401</v>
      </c>
    </row>
    <row r="28" spans="1:9" x14ac:dyDescent="0.3">
      <c r="A28" s="34">
        <v>4</v>
      </c>
      <c r="B28" s="143">
        <v>88</v>
      </c>
      <c r="C28" s="137">
        <v>4</v>
      </c>
      <c r="D28" s="138" t="s">
        <v>71</v>
      </c>
      <c r="E28" s="139">
        <v>2125011.54</v>
      </c>
      <c r="F28" s="140">
        <v>560089.80000000005</v>
      </c>
      <c r="G28" s="140">
        <v>1564921.74</v>
      </c>
      <c r="H28" s="144">
        <v>4759.3799999999992</v>
      </c>
      <c r="I28" s="142">
        <f t="shared" si="0"/>
        <v>328.80789934823451</v>
      </c>
    </row>
    <row r="29" spans="1:9" x14ac:dyDescent="0.3">
      <c r="A29" s="34">
        <v>4</v>
      </c>
      <c r="B29" s="143">
        <v>89</v>
      </c>
      <c r="C29" s="137">
        <v>4</v>
      </c>
      <c r="D29" s="138" t="s">
        <v>291</v>
      </c>
      <c r="E29" s="139">
        <v>3750607.74</v>
      </c>
      <c r="F29" s="140">
        <v>559601.63</v>
      </c>
      <c r="G29" s="140">
        <v>3191006.1100000003</v>
      </c>
      <c r="H29" s="144">
        <v>5636.98</v>
      </c>
      <c r="I29" s="142">
        <f t="shared" si="0"/>
        <v>566.0843412607461</v>
      </c>
    </row>
    <row r="30" spans="1:9" x14ac:dyDescent="0.3">
      <c r="A30" s="34">
        <v>4</v>
      </c>
      <c r="B30" s="143">
        <v>143</v>
      </c>
      <c r="C30" s="137">
        <v>4</v>
      </c>
      <c r="D30" s="138" t="s">
        <v>72</v>
      </c>
      <c r="E30" s="139">
        <v>956347.7</v>
      </c>
      <c r="F30" s="140">
        <v>393346.75</v>
      </c>
      <c r="G30" s="140">
        <v>563000.94999999995</v>
      </c>
      <c r="H30" s="144">
        <v>2834.8</v>
      </c>
      <c r="I30" s="142">
        <f t="shared" si="0"/>
        <v>198.60341117539153</v>
      </c>
    </row>
    <row r="31" spans="1:9" x14ac:dyDescent="0.3">
      <c r="A31" s="34">
        <v>4</v>
      </c>
      <c r="B31" s="143">
        <v>183</v>
      </c>
      <c r="C31" s="137">
        <v>4</v>
      </c>
      <c r="D31" s="138" t="s">
        <v>73</v>
      </c>
      <c r="E31" s="139">
        <v>6716202.5899999999</v>
      </c>
      <c r="F31" s="140">
        <v>412366.9599999999</v>
      </c>
      <c r="G31" s="140">
        <v>6303835.6299999999</v>
      </c>
      <c r="H31" s="144">
        <v>11774.169999999998</v>
      </c>
      <c r="I31" s="142">
        <f t="shared" si="0"/>
        <v>535.39532977696103</v>
      </c>
    </row>
    <row r="32" spans="1:9" x14ac:dyDescent="0.3">
      <c r="A32" s="34">
        <v>4</v>
      </c>
      <c r="B32" s="143">
        <v>186</v>
      </c>
      <c r="C32" s="137">
        <v>4</v>
      </c>
      <c r="D32" s="138" t="s">
        <v>74</v>
      </c>
      <c r="E32" s="139">
        <v>8047305.9800000004</v>
      </c>
      <c r="F32" s="140">
        <v>1431664.65</v>
      </c>
      <c r="G32" s="140">
        <v>6615641.3300000001</v>
      </c>
      <c r="H32" s="144">
        <v>11101.34</v>
      </c>
      <c r="I32" s="142">
        <f t="shared" si="0"/>
        <v>595.93178210918677</v>
      </c>
    </row>
    <row r="33" spans="1:9" x14ac:dyDescent="0.3">
      <c r="A33" s="34">
        <v>4</v>
      </c>
      <c r="B33" s="143">
        <v>190</v>
      </c>
      <c r="C33" s="137">
        <v>4</v>
      </c>
      <c r="D33" s="138" t="s">
        <v>75</v>
      </c>
      <c r="E33" s="139">
        <v>2284236.41</v>
      </c>
      <c r="F33" s="140">
        <v>599429.44999999995</v>
      </c>
      <c r="G33" s="140">
        <v>1684806.9600000002</v>
      </c>
      <c r="H33" s="144">
        <v>3309.0599999999995</v>
      </c>
      <c r="I33" s="142">
        <f t="shared" si="0"/>
        <v>509.14971623361333</v>
      </c>
    </row>
    <row r="34" spans="1:9" x14ac:dyDescent="0.3">
      <c r="A34" s="34">
        <v>4</v>
      </c>
      <c r="B34" s="143">
        <v>324</v>
      </c>
      <c r="C34" s="137">
        <v>4</v>
      </c>
      <c r="D34" s="138" t="s">
        <v>76</v>
      </c>
      <c r="E34" s="139">
        <v>4198956.43</v>
      </c>
      <c r="F34" s="140">
        <v>1059029.5799999998</v>
      </c>
      <c r="G34" s="140">
        <v>3139926.8499999996</v>
      </c>
      <c r="H34" s="144">
        <v>7987.3900000000021</v>
      </c>
      <c r="I34" s="142">
        <f t="shared" si="0"/>
        <v>393.11049667037651</v>
      </c>
    </row>
    <row r="35" spans="1:9" x14ac:dyDescent="0.3">
      <c r="A35" s="34">
        <v>4</v>
      </c>
      <c r="B35" s="143">
        <v>429</v>
      </c>
      <c r="C35" s="137">
        <v>4</v>
      </c>
      <c r="D35" s="138" t="s">
        <v>77</v>
      </c>
      <c r="E35" s="139">
        <v>1673741.25</v>
      </c>
      <c r="F35" s="140">
        <v>427615.25</v>
      </c>
      <c r="G35" s="140">
        <v>1246126</v>
      </c>
      <c r="H35" s="144">
        <v>4357.0309999999999</v>
      </c>
      <c r="I35" s="142">
        <f t="shared" si="0"/>
        <v>286.00347346622044</v>
      </c>
    </row>
    <row r="36" spans="1:9" x14ac:dyDescent="0.3">
      <c r="A36" s="34">
        <v>4</v>
      </c>
      <c r="B36" s="143">
        <v>601</v>
      </c>
      <c r="C36" s="137">
        <v>4</v>
      </c>
      <c r="D36" s="138" t="s">
        <v>78</v>
      </c>
      <c r="E36" s="139">
        <v>3078679.08</v>
      </c>
      <c r="F36" s="140">
        <v>303552.10000000003</v>
      </c>
      <c r="G36" s="140">
        <v>2775126.98</v>
      </c>
      <c r="H36" s="144">
        <v>5915.7199999999993</v>
      </c>
      <c r="I36" s="142">
        <f t="shared" si="0"/>
        <v>469.11060361207092</v>
      </c>
    </row>
    <row r="37" spans="1:9" x14ac:dyDescent="0.3">
      <c r="A37" s="34">
        <v>4</v>
      </c>
      <c r="B37" s="143">
        <v>760</v>
      </c>
      <c r="C37" s="137">
        <v>4</v>
      </c>
      <c r="D37" s="138" t="s">
        <v>79</v>
      </c>
      <c r="E37" s="139">
        <v>1442808.39</v>
      </c>
      <c r="F37" s="140">
        <v>717833.62</v>
      </c>
      <c r="G37" s="140">
        <v>724974.7699999999</v>
      </c>
      <c r="H37" s="144">
        <v>5286.9399999999987</v>
      </c>
      <c r="I37" s="142">
        <f t="shared" si="0"/>
        <v>137.12559060628644</v>
      </c>
    </row>
    <row r="38" spans="1:9" x14ac:dyDescent="0.3">
      <c r="A38" s="34">
        <v>4</v>
      </c>
      <c r="B38" s="143">
        <v>878</v>
      </c>
      <c r="C38" s="137">
        <v>4</v>
      </c>
      <c r="D38" s="138" t="s">
        <v>80</v>
      </c>
      <c r="E38" s="139">
        <v>2910917.69</v>
      </c>
      <c r="F38" s="140">
        <v>838992.06</v>
      </c>
      <c r="G38" s="140">
        <v>2071925.63</v>
      </c>
      <c r="H38" s="144">
        <v>7663.16</v>
      </c>
      <c r="I38" s="142">
        <f t="shared" si="0"/>
        <v>270.37483622944058</v>
      </c>
    </row>
    <row r="39" spans="1:9" x14ac:dyDescent="0.3">
      <c r="A39" s="34">
        <v>5</v>
      </c>
      <c r="B39" s="143">
        <v>8</v>
      </c>
      <c r="C39" s="137">
        <v>5</v>
      </c>
      <c r="D39" s="138" t="s">
        <v>81</v>
      </c>
      <c r="E39" s="139">
        <v>627029.24</v>
      </c>
      <c r="F39" s="140">
        <v>25077.3</v>
      </c>
      <c r="G39" s="140">
        <v>601951.93999999994</v>
      </c>
      <c r="H39" s="144">
        <v>2105.2199999999998</v>
      </c>
      <c r="I39" s="142">
        <f t="shared" si="0"/>
        <v>285.9330331271791</v>
      </c>
    </row>
    <row r="40" spans="1:9" x14ac:dyDescent="0.3">
      <c r="A40" s="34">
        <v>5</v>
      </c>
      <c r="B40" s="143">
        <v>41</v>
      </c>
      <c r="C40" s="137">
        <v>5</v>
      </c>
      <c r="D40" s="138" t="s">
        <v>82</v>
      </c>
      <c r="E40" s="139">
        <v>652189.06000000006</v>
      </c>
      <c r="F40" s="140">
        <v>215017.75000000003</v>
      </c>
      <c r="G40" s="140">
        <v>437171.31000000006</v>
      </c>
      <c r="H40" s="144">
        <v>1688.06</v>
      </c>
      <c r="I40" s="142">
        <f t="shared" si="0"/>
        <v>258.97853749274321</v>
      </c>
    </row>
    <row r="41" spans="1:9" x14ac:dyDescent="0.3">
      <c r="A41" s="34">
        <v>5</v>
      </c>
      <c r="B41" s="143">
        <v>56</v>
      </c>
      <c r="C41" s="137">
        <v>5</v>
      </c>
      <c r="D41" s="138" t="s">
        <v>83</v>
      </c>
      <c r="E41" s="139">
        <v>561942.06999999995</v>
      </c>
      <c r="F41" s="140">
        <v>2316.81</v>
      </c>
      <c r="G41" s="140">
        <v>559625.25999999989</v>
      </c>
      <c r="H41" s="144">
        <v>3016.58</v>
      </c>
      <c r="I41" s="142">
        <f t="shared" si="0"/>
        <v>185.51646566641691</v>
      </c>
    </row>
    <row r="42" spans="1:9" x14ac:dyDescent="0.3">
      <c r="A42" s="34">
        <v>5</v>
      </c>
      <c r="B42" s="143">
        <v>67</v>
      </c>
      <c r="C42" s="137">
        <v>5</v>
      </c>
      <c r="D42" s="138" t="s">
        <v>84</v>
      </c>
      <c r="E42" s="139">
        <v>218449.94</v>
      </c>
      <c r="F42" s="140">
        <v>0</v>
      </c>
      <c r="G42" s="140">
        <v>218449.94</v>
      </c>
      <c r="H42" s="144">
        <v>1474.6685202418018</v>
      </c>
      <c r="I42" s="142">
        <f t="shared" si="0"/>
        <v>148.13494490557153</v>
      </c>
    </row>
    <row r="43" spans="1:9" x14ac:dyDescent="0.3">
      <c r="A43" s="34">
        <v>5</v>
      </c>
      <c r="B43" s="143">
        <v>157</v>
      </c>
      <c r="C43" s="137">
        <v>5</v>
      </c>
      <c r="D43" s="138" t="s">
        <v>85</v>
      </c>
      <c r="E43" s="139">
        <v>145211.09</v>
      </c>
      <c r="F43" s="140">
        <v>320</v>
      </c>
      <c r="G43" s="140">
        <v>144891.09</v>
      </c>
      <c r="H43" s="144">
        <v>446.65493195328992</v>
      </c>
      <c r="I43" s="142">
        <f t="shared" si="0"/>
        <v>324.39155964621108</v>
      </c>
    </row>
    <row r="44" spans="1:9" x14ac:dyDescent="0.3">
      <c r="A44" s="34">
        <v>5</v>
      </c>
      <c r="B44" s="143">
        <v>214</v>
      </c>
      <c r="C44" s="137">
        <v>5</v>
      </c>
      <c r="D44" s="138" t="s">
        <v>86</v>
      </c>
      <c r="E44" s="139">
        <v>1677840.57</v>
      </c>
      <c r="F44" s="140">
        <v>291173.04000000004</v>
      </c>
      <c r="G44" s="140">
        <v>1386667.53</v>
      </c>
      <c r="H44" s="144">
        <v>2922.96</v>
      </c>
      <c r="I44" s="142">
        <f t="shared" si="0"/>
        <v>474.40523647261682</v>
      </c>
    </row>
    <row r="45" spans="1:9" x14ac:dyDescent="0.3">
      <c r="A45" s="34">
        <v>5</v>
      </c>
      <c r="B45" s="143">
        <v>223</v>
      </c>
      <c r="C45" s="137">
        <v>5</v>
      </c>
      <c r="D45" s="138" t="s">
        <v>87</v>
      </c>
      <c r="E45" s="139">
        <v>207354.56</v>
      </c>
      <c r="F45" s="140">
        <v>1303.98</v>
      </c>
      <c r="G45" s="140">
        <v>206050.58</v>
      </c>
      <c r="H45" s="144">
        <v>298.2</v>
      </c>
      <c r="I45" s="142">
        <f t="shared" si="0"/>
        <v>690.98115358819587</v>
      </c>
    </row>
    <row r="46" spans="1:9" x14ac:dyDescent="0.3">
      <c r="A46" s="34">
        <v>5</v>
      </c>
      <c r="B46" s="143">
        <v>224</v>
      </c>
      <c r="C46" s="137">
        <v>5</v>
      </c>
      <c r="D46" s="138" t="s">
        <v>88</v>
      </c>
      <c r="E46" s="139">
        <v>73965.39</v>
      </c>
      <c r="F46" s="140">
        <v>245</v>
      </c>
      <c r="G46" s="140">
        <v>73720.39</v>
      </c>
      <c r="H46" s="144">
        <v>257.07257969372114</v>
      </c>
      <c r="I46" s="142">
        <f t="shared" si="0"/>
        <v>286.76877980464201</v>
      </c>
    </row>
    <row r="47" spans="1:9" x14ac:dyDescent="0.3">
      <c r="A47" s="34">
        <v>5</v>
      </c>
      <c r="B47" s="143">
        <v>233</v>
      </c>
      <c r="C47" s="137">
        <v>5</v>
      </c>
      <c r="D47" s="138" t="s">
        <v>89</v>
      </c>
      <c r="E47" s="139">
        <v>657892.93999999994</v>
      </c>
      <c r="F47" s="140">
        <v>285320.61</v>
      </c>
      <c r="G47" s="140">
        <v>372572.32999999996</v>
      </c>
      <c r="H47" s="144">
        <v>2096.4900000000002</v>
      </c>
      <c r="I47" s="142">
        <f t="shared" si="0"/>
        <v>177.71242886920516</v>
      </c>
    </row>
    <row r="48" spans="1:9" x14ac:dyDescent="0.3">
      <c r="A48" s="34">
        <v>5</v>
      </c>
      <c r="B48" s="143">
        <v>272</v>
      </c>
      <c r="C48" s="137">
        <v>5</v>
      </c>
      <c r="D48" s="138" t="s">
        <v>90</v>
      </c>
      <c r="E48" s="139">
        <v>79352.12</v>
      </c>
      <c r="F48" s="140">
        <v>0</v>
      </c>
      <c r="G48" s="140">
        <v>79352.12</v>
      </c>
      <c r="H48" s="144">
        <v>365.36444897749737</v>
      </c>
      <c r="I48" s="142">
        <f t="shared" si="0"/>
        <v>217.18621015830485</v>
      </c>
    </row>
    <row r="49" spans="1:9" x14ac:dyDescent="0.3">
      <c r="A49" s="34">
        <v>5</v>
      </c>
      <c r="B49" s="143">
        <v>427</v>
      </c>
      <c r="C49" s="137">
        <v>5</v>
      </c>
      <c r="D49" s="138" t="s">
        <v>91</v>
      </c>
      <c r="E49" s="139">
        <v>198493.19</v>
      </c>
      <c r="F49" s="140">
        <v>56867.6</v>
      </c>
      <c r="G49" s="140">
        <v>141625.59</v>
      </c>
      <c r="H49" s="144">
        <v>444.9199999999999</v>
      </c>
      <c r="I49" s="142">
        <f t="shared" si="0"/>
        <v>318.31697833318356</v>
      </c>
    </row>
    <row r="50" spans="1:9" x14ac:dyDescent="0.3">
      <c r="A50" s="34">
        <v>5</v>
      </c>
      <c r="B50" s="143">
        <v>524</v>
      </c>
      <c r="C50" s="137">
        <v>5</v>
      </c>
      <c r="D50" s="138" t="s">
        <v>92</v>
      </c>
      <c r="E50" s="139">
        <v>234790.57</v>
      </c>
      <c r="F50" s="140">
        <v>453.75</v>
      </c>
      <c r="G50" s="140">
        <v>234336.82</v>
      </c>
      <c r="H50" s="144">
        <v>503.24293022897058</v>
      </c>
      <c r="I50" s="142">
        <f t="shared" si="0"/>
        <v>465.65347652947469</v>
      </c>
    </row>
    <row r="51" spans="1:9" x14ac:dyDescent="0.3">
      <c r="A51" s="34">
        <v>5</v>
      </c>
      <c r="B51" s="143">
        <v>565</v>
      </c>
      <c r="C51" s="137">
        <v>5</v>
      </c>
      <c r="D51" s="138" t="s">
        <v>93</v>
      </c>
      <c r="E51" s="139">
        <v>165733.35</v>
      </c>
      <c r="F51" s="140">
        <v>710</v>
      </c>
      <c r="G51" s="140">
        <v>165023.35</v>
      </c>
      <c r="H51" s="144">
        <v>471.64540254387163</v>
      </c>
      <c r="I51" s="142">
        <f t="shared" si="0"/>
        <v>349.88860086397182</v>
      </c>
    </row>
    <row r="52" spans="1:9" x14ac:dyDescent="0.3">
      <c r="A52" s="34">
        <v>5</v>
      </c>
      <c r="B52" s="143">
        <v>696</v>
      </c>
      <c r="C52" s="137">
        <v>5</v>
      </c>
      <c r="D52" s="138" t="s">
        <v>95</v>
      </c>
      <c r="E52" s="139">
        <v>126909.24</v>
      </c>
      <c r="F52" s="140">
        <v>38.94</v>
      </c>
      <c r="G52" s="140">
        <v>126870.3</v>
      </c>
      <c r="H52" s="144">
        <v>295.10104095842627</v>
      </c>
      <c r="I52" s="142">
        <f t="shared" si="0"/>
        <v>429.92156038471393</v>
      </c>
    </row>
    <row r="53" spans="1:9" x14ac:dyDescent="0.3">
      <c r="A53" s="34">
        <v>5</v>
      </c>
      <c r="B53" s="143">
        <v>731</v>
      </c>
      <c r="C53" s="137">
        <v>5</v>
      </c>
      <c r="D53" s="138" t="s">
        <v>96</v>
      </c>
      <c r="E53" s="139">
        <v>225089.16</v>
      </c>
      <c r="F53" s="140">
        <v>35311</v>
      </c>
      <c r="G53" s="140">
        <v>189778.16</v>
      </c>
      <c r="H53" s="144">
        <v>859.8900000000001</v>
      </c>
      <c r="I53" s="142">
        <f t="shared" si="0"/>
        <v>220.70050820453775</v>
      </c>
    </row>
    <row r="54" spans="1:9" x14ac:dyDescent="0.3">
      <c r="A54" s="34">
        <v>5</v>
      </c>
      <c r="B54" s="143">
        <v>732</v>
      </c>
      <c r="C54" s="137">
        <v>5</v>
      </c>
      <c r="D54" s="138" t="s">
        <v>97</v>
      </c>
      <c r="E54" s="139">
        <v>69856.94</v>
      </c>
      <c r="F54" s="140">
        <v>0</v>
      </c>
      <c r="G54" s="140">
        <v>69856.94</v>
      </c>
      <c r="H54" s="144">
        <v>215.10540422039867</v>
      </c>
      <c r="I54" s="142">
        <f t="shared" si="0"/>
        <v>324.75678727450304</v>
      </c>
    </row>
    <row r="55" spans="1:9" x14ac:dyDescent="0.3">
      <c r="A55" s="34">
        <v>5</v>
      </c>
      <c r="B55" s="143">
        <v>754</v>
      </c>
      <c r="C55" s="137">
        <v>5</v>
      </c>
      <c r="D55" s="138" t="s">
        <v>98</v>
      </c>
      <c r="E55" s="139">
        <v>34950.230000000003</v>
      </c>
      <c r="F55" s="140">
        <v>0</v>
      </c>
      <c r="G55" s="140">
        <v>34950.230000000003</v>
      </c>
      <c r="H55" s="144">
        <v>114.00900186150257</v>
      </c>
      <c r="I55" s="142">
        <f t="shared" si="0"/>
        <v>306.55675805720438</v>
      </c>
    </row>
    <row r="56" spans="1:9" x14ac:dyDescent="0.3">
      <c r="A56" s="34">
        <v>5</v>
      </c>
      <c r="B56" s="143">
        <v>885</v>
      </c>
      <c r="C56" s="137">
        <v>5</v>
      </c>
      <c r="D56" s="138" t="s">
        <v>99</v>
      </c>
      <c r="E56" s="139">
        <v>145965.66</v>
      </c>
      <c r="F56" s="140">
        <v>61071.180000000008</v>
      </c>
      <c r="G56" s="140">
        <v>84894.48</v>
      </c>
      <c r="H56" s="144">
        <v>442.95</v>
      </c>
      <c r="I56" s="142">
        <f t="shared" si="0"/>
        <v>191.65702675245512</v>
      </c>
    </row>
    <row r="57" spans="1:9" x14ac:dyDescent="0.3">
      <c r="A57" s="34">
        <v>5</v>
      </c>
      <c r="B57" s="143">
        <v>909</v>
      </c>
      <c r="C57" s="137">
        <v>5</v>
      </c>
      <c r="D57" s="138" t="s">
        <v>100</v>
      </c>
      <c r="E57" s="139">
        <v>238013.06</v>
      </c>
      <c r="F57" s="140">
        <v>67250.02</v>
      </c>
      <c r="G57" s="140">
        <v>170763.03999999998</v>
      </c>
      <c r="H57" s="144">
        <v>496.92000000000007</v>
      </c>
      <c r="I57" s="142">
        <f t="shared" si="0"/>
        <v>343.64292038959985</v>
      </c>
    </row>
    <row r="58" spans="1:9" x14ac:dyDescent="0.3">
      <c r="A58" s="34">
        <v>5</v>
      </c>
      <c r="B58" s="143">
        <v>923</v>
      </c>
      <c r="C58" s="137">
        <v>5</v>
      </c>
      <c r="D58" s="138" t="s">
        <v>101</v>
      </c>
      <c r="E58" s="139">
        <v>30138.59</v>
      </c>
      <c r="F58" s="140">
        <v>156</v>
      </c>
      <c r="G58" s="140">
        <v>29982.59</v>
      </c>
      <c r="H58" s="144">
        <v>49.064539992757702</v>
      </c>
      <c r="I58" s="142">
        <f t="shared" si="0"/>
        <v>611.08470607134313</v>
      </c>
    </row>
    <row r="59" spans="1:9" x14ac:dyDescent="0.3">
      <c r="A59" s="34">
        <v>5</v>
      </c>
      <c r="B59" s="143">
        <v>394</v>
      </c>
      <c r="C59" s="137">
        <v>6</v>
      </c>
      <c r="D59" s="138" t="s">
        <v>102</v>
      </c>
      <c r="E59" s="139">
        <v>378356.65</v>
      </c>
      <c r="F59" s="140">
        <v>36610</v>
      </c>
      <c r="G59" s="140">
        <v>341746.65</v>
      </c>
      <c r="H59" s="144">
        <v>634.74</v>
      </c>
      <c r="I59" s="142">
        <f t="shared" si="0"/>
        <v>538.40414973059842</v>
      </c>
    </row>
    <row r="60" spans="1:9" x14ac:dyDescent="0.3">
      <c r="A60" s="34">
        <v>6</v>
      </c>
      <c r="B60" s="143">
        <v>414</v>
      </c>
      <c r="C60" s="137">
        <v>6</v>
      </c>
      <c r="D60" s="138" t="s">
        <v>103</v>
      </c>
      <c r="E60" s="139">
        <v>291185.07</v>
      </c>
      <c r="F60" s="140">
        <v>10663.29</v>
      </c>
      <c r="G60" s="140">
        <v>280521.78000000003</v>
      </c>
      <c r="H60" s="144">
        <v>248.32554720098537</v>
      </c>
      <c r="I60" s="142">
        <f t="shared" si="0"/>
        <v>1129.653324685745</v>
      </c>
    </row>
    <row r="61" spans="1:9" x14ac:dyDescent="0.3">
      <c r="A61" s="34">
        <v>6</v>
      </c>
      <c r="B61" s="143">
        <v>426</v>
      </c>
      <c r="C61" s="137">
        <v>6</v>
      </c>
      <c r="D61" s="138" t="s">
        <v>104</v>
      </c>
      <c r="E61" s="139">
        <v>147683.84</v>
      </c>
      <c r="F61" s="140">
        <v>0</v>
      </c>
      <c r="G61" s="140">
        <v>147683.84</v>
      </c>
      <c r="H61" s="144">
        <v>398.46790906083021</v>
      </c>
      <c r="I61" s="142">
        <f t="shared" si="0"/>
        <v>370.62919407508559</v>
      </c>
    </row>
    <row r="62" spans="1:9" x14ac:dyDescent="0.3">
      <c r="A62" s="34">
        <v>6</v>
      </c>
      <c r="B62" s="143">
        <v>430</v>
      </c>
      <c r="C62" s="137">
        <v>6</v>
      </c>
      <c r="D62" s="138" t="s">
        <v>105</v>
      </c>
      <c r="E62" s="139">
        <v>1674152.86</v>
      </c>
      <c r="F62" s="140">
        <v>100</v>
      </c>
      <c r="G62" s="140">
        <v>1674052.86</v>
      </c>
      <c r="H62" s="144">
        <v>2885.2977142676095</v>
      </c>
      <c r="I62" s="142">
        <f t="shared" si="0"/>
        <v>580.20108348678116</v>
      </c>
    </row>
    <row r="63" spans="1:9" x14ac:dyDescent="0.3">
      <c r="A63" s="34">
        <v>6</v>
      </c>
      <c r="B63" s="143">
        <v>443</v>
      </c>
      <c r="C63" s="137">
        <v>6</v>
      </c>
      <c r="D63" s="138" t="s">
        <v>106</v>
      </c>
      <c r="E63" s="139">
        <v>15830.2</v>
      </c>
      <c r="F63" s="140">
        <v>0</v>
      </c>
      <c r="G63" s="140">
        <v>15830.2</v>
      </c>
      <c r="H63" s="144">
        <v>11.627319147048576</v>
      </c>
      <c r="I63" s="142">
        <f t="shared" si="0"/>
        <v>1361.4660266737637</v>
      </c>
    </row>
    <row r="64" spans="1:9" x14ac:dyDescent="0.3">
      <c r="A64" s="34">
        <v>6</v>
      </c>
      <c r="B64" s="143">
        <v>562</v>
      </c>
      <c r="C64" s="137">
        <v>6</v>
      </c>
      <c r="D64" s="138" t="s">
        <v>107</v>
      </c>
      <c r="E64" s="139">
        <v>47597.599999999999</v>
      </c>
      <c r="F64" s="140">
        <v>0</v>
      </c>
      <c r="G64" s="140">
        <v>47597.599999999999</v>
      </c>
      <c r="H64" s="144">
        <v>55.566200227048874</v>
      </c>
      <c r="I64" s="142">
        <f t="shared" si="0"/>
        <v>856.59267334299625</v>
      </c>
    </row>
    <row r="65" spans="1:9" x14ac:dyDescent="0.3">
      <c r="A65" s="34">
        <v>6</v>
      </c>
      <c r="B65" s="143">
        <v>603</v>
      </c>
      <c r="C65" s="137">
        <v>6</v>
      </c>
      <c r="D65" s="138" t="s">
        <v>108</v>
      </c>
      <c r="E65" s="139">
        <v>85628.45</v>
      </c>
      <c r="F65" s="140">
        <v>0</v>
      </c>
      <c r="G65" s="140">
        <v>85628.45</v>
      </c>
      <c r="H65" s="144">
        <v>109.56634963052151</v>
      </c>
      <c r="I65" s="142">
        <f t="shared" si="0"/>
        <v>781.52142778102359</v>
      </c>
    </row>
    <row r="66" spans="1:9" x14ac:dyDescent="0.3">
      <c r="A66" s="34">
        <v>6</v>
      </c>
      <c r="B66" s="143">
        <v>618</v>
      </c>
      <c r="C66" s="137">
        <v>6</v>
      </c>
      <c r="D66" s="138" t="s">
        <v>109</v>
      </c>
      <c r="E66" s="139">
        <v>16335.8</v>
      </c>
      <c r="F66" s="140">
        <v>0</v>
      </c>
      <c r="G66" s="140">
        <v>16335.8</v>
      </c>
      <c r="H66" s="144">
        <v>22.913618107259204</v>
      </c>
      <c r="I66" s="142">
        <f t="shared" si="0"/>
        <v>712.92974874294066</v>
      </c>
    </row>
    <row r="67" spans="1:9" x14ac:dyDescent="0.3">
      <c r="A67" s="34">
        <v>6</v>
      </c>
      <c r="B67" s="143">
        <v>620</v>
      </c>
      <c r="C67" s="137">
        <v>6</v>
      </c>
      <c r="D67" s="138" t="s">
        <v>110</v>
      </c>
      <c r="E67" s="139">
        <v>118610.13</v>
      </c>
      <c r="F67" s="140">
        <v>0</v>
      </c>
      <c r="G67" s="140">
        <v>118610.13</v>
      </c>
      <c r="H67" s="144">
        <v>247.11719425868989</v>
      </c>
      <c r="I67" s="142">
        <f t="shared" si="0"/>
        <v>479.97522129453796</v>
      </c>
    </row>
    <row r="68" spans="1:9" x14ac:dyDescent="0.3">
      <c r="A68" s="34">
        <v>6</v>
      </c>
      <c r="B68" s="143">
        <v>622</v>
      </c>
      <c r="C68" s="137">
        <v>6</v>
      </c>
      <c r="D68" s="138" t="s">
        <v>111</v>
      </c>
      <c r="E68" s="139">
        <v>80933.14</v>
      </c>
      <c r="F68" s="140">
        <v>715</v>
      </c>
      <c r="G68" s="140">
        <v>80218.14</v>
      </c>
      <c r="H68" s="144">
        <v>117.760306518181</v>
      </c>
      <c r="I68" s="142">
        <f t="shared" si="0"/>
        <v>681.1984646763392</v>
      </c>
    </row>
    <row r="69" spans="1:9" x14ac:dyDescent="0.3">
      <c r="A69" s="34">
        <v>6</v>
      </c>
      <c r="B69" s="143">
        <v>623</v>
      </c>
      <c r="C69" s="137">
        <v>6</v>
      </c>
      <c r="D69" s="138" t="s">
        <v>112</v>
      </c>
      <c r="E69" s="139">
        <v>85871.33</v>
      </c>
      <c r="F69" s="140">
        <v>0</v>
      </c>
      <c r="G69" s="140">
        <v>85871.33</v>
      </c>
      <c r="H69" s="144">
        <v>238.88416264439334</v>
      </c>
      <c r="I69" s="142">
        <f t="shared" ref="I69:I132" si="1">IFERROR(G69/H69,0)</f>
        <v>359.46849322041243</v>
      </c>
    </row>
    <row r="70" spans="1:9" x14ac:dyDescent="0.3">
      <c r="A70" s="34">
        <v>6</v>
      </c>
      <c r="B70" s="143">
        <v>626</v>
      </c>
      <c r="C70" s="137">
        <v>6</v>
      </c>
      <c r="D70" s="138" t="s">
        <v>113</v>
      </c>
      <c r="E70" s="139">
        <v>17594.09</v>
      </c>
      <c r="F70" s="140">
        <v>0</v>
      </c>
      <c r="G70" s="140">
        <v>17594.09</v>
      </c>
      <c r="H70" s="144">
        <v>22.4447050251744</v>
      </c>
      <c r="I70" s="142">
        <f t="shared" si="1"/>
        <v>783.88599806796924</v>
      </c>
    </row>
    <row r="71" spans="1:9" x14ac:dyDescent="0.3">
      <c r="A71" s="34">
        <v>6</v>
      </c>
      <c r="B71" s="143">
        <v>627</v>
      </c>
      <c r="C71" s="137">
        <v>6</v>
      </c>
      <c r="D71" s="138" t="s">
        <v>114</v>
      </c>
      <c r="E71" s="139">
        <v>78681.460000000006</v>
      </c>
      <c r="F71" s="140">
        <v>0</v>
      </c>
      <c r="G71" s="140">
        <v>78681.460000000006</v>
      </c>
      <c r="H71" s="144">
        <v>172.5870668850192</v>
      </c>
      <c r="I71" s="142">
        <f t="shared" si="1"/>
        <v>455.89429972999716</v>
      </c>
    </row>
    <row r="72" spans="1:9" x14ac:dyDescent="0.3">
      <c r="A72" s="34">
        <v>6</v>
      </c>
      <c r="B72" s="143">
        <v>634</v>
      </c>
      <c r="C72" s="137">
        <v>6</v>
      </c>
      <c r="D72" s="138" t="s">
        <v>115</v>
      </c>
      <c r="E72" s="139">
        <v>582665.36</v>
      </c>
      <c r="F72" s="140">
        <v>0</v>
      </c>
      <c r="G72" s="140">
        <v>582665.36</v>
      </c>
      <c r="H72" s="144">
        <v>648.63374679368712</v>
      </c>
      <c r="I72" s="142">
        <f t="shared" si="1"/>
        <v>898.29640051912088</v>
      </c>
    </row>
    <row r="73" spans="1:9" x14ac:dyDescent="0.3">
      <c r="A73" s="34">
        <v>6</v>
      </c>
      <c r="B73" s="143">
        <v>636</v>
      </c>
      <c r="C73" s="137">
        <v>6</v>
      </c>
      <c r="D73" s="138" t="s">
        <v>294</v>
      </c>
      <c r="E73" s="139">
        <v>74827.44</v>
      </c>
      <c r="F73" s="140">
        <v>76212</v>
      </c>
      <c r="G73" s="140">
        <v>-1384.5599999999977</v>
      </c>
      <c r="H73" s="144">
        <v>72.113421489079812</v>
      </c>
      <c r="I73" s="142">
        <f t="shared" si="1"/>
        <v>-19.199754656068603</v>
      </c>
    </row>
    <row r="74" spans="1:9" x14ac:dyDescent="0.3">
      <c r="A74" s="34">
        <v>6</v>
      </c>
      <c r="B74" s="143">
        <v>694</v>
      </c>
      <c r="C74" s="137">
        <v>6</v>
      </c>
      <c r="D74" s="138" t="s">
        <v>116</v>
      </c>
      <c r="E74" s="139">
        <v>60191.32</v>
      </c>
      <c r="F74" s="140">
        <v>0</v>
      </c>
      <c r="G74" s="140">
        <v>60191.32</v>
      </c>
      <c r="H74" s="144">
        <v>10.25564638073009</v>
      </c>
      <c r="I74" s="142">
        <f t="shared" si="1"/>
        <v>5869.0908174346623</v>
      </c>
    </row>
    <row r="75" spans="1:9" x14ac:dyDescent="0.3">
      <c r="A75" s="34">
        <v>6</v>
      </c>
      <c r="B75" s="143">
        <v>710</v>
      </c>
      <c r="C75" s="137">
        <v>6</v>
      </c>
      <c r="D75" s="138" t="s">
        <v>117</v>
      </c>
      <c r="E75" s="139">
        <v>49597.59</v>
      </c>
      <c r="F75" s="140">
        <v>0</v>
      </c>
      <c r="G75" s="140">
        <v>49597.59</v>
      </c>
      <c r="H75" s="144">
        <v>73.989999999999995</v>
      </c>
      <c r="I75" s="142">
        <f t="shared" si="1"/>
        <v>670.32828760643326</v>
      </c>
    </row>
    <row r="76" spans="1:9" x14ac:dyDescent="0.3">
      <c r="A76" s="34">
        <v>6</v>
      </c>
      <c r="B76" s="143">
        <v>743</v>
      </c>
      <c r="C76" s="137">
        <v>6</v>
      </c>
      <c r="D76" s="138" t="s">
        <v>118</v>
      </c>
      <c r="E76" s="139">
        <v>136207.07999999999</v>
      </c>
      <c r="F76" s="140">
        <v>0</v>
      </c>
      <c r="G76" s="140">
        <v>136207.07999999999</v>
      </c>
      <c r="H76" s="144">
        <v>82.770881637323171</v>
      </c>
      <c r="I76" s="142">
        <f t="shared" si="1"/>
        <v>1645.5917504517831</v>
      </c>
    </row>
    <row r="77" spans="1:9" x14ac:dyDescent="0.3">
      <c r="A77" s="34">
        <v>6</v>
      </c>
      <c r="B77" s="143">
        <v>747</v>
      </c>
      <c r="C77" s="137">
        <v>6</v>
      </c>
      <c r="D77" s="138" t="s">
        <v>119</v>
      </c>
      <c r="E77" s="139">
        <v>58996.69</v>
      </c>
      <c r="F77" s="140">
        <v>0</v>
      </c>
      <c r="G77" s="140">
        <v>58996.69</v>
      </c>
      <c r="H77" s="144">
        <v>36.5</v>
      </c>
      <c r="I77" s="142">
        <f t="shared" si="1"/>
        <v>1616.3476712328768</v>
      </c>
    </row>
    <row r="78" spans="1:9" x14ac:dyDescent="0.3">
      <c r="A78" s="34">
        <v>6</v>
      </c>
      <c r="B78" s="143">
        <v>758</v>
      </c>
      <c r="C78" s="137">
        <v>6</v>
      </c>
      <c r="D78" s="138" t="s">
        <v>120</v>
      </c>
      <c r="E78" s="139">
        <v>319509.06</v>
      </c>
      <c r="F78" s="140">
        <v>785.37</v>
      </c>
      <c r="G78" s="140">
        <v>318723.69</v>
      </c>
      <c r="H78" s="144">
        <v>306.60873748050523</v>
      </c>
      <c r="I78" s="142">
        <f t="shared" si="1"/>
        <v>1039.5127438932332</v>
      </c>
    </row>
    <row r="79" spans="1:9" x14ac:dyDescent="0.3">
      <c r="A79" s="34">
        <v>6</v>
      </c>
      <c r="B79" s="143">
        <v>765</v>
      </c>
      <c r="C79" s="137">
        <v>6</v>
      </c>
      <c r="D79" s="138" t="s">
        <v>121</v>
      </c>
      <c r="E79" s="139">
        <v>86969.12</v>
      </c>
      <c r="F79" s="140">
        <v>0</v>
      </c>
      <c r="G79" s="140">
        <v>86969.12</v>
      </c>
      <c r="H79" s="144">
        <v>69.141877232449346</v>
      </c>
      <c r="I79" s="142">
        <f t="shared" si="1"/>
        <v>1257.8356776113687</v>
      </c>
    </row>
    <row r="80" spans="1:9" x14ac:dyDescent="0.3">
      <c r="A80" s="34">
        <v>6</v>
      </c>
      <c r="B80" s="143">
        <v>770</v>
      </c>
      <c r="C80" s="137">
        <v>6</v>
      </c>
      <c r="D80" s="138" t="s">
        <v>122</v>
      </c>
      <c r="E80" s="139">
        <v>24774.6</v>
      </c>
      <c r="F80" s="140">
        <v>0</v>
      </c>
      <c r="G80" s="140">
        <v>24774.6</v>
      </c>
      <c r="H80" s="144">
        <v>25.798612785118063</v>
      </c>
      <c r="I80" s="142">
        <f t="shared" si="1"/>
        <v>960.30744778227893</v>
      </c>
    </row>
    <row r="81" spans="1:9" x14ac:dyDescent="0.3">
      <c r="A81" s="34">
        <v>6</v>
      </c>
      <c r="B81" s="143">
        <v>774</v>
      </c>
      <c r="C81" s="137">
        <v>6</v>
      </c>
      <c r="D81" s="138" t="s">
        <v>123</v>
      </c>
      <c r="E81" s="139">
        <v>290603.45</v>
      </c>
      <c r="F81" s="140">
        <v>0</v>
      </c>
      <c r="G81" s="140">
        <v>290603.45</v>
      </c>
      <c r="H81" s="144">
        <v>457.93871245216212</v>
      </c>
      <c r="I81" s="142">
        <f t="shared" si="1"/>
        <v>634.59026742657727</v>
      </c>
    </row>
    <row r="82" spans="1:9" x14ac:dyDescent="0.3">
      <c r="A82" s="34">
        <v>6</v>
      </c>
      <c r="B82" s="143">
        <v>794</v>
      </c>
      <c r="C82" s="137">
        <v>6</v>
      </c>
      <c r="D82" s="138" t="s">
        <v>124</v>
      </c>
      <c r="E82" s="139">
        <v>45369.11</v>
      </c>
      <c r="F82" s="140">
        <v>0</v>
      </c>
      <c r="G82" s="140">
        <v>45369.11</v>
      </c>
      <c r="H82" s="144">
        <v>19.568103617769562</v>
      </c>
      <c r="I82" s="142">
        <f t="shared" si="1"/>
        <v>2318.5235976980853</v>
      </c>
    </row>
    <row r="83" spans="1:9" x14ac:dyDescent="0.3">
      <c r="A83" s="34">
        <v>6</v>
      </c>
      <c r="B83" s="143">
        <v>806</v>
      </c>
      <c r="C83" s="137">
        <v>6</v>
      </c>
      <c r="D83" s="138" t="s">
        <v>125</v>
      </c>
      <c r="E83" s="139">
        <v>37091.449999999997</v>
      </c>
      <c r="F83" s="140">
        <v>0</v>
      </c>
      <c r="G83" s="140">
        <v>37091.449999999997</v>
      </c>
      <c r="H83" s="144">
        <v>23.326411869078932</v>
      </c>
      <c r="I83" s="142">
        <f t="shared" si="1"/>
        <v>1590.1052509995225</v>
      </c>
    </row>
    <row r="84" spans="1:9" x14ac:dyDescent="0.3">
      <c r="A84" s="34">
        <v>6</v>
      </c>
      <c r="B84" s="143">
        <v>811</v>
      </c>
      <c r="C84" s="137">
        <v>6</v>
      </c>
      <c r="D84" s="138" t="s">
        <v>126</v>
      </c>
      <c r="E84" s="139">
        <v>505579.98</v>
      </c>
      <c r="F84" s="140">
        <v>3403.13</v>
      </c>
      <c r="G84" s="140">
        <v>502176.85</v>
      </c>
      <c r="H84" s="144">
        <v>746.28568297723302</v>
      </c>
      <c r="I84" s="142">
        <f t="shared" si="1"/>
        <v>672.9016266218789</v>
      </c>
    </row>
    <row r="85" spans="1:9" x14ac:dyDescent="0.3">
      <c r="A85" s="34">
        <v>6</v>
      </c>
      <c r="B85" s="143">
        <v>824</v>
      </c>
      <c r="C85" s="137">
        <v>6</v>
      </c>
      <c r="D85" s="138" t="s">
        <v>127</v>
      </c>
      <c r="E85" s="139">
        <v>54369.59</v>
      </c>
      <c r="F85" s="140">
        <v>0</v>
      </c>
      <c r="G85" s="140">
        <v>54369.59</v>
      </c>
      <c r="H85" s="144">
        <v>35.809199999999997</v>
      </c>
      <c r="I85" s="142">
        <f t="shared" si="1"/>
        <v>1518.3134501748154</v>
      </c>
    </row>
    <row r="86" spans="1:9" x14ac:dyDescent="0.3">
      <c r="A86" s="34">
        <v>6</v>
      </c>
      <c r="B86" s="143">
        <v>826</v>
      </c>
      <c r="C86" s="137">
        <v>6</v>
      </c>
      <c r="D86" s="138" t="s">
        <v>128</v>
      </c>
      <c r="E86" s="139">
        <v>33872.559999999998</v>
      </c>
      <c r="F86" s="140">
        <v>0</v>
      </c>
      <c r="G86" s="140">
        <v>33872.559999999998</v>
      </c>
      <c r="H86" s="144">
        <v>41.71</v>
      </c>
      <c r="I86" s="142">
        <f t="shared" si="1"/>
        <v>812.09685926636291</v>
      </c>
    </row>
    <row r="87" spans="1:9" x14ac:dyDescent="0.3">
      <c r="A87" s="34">
        <v>6</v>
      </c>
      <c r="B87" s="143">
        <v>840</v>
      </c>
      <c r="C87" s="137">
        <v>6</v>
      </c>
      <c r="D87" s="138" t="s">
        <v>129</v>
      </c>
      <c r="E87" s="139">
        <v>88518.53</v>
      </c>
      <c r="F87" s="140">
        <v>0</v>
      </c>
      <c r="G87" s="140">
        <v>88518.53</v>
      </c>
      <c r="H87" s="144">
        <v>161.72</v>
      </c>
      <c r="I87" s="142">
        <f t="shared" si="1"/>
        <v>547.35672767746723</v>
      </c>
    </row>
    <row r="88" spans="1:9" x14ac:dyDescent="0.3">
      <c r="A88" s="34">
        <v>6</v>
      </c>
      <c r="B88" s="143">
        <v>843</v>
      </c>
      <c r="C88" s="137">
        <v>6</v>
      </c>
      <c r="D88" s="138" t="s">
        <v>130</v>
      </c>
      <c r="E88" s="139">
        <v>32653.86</v>
      </c>
      <c r="F88" s="140">
        <v>0</v>
      </c>
      <c r="G88" s="140">
        <v>32653.86</v>
      </c>
      <c r="H88" s="144">
        <v>19.13961999514169</v>
      </c>
      <c r="I88" s="142">
        <f t="shared" si="1"/>
        <v>1706.0871641280601</v>
      </c>
    </row>
    <row r="89" spans="1:9" x14ac:dyDescent="0.3">
      <c r="A89" s="34">
        <v>6</v>
      </c>
      <c r="B89" s="143">
        <v>846</v>
      </c>
      <c r="C89" s="137">
        <v>6</v>
      </c>
      <c r="D89" s="138" t="s">
        <v>131</v>
      </c>
      <c r="E89" s="139">
        <v>42522.03</v>
      </c>
      <c r="F89" s="140">
        <v>0</v>
      </c>
      <c r="G89" s="140">
        <v>42522.03</v>
      </c>
      <c r="H89" s="144">
        <v>24.91</v>
      </c>
      <c r="I89" s="142">
        <f t="shared" si="1"/>
        <v>1707.0264953833801</v>
      </c>
    </row>
    <row r="90" spans="1:9" x14ac:dyDescent="0.3">
      <c r="A90" s="34">
        <v>6</v>
      </c>
      <c r="B90" s="143">
        <v>888</v>
      </c>
      <c r="C90" s="137">
        <v>6</v>
      </c>
      <c r="D90" s="138" t="s">
        <v>132</v>
      </c>
      <c r="E90" s="139">
        <v>48959.88</v>
      </c>
      <c r="F90" s="140">
        <v>0</v>
      </c>
      <c r="G90" s="140">
        <v>48959.88</v>
      </c>
      <c r="H90" s="144">
        <v>110.31180256044935</v>
      </c>
      <c r="I90" s="142">
        <f t="shared" si="1"/>
        <v>443.83174659094755</v>
      </c>
    </row>
    <row r="91" spans="1:9" x14ac:dyDescent="0.3">
      <c r="A91" s="34">
        <v>6</v>
      </c>
      <c r="B91" s="143">
        <v>889</v>
      </c>
      <c r="C91" s="137">
        <v>6</v>
      </c>
      <c r="D91" s="138" t="s">
        <v>133</v>
      </c>
      <c r="E91" s="139">
        <v>50376.82</v>
      </c>
      <c r="F91" s="140">
        <v>0</v>
      </c>
      <c r="G91" s="140">
        <v>50376.82</v>
      </c>
      <c r="H91" s="144">
        <v>36.971993010532358</v>
      </c>
      <c r="I91" s="142">
        <f t="shared" si="1"/>
        <v>1362.5670649036679</v>
      </c>
    </row>
    <row r="92" spans="1:9" x14ac:dyDescent="0.3">
      <c r="A92" s="34">
        <v>6</v>
      </c>
      <c r="B92" s="143">
        <v>891</v>
      </c>
      <c r="C92" s="137">
        <v>6</v>
      </c>
      <c r="D92" s="138" t="s">
        <v>134</v>
      </c>
      <c r="E92" s="139">
        <v>78385.320000000007</v>
      </c>
      <c r="F92" s="140">
        <v>0</v>
      </c>
      <c r="G92" s="140">
        <v>78385.320000000007</v>
      </c>
      <c r="H92" s="144">
        <v>291.67983388429468</v>
      </c>
      <c r="I92" s="142">
        <f t="shared" si="1"/>
        <v>268.73753648356222</v>
      </c>
    </row>
    <row r="93" spans="1:9" x14ac:dyDescent="0.3">
      <c r="A93" s="34">
        <v>6</v>
      </c>
      <c r="B93" s="143">
        <v>904</v>
      </c>
      <c r="C93" s="137">
        <v>6</v>
      </c>
      <c r="D93" s="138" t="s">
        <v>135</v>
      </c>
      <c r="E93" s="139">
        <v>14117.02</v>
      </c>
      <c r="F93" s="140">
        <v>0</v>
      </c>
      <c r="G93" s="140">
        <v>14117.02</v>
      </c>
      <c r="H93" s="144">
        <v>26.962939668155855</v>
      </c>
      <c r="I93" s="142">
        <f t="shared" si="1"/>
        <v>523.57124904569218</v>
      </c>
    </row>
    <row r="94" spans="1:9" x14ac:dyDescent="0.3">
      <c r="A94" s="34">
        <v>6</v>
      </c>
      <c r="B94" s="143">
        <v>906</v>
      </c>
      <c r="C94" s="137">
        <v>6</v>
      </c>
      <c r="D94" s="138" t="s">
        <v>301</v>
      </c>
      <c r="E94" s="139">
        <v>215485.97</v>
      </c>
      <c r="F94" s="140">
        <v>29.22</v>
      </c>
      <c r="G94" s="140">
        <v>215456.75</v>
      </c>
      <c r="H94" s="144">
        <v>185.1</v>
      </c>
      <c r="I94" s="142">
        <f t="shared" si="1"/>
        <v>1164.0018908698</v>
      </c>
    </row>
    <row r="95" spans="1:9" x14ac:dyDescent="0.3">
      <c r="A95" s="34">
        <v>6</v>
      </c>
      <c r="B95" s="143">
        <v>917</v>
      </c>
      <c r="C95" s="137">
        <v>6</v>
      </c>
      <c r="D95" s="138" t="s">
        <v>136</v>
      </c>
      <c r="E95" s="139">
        <v>54501.95</v>
      </c>
      <c r="F95" s="140">
        <v>0</v>
      </c>
      <c r="G95" s="140">
        <v>54501.95</v>
      </c>
      <c r="H95" s="144">
        <v>98.170300891747573</v>
      </c>
      <c r="I95" s="142">
        <f t="shared" si="1"/>
        <v>555.17757921613497</v>
      </c>
    </row>
    <row r="96" spans="1:9" x14ac:dyDescent="0.3">
      <c r="A96" s="34">
        <v>6</v>
      </c>
      <c r="B96" s="143">
        <v>957</v>
      </c>
      <c r="C96" s="137">
        <v>6</v>
      </c>
      <c r="D96" s="138" t="s">
        <v>137</v>
      </c>
      <c r="E96" s="139">
        <v>36421.629999999997</v>
      </c>
      <c r="F96" s="140">
        <v>0</v>
      </c>
      <c r="G96" s="140">
        <v>36421.629999999997</v>
      </c>
      <c r="H96" s="144">
        <v>104.75698604959862</v>
      </c>
      <c r="I96" s="142">
        <f t="shared" si="1"/>
        <v>347.67733755489758</v>
      </c>
    </row>
    <row r="97" spans="1:9" x14ac:dyDescent="0.3">
      <c r="A97" s="34">
        <v>6</v>
      </c>
      <c r="B97" s="143">
        <v>959</v>
      </c>
      <c r="C97" s="137">
        <v>6</v>
      </c>
      <c r="D97" s="138" t="s">
        <v>138</v>
      </c>
      <c r="E97" s="139">
        <v>116655.66</v>
      </c>
      <c r="F97" s="140">
        <v>240.45</v>
      </c>
      <c r="G97" s="140">
        <v>116415.21</v>
      </c>
      <c r="H97" s="144">
        <v>326.68938879207468</v>
      </c>
      <c r="I97" s="142">
        <f t="shared" si="1"/>
        <v>356.34830512996501</v>
      </c>
    </row>
    <row r="98" spans="1:9" x14ac:dyDescent="0.3">
      <c r="A98" s="34">
        <v>6</v>
      </c>
      <c r="B98" s="143">
        <v>969</v>
      </c>
      <c r="C98" s="137">
        <v>6</v>
      </c>
      <c r="D98" s="138" t="s">
        <v>139</v>
      </c>
      <c r="E98" s="139">
        <v>66251.19</v>
      </c>
      <c r="F98" s="140">
        <v>0</v>
      </c>
      <c r="G98" s="140">
        <v>66251.19</v>
      </c>
      <c r="H98" s="144">
        <v>21.452324077887976</v>
      </c>
      <c r="I98" s="142">
        <f t="shared" si="1"/>
        <v>3088.2989535053939</v>
      </c>
    </row>
    <row r="99" spans="1:9" x14ac:dyDescent="0.3">
      <c r="A99" s="34">
        <v>6</v>
      </c>
      <c r="B99" s="143">
        <v>970</v>
      </c>
      <c r="C99" s="137">
        <v>6</v>
      </c>
      <c r="D99" s="138" t="s">
        <v>140</v>
      </c>
      <c r="E99" s="139">
        <v>72830</v>
      </c>
      <c r="F99" s="140">
        <v>408</v>
      </c>
      <c r="G99" s="140">
        <v>72422</v>
      </c>
      <c r="H99" s="144">
        <v>167.59129758245945</v>
      </c>
      <c r="I99" s="142">
        <f t="shared" si="1"/>
        <v>432.134609879528</v>
      </c>
    </row>
    <row r="100" spans="1:9" x14ac:dyDescent="0.3">
      <c r="A100" s="34">
        <v>6</v>
      </c>
      <c r="B100" s="143">
        <v>980</v>
      </c>
      <c r="C100" s="137">
        <v>6</v>
      </c>
      <c r="D100" s="138" t="s">
        <v>141</v>
      </c>
      <c r="E100" s="139">
        <v>37348.19</v>
      </c>
      <c r="F100" s="140">
        <v>0</v>
      </c>
      <c r="G100" s="140">
        <v>37348.19</v>
      </c>
      <c r="H100" s="144">
        <v>38.773680173491201</v>
      </c>
      <c r="I100" s="142">
        <f t="shared" si="1"/>
        <v>963.23562356957336</v>
      </c>
    </row>
    <row r="101" spans="1:9" x14ac:dyDescent="0.3">
      <c r="A101" s="34">
        <v>6</v>
      </c>
      <c r="B101" s="143">
        <v>986</v>
      </c>
      <c r="C101" s="137">
        <v>6</v>
      </c>
      <c r="D101" s="138" t="s">
        <v>142</v>
      </c>
      <c r="E101" s="139">
        <v>42773.26</v>
      </c>
      <c r="F101" s="140">
        <v>0</v>
      </c>
      <c r="G101" s="140">
        <v>42773.26</v>
      </c>
      <c r="H101" s="144">
        <v>8.1183888146059324</v>
      </c>
      <c r="I101" s="142">
        <f t="shared" si="1"/>
        <v>5268.6882800003241</v>
      </c>
    </row>
    <row r="102" spans="1:9" x14ac:dyDescent="0.3">
      <c r="A102" s="34">
        <v>6</v>
      </c>
      <c r="B102" s="143">
        <v>988</v>
      </c>
      <c r="C102" s="137">
        <v>6</v>
      </c>
      <c r="D102" s="138" t="s">
        <v>143</v>
      </c>
      <c r="E102" s="139">
        <v>80859.64</v>
      </c>
      <c r="F102" s="140">
        <v>155</v>
      </c>
      <c r="G102" s="140">
        <v>80704.639999999999</v>
      </c>
      <c r="H102" s="144">
        <v>144.72280873805704</v>
      </c>
      <c r="I102" s="142">
        <f t="shared" si="1"/>
        <v>557.64976304510799</v>
      </c>
    </row>
    <row r="103" spans="1:9" x14ac:dyDescent="0.3">
      <c r="A103" s="34">
        <v>6</v>
      </c>
      <c r="B103" s="143">
        <v>989</v>
      </c>
      <c r="C103" s="137">
        <v>6</v>
      </c>
      <c r="D103" s="138" t="s">
        <v>144</v>
      </c>
      <c r="E103" s="139">
        <v>290194.07</v>
      </c>
      <c r="F103" s="140">
        <v>36564.799999999996</v>
      </c>
      <c r="G103" s="140">
        <v>253629.27000000002</v>
      </c>
      <c r="H103" s="144">
        <v>456.51183625078789</v>
      </c>
      <c r="I103" s="142">
        <f t="shared" si="1"/>
        <v>555.58092881663435</v>
      </c>
    </row>
    <row r="104" spans="1:9" x14ac:dyDescent="0.3">
      <c r="A104" s="34">
        <v>6</v>
      </c>
      <c r="B104" s="143">
        <v>39</v>
      </c>
      <c r="C104" s="137">
        <v>7</v>
      </c>
      <c r="D104" s="138" t="s">
        <v>145</v>
      </c>
      <c r="E104" s="139">
        <v>108160.35</v>
      </c>
      <c r="F104" s="140">
        <v>1756.13</v>
      </c>
      <c r="G104" s="140">
        <v>106404.22</v>
      </c>
      <c r="H104" s="144">
        <v>383.36</v>
      </c>
      <c r="I104" s="142">
        <f t="shared" si="1"/>
        <v>277.55691777963273</v>
      </c>
    </row>
    <row r="105" spans="1:9" x14ac:dyDescent="0.3">
      <c r="A105" s="34">
        <v>6</v>
      </c>
      <c r="B105" s="143">
        <v>59</v>
      </c>
      <c r="C105" s="137">
        <v>7</v>
      </c>
      <c r="D105" s="138" t="s">
        <v>146</v>
      </c>
      <c r="E105" s="139">
        <v>172265.9</v>
      </c>
      <c r="F105" s="140">
        <v>0</v>
      </c>
      <c r="G105" s="140">
        <v>172265.9</v>
      </c>
      <c r="H105" s="144">
        <v>233.31196774077719</v>
      </c>
      <c r="I105" s="142">
        <f t="shared" si="1"/>
        <v>738.35003694022748</v>
      </c>
    </row>
    <row r="106" spans="1:9" x14ac:dyDescent="0.3">
      <c r="A106" s="34">
        <v>7</v>
      </c>
      <c r="B106" s="143">
        <v>128</v>
      </c>
      <c r="C106" s="137">
        <v>7</v>
      </c>
      <c r="D106" s="138" t="s">
        <v>147</v>
      </c>
      <c r="E106" s="139">
        <v>96271.57</v>
      </c>
      <c r="F106" s="140">
        <v>119.44</v>
      </c>
      <c r="G106" s="140">
        <v>96152.13</v>
      </c>
      <c r="H106" s="144">
        <v>144.8151497882408</v>
      </c>
      <c r="I106" s="142">
        <f t="shared" si="1"/>
        <v>663.96457926260211</v>
      </c>
    </row>
    <row r="107" spans="1:9" x14ac:dyDescent="0.3">
      <c r="A107" s="34">
        <v>7</v>
      </c>
      <c r="B107" s="143">
        <v>152</v>
      </c>
      <c r="C107" s="137">
        <v>7</v>
      </c>
      <c r="D107" s="138" t="s">
        <v>148</v>
      </c>
      <c r="E107" s="139">
        <v>157814.06</v>
      </c>
      <c r="F107" s="140">
        <v>22795.199999999997</v>
      </c>
      <c r="G107" s="140">
        <v>135018.85999999999</v>
      </c>
      <c r="H107" s="144">
        <v>355.34</v>
      </c>
      <c r="I107" s="142">
        <f t="shared" si="1"/>
        <v>379.97090110879719</v>
      </c>
    </row>
    <row r="108" spans="1:9" x14ac:dyDescent="0.3">
      <c r="A108" s="34">
        <v>7</v>
      </c>
      <c r="B108" s="143">
        <v>162</v>
      </c>
      <c r="C108" s="137">
        <v>7</v>
      </c>
      <c r="D108" s="138" t="s">
        <v>149</v>
      </c>
      <c r="E108" s="139">
        <v>386975.44</v>
      </c>
      <c r="F108" s="140">
        <v>24452.720000000001</v>
      </c>
      <c r="G108" s="140">
        <v>362522.72</v>
      </c>
      <c r="H108" s="144">
        <v>789.80000000000007</v>
      </c>
      <c r="I108" s="142">
        <f t="shared" si="1"/>
        <v>459.00572296783986</v>
      </c>
    </row>
    <row r="109" spans="1:9" x14ac:dyDescent="0.3">
      <c r="A109" s="34">
        <v>7</v>
      </c>
      <c r="B109" s="143">
        <v>166</v>
      </c>
      <c r="C109" s="137">
        <v>7</v>
      </c>
      <c r="D109" s="138" t="s">
        <v>150</v>
      </c>
      <c r="E109" s="139">
        <v>451775.31</v>
      </c>
      <c r="F109" s="140">
        <v>109930.31</v>
      </c>
      <c r="G109" s="140">
        <v>341845</v>
      </c>
      <c r="H109" s="144">
        <v>860.3599999999999</v>
      </c>
      <c r="I109" s="142">
        <f t="shared" si="1"/>
        <v>397.32786275512581</v>
      </c>
    </row>
    <row r="110" spans="1:9" x14ac:dyDescent="0.3">
      <c r="A110" s="34">
        <v>7</v>
      </c>
      <c r="B110" s="143">
        <v>192</v>
      </c>
      <c r="C110" s="137">
        <v>7</v>
      </c>
      <c r="D110" s="138" t="s">
        <v>151</v>
      </c>
      <c r="E110" s="139">
        <v>119649.47</v>
      </c>
      <c r="F110" s="140">
        <v>21552.310000000005</v>
      </c>
      <c r="G110" s="140">
        <v>98097.16</v>
      </c>
      <c r="H110" s="144">
        <v>166.06</v>
      </c>
      <c r="I110" s="142">
        <f t="shared" si="1"/>
        <v>590.73322895339038</v>
      </c>
    </row>
    <row r="111" spans="1:9" x14ac:dyDescent="0.3">
      <c r="A111" s="34">
        <v>7</v>
      </c>
      <c r="B111" s="143">
        <v>205</v>
      </c>
      <c r="C111" s="137">
        <v>7</v>
      </c>
      <c r="D111" s="138" t="s">
        <v>152</v>
      </c>
      <c r="E111" s="139">
        <v>424199.53</v>
      </c>
      <c r="F111" s="140">
        <v>18066.25</v>
      </c>
      <c r="G111" s="140">
        <v>406133.28</v>
      </c>
      <c r="H111" s="144">
        <v>611.51676439420532</v>
      </c>
      <c r="I111" s="142">
        <f t="shared" si="1"/>
        <v>664.14087666481726</v>
      </c>
    </row>
    <row r="112" spans="1:9" x14ac:dyDescent="0.3">
      <c r="A112" s="34">
        <v>7</v>
      </c>
      <c r="B112" s="143">
        <v>212</v>
      </c>
      <c r="C112" s="137">
        <v>7</v>
      </c>
      <c r="D112" s="138" t="s">
        <v>153</v>
      </c>
      <c r="E112" s="139">
        <v>245644.58</v>
      </c>
      <c r="F112" s="140">
        <v>630</v>
      </c>
      <c r="G112" s="140">
        <v>245014.58</v>
      </c>
      <c r="H112" s="144">
        <v>456.16891805920824</v>
      </c>
      <c r="I112" s="142">
        <f t="shared" si="1"/>
        <v>537.11371007570142</v>
      </c>
    </row>
    <row r="113" spans="1:9" x14ac:dyDescent="0.3">
      <c r="A113" s="34">
        <v>7</v>
      </c>
      <c r="B113" s="143">
        <v>216</v>
      </c>
      <c r="C113" s="137">
        <v>7</v>
      </c>
      <c r="D113" s="138" t="s">
        <v>154</v>
      </c>
      <c r="E113" s="139">
        <v>319371.06</v>
      </c>
      <c r="F113" s="140">
        <v>285</v>
      </c>
      <c r="G113" s="140">
        <v>319086.06</v>
      </c>
      <c r="H113" s="144">
        <v>764.64393837270507</v>
      </c>
      <c r="I113" s="142">
        <f t="shared" si="1"/>
        <v>417.30018899917064</v>
      </c>
    </row>
    <row r="114" spans="1:9" x14ac:dyDescent="0.3">
      <c r="A114" s="34">
        <v>7</v>
      </c>
      <c r="B114" s="143">
        <v>229</v>
      </c>
      <c r="C114" s="137">
        <v>7</v>
      </c>
      <c r="D114" s="138" t="s">
        <v>155</v>
      </c>
      <c r="E114" s="139">
        <v>449836.67</v>
      </c>
      <c r="F114" s="140">
        <v>104238</v>
      </c>
      <c r="G114" s="140">
        <v>345598.67</v>
      </c>
      <c r="H114" s="144">
        <v>816</v>
      </c>
      <c r="I114" s="142">
        <f t="shared" si="1"/>
        <v>423.52778186274509</v>
      </c>
    </row>
    <row r="115" spans="1:9" x14ac:dyDescent="0.3">
      <c r="A115" s="34">
        <v>7</v>
      </c>
      <c r="B115" s="143">
        <v>236</v>
      </c>
      <c r="C115" s="137">
        <v>7</v>
      </c>
      <c r="D115" s="138" t="s">
        <v>156</v>
      </c>
      <c r="E115" s="139">
        <v>616356.31999999995</v>
      </c>
      <c r="F115" s="140">
        <v>145860.79</v>
      </c>
      <c r="G115" s="140">
        <v>470495.52999999991</v>
      </c>
      <c r="H115" s="144">
        <v>1084.1000000000001</v>
      </c>
      <c r="I115" s="142">
        <f t="shared" si="1"/>
        <v>433.99643021861436</v>
      </c>
    </row>
    <row r="116" spans="1:9" x14ac:dyDescent="0.3">
      <c r="A116" s="34">
        <v>7</v>
      </c>
      <c r="B116" s="143">
        <v>238</v>
      </c>
      <c r="C116" s="137">
        <v>7</v>
      </c>
      <c r="D116" s="138" t="s">
        <v>292</v>
      </c>
      <c r="E116" s="139">
        <v>56188.56</v>
      </c>
      <c r="F116" s="140">
        <v>0</v>
      </c>
      <c r="G116" s="140">
        <v>56188.56</v>
      </c>
      <c r="H116" s="144">
        <v>67.316079956981483</v>
      </c>
      <c r="I116" s="142">
        <f t="shared" si="1"/>
        <v>834.69744577978167</v>
      </c>
    </row>
    <row r="117" spans="1:9" x14ac:dyDescent="0.3">
      <c r="A117" s="34">
        <v>7</v>
      </c>
      <c r="B117" s="143">
        <v>239</v>
      </c>
      <c r="C117" s="137">
        <v>7</v>
      </c>
      <c r="D117" s="138" t="s">
        <v>157</v>
      </c>
      <c r="E117" s="139">
        <v>1786444.75</v>
      </c>
      <c r="F117" s="140">
        <v>419175.63</v>
      </c>
      <c r="G117" s="140">
        <v>1367269.12</v>
      </c>
      <c r="H117" s="144">
        <v>3252.7418397110114</v>
      </c>
      <c r="I117" s="142">
        <f t="shared" si="1"/>
        <v>420.34357086311979</v>
      </c>
    </row>
    <row r="118" spans="1:9" x14ac:dyDescent="0.3">
      <c r="A118" s="34">
        <v>7</v>
      </c>
      <c r="B118" s="143">
        <v>249</v>
      </c>
      <c r="C118" s="137">
        <v>7</v>
      </c>
      <c r="D118" s="138" t="s">
        <v>158</v>
      </c>
      <c r="E118" s="139">
        <v>606310.29</v>
      </c>
      <c r="F118" s="140">
        <v>0</v>
      </c>
      <c r="G118" s="140">
        <v>606310.29</v>
      </c>
      <c r="H118" s="144">
        <v>1154.9883434484898</v>
      </c>
      <c r="I118" s="142">
        <f t="shared" si="1"/>
        <v>524.94927194651837</v>
      </c>
    </row>
    <row r="119" spans="1:9" x14ac:dyDescent="0.3">
      <c r="A119" s="34">
        <v>7</v>
      </c>
      <c r="B119" s="143">
        <v>271</v>
      </c>
      <c r="C119" s="137">
        <v>7</v>
      </c>
      <c r="D119" s="138" t="s">
        <v>159</v>
      </c>
      <c r="E119" s="139">
        <v>933272.8</v>
      </c>
      <c r="F119" s="140">
        <v>90489.709999999992</v>
      </c>
      <c r="G119" s="140">
        <v>842783.09000000008</v>
      </c>
      <c r="H119" s="144">
        <v>1048.2</v>
      </c>
      <c r="I119" s="142">
        <f t="shared" si="1"/>
        <v>804.02889715703111</v>
      </c>
    </row>
    <row r="120" spans="1:9" x14ac:dyDescent="0.3">
      <c r="A120" s="34">
        <v>7</v>
      </c>
      <c r="B120" s="143">
        <v>275</v>
      </c>
      <c r="C120" s="137">
        <v>7</v>
      </c>
      <c r="D120" s="138" t="s">
        <v>160</v>
      </c>
      <c r="E120" s="139">
        <v>324500.2</v>
      </c>
      <c r="F120" s="140">
        <v>62912.880000000005</v>
      </c>
      <c r="G120" s="140">
        <v>261587.32</v>
      </c>
      <c r="H120" s="144">
        <v>710.94999999999993</v>
      </c>
      <c r="I120" s="142">
        <f t="shared" si="1"/>
        <v>367.9405302763908</v>
      </c>
    </row>
    <row r="121" spans="1:9" x14ac:dyDescent="0.3">
      <c r="A121" s="34">
        <v>7</v>
      </c>
      <c r="B121" s="143">
        <v>282</v>
      </c>
      <c r="C121" s="137">
        <v>7</v>
      </c>
      <c r="D121" s="138" t="s">
        <v>161</v>
      </c>
      <c r="E121" s="139">
        <v>55222.87</v>
      </c>
      <c r="F121" s="140">
        <v>0</v>
      </c>
      <c r="G121" s="140">
        <v>55222.87</v>
      </c>
      <c r="H121" s="144">
        <v>145.34946417977184</v>
      </c>
      <c r="I121" s="142">
        <f t="shared" si="1"/>
        <v>379.93170674299137</v>
      </c>
    </row>
    <row r="122" spans="1:9" x14ac:dyDescent="0.3">
      <c r="A122" s="34">
        <v>7</v>
      </c>
      <c r="B122" s="143">
        <v>287</v>
      </c>
      <c r="C122" s="137">
        <v>7</v>
      </c>
      <c r="D122" s="138" t="s">
        <v>162</v>
      </c>
      <c r="E122" s="139">
        <v>102363.95</v>
      </c>
      <c r="F122" s="140">
        <v>282</v>
      </c>
      <c r="G122" s="140">
        <v>102081.95</v>
      </c>
      <c r="H122" s="144">
        <v>147.07202997933462</v>
      </c>
      <c r="I122" s="142">
        <f t="shared" si="1"/>
        <v>694.09492759665955</v>
      </c>
    </row>
    <row r="123" spans="1:9" x14ac:dyDescent="0.3">
      <c r="A123" s="34">
        <v>7</v>
      </c>
      <c r="B123" s="143">
        <v>290</v>
      </c>
      <c r="C123" s="137">
        <v>7</v>
      </c>
      <c r="D123" s="138" t="s">
        <v>163</v>
      </c>
      <c r="E123" s="139">
        <v>135999.42000000001</v>
      </c>
      <c r="F123" s="140">
        <v>423.97</v>
      </c>
      <c r="G123" s="140">
        <v>135575.45000000001</v>
      </c>
      <c r="H123" s="144">
        <v>335.89235607307199</v>
      </c>
      <c r="I123" s="142">
        <f t="shared" si="1"/>
        <v>403.62767282059298</v>
      </c>
    </row>
    <row r="124" spans="1:9" x14ac:dyDescent="0.3">
      <c r="A124" s="34">
        <v>7</v>
      </c>
      <c r="B124" s="143">
        <v>294</v>
      </c>
      <c r="C124" s="137">
        <v>7</v>
      </c>
      <c r="D124" s="138" t="s">
        <v>164</v>
      </c>
      <c r="E124" s="139">
        <v>632460.91</v>
      </c>
      <c r="F124" s="140">
        <v>637</v>
      </c>
      <c r="G124" s="140">
        <v>631823.91</v>
      </c>
      <c r="H124" s="144">
        <v>1221.8972650148394</v>
      </c>
      <c r="I124" s="142">
        <f t="shared" si="1"/>
        <v>517.08431477038027</v>
      </c>
    </row>
    <row r="125" spans="1:9" x14ac:dyDescent="0.3">
      <c r="A125" s="34">
        <v>7</v>
      </c>
      <c r="B125" s="143">
        <v>296</v>
      </c>
      <c r="C125" s="137">
        <v>7</v>
      </c>
      <c r="D125" s="138" t="s">
        <v>165</v>
      </c>
      <c r="E125" s="139">
        <v>836673.68</v>
      </c>
      <c r="F125" s="140">
        <v>180195.59000000003</v>
      </c>
      <c r="G125" s="140">
        <v>656478.09000000008</v>
      </c>
      <c r="H125" s="144">
        <v>869.4000000000002</v>
      </c>
      <c r="I125" s="142">
        <f t="shared" si="1"/>
        <v>755.09327122153206</v>
      </c>
    </row>
    <row r="126" spans="1:9" x14ac:dyDescent="0.3">
      <c r="A126" s="34">
        <v>7</v>
      </c>
      <c r="B126" s="143">
        <v>301</v>
      </c>
      <c r="C126" s="137">
        <v>7</v>
      </c>
      <c r="D126" s="138" t="s">
        <v>166</v>
      </c>
      <c r="E126" s="139">
        <v>227243.71</v>
      </c>
      <c r="F126" s="140">
        <v>424.62</v>
      </c>
      <c r="G126" s="140">
        <v>226819.09</v>
      </c>
      <c r="H126" s="144">
        <v>630.73820209822964</v>
      </c>
      <c r="I126" s="142">
        <f t="shared" si="1"/>
        <v>359.60893005284584</v>
      </c>
    </row>
    <row r="127" spans="1:9" x14ac:dyDescent="0.3">
      <c r="A127" s="34">
        <v>7</v>
      </c>
      <c r="B127" s="143">
        <v>321</v>
      </c>
      <c r="C127" s="137">
        <v>7</v>
      </c>
      <c r="D127" s="138" t="s">
        <v>167</v>
      </c>
      <c r="E127" s="139">
        <v>480503.47</v>
      </c>
      <c r="F127" s="140">
        <v>39100.69</v>
      </c>
      <c r="G127" s="140">
        <v>441402.77999999997</v>
      </c>
      <c r="H127" s="144">
        <v>435.74</v>
      </c>
      <c r="I127" s="142">
        <f t="shared" si="1"/>
        <v>1012.9957772983888</v>
      </c>
    </row>
    <row r="128" spans="1:9" x14ac:dyDescent="0.3">
      <c r="A128" s="34">
        <v>7</v>
      </c>
      <c r="B128" s="143">
        <v>325</v>
      </c>
      <c r="C128" s="137">
        <v>7</v>
      </c>
      <c r="D128" s="138" t="s">
        <v>168</v>
      </c>
      <c r="E128" s="139">
        <v>182309.94</v>
      </c>
      <c r="F128" s="140">
        <v>304</v>
      </c>
      <c r="G128" s="140">
        <v>182005.94</v>
      </c>
      <c r="H128" s="144">
        <v>394.42804250748418</v>
      </c>
      <c r="I128" s="142">
        <f t="shared" si="1"/>
        <v>461.44269774263449</v>
      </c>
    </row>
    <row r="129" spans="1:9" x14ac:dyDescent="0.3">
      <c r="A129" s="34">
        <v>7</v>
      </c>
      <c r="B129" s="143">
        <v>346</v>
      </c>
      <c r="C129" s="137">
        <v>7</v>
      </c>
      <c r="D129" s="138" t="s">
        <v>169</v>
      </c>
      <c r="E129" s="139">
        <v>123092.65</v>
      </c>
      <c r="F129" s="140">
        <v>27381.15</v>
      </c>
      <c r="G129" s="140">
        <v>95711.5</v>
      </c>
      <c r="H129" s="144">
        <v>262.16750068175787</v>
      </c>
      <c r="I129" s="142">
        <f t="shared" si="1"/>
        <v>365.07766886095885</v>
      </c>
    </row>
    <row r="130" spans="1:9" x14ac:dyDescent="0.3">
      <c r="A130" s="34">
        <v>7</v>
      </c>
      <c r="B130" s="143">
        <v>358</v>
      </c>
      <c r="C130" s="137">
        <v>7</v>
      </c>
      <c r="D130" s="138" t="s">
        <v>170</v>
      </c>
      <c r="E130" s="139">
        <v>241699.7</v>
      </c>
      <c r="F130" s="140">
        <v>48918.26</v>
      </c>
      <c r="G130" s="140">
        <v>192781.44</v>
      </c>
      <c r="H130" s="144">
        <v>379.12</v>
      </c>
      <c r="I130" s="142">
        <f t="shared" si="1"/>
        <v>508.49715129774216</v>
      </c>
    </row>
    <row r="131" spans="1:9" x14ac:dyDescent="0.3">
      <c r="A131" s="34">
        <v>7</v>
      </c>
      <c r="B131" s="143">
        <v>361</v>
      </c>
      <c r="C131" s="137">
        <v>7</v>
      </c>
      <c r="D131" s="138" t="s">
        <v>171</v>
      </c>
      <c r="E131" s="139">
        <v>911184.79</v>
      </c>
      <c r="F131" s="140">
        <v>7581.0599999999995</v>
      </c>
      <c r="G131" s="140">
        <v>903603.73</v>
      </c>
      <c r="H131" s="144">
        <v>1540.8574052899257</v>
      </c>
      <c r="I131" s="142">
        <f t="shared" si="1"/>
        <v>586.4291704721237</v>
      </c>
    </row>
    <row r="132" spans="1:9" x14ac:dyDescent="0.3">
      <c r="A132" s="34">
        <v>7</v>
      </c>
      <c r="B132" s="143">
        <v>376</v>
      </c>
      <c r="C132" s="137">
        <v>7</v>
      </c>
      <c r="D132" s="138" t="s">
        <v>172</v>
      </c>
      <c r="E132" s="139">
        <v>281309.96000000002</v>
      </c>
      <c r="F132" s="140">
        <v>326</v>
      </c>
      <c r="G132" s="140">
        <v>280983.96000000002</v>
      </c>
      <c r="H132" s="144">
        <v>685.89220705089633</v>
      </c>
      <c r="I132" s="142">
        <f t="shared" si="1"/>
        <v>409.6619805729178</v>
      </c>
    </row>
    <row r="133" spans="1:9" x14ac:dyDescent="0.3">
      <c r="A133" s="34">
        <v>7</v>
      </c>
      <c r="B133" s="143">
        <v>382</v>
      </c>
      <c r="C133" s="137">
        <v>7</v>
      </c>
      <c r="D133" s="138" t="s">
        <v>173</v>
      </c>
      <c r="E133" s="139">
        <v>98656.37</v>
      </c>
      <c r="F133" s="140">
        <v>22015.520000000004</v>
      </c>
      <c r="G133" s="140">
        <v>76640.849999999991</v>
      </c>
      <c r="H133" s="144">
        <v>185.27</v>
      </c>
      <c r="I133" s="142">
        <f t="shared" ref="I133:I196" si="2">IFERROR(G133/H133,0)</f>
        <v>413.67112862309057</v>
      </c>
    </row>
    <row r="134" spans="1:9" x14ac:dyDescent="0.3">
      <c r="A134" s="34">
        <v>7</v>
      </c>
      <c r="B134" s="143">
        <v>389</v>
      </c>
      <c r="C134" s="137">
        <v>7</v>
      </c>
      <c r="D134" s="138" t="s">
        <v>174</v>
      </c>
      <c r="E134" s="139">
        <v>166030.71</v>
      </c>
      <c r="F134" s="140">
        <v>944.5</v>
      </c>
      <c r="G134" s="140">
        <v>165086.21</v>
      </c>
      <c r="H134" s="144">
        <v>971.30836174231024</v>
      </c>
      <c r="I134" s="142">
        <f t="shared" si="2"/>
        <v>169.96271884643534</v>
      </c>
    </row>
    <row r="135" spans="1:9" x14ac:dyDescent="0.3">
      <c r="A135" s="34">
        <v>7</v>
      </c>
      <c r="B135" s="143">
        <v>434</v>
      </c>
      <c r="C135" s="137">
        <v>7</v>
      </c>
      <c r="D135" s="138" t="s">
        <v>175</v>
      </c>
      <c r="E135" s="139">
        <v>130973.72</v>
      </c>
      <c r="F135" s="140">
        <v>0</v>
      </c>
      <c r="G135" s="140">
        <v>130973.72</v>
      </c>
      <c r="H135" s="144">
        <v>314.12901317026297</v>
      </c>
      <c r="I135" s="142">
        <f t="shared" si="2"/>
        <v>416.94244883076158</v>
      </c>
    </row>
    <row r="136" spans="1:9" x14ac:dyDescent="0.3">
      <c r="A136" s="34">
        <v>7</v>
      </c>
      <c r="B136" s="143">
        <v>437</v>
      </c>
      <c r="C136" s="137">
        <v>7</v>
      </c>
      <c r="D136" s="138" t="s">
        <v>176</v>
      </c>
      <c r="E136" s="139">
        <v>234070.56</v>
      </c>
      <c r="F136" s="140">
        <v>0</v>
      </c>
      <c r="G136" s="140">
        <v>234070.56</v>
      </c>
      <c r="H136" s="144">
        <v>381.25325546155779</v>
      </c>
      <c r="I136" s="142">
        <f t="shared" si="2"/>
        <v>613.95032474313291</v>
      </c>
    </row>
    <row r="137" spans="1:9" x14ac:dyDescent="0.3">
      <c r="A137" s="34">
        <v>7</v>
      </c>
      <c r="B137" s="143">
        <v>502</v>
      </c>
      <c r="C137" s="137">
        <v>7</v>
      </c>
      <c r="D137" s="138" t="s">
        <v>177</v>
      </c>
      <c r="E137" s="139">
        <v>321308.17</v>
      </c>
      <c r="F137" s="140">
        <v>0</v>
      </c>
      <c r="G137" s="140">
        <v>321308.17</v>
      </c>
      <c r="H137" s="144">
        <v>668.14703661521571</v>
      </c>
      <c r="I137" s="142">
        <f t="shared" si="2"/>
        <v>480.89440256702147</v>
      </c>
    </row>
    <row r="138" spans="1:9" x14ac:dyDescent="0.3">
      <c r="A138" s="34">
        <v>7</v>
      </c>
      <c r="B138" s="143">
        <v>503</v>
      </c>
      <c r="C138" s="137">
        <v>7</v>
      </c>
      <c r="D138" s="138" t="s">
        <v>178</v>
      </c>
      <c r="E138" s="139">
        <v>200464.15</v>
      </c>
      <c r="F138" s="140">
        <v>51599.19000000001</v>
      </c>
      <c r="G138" s="140">
        <v>148864.95999999999</v>
      </c>
      <c r="H138" s="144">
        <v>362.80000000000007</v>
      </c>
      <c r="I138" s="142">
        <f t="shared" si="2"/>
        <v>410.32238147739793</v>
      </c>
    </row>
    <row r="139" spans="1:9" x14ac:dyDescent="0.3">
      <c r="A139" s="34">
        <v>7</v>
      </c>
      <c r="B139" s="143">
        <v>510</v>
      </c>
      <c r="C139" s="137">
        <v>7</v>
      </c>
      <c r="D139" s="138" t="s">
        <v>179</v>
      </c>
      <c r="E139" s="139">
        <v>225129.38</v>
      </c>
      <c r="F139" s="140">
        <v>1049</v>
      </c>
      <c r="G139" s="140">
        <v>224080.38</v>
      </c>
      <c r="H139" s="144">
        <v>488.33690475423634</v>
      </c>
      <c r="I139" s="142">
        <f t="shared" si="2"/>
        <v>458.86431645540324</v>
      </c>
    </row>
    <row r="140" spans="1:9" x14ac:dyDescent="0.3">
      <c r="A140" s="34">
        <v>7</v>
      </c>
      <c r="B140" s="143">
        <v>531</v>
      </c>
      <c r="C140" s="137">
        <v>7</v>
      </c>
      <c r="D140" s="138" t="s">
        <v>180</v>
      </c>
      <c r="E140" s="139">
        <v>619077.55000000005</v>
      </c>
      <c r="F140" s="140">
        <v>5174.5599999999995</v>
      </c>
      <c r="G140" s="140">
        <v>613902.99</v>
      </c>
      <c r="H140" s="144">
        <v>2134.37</v>
      </c>
      <c r="I140" s="142">
        <f t="shared" si="2"/>
        <v>287.62725769196533</v>
      </c>
    </row>
    <row r="141" spans="1:9" x14ac:dyDescent="0.3">
      <c r="A141" s="34">
        <v>7</v>
      </c>
      <c r="B141" s="143">
        <v>550</v>
      </c>
      <c r="C141" s="137">
        <v>7</v>
      </c>
      <c r="D141" s="138" t="s">
        <v>181</v>
      </c>
      <c r="E141" s="139">
        <v>412541.65</v>
      </c>
      <c r="F141" s="140">
        <v>100</v>
      </c>
      <c r="G141" s="140">
        <v>412441.65</v>
      </c>
      <c r="H141" s="144">
        <v>257.69</v>
      </c>
      <c r="I141" s="142">
        <f t="shared" si="2"/>
        <v>1600.5341689627073</v>
      </c>
    </row>
    <row r="142" spans="1:9" x14ac:dyDescent="0.3">
      <c r="A142" s="34">
        <v>7</v>
      </c>
      <c r="B142" s="143">
        <v>551</v>
      </c>
      <c r="C142" s="137">
        <v>7</v>
      </c>
      <c r="D142" s="138" t="s">
        <v>182</v>
      </c>
      <c r="E142" s="139">
        <v>85940.15</v>
      </c>
      <c r="F142" s="140">
        <v>201</v>
      </c>
      <c r="G142" s="140">
        <v>85739.15</v>
      </c>
      <c r="H142" s="144">
        <v>172.97</v>
      </c>
      <c r="I142" s="142">
        <f t="shared" si="2"/>
        <v>495.68798057466608</v>
      </c>
    </row>
    <row r="143" spans="1:9" x14ac:dyDescent="0.3">
      <c r="A143" s="34">
        <v>7</v>
      </c>
      <c r="B143" s="143">
        <v>555</v>
      </c>
      <c r="C143" s="137">
        <v>7</v>
      </c>
      <c r="D143" s="138" t="s">
        <v>183</v>
      </c>
      <c r="E143" s="139">
        <v>492787.09</v>
      </c>
      <c r="F143" s="140">
        <v>498</v>
      </c>
      <c r="G143" s="140">
        <v>492289.09</v>
      </c>
      <c r="H143" s="144">
        <v>603.33664613851852</v>
      </c>
      <c r="I143" s="142">
        <f t="shared" si="2"/>
        <v>815.94428773845209</v>
      </c>
    </row>
    <row r="144" spans="1:9" x14ac:dyDescent="0.3">
      <c r="A144" s="34">
        <v>7</v>
      </c>
      <c r="B144" s="143">
        <v>556</v>
      </c>
      <c r="C144" s="137">
        <v>7</v>
      </c>
      <c r="D144" s="138" t="s">
        <v>184</v>
      </c>
      <c r="E144" s="139">
        <v>144657.59</v>
      </c>
      <c r="F144" s="140">
        <v>350.51</v>
      </c>
      <c r="G144" s="140">
        <v>144307.07999999999</v>
      </c>
      <c r="H144" s="144">
        <v>391.24484408487012</v>
      </c>
      <c r="I144" s="142">
        <f t="shared" si="2"/>
        <v>368.84084782647363</v>
      </c>
    </row>
    <row r="145" spans="1:9" x14ac:dyDescent="0.3">
      <c r="A145" s="34">
        <v>7</v>
      </c>
      <c r="B145" s="143">
        <v>558</v>
      </c>
      <c r="C145" s="137">
        <v>7</v>
      </c>
      <c r="D145" s="138" t="s">
        <v>185</v>
      </c>
      <c r="E145" s="139">
        <v>230639.34</v>
      </c>
      <c r="F145" s="140">
        <v>26698.63</v>
      </c>
      <c r="G145" s="140">
        <v>203940.71</v>
      </c>
      <c r="H145" s="144">
        <v>347.54359974511453</v>
      </c>
      <c r="I145" s="142">
        <f t="shared" si="2"/>
        <v>586.80611626733548</v>
      </c>
    </row>
    <row r="146" spans="1:9" x14ac:dyDescent="0.3">
      <c r="A146" s="34">
        <v>7</v>
      </c>
      <c r="B146" s="143">
        <v>600</v>
      </c>
      <c r="C146" s="137">
        <v>7</v>
      </c>
      <c r="D146" s="138" t="s">
        <v>186</v>
      </c>
      <c r="E146" s="139">
        <v>251152.74</v>
      </c>
      <c r="F146" s="140">
        <v>0</v>
      </c>
      <c r="G146" s="140">
        <v>251152.74</v>
      </c>
      <c r="H146" s="144">
        <v>804.36</v>
      </c>
      <c r="I146" s="142">
        <f t="shared" si="2"/>
        <v>312.23922124421898</v>
      </c>
    </row>
    <row r="147" spans="1:9" x14ac:dyDescent="0.3">
      <c r="A147" s="34">
        <v>7</v>
      </c>
      <c r="B147" s="143">
        <v>604</v>
      </c>
      <c r="C147" s="137">
        <v>7</v>
      </c>
      <c r="D147" s="138" t="s">
        <v>187</v>
      </c>
      <c r="E147" s="139">
        <v>238868.16</v>
      </c>
      <c r="F147" s="140">
        <v>30079.71</v>
      </c>
      <c r="G147" s="140">
        <v>208788.45</v>
      </c>
      <c r="H147" s="144">
        <v>727.41720759868917</v>
      </c>
      <c r="I147" s="142">
        <f t="shared" si="2"/>
        <v>287.02709781810262</v>
      </c>
    </row>
    <row r="148" spans="1:9" x14ac:dyDescent="0.3">
      <c r="A148" s="34">
        <v>7</v>
      </c>
      <c r="B148" s="143">
        <v>612</v>
      </c>
      <c r="C148" s="137">
        <v>7</v>
      </c>
      <c r="D148" s="138" t="s">
        <v>188</v>
      </c>
      <c r="E148" s="139">
        <v>278541.06</v>
      </c>
      <c r="F148" s="140">
        <v>7776.44</v>
      </c>
      <c r="G148" s="140">
        <v>270764.62</v>
      </c>
      <c r="H148" s="144">
        <v>488.86576888424196</v>
      </c>
      <c r="I148" s="142">
        <f t="shared" si="2"/>
        <v>553.86291541331889</v>
      </c>
    </row>
    <row r="149" spans="1:9" x14ac:dyDescent="0.3">
      <c r="A149" s="34">
        <v>7</v>
      </c>
      <c r="B149" s="143">
        <v>635</v>
      </c>
      <c r="C149" s="137">
        <v>7</v>
      </c>
      <c r="D149" s="138" t="s">
        <v>293</v>
      </c>
      <c r="E149" s="139">
        <v>41866.43</v>
      </c>
      <c r="F149" s="140">
        <v>7688.1000000000013</v>
      </c>
      <c r="G149" s="140">
        <v>34178.33</v>
      </c>
      <c r="H149" s="144">
        <v>48.589999999999996</v>
      </c>
      <c r="I149" s="142">
        <f t="shared" si="2"/>
        <v>703.40255196542512</v>
      </c>
    </row>
    <row r="150" spans="1:9" x14ac:dyDescent="0.3">
      <c r="A150" s="34">
        <v>7</v>
      </c>
      <c r="B150" s="143">
        <v>711</v>
      </c>
      <c r="C150" s="137">
        <v>7</v>
      </c>
      <c r="D150" s="138" t="s">
        <v>189</v>
      </c>
      <c r="E150" s="139">
        <v>219303.41</v>
      </c>
      <c r="F150" s="140">
        <v>15317.63</v>
      </c>
      <c r="G150" s="140">
        <v>203985.78</v>
      </c>
      <c r="H150" s="144">
        <v>420.12</v>
      </c>
      <c r="I150" s="142">
        <f t="shared" si="2"/>
        <v>485.54170237075118</v>
      </c>
    </row>
    <row r="151" spans="1:9" x14ac:dyDescent="0.3">
      <c r="A151" s="34">
        <v>7</v>
      </c>
      <c r="B151" s="143">
        <v>712</v>
      </c>
      <c r="C151" s="137">
        <v>7</v>
      </c>
      <c r="D151" s="138" t="s">
        <v>190</v>
      </c>
      <c r="E151" s="139">
        <v>285648.96000000002</v>
      </c>
      <c r="F151" s="140">
        <v>0</v>
      </c>
      <c r="G151" s="140">
        <v>285648.96000000002</v>
      </c>
      <c r="H151" s="144">
        <v>743.30000000000007</v>
      </c>
      <c r="I151" s="142">
        <f t="shared" si="2"/>
        <v>384.29834521727429</v>
      </c>
    </row>
    <row r="152" spans="1:9" x14ac:dyDescent="0.3">
      <c r="A152" s="34">
        <v>7</v>
      </c>
      <c r="B152" s="143">
        <v>718</v>
      </c>
      <c r="C152" s="137">
        <v>7</v>
      </c>
      <c r="D152" s="138" t="s">
        <v>191</v>
      </c>
      <c r="E152" s="139">
        <v>22733.55</v>
      </c>
      <c r="F152" s="140">
        <v>0</v>
      </c>
      <c r="G152" s="140">
        <v>22733.55</v>
      </c>
      <c r="H152" s="144">
        <v>29.977429817390671</v>
      </c>
      <c r="I152" s="142">
        <f t="shared" si="2"/>
        <v>758.35554076793096</v>
      </c>
    </row>
    <row r="153" spans="1:9" x14ac:dyDescent="0.3">
      <c r="A153" s="34">
        <v>7</v>
      </c>
      <c r="B153" s="143">
        <v>736</v>
      </c>
      <c r="C153" s="137">
        <v>7</v>
      </c>
      <c r="D153" s="138" t="s">
        <v>192</v>
      </c>
      <c r="E153" s="139">
        <v>55322.1</v>
      </c>
      <c r="F153" s="140">
        <v>161</v>
      </c>
      <c r="G153" s="140">
        <v>55161.1</v>
      </c>
      <c r="H153" s="144">
        <v>138.56381575605857</v>
      </c>
      <c r="I153" s="142">
        <f t="shared" si="2"/>
        <v>398.09166411172629</v>
      </c>
    </row>
    <row r="154" spans="1:9" x14ac:dyDescent="0.3">
      <c r="A154" s="34">
        <v>7</v>
      </c>
      <c r="B154" s="143">
        <v>757</v>
      </c>
      <c r="C154" s="137">
        <v>7</v>
      </c>
      <c r="D154" s="138" t="s">
        <v>193</v>
      </c>
      <c r="E154" s="139">
        <v>334652.7</v>
      </c>
      <c r="F154" s="140">
        <v>65666.5</v>
      </c>
      <c r="G154" s="140">
        <v>268986.2</v>
      </c>
      <c r="H154" s="144">
        <v>535.91999999999996</v>
      </c>
      <c r="I154" s="142">
        <f t="shared" si="2"/>
        <v>501.91483803552774</v>
      </c>
    </row>
    <row r="155" spans="1:9" x14ac:dyDescent="0.3">
      <c r="A155" s="34">
        <v>7</v>
      </c>
      <c r="B155" s="143">
        <v>786</v>
      </c>
      <c r="C155" s="137">
        <v>7</v>
      </c>
      <c r="D155" s="138" t="s">
        <v>194</v>
      </c>
      <c r="E155" s="139">
        <v>1566858.3</v>
      </c>
      <c r="F155" s="140">
        <v>287163.78999999998</v>
      </c>
      <c r="G155" s="140">
        <v>1279694.51</v>
      </c>
      <c r="H155" s="144">
        <v>3145.58</v>
      </c>
      <c r="I155" s="142">
        <f t="shared" si="2"/>
        <v>406.82306919550609</v>
      </c>
    </row>
    <row r="156" spans="1:9" x14ac:dyDescent="0.3">
      <c r="A156" s="34">
        <v>7</v>
      </c>
      <c r="B156" s="143">
        <v>854</v>
      </c>
      <c r="C156" s="137">
        <v>7</v>
      </c>
      <c r="D156" s="138" t="s">
        <v>195</v>
      </c>
      <c r="E156" s="139">
        <v>490740.21</v>
      </c>
      <c r="F156" s="140">
        <v>37547.699999999997</v>
      </c>
      <c r="G156" s="140">
        <v>453192.51</v>
      </c>
      <c r="H156" s="144">
        <v>839.93</v>
      </c>
      <c r="I156" s="142">
        <f t="shared" si="2"/>
        <v>539.55985617849115</v>
      </c>
    </row>
    <row r="157" spans="1:9" x14ac:dyDescent="0.3">
      <c r="A157" s="34">
        <v>7</v>
      </c>
      <c r="B157" s="143">
        <v>855</v>
      </c>
      <c r="C157" s="137">
        <v>7</v>
      </c>
      <c r="D157" s="138" t="s">
        <v>196</v>
      </c>
      <c r="E157" s="139">
        <v>140079.48000000001</v>
      </c>
      <c r="F157" s="140">
        <v>12090</v>
      </c>
      <c r="G157" s="140">
        <v>127989.48000000001</v>
      </c>
      <c r="H157" s="144">
        <v>208.08754355551341</v>
      </c>
      <c r="I157" s="142">
        <f t="shared" si="2"/>
        <v>615.07516410205062</v>
      </c>
    </row>
    <row r="158" spans="1:9" x14ac:dyDescent="0.3">
      <c r="A158" s="34">
        <v>7</v>
      </c>
      <c r="B158" s="143">
        <v>862</v>
      </c>
      <c r="C158" s="137">
        <v>7</v>
      </c>
      <c r="D158" s="138" t="s">
        <v>197</v>
      </c>
      <c r="E158" s="139">
        <v>10884.05</v>
      </c>
      <c r="F158" s="140">
        <v>8152.2</v>
      </c>
      <c r="G158" s="140">
        <v>2731.8499999999995</v>
      </c>
      <c r="H158" s="144">
        <v>13.057425824207526</v>
      </c>
      <c r="I158" s="142">
        <f t="shared" si="2"/>
        <v>209.21811364498404</v>
      </c>
    </row>
    <row r="159" spans="1:9" x14ac:dyDescent="0.3">
      <c r="A159" s="34">
        <v>7</v>
      </c>
      <c r="B159" s="143">
        <v>958</v>
      </c>
      <c r="C159" s="137">
        <v>7</v>
      </c>
      <c r="D159" s="138" t="s">
        <v>198</v>
      </c>
      <c r="E159" s="139">
        <v>165631.01</v>
      </c>
      <c r="F159" s="140">
        <v>290.27999999999997</v>
      </c>
      <c r="G159" s="140">
        <v>165340.73000000001</v>
      </c>
      <c r="H159" s="144">
        <v>510.68241662743128</v>
      </c>
      <c r="I159" s="142">
        <f t="shared" si="2"/>
        <v>323.76428993172965</v>
      </c>
    </row>
    <row r="160" spans="1:9" x14ac:dyDescent="0.3">
      <c r="A160" s="34">
        <v>7</v>
      </c>
      <c r="B160" s="143">
        <v>967</v>
      </c>
      <c r="C160" s="137">
        <v>7</v>
      </c>
      <c r="D160" s="138" t="s">
        <v>199</v>
      </c>
      <c r="E160" s="139">
        <v>85175.039999999994</v>
      </c>
      <c r="F160" s="140">
        <v>0</v>
      </c>
      <c r="G160" s="140">
        <v>85175.039999999994</v>
      </c>
      <c r="H160" s="144">
        <v>180.72090534733633</v>
      </c>
      <c r="I160" s="142">
        <f t="shared" si="2"/>
        <v>471.3070678585741</v>
      </c>
    </row>
    <row r="161" spans="1:9" x14ac:dyDescent="0.3">
      <c r="A161" s="34">
        <v>7</v>
      </c>
      <c r="B161" s="143">
        <v>971</v>
      </c>
      <c r="C161" s="137">
        <v>7</v>
      </c>
      <c r="D161" s="138" t="s">
        <v>200</v>
      </c>
      <c r="E161" s="139">
        <v>536513.62</v>
      </c>
      <c r="F161" s="140">
        <v>137200.55999999997</v>
      </c>
      <c r="G161" s="140">
        <v>399313.06000000006</v>
      </c>
      <c r="H161" s="144">
        <v>976</v>
      </c>
      <c r="I161" s="142">
        <f t="shared" si="2"/>
        <v>409.13223360655741</v>
      </c>
    </row>
    <row r="162" spans="1:9" x14ac:dyDescent="0.3">
      <c r="A162" s="34">
        <v>7</v>
      </c>
      <c r="B162" s="143">
        <v>975</v>
      </c>
      <c r="C162" s="137">
        <v>7</v>
      </c>
      <c r="D162" s="138" t="s">
        <v>201</v>
      </c>
      <c r="E162" s="139">
        <v>55760.17</v>
      </c>
      <c r="F162" s="140">
        <v>0</v>
      </c>
      <c r="G162" s="140">
        <v>55760.17</v>
      </c>
      <c r="H162" s="144">
        <v>19.270524161831133</v>
      </c>
      <c r="I162" s="142">
        <f t="shared" si="2"/>
        <v>2893.5471361201171</v>
      </c>
    </row>
    <row r="163" spans="1:9" x14ac:dyDescent="0.3">
      <c r="A163" s="34">
        <v>7</v>
      </c>
      <c r="B163" s="143">
        <v>976</v>
      </c>
      <c r="C163" s="137">
        <v>7</v>
      </c>
      <c r="D163" s="138" t="s">
        <v>202</v>
      </c>
      <c r="E163" s="139">
        <v>25941.279999999999</v>
      </c>
      <c r="F163" s="140">
        <v>0</v>
      </c>
      <c r="G163" s="140">
        <v>25941.279999999999</v>
      </c>
      <c r="H163" s="144">
        <v>29.487418815717273</v>
      </c>
      <c r="I163" s="142">
        <f t="shared" si="2"/>
        <v>879.74061623097623</v>
      </c>
    </row>
    <row r="164" spans="1:9" x14ac:dyDescent="0.3">
      <c r="A164" s="34">
        <v>7</v>
      </c>
      <c r="B164" s="143">
        <v>977</v>
      </c>
      <c r="C164" s="137">
        <v>7</v>
      </c>
      <c r="D164" s="138" t="s">
        <v>203</v>
      </c>
      <c r="E164" s="139">
        <v>31893.51</v>
      </c>
      <c r="F164" s="140">
        <v>0</v>
      </c>
      <c r="G164" s="140">
        <v>31893.51</v>
      </c>
      <c r="H164" s="144">
        <v>40.759415747987155</v>
      </c>
      <c r="I164" s="142">
        <f t="shared" si="2"/>
        <v>782.4820207727098</v>
      </c>
    </row>
    <row r="165" spans="1:9" x14ac:dyDescent="0.3">
      <c r="A165" s="34">
        <v>7</v>
      </c>
      <c r="B165" s="143">
        <v>979</v>
      </c>
      <c r="C165" s="137">
        <v>7</v>
      </c>
      <c r="D165" s="138" t="s">
        <v>287</v>
      </c>
      <c r="E165" s="139">
        <v>116196.12</v>
      </c>
      <c r="F165" s="140">
        <v>0</v>
      </c>
      <c r="G165" s="140">
        <v>116196.12</v>
      </c>
      <c r="H165" s="144">
        <v>68.082572495004712</v>
      </c>
      <c r="I165" s="142">
        <f t="shared" si="2"/>
        <v>1706.6940296435689</v>
      </c>
    </row>
    <row r="166" spans="1:9" x14ac:dyDescent="0.3">
      <c r="A166" s="34">
        <v>7</v>
      </c>
      <c r="B166" s="143">
        <v>983</v>
      </c>
      <c r="C166" s="137">
        <v>7</v>
      </c>
      <c r="D166" s="138" t="s">
        <v>205</v>
      </c>
      <c r="E166" s="139">
        <v>30825.599999999999</v>
      </c>
      <c r="F166" s="140">
        <v>250</v>
      </c>
      <c r="G166" s="140">
        <v>30575.599999999999</v>
      </c>
      <c r="H166" s="144">
        <v>86.135726155269523</v>
      </c>
      <c r="I166" s="142">
        <f t="shared" si="2"/>
        <v>354.97001493763429</v>
      </c>
    </row>
    <row r="167" spans="1:9" x14ac:dyDescent="0.3">
      <c r="A167" s="34">
        <v>7</v>
      </c>
      <c r="B167" s="143">
        <v>188</v>
      </c>
      <c r="C167" s="137">
        <v>8</v>
      </c>
      <c r="D167" s="138" t="s">
        <v>206</v>
      </c>
      <c r="E167" s="139">
        <v>125246.14</v>
      </c>
      <c r="F167" s="140">
        <v>23903.22</v>
      </c>
      <c r="G167" s="140">
        <v>101342.92</v>
      </c>
      <c r="H167" s="144">
        <v>187.63</v>
      </c>
      <c r="I167" s="142">
        <f t="shared" si="2"/>
        <v>540.12108937803123</v>
      </c>
    </row>
    <row r="168" spans="1:9" x14ac:dyDescent="0.3">
      <c r="A168" s="34">
        <v>8</v>
      </c>
      <c r="B168" s="143">
        <v>232</v>
      </c>
      <c r="C168" s="137">
        <v>8</v>
      </c>
      <c r="D168" s="138" t="s">
        <v>207</v>
      </c>
      <c r="E168" s="139">
        <v>101873.03</v>
      </c>
      <c r="F168" s="140">
        <v>0</v>
      </c>
      <c r="G168" s="140">
        <v>101873.03</v>
      </c>
      <c r="H168" s="144">
        <v>97.380622566033892</v>
      </c>
      <c r="I168" s="142">
        <f t="shared" si="2"/>
        <v>1046.1324575217191</v>
      </c>
    </row>
    <row r="169" spans="1:9" x14ac:dyDescent="0.3">
      <c r="A169" s="34">
        <v>8</v>
      </c>
      <c r="B169" s="143">
        <v>245</v>
      </c>
      <c r="C169" s="137">
        <v>8</v>
      </c>
      <c r="D169" s="138" t="s">
        <v>208</v>
      </c>
      <c r="E169" s="139">
        <v>620305.29</v>
      </c>
      <c r="F169" s="140">
        <v>0</v>
      </c>
      <c r="G169" s="140">
        <v>620305.29</v>
      </c>
      <c r="H169" s="144">
        <v>182.45227672734177</v>
      </c>
      <c r="I169" s="142">
        <f t="shared" si="2"/>
        <v>3399.8221404876713</v>
      </c>
    </row>
    <row r="170" spans="1:9" x14ac:dyDescent="0.3">
      <c r="A170" s="34">
        <v>8</v>
      </c>
      <c r="B170" s="143">
        <v>372</v>
      </c>
      <c r="C170" s="137">
        <v>8</v>
      </c>
      <c r="D170" s="138" t="s">
        <v>209</v>
      </c>
      <c r="E170" s="139">
        <v>83312.27</v>
      </c>
      <c r="F170" s="140">
        <v>0</v>
      </c>
      <c r="G170" s="140">
        <v>83312.27</v>
      </c>
      <c r="H170" s="144">
        <v>120.44</v>
      </c>
      <c r="I170" s="142">
        <f t="shared" si="2"/>
        <v>691.73256393224847</v>
      </c>
    </row>
    <row r="171" spans="1:9" x14ac:dyDescent="0.3">
      <c r="A171" s="34">
        <v>8</v>
      </c>
      <c r="B171" s="143">
        <v>375</v>
      </c>
      <c r="C171" s="137">
        <v>8</v>
      </c>
      <c r="D171" s="138" t="s">
        <v>210</v>
      </c>
      <c r="E171" s="139">
        <v>245447.76</v>
      </c>
      <c r="F171" s="140">
        <v>0</v>
      </c>
      <c r="G171" s="140">
        <v>245447.76</v>
      </c>
      <c r="H171" s="144">
        <v>165.84</v>
      </c>
      <c r="I171" s="142">
        <f t="shared" si="2"/>
        <v>1480.027496382055</v>
      </c>
    </row>
    <row r="172" spans="1:9" x14ac:dyDescent="0.3">
      <c r="A172" s="34">
        <v>8</v>
      </c>
      <c r="B172" s="143">
        <v>404</v>
      </c>
      <c r="C172" s="137">
        <v>8</v>
      </c>
      <c r="D172" s="138" t="s">
        <v>211</v>
      </c>
      <c r="E172" s="139">
        <v>260768.05</v>
      </c>
      <c r="F172" s="140">
        <v>28484.19</v>
      </c>
      <c r="G172" s="140">
        <v>232283.86</v>
      </c>
      <c r="H172" s="144">
        <v>471.42898112137107</v>
      </c>
      <c r="I172" s="142">
        <f t="shared" si="2"/>
        <v>492.72291119539312</v>
      </c>
    </row>
    <row r="173" spans="1:9" x14ac:dyDescent="0.3">
      <c r="A173" s="34">
        <v>8</v>
      </c>
      <c r="B173" s="143">
        <v>413</v>
      </c>
      <c r="C173" s="137">
        <v>8</v>
      </c>
      <c r="D173" s="138" t="s">
        <v>212</v>
      </c>
      <c r="E173" s="139">
        <v>59936.91</v>
      </c>
      <c r="F173" s="140">
        <v>95</v>
      </c>
      <c r="G173" s="140">
        <v>59841.91</v>
      </c>
      <c r="H173" s="144">
        <v>73.969999999999985</v>
      </c>
      <c r="I173" s="142">
        <f t="shared" si="2"/>
        <v>809.00243341895384</v>
      </c>
    </row>
    <row r="174" spans="1:9" x14ac:dyDescent="0.3">
      <c r="A174" s="34">
        <v>8</v>
      </c>
      <c r="B174" s="143">
        <v>537</v>
      </c>
      <c r="C174" s="137">
        <v>8</v>
      </c>
      <c r="D174" s="138" t="s">
        <v>213</v>
      </c>
      <c r="E174" s="139">
        <v>7779.28</v>
      </c>
      <c r="F174" s="140">
        <v>0</v>
      </c>
      <c r="G174" s="140">
        <v>7779.28</v>
      </c>
      <c r="H174" s="144">
        <v>21.43637439455869</v>
      </c>
      <c r="I174" s="142">
        <f t="shared" si="2"/>
        <v>362.90092050149377</v>
      </c>
    </row>
    <row r="175" spans="1:9" x14ac:dyDescent="0.3">
      <c r="A175" s="34">
        <v>8</v>
      </c>
      <c r="B175" s="143">
        <v>545</v>
      </c>
      <c r="C175" s="137">
        <v>8</v>
      </c>
      <c r="D175" s="138" t="s">
        <v>214</v>
      </c>
      <c r="E175" s="139">
        <v>6792.3</v>
      </c>
      <c r="F175" s="140">
        <v>0</v>
      </c>
      <c r="G175" s="140">
        <v>6792.3</v>
      </c>
      <c r="H175" s="144">
        <v>14.770762085671219</v>
      </c>
      <c r="I175" s="142">
        <f t="shared" si="2"/>
        <v>459.84763417109372</v>
      </c>
    </row>
    <row r="176" spans="1:9" x14ac:dyDescent="0.3">
      <c r="A176" s="34">
        <v>8</v>
      </c>
      <c r="B176" s="143">
        <v>602</v>
      </c>
      <c r="C176" s="137">
        <v>8</v>
      </c>
      <c r="D176" s="138" t="s">
        <v>215</v>
      </c>
      <c r="E176" s="139">
        <v>28173.42</v>
      </c>
      <c r="F176" s="140">
        <v>0</v>
      </c>
      <c r="G176" s="140">
        <v>28173.42</v>
      </c>
      <c r="H176" s="144">
        <v>19.642035020014156</v>
      </c>
      <c r="I176" s="142">
        <f t="shared" si="2"/>
        <v>1434.3432323225586</v>
      </c>
    </row>
    <row r="177" spans="1:9" x14ac:dyDescent="0.3">
      <c r="A177" s="34">
        <v>8</v>
      </c>
      <c r="B177" s="143">
        <v>605</v>
      </c>
      <c r="C177" s="137">
        <v>8</v>
      </c>
      <c r="D177" s="138" t="s">
        <v>216</v>
      </c>
      <c r="E177" s="139">
        <v>7392.31</v>
      </c>
      <c r="F177" s="140">
        <v>0</v>
      </c>
      <c r="G177" s="140">
        <v>7392.31</v>
      </c>
      <c r="H177" s="144">
        <v>10.431092897352221</v>
      </c>
      <c r="I177" s="142">
        <f t="shared" si="2"/>
        <v>708.68029579876804</v>
      </c>
    </row>
    <row r="178" spans="1:9" x14ac:dyDescent="0.3">
      <c r="A178" s="34">
        <v>8</v>
      </c>
      <c r="B178" s="143">
        <v>607</v>
      </c>
      <c r="C178" s="137">
        <v>8</v>
      </c>
      <c r="D178" s="138" t="s">
        <v>217</v>
      </c>
      <c r="E178" s="139">
        <v>11273.44</v>
      </c>
      <c r="F178" s="140">
        <v>0</v>
      </c>
      <c r="G178" s="140">
        <v>11273.44</v>
      </c>
      <c r="H178" s="144">
        <v>15.646639346028332</v>
      </c>
      <c r="I178" s="142">
        <f t="shared" si="2"/>
        <v>720.50232325841887</v>
      </c>
    </row>
    <row r="179" spans="1:9" x14ac:dyDescent="0.3">
      <c r="A179" s="34">
        <v>8</v>
      </c>
      <c r="B179" s="143">
        <v>610</v>
      </c>
      <c r="C179" s="137">
        <v>8</v>
      </c>
      <c r="D179" s="138" t="s">
        <v>218</v>
      </c>
      <c r="E179" s="139">
        <v>31778.68</v>
      </c>
      <c r="F179" s="140">
        <v>0</v>
      </c>
      <c r="G179" s="140">
        <v>31778.68</v>
      </c>
      <c r="H179" s="144">
        <v>73.258651516479233</v>
      </c>
      <c r="I179" s="142">
        <f t="shared" si="2"/>
        <v>433.78740042534793</v>
      </c>
    </row>
    <row r="180" spans="1:9" x14ac:dyDescent="0.3">
      <c r="A180" s="34">
        <v>8</v>
      </c>
      <c r="B180" s="143">
        <v>611</v>
      </c>
      <c r="C180" s="137">
        <v>8</v>
      </c>
      <c r="D180" s="138" t="s">
        <v>219</v>
      </c>
      <c r="E180" s="139">
        <v>31143.71</v>
      </c>
      <c r="F180" s="140">
        <v>0</v>
      </c>
      <c r="G180" s="140">
        <v>31143.71</v>
      </c>
      <c r="H180" s="144">
        <v>19.550068499227841</v>
      </c>
      <c r="I180" s="142">
        <f t="shared" si="2"/>
        <v>1593.0230628721361</v>
      </c>
    </row>
    <row r="181" spans="1:9" x14ac:dyDescent="0.3">
      <c r="A181" s="34">
        <v>8</v>
      </c>
      <c r="B181" s="143">
        <v>616</v>
      </c>
      <c r="C181" s="137">
        <v>8</v>
      </c>
      <c r="D181" s="138" t="s">
        <v>220</v>
      </c>
      <c r="E181" s="139">
        <v>256312.37</v>
      </c>
      <c r="F181" s="140">
        <v>0</v>
      </c>
      <c r="G181" s="140">
        <v>256312.37</v>
      </c>
      <c r="H181" s="144">
        <v>186.85</v>
      </c>
      <c r="I181" s="142">
        <f t="shared" si="2"/>
        <v>1371.7547230398716</v>
      </c>
    </row>
    <row r="182" spans="1:9" x14ac:dyDescent="0.3">
      <c r="A182" s="34">
        <v>8</v>
      </c>
      <c r="B182" s="143">
        <v>637</v>
      </c>
      <c r="C182" s="137">
        <v>8</v>
      </c>
      <c r="D182" s="138" t="s">
        <v>295</v>
      </c>
      <c r="E182" s="139">
        <v>7158.52</v>
      </c>
      <c r="F182" s="140">
        <v>0</v>
      </c>
      <c r="G182" s="140">
        <v>7158.52</v>
      </c>
      <c r="H182" s="144">
        <v>2.2728298744230755</v>
      </c>
      <c r="I182" s="142">
        <f t="shared" si="2"/>
        <v>3149.6066118090275</v>
      </c>
    </row>
    <row r="183" spans="1:9" x14ac:dyDescent="0.3">
      <c r="A183" s="34">
        <v>8</v>
      </c>
      <c r="B183" s="143">
        <v>638</v>
      </c>
      <c r="C183" s="137">
        <v>8</v>
      </c>
      <c r="D183" s="138" t="s">
        <v>296</v>
      </c>
      <c r="E183" s="139">
        <v>20375.98</v>
      </c>
      <c r="F183" s="140">
        <v>0</v>
      </c>
      <c r="G183" s="140">
        <v>20375.98</v>
      </c>
      <c r="H183" s="144">
        <v>10.470967105675433</v>
      </c>
      <c r="I183" s="142">
        <f t="shared" si="2"/>
        <v>1945.9501490512648</v>
      </c>
    </row>
    <row r="184" spans="1:9" x14ac:dyDescent="0.3">
      <c r="A184" s="34">
        <v>8</v>
      </c>
      <c r="B184" s="143">
        <v>639</v>
      </c>
      <c r="C184" s="137">
        <v>8</v>
      </c>
      <c r="D184" s="138" t="s">
        <v>297</v>
      </c>
      <c r="E184" s="139">
        <v>17243.23</v>
      </c>
      <c r="F184" s="140">
        <v>0</v>
      </c>
      <c r="G184" s="140">
        <v>17243.23</v>
      </c>
      <c r="H184" s="144">
        <v>21.173204619625494</v>
      </c>
      <c r="I184" s="142">
        <f t="shared" si="2"/>
        <v>814.3892391243038</v>
      </c>
    </row>
    <row r="185" spans="1:9" x14ac:dyDescent="0.3">
      <c r="A185" s="34">
        <v>8</v>
      </c>
      <c r="B185" s="143">
        <v>706</v>
      </c>
      <c r="C185" s="137">
        <v>8</v>
      </c>
      <c r="D185" s="138" t="s">
        <v>221</v>
      </c>
      <c r="E185" s="139">
        <v>61219.35</v>
      </c>
      <c r="F185" s="140">
        <v>0</v>
      </c>
      <c r="G185" s="140">
        <v>61219.35</v>
      </c>
      <c r="H185" s="144">
        <v>61.701349959338025</v>
      </c>
      <c r="I185" s="142">
        <f t="shared" si="2"/>
        <v>992.18817806003153</v>
      </c>
    </row>
    <row r="186" spans="1:9" x14ac:dyDescent="0.3">
      <c r="A186" s="34">
        <v>8</v>
      </c>
      <c r="B186" s="143">
        <v>709</v>
      </c>
      <c r="C186" s="137">
        <v>8</v>
      </c>
      <c r="D186" s="138" t="s">
        <v>222</v>
      </c>
      <c r="E186" s="139">
        <v>45634.17</v>
      </c>
      <c r="F186" s="140">
        <v>0</v>
      </c>
      <c r="G186" s="140">
        <v>45634.17</v>
      </c>
      <c r="H186" s="144">
        <v>74.935917540859478</v>
      </c>
      <c r="I186" s="142">
        <f t="shared" si="2"/>
        <v>608.97592900117036</v>
      </c>
    </row>
    <row r="187" spans="1:9" x14ac:dyDescent="0.3">
      <c r="A187" s="34">
        <v>8</v>
      </c>
      <c r="B187" s="143">
        <v>714</v>
      </c>
      <c r="C187" s="137">
        <v>8</v>
      </c>
      <c r="D187" s="138" t="s">
        <v>223</v>
      </c>
      <c r="E187" s="139">
        <v>49120.9</v>
      </c>
      <c r="F187" s="140">
        <v>0</v>
      </c>
      <c r="G187" s="140">
        <v>49120.9</v>
      </c>
      <c r="H187" s="144">
        <v>57.802554926222534</v>
      </c>
      <c r="I187" s="142">
        <f t="shared" si="2"/>
        <v>849.80499672888959</v>
      </c>
    </row>
    <row r="188" spans="1:9" x14ac:dyDescent="0.3">
      <c r="A188" s="34">
        <v>8</v>
      </c>
      <c r="B188" s="143">
        <v>749</v>
      </c>
      <c r="C188" s="137">
        <v>8</v>
      </c>
      <c r="D188" s="138" t="s">
        <v>224</v>
      </c>
      <c r="E188" s="139">
        <v>4850.01</v>
      </c>
      <c r="F188" s="140">
        <v>0</v>
      </c>
      <c r="G188" s="140">
        <v>4850.01</v>
      </c>
      <c r="H188" s="144">
        <v>22.435687465903538</v>
      </c>
      <c r="I188" s="142">
        <f t="shared" si="2"/>
        <v>216.17389738427963</v>
      </c>
    </row>
    <row r="189" spans="1:9" x14ac:dyDescent="0.3">
      <c r="A189" s="34">
        <v>8</v>
      </c>
      <c r="B189" s="143">
        <v>764</v>
      </c>
      <c r="C189" s="137">
        <v>8</v>
      </c>
      <c r="D189" s="138" t="s">
        <v>225</v>
      </c>
      <c r="E189" s="139">
        <v>12986.28</v>
      </c>
      <c r="F189" s="140">
        <v>0</v>
      </c>
      <c r="G189" s="140">
        <v>12986.28</v>
      </c>
      <c r="H189" s="144">
        <v>34.6</v>
      </c>
      <c r="I189" s="142">
        <f t="shared" si="2"/>
        <v>375.32601156069364</v>
      </c>
    </row>
    <row r="190" spans="1:9" x14ac:dyDescent="0.3">
      <c r="A190" s="34">
        <v>8</v>
      </c>
      <c r="B190" s="143">
        <v>775</v>
      </c>
      <c r="C190" s="137">
        <v>8</v>
      </c>
      <c r="D190" s="138" t="s">
        <v>226</v>
      </c>
      <c r="E190" s="139">
        <v>102121.4</v>
      </c>
      <c r="F190" s="140">
        <v>0</v>
      </c>
      <c r="G190" s="140">
        <v>102121.4</v>
      </c>
      <c r="H190" s="144">
        <v>188.94792356037169</v>
      </c>
      <c r="I190" s="142">
        <f t="shared" si="2"/>
        <v>540.47378809839461</v>
      </c>
    </row>
    <row r="191" spans="1:9" x14ac:dyDescent="0.3">
      <c r="A191" s="34">
        <v>8</v>
      </c>
      <c r="B191" s="143">
        <v>790</v>
      </c>
      <c r="C191" s="137">
        <v>8</v>
      </c>
      <c r="D191" s="138" t="s">
        <v>227</v>
      </c>
      <c r="E191" s="139">
        <v>7906.08</v>
      </c>
      <c r="F191" s="140">
        <v>0</v>
      </c>
      <c r="G191" s="140">
        <v>7906.08</v>
      </c>
      <c r="H191" s="144">
        <v>21.43637439455869</v>
      </c>
      <c r="I191" s="142">
        <f t="shared" si="2"/>
        <v>368.81609989079323</v>
      </c>
    </row>
    <row r="192" spans="1:9" x14ac:dyDescent="0.3">
      <c r="A192" s="34">
        <v>8</v>
      </c>
      <c r="B192" s="143">
        <v>795</v>
      </c>
      <c r="C192" s="137">
        <v>8</v>
      </c>
      <c r="D192" s="138" t="s">
        <v>298</v>
      </c>
      <c r="E192" s="139">
        <v>328034.84000000003</v>
      </c>
      <c r="F192" s="140">
        <v>121984.66</v>
      </c>
      <c r="G192" s="140">
        <v>206050.18000000002</v>
      </c>
      <c r="H192" s="144">
        <v>330.20629396618199</v>
      </c>
      <c r="I192" s="142">
        <f t="shared" si="2"/>
        <v>624.00439896249407</v>
      </c>
    </row>
    <row r="193" spans="1:9" x14ac:dyDescent="0.3">
      <c r="A193" s="34">
        <v>8</v>
      </c>
      <c r="B193" s="143">
        <v>796</v>
      </c>
      <c r="C193" s="137">
        <v>8</v>
      </c>
      <c r="D193" s="138" t="s">
        <v>228</v>
      </c>
      <c r="E193" s="139">
        <v>19423.14</v>
      </c>
      <c r="F193" s="140">
        <v>0</v>
      </c>
      <c r="G193" s="140">
        <v>19423.14</v>
      </c>
      <c r="H193" s="144">
        <v>23.924524993927111</v>
      </c>
      <c r="I193" s="142">
        <f t="shared" si="2"/>
        <v>811.85060121069398</v>
      </c>
    </row>
    <row r="194" spans="1:9" x14ac:dyDescent="0.3">
      <c r="A194" s="34"/>
      <c r="B194" s="143">
        <v>797</v>
      </c>
      <c r="C194" s="137">
        <v>8</v>
      </c>
      <c r="D194" s="138" t="s">
        <v>229</v>
      </c>
      <c r="E194" s="139">
        <v>39509.410000000003</v>
      </c>
      <c r="F194" s="140">
        <v>1800</v>
      </c>
      <c r="G194" s="140">
        <v>37709.410000000003</v>
      </c>
      <c r="H194" s="144">
        <v>27.81917035060788</v>
      </c>
      <c r="I194" s="142">
        <f t="shared" si="2"/>
        <v>1355.5188571314102</v>
      </c>
    </row>
    <row r="195" spans="1:9" x14ac:dyDescent="0.3">
      <c r="A195" s="34">
        <v>8</v>
      </c>
      <c r="B195" s="143">
        <v>801</v>
      </c>
      <c r="C195" s="137">
        <v>8</v>
      </c>
      <c r="D195" s="138" t="s">
        <v>230</v>
      </c>
      <c r="E195" s="139">
        <v>102578.78</v>
      </c>
      <c r="F195" s="140">
        <v>0</v>
      </c>
      <c r="G195" s="140">
        <v>102578.78</v>
      </c>
      <c r="H195" s="144">
        <v>143.33410461034433</v>
      </c>
      <c r="I195" s="142">
        <f t="shared" si="2"/>
        <v>715.66205599750162</v>
      </c>
    </row>
    <row r="196" spans="1:9" x14ac:dyDescent="0.3">
      <c r="A196" s="34">
        <v>8</v>
      </c>
      <c r="B196" s="143">
        <v>809</v>
      </c>
      <c r="C196" s="137">
        <v>8</v>
      </c>
      <c r="D196" s="138" t="s">
        <v>299</v>
      </c>
      <c r="E196" s="139">
        <v>497452.38</v>
      </c>
      <c r="F196" s="140">
        <v>0</v>
      </c>
      <c r="G196" s="140">
        <v>497452.38</v>
      </c>
      <c r="H196" s="144">
        <v>477.2783239455166</v>
      </c>
      <c r="I196" s="142">
        <f t="shared" si="2"/>
        <v>1042.2689551197518</v>
      </c>
    </row>
    <row r="197" spans="1:9" x14ac:dyDescent="0.3">
      <c r="A197" s="34">
        <v>8</v>
      </c>
      <c r="B197" s="143">
        <v>810</v>
      </c>
      <c r="C197" s="137">
        <v>8</v>
      </c>
      <c r="D197" s="138" t="s">
        <v>231</v>
      </c>
      <c r="E197" s="139">
        <v>133935.18</v>
      </c>
      <c r="F197" s="140">
        <v>0</v>
      </c>
      <c r="G197" s="140">
        <v>133935.18</v>
      </c>
      <c r="H197" s="144">
        <v>129.91</v>
      </c>
      <c r="I197" s="142">
        <f t="shared" ref="I197:I253" si="3">IFERROR(G197/H197,0)</f>
        <v>1030.9843737972442</v>
      </c>
    </row>
    <row r="198" spans="1:9" x14ac:dyDescent="0.3">
      <c r="A198" s="34">
        <v>8</v>
      </c>
      <c r="B198" s="143">
        <v>812</v>
      </c>
      <c r="C198" s="137">
        <v>8</v>
      </c>
      <c r="D198" s="138" t="s">
        <v>232</v>
      </c>
      <c r="E198" s="139">
        <v>75414.47</v>
      </c>
      <c r="F198" s="140">
        <v>196</v>
      </c>
      <c r="G198" s="140">
        <v>75218.47</v>
      </c>
      <c r="H198" s="144">
        <v>52.402684578365019</v>
      </c>
      <c r="I198" s="142">
        <f t="shared" si="3"/>
        <v>1435.3934460650651</v>
      </c>
    </row>
    <row r="199" spans="1:9" x14ac:dyDescent="0.3">
      <c r="A199" s="34">
        <v>8</v>
      </c>
      <c r="B199" s="143">
        <v>818</v>
      </c>
      <c r="C199" s="137">
        <v>8</v>
      </c>
      <c r="D199" s="138" t="s">
        <v>233</v>
      </c>
      <c r="E199" s="139">
        <v>16701.97</v>
      </c>
      <c r="F199" s="140">
        <v>0</v>
      </c>
      <c r="G199" s="140">
        <v>16701.97</v>
      </c>
      <c r="H199" s="144">
        <v>39.084698998412264</v>
      </c>
      <c r="I199" s="142">
        <f t="shared" si="3"/>
        <v>427.32758414433442</v>
      </c>
    </row>
    <row r="200" spans="1:9" x14ac:dyDescent="0.3">
      <c r="A200" s="34">
        <v>8</v>
      </c>
      <c r="B200" s="143">
        <v>833</v>
      </c>
      <c r="C200" s="137">
        <v>8</v>
      </c>
      <c r="D200" s="138" t="s">
        <v>234</v>
      </c>
      <c r="E200" s="139">
        <v>37369.64</v>
      </c>
      <c r="F200" s="140">
        <v>0</v>
      </c>
      <c r="G200" s="140">
        <v>37369.64</v>
      </c>
      <c r="H200" s="144">
        <v>68.49738022146434</v>
      </c>
      <c r="I200" s="142">
        <f t="shared" si="3"/>
        <v>545.56305480847936</v>
      </c>
    </row>
    <row r="201" spans="1:9" x14ac:dyDescent="0.3">
      <c r="A201" s="34">
        <v>8</v>
      </c>
      <c r="B201" s="143">
        <v>834</v>
      </c>
      <c r="C201" s="137">
        <v>8</v>
      </c>
      <c r="D201" s="138" t="s">
        <v>235</v>
      </c>
      <c r="E201" s="139">
        <v>64791.31</v>
      </c>
      <c r="F201" s="140">
        <v>5551.2800000000007</v>
      </c>
      <c r="G201" s="140">
        <v>59240.03</v>
      </c>
      <c r="H201" s="144">
        <v>93.830000000000013</v>
      </c>
      <c r="I201" s="142">
        <f t="shared" si="3"/>
        <v>631.35489715442816</v>
      </c>
    </row>
    <row r="202" spans="1:9" x14ac:dyDescent="0.3">
      <c r="A202" s="34">
        <v>8</v>
      </c>
      <c r="B202" s="143">
        <v>837</v>
      </c>
      <c r="C202" s="137">
        <v>8</v>
      </c>
      <c r="D202" s="138" t="s">
        <v>236</v>
      </c>
      <c r="E202" s="139">
        <v>133882.48000000001</v>
      </c>
      <c r="F202" s="140">
        <v>0</v>
      </c>
      <c r="G202" s="140">
        <v>133882.48000000001</v>
      </c>
      <c r="H202" s="144">
        <v>191.19000000000003</v>
      </c>
      <c r="I202" s="142">
        <f t="shared" si="3"/>
        <v>700.25880014645111</v>
      </c>
    </row>
    <row r="203" spans="1:9" x14ac:dyDescent="0.3">
      <c r="A203" s="34">
        <v>8</v>
      </c>
      <c r="B203" s="143">
        <v>845</v>
      </c>
      <c r="C203" s="137">
        <v>8</v>
      </c>
      <c r="D203" s="138" t="s">
        <v>300</v>
      </c>
      <c r="E203" s="139">
        <v>9336.9500000000007</v>
      </c>
      <c r="F203" s="140">
        <v>0</v>
      </c>
      <c r="G203" s="140">
        <v>9336.9500000000007</v>
      </c>
      <c r="H203" s="144">
        <v>5.5265652735971607</v>
      </c>
      <c r="I203" s="142">
        <f t="shared" si="3"/>
        <v>1689.4670627716509</v>
      </c>
    </row>
    <row r="204" spans="1:9" x14ac:dyDescent="0.3">
      <c r="A204" s="34">
        <v>8</v>
      </c>
      <c r="B204" s="143">
        <v>847</v>
      </c>
      <c r="C204" s="137">
        <v>8</v>
      </c>
      <c r="D204" s="138" t="s">
        <v>237</v>
      </c>
      <c r="E204" s="139">
        <v>114871.03</v>
      </c>
      <c r="F204" s="140">
        <v>0</v>
      </c>
      <c r="G204" s="140">
        <v>114871.03</v>
      </c>
      <c r="H204" s="144">
        <v>70.589453972304213</v>
      </c>
      <c r="I204" s="142">
        <f t="shared" si="3"/>
        <v>1627.3114967721619</v>
      </c>
    </row>
    <row r="205" spans="1:9" x14ac:dyDescent="0.3">
      <c r="A205" s="34">
        <v>8</v>
      </c>
      <c r="B205" s="143">
        <v>866</v>
      </c>
      <c r="C205" s="137">
        <v>8</v>
      </c>
      <c r="D205" s="138" t="s">
        <v>238</v>
      </c>
      <c r="E205" s="139">
        <v>63164.800000000003</v>
      </c>
      <c r="F205" s="140">
        <v>0</v>
      </c>
      <c r="G205" s="140">
        <v>63164.800000000003</v>
      </c>
      <c r="H205" s="144">
        <v>160.53059013987732</v>
      </c>
      <c r="I205" s="142">
        <f t="shared" si="3"/>
        <v>393.47516224142544</v>
      </c>
    </row>
    <row r="206" spans="1:9" x14ac:dyDescent="0.3">
      <c r="A206" s="34">
        <v>8</v>
      </c>
      <c r="B206" s="143">
        <v>871</v>
      </c>
      <c r="C206" s="137">
        <v>8</v>
      </c>
      <c r="D206" s="138" t="s">
        <v>239</v>
      </c>
      <c r="E206" s="139">
        <v>11872.16</v>
      </c>
      <c r="F206" s="140">
        <v>0</v>
      </c>
      <c r="G206" s="140">
        <v>11872.16</v>
      </c>
      <c r="H206" s="144">
        <v>16.078308179946145</v>
      </c>
      <c r="I206" s="142">
        <f t="shared" si="3"/>
        <v>738.39609659974599</v>
      </c>
    </row>
    <row r="207" spans="1:9" x14ac:dyDescent="0.3">
      <c r="A207" s="34">
        <v>8</v>
      </c>
      <c r="B207" s="143">
        <v>873</v>
      </c>
      <c r="C207" s="137">
        <v>8</v>
      </c>
      <c r="D207" s="138" t="s">
        <v>240</v>
      </c>
      <c r="E207" s="139">
        <v>68071.05</v>
      </c>
      <c r="F207" s="140">
        <v>0</v>
      </c>
      <c r="G207" s="140">
        <v>68071.05</v>
      </c>
      <c r="H207" s="144">
        <v>159.24</v>
      </c>
      <c r="I207" s="142">
        <f t="shared" si="3"/>
        <v>427.47456669178598</v>
      </c>
    </row>
    <row r="208" spans="1:9" x14ac:dyDescent="0.3">
      <c r="A208" s="34">
        <v>8</v>
      </c>
      <c r="B208" s="143">
        <v>895</v>
      </c>
      <c r="C208" s="137">
        <v>8</v>
      </c>
      <c r="D208" s="138" t="s">
        <v>241</v>
      </c>
      <c r="E208" s="139">
        <v>4417.1099999999997</v>
      </c>
      <c r="F208" s="140">
        <v>0</v>
      </c>
      <c r="G208" s="140">
        <v>4417.1099999999997</v>
      </c>
      <c r="H208" s="144">
        <v>9.8090552475101163</v>
      </c>
      <c r="I208" s="142">
        <f t="shared" si="3"/>
        <v>450.30942211496034</v>
      </c>
    </row>
    <row r="209" spans="1:9" x14ac:dyDescent="0.3">
      <c r="A209" s="34">
        <v>8</v>
      </c>
      <c r="B209" s="143">
        <v>897</v>
      </c>
      <c r="C209" s="137">
        <v>8</v>
      </c>
      <c r="D209" s="138" t="s">
        <v>242</v>
      </c>
      <c r="E209" s="139">
        <v>296933.44</v>
      </c>
      <c r="F209" s="140">
        <v>119</v>
      </c>
      <c r="G209" s="140">
        <v>296814.44</v>
      </c>
      <c r="H209" s="144">
        <v>75.298454997553264</v>
      </c>
      <c r="I209" s="142">
        <f t="shared" si="3"/>
        <v>3941.8397098538694</v>
      </c>
    </row>
    <row r="210" spans="1:9" x14ac:dyDescent="0.3">
      <c r="A210" s="34">
        <v>8</v>
      </c>
      <c r="B210" s="143">
        <v>905</v>
      </c>
      <c r="C210" s="137">
        <v>8</v>
      </c>
      <c r="D210" s="138" t="s">
        <v>243</v>
      </c>
      <c r="E210" s="139">
        <v>57092.91</v>
      </c>
      <c r="F210" s="140">
        <v>0</v>
      </c>
      <c r="G210" s="140">
        <v>57092.91</v>
      </c>
      <c r="H210" s="144">
        <v>92.835772693519658</v>
      </c>
      <c r="I210" s="142">
        <f t="shared" si="3"/>
        <v>614.9882566118323</v>
      </c>
    </row>
    <row r="211" spans="1:9" x14ac:dyDescent="0.3">
      <c r="A211" s="34">
        <v>8</v>
      </c>
      <c r="B211" s="143">
        <v>907</v>
      </c>
      <c r="C211" s="137">
        <v>8</v>
      </c>
      <c r="D211" s="138" t="s">
        <v>244</v>
      </c>
      <c r="E211" s="139">
        <v>19453.25</v>
      </c>
      <c r="F211" s="140">
        <v>0</v>
      </c>
      <c r="G211" s="140">
        <v>19453.25</v>
      </c>
      <c r="H211" s="144">
        <v>17.277643562970734</v>
      </c>
      <c r="I211" s="142">
        <f t="shared" si="3"/>
        <v>1125.9203217788336</v>
      </c>
    </row>
    <row r="212" spans="1:9" x14ac:dyDescent="0.3">
      <c r="A212" s="34">
        <v>8</v>
      </c>
      <c r="B212" s="143">
        <v>918</v>
      </c>
      <c r="C212" s="137">
        <v>8</v>
      </c>
      <c r="D212" s="138" t="s">
        <v>245</v>
      </c>
      <c r="E212" s="139">
        <v>58594.77</v>
      </c>
      <c r="F212" s="140">
        <v>0</v>
      </c>
      <c r="G212" s="140">
        <v>58594.77</v>
      </c>
      <c r="H212" s="144">
        <v>63.790214282074615</v>
      </c>
      <c r="I212" s="142">
        <f t="shared" si="3"/>
        <v>918.55421179335076</v>
      </c>
    </row>
    <row r="213" spans="1:9" x14ac:dyDescent="0.3">
      <c r="A213" s="34">
        <v>8</v>
      </c>
      <c r="B213" s="143">
        <v>922</v>
      </c>
      <c r="C213" s="137">
        <v>8</v>
      </c>
      <c r="D213" s="138" t="s">
        <v>246</v>
      </c>
      <c r="E213" s="139">
        <v>138545.48000000001</v>
      </c>
      <c r="F213" s="140">
        <v>12389.89</v>
      </c>
      <c r="G213" s="140">
        <v>126155.59000000001</v>
      </c>
      <c r="H213" s="144">
        <v>137.07</v>
      </c>
      <c r="I213" s="142">
        <f t="shared" si="3"/>
        <v>920.37345881666317</v>
      </c>
    </row>
    <row r="214" spans="1:9" x14ac:dyDescent="0.3">
      <c r="A214" s="34">
        <v>8</v>
      </c>
      <c r="B214" s="143">
        <v>924</v>
      </c>
      <c r="C214" s="137">
        <v>8</v>
      </c>
      <c r="D214" s="138" t="s">
        <v>247</v>
      </c>
      <c r="E214" s="139">
        <v>59433.15</v>
      </c>
      <c r="F214" s="140">
        <v>0</v>
      </c>
      <c r="G214" s="140">
        <v>59433.15</v>
      </c>
      <c r="H214" s="144">
        <v>101.88038464219379</v>
      </c>
      <c r="I214" s="142">
        <f t="shared" si="3"/>
        <v>583.36204961073292</v>
      </c>
    </row>
    <row r="215" spans="1:9" x14ac:dyDescent="0.3">
      <c r="A215" s="34">
        <v>8</v>
      </c>
      <c r="B215" s="143">
        <v>929</v>
      </c>
      <c r="C215" s="137">
        <v>8</v>
      </c>
      <c r="D215" s="138" t="s">
        <v>248</v>
      </c>
      <c r="E215" s="139">
        <v>48337.61</v>
      </c>
      <c r="F215" s="140">
        <v>0</v>
      </c>
      <c r="G215" s="140">
        <v>48337.61</v>
      </c>
      <c r="H215" s="144">
        <v>63.122914896030849</v>
      </c>
      <c r="I215" s="142">
        <f t="shared" si="3"/>
        <v>765.76961123573608</v>
      </c>
    </row>
    <row r="216" spans="1:9" x14ac:dyDescent="0.3">
      <c r="A216" s="34">
        <v>8</v>
      </c>
      <c r="B216" s="143">
        <v>955</v>
      </c>
      <c r="C216" s="137">
        <v>8</v>
      </c>
      <c r="D216" s="138" t="s">
        <v>249</v>
      </c>
      <c r="E216" s="139">
        <v>22678.11</v>
      </c>
      <c r="F216" s="140">
        <v>0</v>
      </c>
      <c r="G216" s="140">
        <v>22678.11</v>
      </c>
      <c r="H216" s="144">
        <v>40.67169248967609</v>
      </c>
      <c r="I216" s="142">
        <f t="shared" si="3"/>
        <v>557.58953246798137</v>
      </c>
    </row>
    <row r="217" spans="1:9" x14ac:dyDescent="0.3">
      <c r="A217" s="34">
        <v>8</v>
      </c>
      <c r="B217" s="143">
        <v>973</v>
      </c>
      <c r="C217" s="137">
        <v>8</v>
      </c>
      <c r="D217" s="138" t="s">
        <v>250</v>
      </c>
      <c r="E217" s="139">
        <v>10497.69</v>
      </c>
      <c r="F217" s="140">
        <v>0</v>
      </c>
      <c r="G217" s="140">
        <v>10497.69</v>
      </c>
      <c r="H217" s="144">
        <v>7.5601498980809678</v>
      </c>
      <c r="I217" s="142">
        <f t="shared" si="3"/>
        <v>1388.5558013426009</v>
      </c>
    </row>
    <row r="218" spans="1:9" x14ac:dyDescent="0.3">
      <c r="A218" s="34">
        <v>8</v>
      </c>
      <c r="B218" s="143">
        <v>974</v>
      </c>
      <c r="C218" s="137">
        <v>8</v>
      </c>
      <c r="D218" s="138" t="s">
        <v>251</v>
      </c>
      <c r="E218" s="139">
        <v>14226.72</v>
      </c>
      <c r="F218" s="140">
        <v>0</v>
      </c>
      <c r="G218" s="140">
        <v>14226.72</v>
      </c>
      <c r="H218" s="144">
        <v>15.839999999999998</v>
      </c>
      <c r="I218" s="142">
        <f t="shared" si="3"/>
        <v>898.15151515151524</v>
      </c>
    </row>
    <row r="219" spans="1:9" x14ac:dyDescent="0.3">
      <c r="A219" s="34">
        <v>8</v>
      </c>
      <c r="B219" s="143">
        <v>978</v>
      </c>
      <c r="C219" s="137">
        <v>8</v>
      </c>
      <c r="D219" s="138" t="s">
        <v>252</v>
      </c>
      <c r="E219" s="139">
        <v>31329.48</v>
      </c>
      <c r="F219" s="140">
        <v>0</v>
      </c>
      <c r="G219" s="140">
        <v>31329.48</v>
      </c>
      <c r="H219" s="144">
        <v>0</v>
      </c>
      <c r="I219" s="142">
        <f t="shared" si="3"/>
        <v>0</v>
      </c>
    </row>
    <row r="220" spans="1:9" x14ac:dyDescent="0.3">
      <c r="A220" s="34">
        <v>8</v>
      </c>
      <c r="B220" s="143">
        <v>985</v>
      </c>
      <c r="C220" s="137">
        <v>8</v>
      </c>
      <c r="D220" s="138" t="s">
        <v>253</v>
      </c>
      <c r="E220" s="139">
        <v>97273.34</v>
      </c>
      <c r="F220" s="140">
        <v>0</v>
      </c>
      <c r="G220" s="140">
        <v>97273.34</v>
      </c>
      <c r="H220" s="144">
        <v>44.348356494097104</v>
      </c>
      <c r="I220" s="142">
        <f t="shared" si="3"/>
        <v>2193.3922176563042</v>
      </c>
    </row>
    <row r="221" spans="1:9" x14ac:dyDescent="0.3">
      <c r="A221" s="34">
        <v>9</v>
      </c>
      <c r="B221" s="143">
        <v>100</v>
      </c>
      <c r="C221" s="137">
        <v>9</v>
      </c>
      <c r="D221" s="138" t="s">
        <v>254</v>
      </c>
      <c r="E221" s="139">
        <v>30401.27</v>
      </c>
      <c r="F221" s="140">
        <v>0</v>
      </c>
      <c r="G221" s="140">
        <v>30401.27</v>
      </c>
      <c r="H221" s="144">
        <v>31.644171725300925</v>
      </c>
      <c r="I221" s="142">
        <f t="shared" si="3"/>
        <v>960.72257045972322</v>
      </c>
    </row>
    <row r="222" spans="1:9" x14ac:dyDescent="0.3">
      <c r="A222" s="34">
        <v>9</v>
      </c>
      <c r="B222" s="143">
        <v>159</v>
      </c>
      <c r="C222" s="137">
        <v>9</v>
      </c>
      <c r="D222" s="138" t="s">
        <v>255</v>
      </c>
      <c r="E222" s="139">
        <v>185850.32</v>
      </c>
      <c r="F222" s="140">
        <v>0</v>
      </c>
      <c r="G222" s="140">
        <v>185850.32</v>
      </c>
      <c r="H222" s="144">
        <v>836.30648189824205</v>
      </c>
      <c r="I222" s="142">
        <f t="shared" si="3"/>
        <v>222.22752546190767</v>
      </c>
    </row>
    <row r="223" spans="1:9" x14ac:dyDescent="0.3">
      <c r="A223" s="34">
        <v>9</v>
      </c>
      <c r="B223" s="143">
        <v>173</v>
      </c>
      <c r="C223" s="137">
        <v>9</v>
      </c>
      <c r="D223" s="138" t="s">
        <v>256</v>
      </c>
      <c r="E223" s="139">
        <v>163416.66</v>
      </c>
      <c r="F223" s="140">
        <v>8.85</v>
      </c>
      <c r="G223" s="140">
        <v>163407.81</v>
      </c>
      <c r="H223" s="144">
        <v>331.48</v>
      </c>
      <c r="I223" s="142">
        <f t="shared" si="3"/>
        <v>492.96431157234218</v>
      </c>
    </row>
    <row r="224" spans="1:9" x14ac:dyDescent="0.3">
      <c r="A224" s="34">
        <v>9</v>
      </c>
      <c r="B224" s="143">
        <v>204</v>
      </c>
      <c r="C224" s="137">
        <v>9</v>
      </c>
      <c r="D224" s="138" t="s">
        <v>257</v>
      </c>
      <c r="E224" s="139">
        <v>440563.7</v>
      </c>
      <c r="F224" s="140">
        <v>14024.64</v>
      </c>
      <c r="G224" s="140">
        <v>426539.06</v>
      </c>
      <c r="H224" s="144">
        <v>581.54937871071559</v>
      </c>
      <c r="I224" s="142">
        <f t="shared" si="3"/>
        <v>733.45286851759579</v>
      </c>
    </row>
    <row r="225" spans="1:9" x14ac:dyDescent="0.3">
      <c r="A225" s="34">
        <v>9</v>
      </c>
      <c r="B225" s="143">
        <v>218</v>
      </c>
      <c r="C225" s="137">
        <v>9</v>
      </c>
      <c r="D225" s="138" t="s">
        <v>258</v>
      </c>
      <c r="E225" s="139">
        <v>189204.88</v>
      </c>
      <c r="F225" s="140">
        <v>110</v>
      </c>
      <c r="G225" s="140">
        <v>189094.88</v>
      </c>
      <c r="H225" s="144">
        <v>290.41049631809625</v>
      </c>
      <c r="I225" s="142">
        <f t="shared" si="3"/>
        <v>651.12963338927705</v>
      </c>
    </row>
    <row r="226" spans="1:9" x14ac:dyDescent="0.3">
      <c r="A226" s="34">
        <v>9</v>
      </c>
      <c r="B226" s="143">
        <v>230</v>
      </c>
      <c r="C226" s="137">
        <v>9</v>
      </c>
      <c r="D226" s="138" t="s">
        <v>259</v>
      </c>
      <c r="E226" s="139">
        <v>74126.899999999994</v>
      </c>
      <c r="F226" s="140">
        <v>2183.36</v>
      </c>
      <c r="G226" s="140">
        <v>71943.539999999994</v>
      </c>
      <c r="H226" s="144">
        <v>138.87041277126787</v>
      </c>
      <c r="I226" s="142">
        <f t="shared" si="3"/>
        <v>518.06240482987198</v>
      </c>
    </row>
    <row r="227" spans="1:9" x14ac:dyDescent="0.3">
      <c r="A227" s="34">
        <v>9</v>
      </c>
      <c r="B227" s="143">
        <v>277</v>
      </c>
      <c r="C227" s="137">
        <v>9</v>
      </c>
      <c r="D227" s="138" t="s">
        <v>260</v>
      </c>
      <c r="E227" s="139">
        <v>80836.320000000007</v>
      </c>
      <c r="F227" s="140">
        <v>0</v>
      </c>
      <c r="G227" s="140">
        <v>80836.320000000007</v>
      </c>
      <c r="H227" s="144">
        <v>116.68788323704716</v>
      </c>
      <c r="I227" s="142">
        <f t="shared" si="3"/>
        <v>692.75676066369272</v>
      </c>
    </row>
    <row r="228" spans="1:9" x14ac:dyDescent="0.3">
      <c r="A228" s="34">
        <v>9</v>
      </c>
      <c r="B228" s="143">
        <v>279</v>
      </c>
      <c r="C228" s="137">
        <v>9</v>
      </c>
      <c r="D228" s="138" t="s">
        <v>261</v>
      </c>
      <c r="E228" s="139">
        <v>170142.93</v>
      </c>
      <c r="F228" s="140">
        <v>671.56</v>
      </c>
      <c r="G228" s="140">
        <v>169471.37</v>
      </c>
      <c r="H228" s="144">
        <v>433.73558336916977</v>
      </c>
      <c r="I228" s="142">
        <f t="shared" si="3"/>
        <v>390.72507882240342</v>
      </c>
    </row>
    <row r="229" spans="1:9" x14ac:dyDescent="0.3">
      <c r="A229" s="34">
        <v>9</v>
      </c>
      <c r="B229" s="143">
        <v>331</v>
      </c>
      <c r="C229" s="137">
        <v>9</v>
      </c>
      <c r="D229" s="138" t="s">
        <v>262</v>
      </c>
      <c r="E229" s="139">
        <v>154031.09</v>
      </c>
      <c r="F229" s="140">
        <v>1052.98</v>
      </c>
      <c r="G229" s="140">
        <v>152978.10999999999</v>
      </c>
      <c r="H229" s="144">
        <v>394.9961487415485</v>
      </c>
      <c r="I229" s="142">
        <f t="shared" si="3"/>
        <v>387.2901305174388</v>
      </c>
    </row>
    <row r="230" spans="1:9" x14ac:dyDescent="0.3">
      <c r="A230" s="34">
        <v>9</v>
      </c>
      <c r="B230" s="143">
        <v>369</v>
      </c>
      <c r="C230" s="137">
        <v>9</v>
      </c>
      <c r="D230" s="138" t="s">
        <v>263</v>
      </c>
      <c r="E230" s="139">
        <v>450151.28</v>
      </c>
      <c r="F230" s="140">
        <v>0</v>
      </c>
      <c r="G230" s="140">
        <v>450151.28</v>
      </c>
      <c r="H230" s="144">
        <v>361.24999999999994</v>
      </c>
      <c r="I230" s="142">
        <f t="shared" si="3"/>
        <v>1246.0935086505192</v>
      </c>
    </row>
    <row r="231" spans="1:9" x14ac:dyDescent="0.3">
      <c r="A231" s="34">
        <v>9</v>
      </c>
      <c r="B231" s="143">
        <v>416</v>
      </c>
      <c r="C231" s="137">
        <v>9</v>
      </c>
      <c r="D231" s="138" t="s">
        <v>264</v>
      </c>
      <c r="E231" s="139">
        <v>53379.53</v>
      </c>
      <c r="F231" s="140">
        <v>735</v>
      </c>
      <c r="G231" s="140">
        <v>52644.53</v>
      </c>
      <c r="H231" s="144">
        <v>77.118166884407984</v>
      </c>
      <c r="I231" s="142">
        <f t="shared" si="3"/>
        <v>682.64758003011934</v>
      </c>
    </row>
    <row r="232" spans="1:9" x14ac:dyDescent="0.3">
      <c r="A232" s="34">
        <v>9</v>
      </c>
      <c r="B232" s="143">
        <v>420</v>
      </c>
      <c r="C232" s="137">
        <v>9</v>
      </c>
      <c r="D232" s="138" t="s">
        <v>265</v>
      </c>
      <c r="E232" s="139">
        <v>181392.42</v>
      </c>
      <c r="F232" s="140">
        <v>158.49</v>
      </c>
      <c r="G232" s="140">
        <v>181233.93000000002</v>
      </c>
      <c r="H232" s="144">
        <v>439.19048015518462</v>
      </c>
      <c r="I232" s="142">
        <f t="shared" si="3"/>
        <v>412.65450456932126</v>
      </c>
    </row>
    <row r="233" spans="1:9" x14ac:dyDescent="0.3">
      <c r="A233" s="34">
        <v>9</v>
      </c>
      <c r="B233" s="143">
        <v>508</v>
      </c>
      <c r="C233" s="137">
        <v>9</v>
      </c>
      <c r="D233" s="138" t="s">
        <v>266</v>
      </c>
      <c r="E233" s="139">
        <v>70511.86</v>
      </c>
      <c r="F233" s="140">
        <v>0</v>
      </c>
      <c r="G233" s="140">
        <v>70511.86</v>
      </c>
      <c r="H233" s="144">
        <v>97.533921073638524</v>
      </c>
      <c r="I233" s="142">
        <f t="shared" si="3"/>
        <v>722.94704471855744</v>
      </c>
    </row>
    <row r="234" spans="1:9" x14ac:dyDescent="0.3">
      <c r="A234" s="34">
        <v>9</v>
      </c>
      <c r="B234" s="143">
        <v>512</v>
      </c>
      <c r="C234" s="137">
        <v>9</v>
      </c>
      <c r="D234" s="138" t="s">
        <v>267</v>
      </c>
      <c r="E234" s="139">
        <v>292037.07</v>
      </c>
      <c r="F234" s="140">
        <v>6673.84</v>
      </c>
      <c r="G234" s="140">
        <v>285363.23</v>
      </c>
      <c r="H234" s="144">
        <v>240.71472717637823</v>
      </c>
      <c r="I234" s="142">
        <f t="shared" si="3"/>
        <v>1185.4830543496682</v>
      </c>
    </row>
    <row r="235" spans="1:9" x14ac:dyDescent="0.3">
      <c r="A235" s="34">
        <v>9</v>
      </c>
      <c r="B235" s="143">
        <v>516</v>
      </c>
      <c r="C235" s="137">
        <v>9</v>
      </c>
      <c r="D235" s="138" t="s">
        <v>268</v>
      </c>
      <c r="E235" s="139">
        <v>167497.34</v>
      </c>
      <c r="F235" s="140">
        <v>180.64</v>
      </c>
      <c r="G235" s="140">
        <v>167316.69999999998</v>
      </c>
      <c r="H235" s="144">
        <v>342.008970465966</v>
      </c>
      <c r="I235" s="142">
        <f t="shared" si="3"/>
        <v>489.2172850672348</v>
      </c>
    </row>
    <row r="236" spans="1:9" x14ac:dyDescent="0.3">
      <c r="A236" s="34">
        <v>9</v>
      </c>
      <c r="B236" s="143">
        <v>521</v>
      </c>
      <c r="C236" s="137">
        <v>9</v>
      </c>
      <c r="D236" s="138" t="s">
        <v>269</v>
      </c>
      <c r="E236" s="139">
        <v>373633.01</v>
      </c>
      <c r="F236" s="140">
        <v>8.85</v>
      </c>
      <c r="G236" s="140">
        <v>373624.16000000003</v>
      </c>
      <c r="H236" s="144">
        <v>150.54815202703358</v>
      </c>
      <c r="I236" s="142">
        <f t="shared" si="3"/>
        <v>2481.7585268858643</v>
      </c>
    </row>
    <row r="237" spans="1:9" x14ac:dyDescent="0.3">
      <c r="A237" s="34">
        <v>9</v>
      </c>
      <c r="B237" s="143">
        <v>522</v>
      </c>
      <c r="C237" s="137">
        <v>9</v>
      </c>
      <c r="D237" s="138" t="s">
        <v>270</v>
      </c>
      <c r="E237" s="139">
        <v>93639.74</v>
      </c>
      <c r="F237" s="140">
        <v>36</v>
      </c>
      <c r="G237" s="140">
        <v>93603.74</v>
      </c>
      <c r="H237" s="144">
        <v>107.92214935367105</v>
      </c>
      <c r="I237" s="142">
        <f t="shared" si="3"/>
        <v>867.32649933844198</v>
      </c>
    </row>
    <row r="238" spans="1:9" x14ac:dyDescent="0.3">
      <c r="A238" s="34">
        <v>9</v>
      </c>
      <c r="B238" s="143">
        <v>523</v>
      </c>
      <c r="C238" s="137">
        <v>9</v>
      </c>
      <c r="D238" s="138" t="s">
        <v>271</v>
      </c>
      <c r="E238" s="139">
        <v>285802.86</v>
      </c>
      <c r="F238" s="140">
        <v>321.60000000000002</v>
      </c>
      <c r="G238" s="140">
        <v>285481.26</v>
      </c>
      <c r="H238" s="144">
        <v>909.71843192232575</v>
      </c>
      <c r="I238" s="142">
        <f t="shared" si="3"/>
        <v>313.81276885502876</v>
      </c>
    </row>
    <row r="239" spans="1:9" x14ac:dyDescent="0.3">
      <c r="A239" s="34"/>
      <c r="B239" s="143">
        <v>527</v>
      </c>
      <c r="C239" s="137">
        <v>9</v>
      </c>
      <c r="D239" s="138" t="s">
        <v>272</v>
      </c>
      <c r="E239" s="139">
        <v>119863.42</v>
      </c>
      <c r="F239" s="140">
        <v>135</v>
      </c>
      <c r="G239" s="140">
        <v>119728.42</v>
      </c>
      <c r="H239" s="144">
        <v>178.04269024389046</v>
      </c>
      <c r="I239" s="142">
        <f t="shared" si="3"/>
        <v>672.47029257977908</v>
      </c>
    </row>
    <row r="240" spans="1:9" x14ac:dyDescent="0.3">
      <c r="A240" s="34"/>
      <c r="B240" s="143">
        <v>543</v>
      </c>
      <c r="C240" s="137">
        <v>9</v>
      </c>
      <c r="D240" s="138" t="s">
        <v>273</v>
      </c>
      <c r="E240" s="139">
        <v>42102.49</v>
      </c>
      <c r="F240" s="140">
        <v>0</v>
      </c>
      <c r="G240" s="140">
        <v>42102.49</v>
      </c>
      <c r="H240" s="144">
        <v>64.881338953848854</v>
      </c>
      <c r="I240" s="142">
        <f t="shared" si="3"/>
        <v>648.91524556773061</v>
      </c>
    </row>
    <row r="241" spans="1:9" x14ac:dyDescent="0.3">
      <c r="A241" s="34"/>
      <c r="B241" s="143">
        <v>547</v>
      </c>
      <c r="C241" s="137">
        <v>9</v>
      </c>
      <c r="D241" s="138" t="s">
        <v>274</v>
      </c>
      <c r="E241" s="139">
        <v>122807.2</v>
      </c>
      <c r="F241" s="140">
        <v>0</v>
      </c>
      <c r="G241" s="140">
        <v>122807.2</v>
      </c>
      <c r="H241" s="144">
        <v>231.3905708903074</v>
      </c>
      <c r="I241" s="142">
        <f t="shared" si="3"/>
        <v>530.73554176162929</v>
      </c>
    </row>
    <row r="242" spans="1:9" x14ac:dyDescent="0.3">
      <c r="A242" s="34"/>
      <c r="B242" s="143">
        <v>552</v>
      </c>
      <c r="C242" s="137">
        <v>9</v>
      </c>
      <c r="D242" s="138" t="s">
        <v>275</v>
      </c>
      <c r="E242" s="139">
        <v>109401.05</v>
      </c>
      <c r="F242" s="140">
        <v>0</v>
      </c>
      <c r="G242" s="140">
        <v>109401.05</v>
      </c>
      <c r="H242" s="144">
        <v>114.55</v>
      </c>
      <c r="I242" s="142">
        <f t="shared" si="3"/>
        <v>955.05063291139243</v>
      </c>
    </row>
    <row r="243" spans="1:9" x14ac:dyDescent="0.3">
      <c r="A243" s="34"/>
      <c r="B243" s="143">
        <v>567</v>
      </c>
      <c r="C243" s="137">
        <v>9</v>
      </c>
      <c r="D243" s="138" t="s">
        <v>276</v>
      </c>
      <c r="E243" s="139">
        <v>195195.07</v>
      </c>
      <c r="F243" s="140">
        <v>152</v>
      </c>
      <c r="G243" s="140">
        <v>195043.07</v>
      </c>
      <c r="H243" s="144">
        <v>343.68623649034629</v>
      </c>
      <c r="I243" s="142">
        <f t="shared" si="3"/>
        <v>567.50329018624677</v>
      </c>
    </row>
    <row r="244" spans="1:9" x14ac:dyDescent="0.3">
      <c r="B244" s="143">
        <v>629</v>
      </c>
      <c r="C244" s="137">
        <v>9</v>
      </c>
      <c r="D244" s="138" t="s">
        <v>277</v>
      </c>
      <c r="E244" s="139">
        <v>183277.62</v>
      </c>
      <c r="F244" s="140">
        <v>561.61</v>
      </c>
      <c r="G244" s="140">
        <v>182716.01</v>
      </c>
      <c r="H244" s="144">
        <v>258.73</v>
      </c>
      <c r="I244" s="142">
        <f t="shared" si="3"/>
        <v>706.20341668921264</v>
      </c>
    </row>
    <row r="245" spans="1:9" x14ac:dyDescent="0.3">
      <c r="B245" s="143">
        <v>630</v>
      </c>
      <c r="C245" s="137">
        <v>9</v>
      </c>
      <c r="D245" s="138" t="s">
        <v>278</v>
      </c>
      <c r="E245" s="139">
        <v>233180.61</v>
      </c>
      <c r="F245" s="140">
        <v>2518.79</v>
      </c>
      <c r="G245" s="140">
        <v>230661.81999999998</v>
      </c>
      <c r="H245" s="144">
        <v>179.48000000000002</v>
      </c>
      <c r="I245" s="142">
        <f t="shared" si="3"/>
        <v>1285.1672609761531</v>
      </c>
    </row>
    <row r="246" spans="1:9" x14ac:dyDescent="0.3">
      <c r="B246" s="143">
        <v>695</v>
      </c>
      <c r="C246" s="137">
        <v>9</v>
      </c>
      <c r="D246" s="138" t="s">
        <v>279</v>
      </c>
      <c r="E246" s="139">
        <v>40518.69</v>
      </c>
      <c r="F246" s="140">
        <v>0</v>
      </c>
      <c r="G246" s="140">
        <v>40518.69</v>
      </c>
      <c r="H246" s="144">
        <v>29.69831035912819</v>
      </c>
      <c r="I246" s="142">
        <f t="shared" si="3"/>
        <v>1364.3432744161494</v>
      </c>
    </row>
    <row r="247" spans="1:9" x14ac:dyDescent="0.3">
      <c r="B247" s="143">
        <v>771</v>
      </c>
      <c r="C247" s="137">
        <v>9</v>
      </c>
      <c r="D247" s="138" t="s">
        <v>280</v>
      </c>
      <c r="E247" s="139">
        <v>63559.46</v>
      </c>
      <c r="F247" s="140">
        <v>0</v>
      </c>
      <c r="G247" s="140">
        <v>63559.46</v>
      </c>
      <c r="H247" s="144">
        <v>176.36542421951017</v>
      </c>
      <c r="I247" s="142">
        <f t="shared" si="3"/>
        <v>360.38503738063656</v>
      </c>
    </row>
    <row r="248" spans="1:9" x14ac:dyDescent="0.3">
      <c r="B248" s="143">
        <v>830</v>
      </c>
      <c r="C248" s="137">
        <v>9</v>
      </c>
      <c r="D248" s="138" t="s">
        <v>281</v>
      </c>
      <c r="E248" s="139">
        <v>25322.05</v>
      </c>
      <c r="F248" s="140">
        <v>0</v>
      </c>
      <c r="G248" s="140">
        <v>25322.05</v>
      </c>
      <c r="H248" s="144">
        <v>22.210248484131998</v>
      </c>
      <c r="I248" s="142">
        <f t="shared" si="3"/>
        <v>1140.1065601805947</v>
      </c>
    </row>
    <row r="249" spans="1:9" x14ac:dyDescent="0.3">
      <c r="B249" s="143">
        <v>936</v>
      </c>
      <c r="C249" s="137">
        <v>9</v>
      </c>
      <c r="D249" s="138" t="s">
        <v>282</v>
      </c>
      <c r="E249" s="139">
        <v>69869.86</v>
      </c>
      <c r="F249" s="140">
        <v>0</v>
      </c>
      <c r="G249" s="140">
        <v>69869.86</v>
      </c>
      <c r="H249" s="144">
        <v>43.383477652114919</v>
      </c>
      <c r="I249" s="142">
        <f t="shared" si="3"/>
        <v>1610.5177312034571</v>
      </c>
    </row>
    <row r="250" spans="1:9" x14ac:dyDescent="0.3">
      <c r="B250" s="143">
        <v>952</v>
      </c>
      <c r="C250" s="137">
        <v>9</v>
      </c>
      <c r="D250" s="138" t="s">
        <v>283</v>
      </c>
      <c r="E250" s="139">
        <v>81300.5</v>
      </c>
      <c r="F250" s="140">
        <v>3878.1</v>
      </c>
      <c r="G250" s="140">
        <v>77422.399999999994</v>
      </c>
      <c r="H250" s="144">
        <v>65.756042203122433</v>
      </c>
      <c r="I250" s="142">
        <f t="shared" si="3"/>
        <v>1177.4187953836977</v>
      </c>
    </row>
    <row r="251" spans="1:9" x14ac:dyDescent="0.3">
      <c r="B251" s="143">
        <v>982</v>
      </c>
      <c r="C251" s="137">
        <v>9</v>
      </c>
      <c r="D251" s="138" t="s">
        <v>284</v>
      </c>
      <c r="E251" s="139">
        <v>107892.54</v>
      </c>
      <c r="F251" s="140">
        <v>0</v>
      </c>
      <c r="G251" s="140">
        <v>107892.54</v>
      </c>
      <c r="H251" s="144">
        <v>97.412690933606555</v>
      </c>
      <c r="I251" s="142">
        <f t="shared" si="3"/>
        <v>1107.5819686937523</v>
      </c>
    </row>
    <row r="252" spans="1:9" x14ac:dyDescent="0.3">
      <c r="B252" s="143">
        <v>987</v>
      </c>
      <c r="C252" s="137">
        <v>9</v>
      </c>
      <c r="D252" s="138" t="s">
        <v>285</v>
      </c>
      <c r="E252" s="139">
        <v>88557.58</v>
      </c>
      <c r="F252" s="140">
        <v>0</v>
      </c>
      <c r="G252" s="140">
        <v>88557.58</v>
      </c>
      <c r="H252" s="144">
        <v>253.77541145224947</v>
      </c>
      <c r="I252" s="142">
        <f t="shared" si="3"/>
        <v>348.96044298863467</v>
      </c>
    </row>
    <row r="253" spans="1:9" x14ac:dyDescent="0.3">
      <c r="B253" s="143">
        <v>998</v>
      </c>
      <c r="C253" s="137">
        <v>9</v>
      </c>
      <c r="D253" s="138" t="s">
        <v>286</v>
      </c>
      <c r="E253" s="139">
        <v>219857.96</v>
      </c>
      <c r="F253" s="140">
        <v>0</v>
      </c>
      <c r="G253" s="140">
        <v>219857.96</v>
      </c>
      <c r="H253" s="144">
        <v>43.5998990746156</v>
      </c>
      <c r="I253" s="142">
        <f t="shared" si="3"/>
        <v>5042.6254341493195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 Funding</vt:lpstr>
      <vt:lpstr>Revised 2021 MFAM(2019 PYAs)</vt:lpstr>
      <vt:lpstr>Revised 2021 MFAM Cost Bands</vt:lpstr>
      <vt:lpstr>Revised 2019 Lockdown</vt:lpstr>
      <vt:lpstr>Revised 2020 MFAM(2018 PYAs)</vt:lpstr>
      <vt:lpstr>Revised 2020 MFAM Cost Bands</vt:lpstr>
      <vt:lpstr>Revised 2018 Lockdown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2022-01-19T20:24:35Z</dcterms:created>
  <dcterms:modified xsi:type="dcterms:W3CDTF">2022-01-19T20:37:27Z</dcterms:modified>
  <cp:contentStatus/>
</cp:coreProperties>
</file>