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 defaultThemeVersion="166925"/>
  <xr:revisionPtr revIDLastSave="0" documentId="13_ncr:1_{8A46A073-4174-4C34-828A-B0B4C4CD5747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2020 Funding" sheetId="4" r:id="rId1"/>
    <sheet name="Cost Bands for 2020 MFAM" sheetId="1" state="veryHidden" r:id="rId2"/>
    <sheet name="2018 Data Lockdown" sheetId="14" state="veryHidden" r:id="rId3"/>
    <sheet name="2018 Best Practice Scores" sheetId="9" state="veryHidden" r:id="rId4"/>
    <sheet name="Revised 2019 MFAM(2017 PYAs)" sheetId="18" state="veryHidden" r:id="rId5"/>
    <sheet name="Revised 2019 MFAM Cost Bands" sheetId="19" state="veryHidden" r:id="rId6"/>
    <sheet name="2017 Lockdown Update" sheetId="25" state="veryHidden" r:id="rId7"/>
    <sheet name="Revised 2018 MFAM(2016 PYAs)" sheetId="21" state="veryHidden" r:id="rId8"/>
    <sheet name="Revised 2018 MFAM Cost Bands" sheetId="22" state="veryHidden" r:id="rId9"/>
    <sheet name="2016 Lockdown Update" sheetId="26" state="veryHidden" r:id="rId10"/>
  </sheets>
  <definedNames>
    <definedName name="_xlnm._FilterDatabase" localSheetId="9" hidden="1">'2016 Lockdown Update'!$B$4:$I$249</definedName>
    <definedName name="_xlnm._FilterDatabase" localSheetId="6" hidden="1">'2017 Lockdown Update'!$B$4:$I$249</definedName>
    <definedName name="_xlnm._FilterDatabase" localSheetId="3" hidden="1">'2018 Best Practice Scores'!$A$3:$M$3</definedName>
    <definedName name="_xlnm._FilterDatabase" localSheetId="2" hidden="1">'2018 Data Lockdown'!$B$4:$I$4</definedName>
    <definedName name="_xlnm._FilterDatabase" localSheetId="0" hidden="1">'2020 Funding'!$B$25:$AG$25</definedName>
    <definedName name="_xlnm._FilterDatabase" localSheetId="1" hidden="1">'Cost Bands for 2020 MFAM'!$B$5:$S$5</definedName>
    <definedName name="_xlnm._FilterDatabase" localSheetId="4" hidden="1">'Revised 2019 MFAM(2017 PYAs)'!$B$25:$AG$270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6" i="4" l="1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V27" i="18" l="1"/>
  <c r="V26" i="18"/>
  <c r="E19" i="18"/>
  <c r="F24" i="18"/>
  <c r="AC94" i="4" l="1"/>
  <c r="AC106" i="4"/>
  <c r="AC143" i="4"/>
  <c r="AC177" i="4"/>
  <c r="AC193" i="4"/>
  <c r="AC210" i="4"/>
  <c r="AC211" i="4"/>
  <c r="AC212" i="4"/>
  <c r="AC274" i="4"/>
  <c r="I9" i="18"/>
  <c r="AH24" i="4" l="1"/>
  <c r="L4" i="9"/>
  <c r="L60" i="1" l="1"/>
  <c r="I2" i="14" a="1"/>
  <c r="I2" i="14" s="1"/>
  <c r="I1" i="14" a="1"/>
  <c r="I1" i="14" s="1"/>
  <c r="I2" i="25" a="1"/>
  <c r="I2" i="25" s="1"/>
  <c r="I1" i="25" a="1"/>
  <c r="I1" i="25" s="1"/>
  <c r="E10" i="4" l="1"/>
  <c r="E11" i="4" s="1"/>
  <c r="L252" i="9"/>
  <c r="M252" i="9" s="1"/>
  <c r="L251" i="9"/>
  <c r="M251" i="9"/>
  <c r="L128" i="4" s="1"/>
  <c r="L250" i="9"/>
  <c r="M250" i="9" s="1"/>
  <c r="L249" i="9"/>
  <c r="M249" i="9" s="1"/>
  <c r="L248" i="9"/>
  <c r="M248" i="9" s="1"/>
  <c r="L126" i="4" s="1"/>
  <c r="L247" i="9"/>
  <c r="M247" i="9"/>
  <c r="L246" i="9"/>
  <c r="M246" i="9" s="1"/>
  <c r="L245" i="9"/>
  <c r="M245" i="9" s="1"/>
  <c r="L272" i="4" s="1"/>
  <c r="L244" i="9"/>
  <c r="M244" i="9" s="1"/>
  <c r="L243" i="9"/>
  <c r="M243" i="9"/>
  <c r="L193" i="4" s="1"/>
  <c r="L242" i="9"/>
  <c r="M242" i="9" s="1"/>
  <c r="L241" i="9"/>
  <c r="M241" i="9" s="1"/>
  <c r="L240" i="9"/>
  <c r="M240" i="9" s="1"/>
  <c r="L239" i="9"/>
  <c r="M239" i="9"/>
  <c r="L190" i="4" s="1"/>
  <c r="L238" i="9"/>
  <c r="M238" i="9" s="1"/>
  <c r="L243" i="4" s="1"/>
  <c r="L237" i="9"/>
  <c r="M237" i="9" s="1"/>
  <c r="L236" i="9"/>
  <c r="M236" i="9" s="1"/>
  <c r="L189" i="4" s="1"/>
  <c r="L235" i="9"/>
  <c r="M235" i="9"/>
  <c r="L123" i="4" s="1"/>
  <c r="L234" i="9"/>
  <c r="M234" i="9" s="1"/>
  <c r="L122" i="4" s="1"/>
  <c r="L233" i="9"/>
  <c r="M233" i="9" s="1"/>
  <c r="L188" i="4" s="1"/>
  <c r="L232" i="9"/>
  <c r="M232" i="9" s="1"/>
  <c r="L121" i="4" s="1"/>
  <c r="L231" i="9"/>
  <c r="M231" i="9"/>
  <c r="L187" i="4" s="1"/>
  <c r="L230" i="9"/>
  <c r="M230" i="9" s="1"/>
  <c r="L120" i="4" s="1"/>
  <c r="L229" i="9"/>
  <c r="M229" i="9" s="1"/>
  <c r="L241" i="4" s="1"/>
  <c r="L228" i="9"/>
  <c r="M228" i="9" s="1"/>
  <c r="L271" i="4" s="1"/>
  <c r="L227" i="9"/>
  <c r="M227" i="9"/>
  <c r="L226" i="9"/>
  <c r="M226" i="9" s="1"/>
  <c r="L240" i="4" s="1"/>
  <c r="L225" i="9"/>
  <c r="M225" i="9" s="1"/>
  <c r="L224" i="9"/>
  <c r="M224" i="9" s="1"/>
  <c r="L79" i="4" s="1"/>
  <c r="L223" i="9"/>
  <c r="M223" i="9"/>
  <c r="L238" i="4" s="1"/>
  <c r="L222" i="9"/>
  <c r="M222" i="9" s="1"/>
  <c r="L237" i="4" s="1"/>
  <c r="L221" i="9"/>
  <c r="M221" i="9" s="1"/>
  <c r="L119" i="4" s="1"/>
  <c r="L220" i="9"/>
  <c r="M220" i="9" s="1"/>
  <c r="L78" i="4" s="1"/>
  <c r="L219" i="9"/>
  <c r="M219" i="9"/>
  <c r="L218" i="9"/>
  <c r="M218" i="9" s="1"/>
  <c r="L217" i="9"/>
  <c r="M217" i="9" s="1"/>
  <c r="L235" i="4" s="1"/>
  <c r="L216" i="9"/>
  <c r="M216" i="9" s="1"/>
  <c r="L117" i="4" s="1"/>
  <c r="L215" i="9"/>
  <c r="M215" i="9"/>
  <c r="L214" i="9"/>
  <c r="M214" i="9" s="1"/>
  <c r="L234" i="4" s="1"/>
  <c r="L213" i="9"/>
  <c r="M213" i="9" s="1"/>
  <c r="L115" i="4" s="1"/>
  <c r="L212" i="9"/>
  <c r="M212" i="9"/>
  <c r="L211" i="9"/>
  <c r="M211" i="9"/>
  <c r="L113" i="4" s="1"/>
  <c r="L210" i="9"/>
  <c r="M210" i="9" s="1"/>
  <c r="L77" i="4" s="1"/>
  <c r="L209" i="9"/>
  <c r="M209" i="9" s="1"/>
  <c r="L208" i="9"/>
  <c r="M208" i="9"/>
  <c r="L207" i="9"/>
  <c r="M207" i="9"/>
  <c r="L206" i="9"/>
  <c r="M206" i="9" s="1"/>
  <c r="L231" i="4" s="1"/>
  <c r="L205" i="9"/>
  <c r="M205" i="9" s="1"/>
  <c r="L204" i="9"/>
  <c r="M204" i="9"/>
  <c r="L203" i="9"/>
  <c r="M203" i="9"/>
  <c r="L184" i="4" s="1"/>
  <c r="L202" i="9"/>
  <c r="M202" i="9" s="1"/>
  <c r="L201" i="9"/>
  <c r="M201" i="9" s="1"/>
  <c r="L112" i="4" s="1"/>
  <c r="L200" i="9"/>
  <c r="M200" i="9"/>
  <c r="L199" i="9"/>
  <c r="M199" i="9"/>
  <c r="L111" i="4" s="1"/>
  <c r="L198" i="9"/>
  <c r="M198" i="9" s="1"/>
  <c r="L110" i="4" s="1"/>
  <c r="L197" i="9"/>
  <c r="M197" i="9" s="1"/>
  <c r="L228" i="4" s="1"/>
  <c r="L196" i="9"/>
  <c r="M196" i="9"/>
  <c r="L195" i="9"/>
  <c r="M195" i="9"/>
  <c r="L226" i="4" s="1"/>
  <c r="L194" i="9"/>
  <c r="M194" i="9" s="1"/>
  <c r="L269" i="4" s="1"/>
  <c r="L193" i="9"/>
  <c r="M193" i="9" s="1"/>
  <c r="L192" i="9"/>
  <c r="M192" i="9"/>
  <c r="L191" i="9"/>
  <c r="M191" i="9"/>
  <c r="L225" i="4" s="1"/>
  <c r="L190" i="9"/>
  <c r="M190" i="9" s="1"/>
  <c r="L224" i="4" s="1"/>
  <c r="L189" i="9"/>
  <c r="M189" i="9" s="1"/>
  <c r="L188" i="9"/>
  <c r="M188" i="9"/>
  <c r="L187" i="9"/>
  <c r="M187" i="9"/>
  <c r="L106" i="4" s="1"/>
  <c r="L186" i="9"/>
  <c r="M186" i="9" s="1"/>
  <c r="L185" i="9"/>
  <c r="M185" i="9" s="1"/>
  <c r="L184" i="9"/>
  <c r="M184" i="9"/>
  <c r="L183" i="9"/>
  <c r="M183" i="9"/>
  <c r="L220" i="4" s="1"/>
  <c r="L182" i="9"/>
  <c r="M182" i="9" s="1"/>
  <c r="L219" i="4" s="1"/>
  <c r="L181" i="9"/>
  <c r="M181" i="9" s="1"/>
  <c r="L104" i="4" s="1"/>
  <c r="L180" i="9"/>
  <c r="M180" i="9"/>
  <c r="L179" i="9"/>
  <c r="M179" i="9"/>
  <c r="L178" i="9"/>
  <c r="M178" i="9" s="1"/>
  <c r="L217" i="4" s="1"/>
  <c r="L177" i="9"/>
  <c r="M177" i="9" s="1"/>
  <c r="L103" i="4" s="1"/>
  <c r="L176" i="9"/>
  <c r="M176" i="9"/>
  <c r="L175" i="9"/>
  <c r="M175" i="9"/>
  <c r="L102" i="4" s="1"/>
  <c r="L174" i="9"/>
  <c r="M174" i="9" s="1"/>
  <c r="L101" i="4" s="1"/>
  <c r="L173" i="9"/>
  <c r="M173" i="9" s="1"/>
  <c r="L216" i="4" s="1"/>
  <c r="L172" i="9"/>
  <c r="M172" i="9"/>
  <c r="L171" i="9"/>
  <c r="M171" i="9"/>
  <c r="L100" i="4" s="1"/>
  <c r="L170" i="9"/>
  <c r="M170" i="9" s="1"/>
  <c r="L182" i="4" s="1"/>
  <c r="L169" i="9"/>
  <c r="M169" i="9" s="1"/>
  <c r="L76" i="4" s="1"/>
  <c r="L168" i="9"/>
  <c r="M168" i="9"/>
  <c r="L167" i="9"/>
  <c r="M167" i="9"/>
  <c r="L99" i="4" s="1"/>
  <c r="L166" i="9"/>
  <c r="M166" i="9" s="1"/>
  <c r="L165" i="9"/>
  <c r="M165" i="9" s="1"/>
  <c r="L181" i="4" s="1"/>
  <c r="L164" i="9"/>
  <c r="M164" i="9"/>
  <c r="L163" i="9"/>
  <c r="M163" i="9"/>
  <c r="L74" i="4" s="1"/>
  <c r="L162" i="9"/>
  <c r="M162" i="9" s="1"/>
  <c r="L180" i="4" s="1"/>
  <c r="L161" i="9"/>
  <c r="M161" i="9" s="1"/>
  <c r="L160" i="9"/>
  <c r="M160" i="9"/>
  <c r="L159" i="9"/>
  <c r="M159" i="9"/>
  <c r="L178" i="4" s="1"/>
  <c r="L158" i="9"/>
  <c r="M158" i="9" s="1"/>
  <c r="L97" i="4" s="1"/>
  <c r="L157" i="9"/>
  <c r="M157" i="9" s="1"/>
  <c r="L213" i="4" s="1"/>
  <c r="L156" i="9"/>
  <c r="M156" i="9"/>
  <c r="L155" i="9"/>
  <c r="M155" i="9"/>
  <c r="L154" i="9"/>
  <c r="M154" i="9" s="1"/>
  <c r="L153" i="9"/>
  <c r="M153" i="9" s="1"/>
  <c r="L95" i="4" s="1"/>
  <c r="L152" i="9"/>
  <c r="M152" i="9"/>
  <c r="L151" i="9"/>
  <c r="M151" i="9"/>
  <c r="L211" i="4" s="1"/>
  <c r="L150" i="9"/>
  <c r="M150" i="9" s="1"/>
  <c r="L149" i="9"/>
  <c r="M149" i="9" s="1"/>
  <c r="L94" i="4" s="1"/>
  <c r="L148" i="9"/>
  <c r="M148" i="9"/>
  <c r="L147" i="9"/>
  <c r="M147" i="9"/>
  <c r="L93" i="4" s="1"/>
  <c r="L146" i="9"/>
  <c r="M146" i="9" s="1"/>
  <c r="L266" i="4" s="1"/>
  <c r="L145" i="9"/>
  <c r="M145" i="9" s="1"/>
  <c r="L144" i="9"/>
  <c r="M144" i="9"/>
  <c r="L143" i="9"/>
  <c r="M143" i="9"/>
  <c r="L142" i="9"/>
  <c r="M142" i="9" s="1"/>
  <c r="L90" i="4" s="1"/>
  <c r="L141" i="9"/>
  <c r="M141" i="9" s="1"/>
  <c r="L140" i="9"/>
  <c r="M140" i="9"/>
  <c r="L139" i="9"/>
  <c r="M139" i="9"/>
  <c r="L87" i="4" s="1"/>
  <c r="L138" i="9"/>
  <c r="M138" i="9" s="1"/>
  <c r="L209" i="4" s="1"/>
  <c r="L137" i="9"/>
  <c r="M137" i="9" s="1"/>
  <c r="L136" i="9"/>
  <c r="M136" i="9"/>
  <c r="L135" i="9"/>
  <c r="M135" i="9"/>
  <c r="L134" i="9"/>
  <c r="M134" i="9" s="1"/>
  <c r="L206" i="4" s="1"/>
  <c r="L133" i="9"/>
  <c r="M133" i="9" s="1"/>
  <c r="L205" i="4" s="1"/>
  <c r="L132" i="9"/>
  <c r="M132" i="9"/>
  <c r="L131" i="9"/>
  <c r="M131" i="9"/>
  <c r="L86" i="4" s="1"/>
  <c r="L130" i="9"/>
  <c r="M130" i="9" s="1"/>
  <c r="L204" i="4" s="1"/>
  <c r="L129" i="9"/>
  <c r="M129" i="9" s="1"/>
  <c r="L128" i="9"/>
  <c r="M128" i="9"/>
  <c r="L127" i="9"/>
  <c r="M127" i="9"/>
  <c r="L126" i="9"/>
  <c r="M126" i="9" s="1"/>
  <c r="L72" i="4" s="1"/>
  <c r="L125" i="9"/>
  <c r="M125" i="9" s="1"/>
  <c r="L85" i="4" s="1"/>
  <c r="L124" i="9"/>
  <c r="M124" i="9"/>
  <c r="L123" i="9"/>
  <c r="M123" i="9"/>
  <c r="L172" i="4" s="1"/>
  <c r="L122" i="9"/>
  <c r="M122" i="9" s="1"/>
  <c r="L171" i="4" s="1"/>
  <c r="L121" i="9"/>
  <c r="M121" i="9" s="1"/>
  <c r="L120" i="9"/>
  <c r="M120" i="9"/>
  <c r="L119" i="9"/>
  <c r="M119" i="9"/>
  <c r="L169" i="4" s="1"/>
  <c r="L118" i="9"/>
  <c r="M118" i="9" s="1"/>
  <c r="L117" i="9"/>
  <c r="M117" i="9" s="1"/>
  <c r="L203" i="4" s="1"/>
  <c r="L116" i="9"/>
  <c r="M116" i="9"/>
  <c r="L115" i="9"/>
  <c r="M115" i="9"/>
  <c r="L114" i="9"/>
  <c r="M114" i="9" s="1"/>
  <c r="L168" i="4" s="1"/>
  <c r="L113" i="9"/>
  <c r="M113" i="9" s="1"/>
  <c r="L112" i="9"/>
  <c r="M112" i="9"/>
  <c r="L111" i="9"/>
  <c r="M111" i="9"/>
  <c r="L259" i="4" s="1"/>
  <c r="L110" i="9"/>
  <c r="M110" i="9" s="1"/>
  <c r="L258" i="4" s="1"/>
  <c r="L109" i="9"/>
  <c r="M109" i="9" s="1"/>
  <c r="L108" i="9"/>
  <c r="M108" i="9"/>
  <c r="L107" i="9"/>
  <c r="M107" i="9"/>
  <c r="L255" i="4" s="1"/>
  <c r="L106" i="9"/>
  <c r="M106" i="9" s="1"/>
  <c r="L105" i="9"/>
  <c r="M105" i="9" s="1"/>
  <c r="L104" i="9"/>
  <c r="M104" i="9"/>
  <c r="L103" i="9"/>
  <c r="M103" i="9"/>
  <c r="L165" i="4" s="1"/>
  <c r="L102" i="9"/>
  <c r="M102" i="9" s="1"/>
  <c r="L84" i="4" s="1"/>
  <c r="L101" i="9"/>
  <c r="M101" i="9" s="1"/>
  <c r="L37" i="4" s="1"/>
  <c r="L100" i="9"/>
  <c r="M100" i="9"/>
  <c r="L99" i="9"/>
  <c r="M99" i="9"/>
  <c r="L163" i="4" s="1"/>
  <c r="L98" i="9"/>
  <c r="M98" i="9" s="1"/>
  <c r="L83" i="4" s="1"/>
  <c r="L97" i="9"/>
  <c r="M97" i="9" s="1"/>
  <c r="L96" i="9"/>
  <c r="M96" i="9"/>
  <c r="L95" i="9"/>
  <c r="M95" i="9"/>
  <c r="L82" i="4" s="1"/>
  <c r="L94" i="9"/>
  <c r="M94" i="9" s="1"/>
  <c r="L162" i="4" s="1"/>
  <c r="L93" i="9"/>
  <c r="M93" i="9" s="1"/>
  <c r="L253" i="4" s="1"/>
  <c r="L92" i="9"/>
  <c r="M92" i="9"/>
  <c r="L91" i="9"/>
  <c r="M91" i="9"/>
  <c r="L201" i="4" s="1"/>
  <c r="L90" i="9"/>
  <c r="M90" i="9" s="1"/>
  <c r="L89" i="9"/>
  <c r="M89" i="9" s="1"/>
  <c r="L88" i="9"/>
  <c r="M88" i="9"/>
  <c r="L87" i="9"/>
  <c r="M87" i="9"/>
  <c r="L160" i="4" s="1"/>
  <c r="L86" i="9"/>
  <c r="M86" i="9" s="1"/>
  <c r="L85" i="9"/>
  <c r="M85" i="9" s="1"/>
  <c r="L84" i="9"/>
  <c r="M84" i="9"/>
  <c r="L83" i="9"/>
  <c r="M83" i="9"/>
  <c r="L82" i="9"/>
  <c r="M82" i="9" s="1"/>
  <c r="L158" i="4" s="1"/>
  <c r="L81" i="9"/>
  <c r="M81" i="9" s="1"/>
  <c r="L157" i="4" s="1"/>
  <c r="L80" i="9"/>
  <c r="M80" i="9"/>
  <c r="L79" i="9"/>
  <c r="M79" i="9"/>
  <c r="L156" i="4" s="1"/>
  <c r="L78" i="9"/>
  <c r="M78" i="9" s="1"/>
  <c r="L35" i="4" s="1"/>
  <c r="L77" i="9"/>
  <c r="M77" i="9" s="1"/>
  <c r="L251" i="4" s="1"/>
  <c r="L76" i="9"/>
  <c r="M76" i="9"/>
  <c r="L75" i="9"/>
  <c r="M75" i="9"/>
  <c r="L55" i="4" s="1"/>
  <c r="L74" i="9"/>
  <c r="M74" i="9" s="1"/>
  <c r="L154" i="4" s="1"/>
  <c r="L73" i="9"/>
  <c r="M73" i="9" s="1"/>
  <c r="L153" i="4" s="1"/>
  <c r="L72" i="9"/>
  <c r="M72" i="9"/>
  <c r="L71" i="9"/>
  <c r="M71" i="9"/>
  <c r="L70" i="9"/>
  <c r="M70" i="9" s="1"/>
  <c r="L44" i="4" s="1"/>
  <c r="L69" i="9"/>
  <c r="M69" i="9" s="1"/>
  <c r="L150" i="4" s="1"/>
  <c r="L68" i="9"/>
  <c r="M68" i="9"/>
  <c r="L67" i="9"/>
  <c r="M67" i="9"/>
  <c r="L148" i="4" s="1"/>
  <c r="L66" i="9"/>
  <c r="M66" i="9" s="1"/>
  <c r="L250" i="4" s="1"/>
  <c r="L65" i="9"/>
  <c r="M65" i="9" s="1"/>
  <c r="L64" i="9"/>
  <c r="M64" i="9"/>
  <c r="L63" i="9"/>
  <c r="M63" i="9"/>
  <c r="L69" i="4" s="1"/>
  <c r="L62" i="9"/>
  <c r="M62" i="9" s="1"/>
  <c r="L146" i="4" s="1"/>
  <c r="L61" i="9"/>
  <c r="M61" i="9" s="1"/>
  <c r="L31" i="4" s="1"/>
  <c r="L60" i="9"/>
  <c r="M60" i="9"/>
  <c r="L59" i="9"/>
  <c r="M59" i="9"/>
  <c r="L197" i="4" s="1"/>
  <c r="L58" i="9"/>
  <c r="M58" i="9" s="1"/>
  <c r="L144" i="4" s="1"/>
  <c r="L57" i="9"/>
  <c r="M57" i="9" s="1"/>
  <c r="L56" i="9"/>
  <c r="M56" i="9"/>
  <c r="L55" i="9"/>
  <c r="M55" i="9"/>
  <c r="L68" i="4" s="1"/>
  <c r="L54" i="9"/>
  <c r="M54" i="9" s="1"/>
  <c r="L196" i="4" s="1"/>
  <c r="L53" i="9"/>
  <c r="M53" i="9" s="1"/>
  <c r="L248" i="4" s="1"/>
  <c r="L52" i="9"/>
  <c r="M52" i="9"/>
  <c r="L51" i="9"/>
  <c r="M51" i="9"/>
  <c r="L67" i="4" s="1"/>
  <c r="L50" i="9"/>
  <c r="M50" i="9" s="1"/>
  <c r="L66" i="4" s="1"/>
  <c r="L49" i="9"/>
  <c r="M49" i="9" s="1"/>
  <c r="L48" i="9"/>
  <c r="M48" i="9"/>
  <c r="L47" i="9"/>
  <c r="M47" i="9"/>
  <c r="L65" i="4" s="1"/>
  <c r="L46" i="9"/>
  <c r="M46" i="9" s="1"/>
  <c r="L138" i="4" s="1"/>
  <c r="L45" i="9"/>
  <c r="M45" i="9" s="1"/>
  <c r="L137" i="4" s="1"/>
  <c r="L44" i="9"/>
  <c r="M44" i="9"/>
  <c r="L43" i="9"/>
  <c r="M43" i="9"/>
  <c r="L136" i="4" s="1"/>
  <c r="L42" i="9"/>
  <c r="M42" i="9" s="1"/>
  <c r="L54" i="4" s="1"/>
  <c r="L41" i="9"/>
  <c r="M41" i="9" s="1"/>
  <c r="L195" i="4" s="1"/>
  <c r="L40" i="9"/>
  <c r="M40" i="9"/>
  <c r="L39" i="9"/>
  <c r="M39" i="9"/>
  <c r="L52" i="4" s="1"/>
  <c r="L38" i="9"/>
  <c r="M38" i="9" s="1"/>
  <c r="L37" i="9"/>
  <c r="M37" i="9" s="1"/>
  <c r="L246" i="4" s="1"/>
  <c r="L36" i="9"/>
  <c r="M36" i="9"/>
  <c r="L35" i="9"/>
  <c r="M35" i="9"/>
  <c r="L135" i="4" s="1"/>
  <c r="L34" i="9"/>
  <c r="M34" i="9" s="1"/>
  <c r="L134" i="4" s="1"/>
  <c r="L33" i="9"/>
  <c r="M33" i="9" s="1"/>
  <c r="L32" i="9"/>
  <c r="M32" i="9"/>
  <c r="L31" i="9"/>
  <c r="M31" i="9"/>
  <c r="L30" i="9"/>
  <c r="M30" i="9" s="1"/>
  <c r="L51" i="4" s="1"/>
  <c r="L29" i="9"/>
  <c r="M29" i="9" s="1"/>
  <c r="L132" i="4" s="1"/>
  <c r="L28" i="9"/>
  <c r="M28" i="9"/>
  <c r="L27" i="9"/>
  <c r="M27" i="9"/>
  <c r="L26" i="9"/>
  <c r="M26" i="9" s="1"/>
  <c r="L131" i="4" s="1"/>
  <c r="L25" i="9"/>
  <c r="M25" i="9" s="1"/>
  <c r="L29" i="4" s="1"/>
  <c r="L24" i="9"/>
  <c r="M24" i="9"/>
  <c r="L23" i="9"/>
  <c r="M23" i="9"/>
  <c r="L22" i="9"/>
  <c r="M22" i="9" s="1"/>
  <c r="L21" i="9"/>
  <c r="M21" i="9" s="1"/>
  <c r="L63" i="4" s="1"/>
  <c r="L20" i="9"/>
  <c r="M20" i="9"/>
  <c r="L19" i="9"/>
  <c r="M19" i="9"/>
  <c r="L62" i="4" s="1"/>
  <c r="L18" i="9"/>
  <c r="M18" i="9" s="1"/>
  <c r="L40" i="4" s="1"/>
  <c r="L17" i="9"/>
  <c r="M17" i="9" s="1"/>
  <c r="L34" i="4" s="1"/>
  <c r="L16" i="9"/>
  <c r="M16" i="9"/>
  <c r="L15" i="9"/>
  <c r="M15" i="9"/>
  <c r="L61" i="4" s="1"/>
  <c r="L14" i="9"/>
  <c r="M14" i="9" s="1"/>
  <c r="L129" i="4" s="1"/>
  <c r="L13" i="9"/>
  <c r="M13" i="9" s="1"/>
  <c r="L39" i="4" s="1"/>
  <c r="L12" i="9"/>
  <c r="M12" i="9"/>
  <c r="L11" i="9"/>
  <c r="M11" i="9"/>
  <c r="L46" i="4" s="1"/>
  <c r="L10" i="9"/>
  <c r="M10" i="9" s="1"/>
  <c r="L9" i="9"/>
  <c r="M9" i="9" s="1"/>
  <c r="L8" i="9"/>
  <c r="M8" i="9"/>
  <c r="L7" i="9"/>
  <c r="M7" i="9"/>
  <c r="L45" i="4" s="1"/>
  <c r="L6" i="9"/>
  <c r="M6" i="9" s="1"/>
  <c r="L60" i="4" s="1"/>
  <c r="L5" i="9"/>
  <c r="M5" i="9" s="1"/>
  <c r="L32" i="4" s="1"/>
  <c r="M4" i="9"/>
  <c r="L2" i="9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76" i="1"/>
  <c r="G193" i="1"/>
  <c r="G194" i="1"/>
  <c r="G195" i="1"/>
  <c r="G196" i="1"/>
  <c r="G197" i="1"/>
  <c r="G198" i="1"/>
  <c r="G199" i="1"/>
  <c r="G200" i="1"/>
  <c r="G201" i="1"/>
  <c r="G202" i="1"/>
  <c r="G86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96" i="1"/>
  <c r="G215" i="1"/>
  <c r="G216" i="1"/>
  <c r="G217" i="1"/>
  <c r="G218" i="1"/>
  <c r="G219" i="1"/>
  <c r="G220" i="1"/>
  <c r="G221" i="1"/>
  <c r="G222" i="1"/>
  <c r="G223" i="1"/>
  <c r="G104" i="1"/>
  <c r="G224" i="1"/>
  <c r="G111" i="1"/>
  <c r="G225" i="1"/>
  <c r="G226" i="1"/>
  <c r="G227" i="1"/>
  <c r="G120" i="1"/>
  <c r="G228" i="1"/>
  <c r="G229" i="1"/>
  <c r="G230" i="1"/>
  <c r="G231" i="1"/>
  <c r="G232" i="1"/>
  <c r="G233" i="1"/>
  <c r="G14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76" i="1"/>
  <c r="F193" i="1"/>
  <c r="F194" i="1"/>
  <c r="F195" i="1"/>
  <c r="F196" i="1"/>
  <c r="F197" i="1"/>
  <c r="F198" i="1"/>
  <c r="F199" i="1"/>
  <c r="F200" i="1"/>
  <c r="F201" i="1"/>
  <c r="F202" i="1"/>
  <c r="F86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96" i="1"/>
  <c r="F215" i="1"/>
  <c r="F216" i="1"/>
  <c r="F217" i="1"/>
  <c r="F218" i="1"/>
  <c r="F219" i="1"/>
  <c r="F220" i="1"/>
  <c r="F221" i="1"/>
  <c r="F222" i="1"/>
  <c r="F223" i="1"/>
  <c r="F104" i="1"/>
  <c r="F224" i="1"/>
  <c r="F111" i="1"/>
  <c r="F225" i="1"/>
  <c r="F226" i="1"/>
  <c r="F227" i="1"/>
  <c r="F120" i="1"/>
  <c r="F228" i="1"/>
  <c r="F229" i="1"/>
  <c r="F230" i="1"/>
  <c r="F231" i="1"/>
  <c r="F232" i="1"/>
  <c r="F233" i="1"/>
  <c r="F14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76" i="1"/>
  <c r="E193" i="1"/>
  <c r="E194" i="1"/>
  <c r="E195" i="1"/>
  <c r="E196" i="1"/>
  <c r="E197" i="1"/>
  <c r="E198" i="1"/>
  <c r="E199" i="1"/>
  <c r="E200" i="1"/>
  <c r="E201" i="1"/>
  <c r="E202" i="1"/>
  <c r="E86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96" i="1"/>
  <c r="E215" i="1"/>
  <c r="E216" i="1"/>
  <c r="E217" i="1"/>
  <c r="E218" i="1"/>
  <c r="E219" i="1"/>
  <c r="E220" i="1"/>
  <c r="E221" i="1"/>
  <c r="E222" i="1"/>
  <c r="E223" i="1"/>
  <c r="E104" i="1"/>
  <c r="E224" i="1"/>
  <c r="E111" i="1"/>
  <c r="E225" i="1"/>
  <c r="E226" i="1"/>
  <c r="E227" i="1"/>
  <c r="E120" i="1"/>
  <c r="E228" i="1"/>
  <c r="E229" i="1"/>
  <c r="E230" i="1"/>
  <c r="E231" i="1"/>
  <c r="E232" i="1"/>
  <c r="E233" i="1"/>
  <c r="E142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6" i="1"/>
  <c r="L27" i="4"/>
  <c r="L28" i="4"/>
  <c r="L30" i="4"/>
  <c r="L33" i="4"/>
  <c r="L36" i="4"/>
  <c r="L38" i="4"/>
  <c r="L41" i="4"/>
  <c r="L42" i="4"/>
  <c r="L43" i="4"/>
  <c r="L47" i="4"/>
  <c r="L48" i="4"/>
  <c r="L49" i="4"/>
  <c r="L50" i="4"/>
  <c r="L53" i="4"/>
  <c r="L56" i="4"/>
  <c r="L57" i="4"/>
  <c r="L58" i="4"/>
  <c r="L59" i="4"/>
  <c r="L64" i="4"/>
  <c r="L70" i="4"/>
  <c r="L71" i="4"/>
  <c r="L73" i="4"/>
  <c r="L75" i="4"/>
  <c r="L80" i="4"/>
  <c r="L81" i="4"/>
  <c r="L88" i="4"/>
  <c r="L89" i="4"/>
  <c r="L91" i="4"/>
  <c r="L92" i="4"/>
  <c r="L98" i="4"/>
  <c r="L105" i="4"/>
  <c r="L107" i="4"/>
  <c r="L108" i="4"/>
  <c r="L109" i="4"/>
  <c r="L114" i="4"/>
  <c r="L118" i="4"/>
  <c r="L125" i="4"/>
  <c r="L127" i="4"/>
  <c r="L130" i="4"/>
  <c r="L133" i="4"/>
  <c r="L139" i="4"/>
  <c r="L141" i="4"/>
  <c r="L142" i="4"/>
  <c r="L143" i="4"/>
  <c r="L145" i="4"/>
  <c r="L147" i="4"/>
  <c r="L149" i="4"/>
  <c r="L151" i="4"/>
  <c r="L152" i="4"/>
  <c r="L155" i="4"/>
  <c r="L159" i="4"/>
  <c r="L161" i="4"/>
  <c r="L164" i="4"/>
  <c r="L166" i="4"/>
  <c r="L167" i="4"/>
  <c r="L170" i="4"/>
  <c r="L173" i="4"/>
  <c r="L174" i="4"/>
  <c r="L175" i="4"/>
  <c r="L176" i="4"/>
  <c r="L177" i="4"/>
  <c r="L179" i="4"/>
  <c r="L183" i="4"/>
  <c r="L185" i="4"/>
  <c r="L186" i="4"/>
  <c r="L191" i="4"/>
  <c r="L192" i="4"/>
  <c r="L194" i="4"/>
  <c r="L198" i="4"/>
  <c r="L199" i="4"/>
  <c r="L200" i="4"/>
  <c r="L202" i="4"/>
  <c r="L207" i="4"/>
  <c r="L208" i="4"/>
  <c r="L210" i="4"/>
  <c r="L212" i="4"/>
  <c r="L96" i="4"/>
  <c r="L214" i="4"/>
  <c r="L215" i="4"/>
  <c r="L218" i="4"/>
  <c r="L221" i="4"/>
  <c r="L222" i="4"/>
  <c r="L223" i="4"/>
  <c r="L227" i="4"/>
  <c r="L229" i="4"/>
  <c r="L230" i="4"/>
  <c r="L232" i="4"/>
  <c r="L233" i="4"/>
  <c r="L116" i="4"/>
  <c r="L236" i="4"/>
  <c r="L239" i="4"/>
  <c r="L242" i="4"/>
  <c r="L124" i="4"/>
  <c r="L244" i="4"/>
  <c r="L245" i="4"/>
  <c r="L247" i="4"/>
  <c r="L140" i="4"/>
  <c r="L249" i="4"/>
  <c r="L252" i="4"/>
  <c r="L254" i="4"/>
  <c r="L256" i="4"/>
  <c r="L257" i="4"/>
  <c r="L260" i="4"/>
  <c r="L261" i="4"/>
  <c r="L262" i="4"/>
  <c r="L263" i="4"/>
  <c r="L264" i="4"/>
  <c r="L265" i="4"/>
  <c r="L267" i="4"/>
  <c r="L268" i="4"/>
  <c r="L270" i="4"/>
  <c r="L273" i="4"/>
  <c r="L274" i="4"/>
  <c r="L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7" i="4"/>
  <c r="G98" i="4"/>
  <c r="G99" i="4"/>
  <c r="G100" i="4"/>
  <c r="G101" i="4"/>
  <c r="G102" i="4"/>
  <c r="G103" i="4"/>
  <c r="G104" i="4"/>
  <c r="G105" i="4"/>
  <c r="G107" i="4"/>
  <c r="G108" i="4"/>
  <c r="G109" i="4"/>
  <c r="G110" i="4"/>
  <c r="G111" i="4"/>
  <c r="G112" i="4"/>
  <c r="G113" i="4"/>
  <c r="G114" i="4"/>
  <c r="G115" i="4"/>
  <c r="G117" i="4"/>
  <c r="G118" i="4"/>
  <c r="G119" i="4"/>
  <c r="G120" i="4"/>
  <c r="G121" i="4"/>
  <c r="G122" i="4"/>
  <c r="G123" i="4"/>
  <c r="G125" i="4"/>
  <c r="G126" i="4"/>
  <c r="G127" i="4"/>
  <c r="G128" i="4"/>
  <c r="G129" i="4"/>
  <c r="G130" i="4"/>
  <c r="G132" i="4"/>
  <c r="G133" i="4"/>
  <c r="G134" i="4"/>
  <c r="G135" i="4"/>
  <c r="G136" i="4"/>
  <c r="G137" i="4"/>
  <c r="G138" i="4"/>
  <c r="G139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96" i="4"/>
  <c r="G213" i="4"/>
  <c r="G214" i="4"/>
  <c r="G215" i="4"/>
  <c r="G216" i="4"/>
  <c r="G217" i="4"/>
  <c r="G218" i="4"/>
  <c r="G219" i="4"/>
  <c r="G220" i="4"/>
  <c r="G221" i="4"/>
  <c r="H221" i="4" s="1"/>
  <c r="I221" i="4" s="1"/>
  <c r="G222" i="4"/>
  <c r="G106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116" i="4"/>
  <c r="G235" i="4"/>
  <c r="G236" i="4"/>
  <c r="G237" i="4"/>
  <c r="G238" i="4"/>
  <c r="G239" i="4"/>
  <c r="G240" i="4"/>
  <c r="G241" i="4"/>
  <c r="G242" i="4"/>
  <c r="G243" i="4"/>
  <c r="G124" i="4"/>
  <c r="G244" i="4"/>
  <c r="G131" i="4"/>
  <c r="G245" i="4"/>
  <c r="G246" i="4"/>
  <c r="G247" i="4"/>
  <c r="G140" i="4"/>
  <c r="G248" i="4"/>
  <c r="G249" i="4"/>
  <c r="G250" i="4"/>
  <c r="G251" i="4"/>
  <c r="G252" i="4"/>
  <c r="G253" i="4"/>
  <c r="G162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6" i="4"/>
  <c r="F27" i="4"/>
  <c r="F28" i="4"/>
  <c r="F29" i="4"/>
  <c r="H29" i="4" s="1"/>
  <c r="F30" i="4"/>
  <c r="F31" i="4"/>
  <c r="F32" i="4"/>
  <c r="F33" i="4"/>
  <c r="H33" i="4" s="1"/>
  <c r="F34" i="4"/>
  <c r="H34" i="4" s="1"/>
  <c r="F35" i="4"/>
  <c r="F36" i="4"/>
  <c r="F37" i="4"/>
  <c r="H37" i="4" s="1"/>
  <c r="F38" i="4"/>
  <c r="F39" i="4"/>
  <c r="F40" i="4"/>
  <c r="F41" i="4"/>
  <c r="H41" i="4" s="1"/>
  <c r="F42" i="4"/>
  <c r="F43" i="4"/>
  <c r="F44" i="4"/>
  <c r="F45" i="4"/>
  <c r="H45" i="4" s="1"/>
  <c r="F46" i="4"/>
  <c r="F47" i="4"/>
  <c r="F48" i="4"/>
  <c r="F49" i="4"/>
  <c r="H49" i="4" s="1"/>
  <c r="F50" i="4"/>
  <c r="F51" i="4"/>
  <c r="F52" i="4"/>
  <c r="F53" i="4"/>
  <c r="H53" i="4" s="1"/>
  <c r="F54" i="4"/>
  <c r="F55" i="4"/>
  <c r="F56" i="4"/>
  <c r="F57" i="4"/>
  <c r="H57" i="4" s="1"/>
  <c r="F58" i="4"/>
  <c r="H58" i="4" s="1"/>
  <c r="F59" i="4"/>
  <c r="F60" i="4"/>
  <c r="F61" i="4"/>
  <c r="H61" i="4" s="1"/>
  <c r="F62" i="4"/>
  <c r="F63" i="4"/>
  <c r="F64" i="4"/>
  <c r="F65" i="4"/>
  <c r="H65" i="4" s="1"/>
  <c r="F66" i="4"/>
  <c r="F67" i="4"/>
  <c r="F68" i="4"/>
  <c r="F69" i="4"/>
  <c r="H69" i="4" s="1"/>
  <c r="F70" i="4"/>
  <c r="F71" i="4"/>
  <c r="F72" i="4"/>
  <c r="F73" i="4"/>
  <c r="H73" i="4" s="1"/>
  <c r="F74" i="4"/>
  <c r="F75" i="4"/>
  <c r="F76" i="4"/>
  <c r="F77" i="4"/>
  <c r="H77" i="4" s="1"/>
  <c r="F78" i="4"/>
  <c r="F79" i="4"/>
  <c r="F80" i="4"/>
  <c r="F81" i="4"/>
  <c r="H81" i="4" s="1"/>
  <c r="F82" i="4"/>
  <c r="F83" i="4"/>
  <c r="F84" i="4"/>
  <c r="F85" i="4"/>
  <c r="F86" i="4"/>
  <c r="F87" i="4"/>
  <c r="F88" i="4"/>
  <c r="F89" i="4"/>
  <c r="H89" i="4" s="1"/>
  <c r="F90" i="4"/>
  <c r="F91" i="4"/>
  <c r="F92" i="4"/>
  <c r="F93" i="4"/>
  <c r="H93" i="4" s="1"/>
  <c r="F94" i="4"/>
  <c r="F95" i="4"/>
  <c r="F97" i="4"/>
  <c r="F98" i="4"/>
  <c r="H98" i="4" s="1"/>
  <c r="F99" i="4"/>
  <c r="F100" i="4"/>
  <c r="F101" i="4"/>
  <c r="F102" i="4"/>
  <c r="H102" i="4" s="1"/>
  <c r="F103" i="4"/>
  <c r="F104" i="4"/>
  <c r="F105" i="4"/>
  <c r="F107" i="4"/>
  <c r="H107" i="4" s="1"/>
  <c r="F108" i="4"/>
  <c r="F109" i="4"/>
  <c r="F110" i="4"/>
  <c r="F111" i="4"/>
  <c r="H111" i="4" s="1"/>
  <c r="F112" i="4"/>
  <c r="F113" i="4"/>
  <c r="F114" i="4"/>
  <c r="F115" i="4"/>
  <c r="H115" i="4" s="1"/>
  <c r="F117" i="4"/>
  <c r="F118" i="4"/>
  <c r="F119" i="4"/>
  <c r="F120" i="4"/>
  <c r="H120" i="4" s="1"/>
  <c r="F121" i="4"/>
  <c r="F122" i="4"/>
  <c r="F123" i="4"/>
  <c r="F125" i="4"/>
  <c r="H125" i="4" s="1"/>
  <c r="F126" i="4"/>
  <c r="F127" i="4"/>
  <c r="F128" i="4"/>
  <c r="F129" i="4"/>
  <c r="H129" i="4" s="1"/>
  <c r="F130" i="4"/>
  <c r="F132" i="4"/>
  <c r="F133" i="4"/>
  <c r="F134" i="4"/>
  <c r="H134" i="4" s="1"/>
  <c r="F135" i="4"/>
  <c r="F136" i="4"/>
  <c r="F137" i="4"/>
  <c r="F138" i="4"/>
  <c r="H138" i="4" s="1"/>
  <c r="F139" i="4"/>
  <c r="F141" i="4"/>
  <c r="F142" i="4"/>
  <c r="F143" i="4"/>
  <c r="H143" i="4" s="1"/>
  <c r="F144" i="4"/>
  <c r="F145" i="4"/>
  <c r="F146" i="4"/>
  <c r="F147" i="4"/>
  <c r="H147" i="4" s="1"/>
  <c r="F148" i="4"/>
  <c r="F149" i="4"/>
  <c r="F150" i="4"/>
  <c r="F151" i="4"/>
  <c r="H151" i="4" s="1"/>
  <c r="F152" i="4"/>
  <c r="F153" i="4"/>
  <c r="F154" i="4"/>
  <c r="F155" i="4"/>
  <c r="H155" i="4" s="1"/>
  <c r="F156" i="4"/>
  <c r="F157" i="4"/>
  <c r="F158" i="4"/>
  <c r="F159" i="4"/>
  <c r="H159" i="4" s="1"/>
  <c r="F160" i="4"/>
  <c r="F161" i="4"/>
  <c r="F163" i="4"/>
  <c r="F164" i="4"/>
  <c r="H164" i="4" s="1"/>
  <c r="F165" i="4"/>
  <c r="F166" i="4"/>
  <c r="F167" i="4"/>
  <c r="F168" i="4"/>
  <c r="H168" i="4" s="1"/>
  <c r="F169" i="4"/>
  <c r="F170" i="4"/>
  <c r="F171" i="4"/>
  <c r="F172" i="4"/>
  <c r="F173" i="4"/>
  <c r="F174" i="4"/>
  <c r="F175" i="4"/>
  <c r="F176" i="4"/>
  <c r="H176" i="4" s="1"/>
  <c r="F177" i="4"/>
  <c r="F178" i="4"/>
  <c r="F179" i="4"/>
  <c r="F180" i="4"/>
  <c r="H180" i="4" s="1"/>
  <c r="F181" i="4"/>
  <c r="F182" i="4"/>
  <c r="F183" i="4"/>
  <c r="F184" i="4"/>
  <c r="H184" i="4" s="1"/>
  <c r="F185" i="4"/>
  <c r="F186" i="4"/>
  <c r="F187" i="4"/>
  <c r="F188" i="4"/>
  <c r="H188" i="4" s="1"/>
  <c r="F189" i="4"/>
  <c r="F190" i="4"/>
  <c r="F191" i="4"/>
  <c r="F192" i="4"/>
  <c r="H192" i="4" s="1"/>
  <c r="F193" i="4"/>
  <c r="F194" i="4"/>
  <c r="F195" i="4"/>
  <c r="F196" i="4"/>
  <c r="H196" i="4" s="1"/>
  <c r="F197" i="4"/>
  <c r="F198" i="4"/>
  <c r="F199" i="4"/>
  <c r="F200" i="4"/>
  <c r="H200" i="4" s="1"/>
  <c r="F201" i="4"/>
  <c r="H201" i="4" s="1"/>
  <c r="F202" i="4"/>
  <c r="F203" i="4"/>
  <c r="F204" i="4"/>
  <c r="H204" i="4" s="1"/>
  <c r="F205" i="4"/>
  <c r="F206" i="4"/>
  <c r="F207" i="4"/>
  <c r="F208" i="4"/>
  <c r="H208" i="4" s="1"/>
  <c r="F209" i="4"/>
  <c r="H209" i="4" s="1"/>
  <c r="F210" i="4"/>
  <c r="F211" i="4"/>
  <c r="F212" i="4"/>
  <c r="H212" i="4" s="1"/>
  <c r="F96" i="4"/>
  <c r="F213" i="4"/>
  <c r="F214" i="4"/>
  <c r="F215" i="4"/>
  <c r="H215" i="4" s="1"/>
  <c r="F216" i="4"/>
  <c r="H216" i="4" s="1"/>
  <c r="F217" i="4"/>
  <c r="F218" i="4"/>
  <c r="F219" i="4"/>
  <c r="F220" i="4"/>
  <c r="F221" i="4"/>
  <c r="F222" i="4"/>
  <c r="F106" i="4"/>
  <c r="F223" i="4"/>
  <c r="H223" i="4" s="1"/>
  <c r="F224" i="4"/>
  <c r="F225" i="4"/>
  <c r="F226" i="4"/>
  <c r="H226" i="4" s="1"/>
  <c r="F227" i="4"/>
  <c r="F228" i="4"/>
  <c r="F229" i="4"/>
  <c r="F230" i="4"/>
  <c r="H230" i="4" s="1"/>
  <c r="F231" i="4"/>
  <c r="H231" i="4" s="1"/>
  <c r="F232" i="4"/>
  <c r="F233" i="4"/>
  <c r="F234" i="4"/>
  <c r="H234" i="4" s="1"/>
  <c r="F116" i="4"/>
  <c r="F235" i="4"/>
  <c r="F236" i="4"/>
  <c r="F237" i="4"/>
  <c r="H237" i="4" s="1"/>
  <c r="F238" i="4"/>
  <c r="F239" i="4"/>
  <c r="F240" i="4"/>
  <c r="F241" i="4"/>
  <c r="H241" i="4" s="1"/>
  <c r="F242" i="4"/>
  <c r="F243" i="4"/>
  <c r="F124" i="4"/>
  <c r="F244" i="4"/>
  <c r="H244" i="4" s="1"/>
  <c r="F131" i="4"/>
  <c r="F245" i="4"/>
  <c r="F246" i="4"/>
  <c r="F247" i="4"/>
  <c r="H247" i="4" s="1"/>
  <c r="F140" i="4"/>
  <c r="F248" i="4"/>
  <c r="F249" i="4"/>
  <c r="F250" i="4"/>
  <c r="H250" i="4" s="1"/>
  <c r="F251" i="4"/>
  <c r="F252" i="4"/>
  <c r="F253" i="4"/>
  <c r="F162" i="4"/>
  <c r="H162" i="4" s="1"/>
  <c r="F254" i="4"/>
  <c r="F255" i="4"/>
  <c r="F256" i="4"/>
  <c r="F257" i="4"/>
  <c r="H257" i="4" s="1"/>
  <c r="F258" i="4"/>
  <c r="H258" i="4" s="1"/>
  <c r="F259" i="4"/>
  <c r="F260" i="4"/>
  <c r="F261" i="4"/>
  <c r="H261" i="4" s="1"/>
  <c r="F262" i="4"/>
  <c r="F263" i="4"/>
  <c r="F264" i="4"/>
  <c r="F265" i="4"/>
  <c r="H265" i="4" s="1"/>
  <c r="F266" i="4"/>
  <c r="F267" i="4"/>
  <c r="F268" i="4"/>
  <c r="F269" i="4"/>
  <c r="H269" i="4" s="1"/>
  <c r="F270" i="4"/>
  <c r="F271" i="4"/>
  <c r="F272" i="4"/>
  <c r="F273" i="4"/>
  <c r="H273" i="4" s="1"/>
  <c r="F274" i="4"/>
  <c r="F26" i="4"/>
  <c r="E27" i="4"/>
  <c r="E28" i="4"/>
  <c r="E29" i="4"/>
  <c r="L9" i="4" s="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7" i="4"/>
  <c r="E98" i="4"/>
  <c r="E99" i="4"/>
  <c r="E100" i="4"/>
  <c r="E101" i="4"/>
  <c r="E102" i="4"/>
  <c r="E103" i="4"/>
  <c r="E104" i="4"/>
  <c r="E105" i="4"/>
  <c r="E107" i="4"/>
  <c r="E108" i="4"/>
  <c r="E109" i="4"/>
  <c r="E110" i="4"/>
  <c r="E111" i="4"/>
  <c r="E112" i="4"/>
  <c r="E113" i="4"/>
  <c r="E114" i="4"/>
  <c r="E115" i="4"/>
  <c r="E117" i="4"/>
  <c r="E118" i="4"/>
  <c r="E119" i="4"/>
  <c r="E120" i="4"/>
  <c r="E121" i="4"/>
  <c r="E122" i="4"/>
  <c r="E123" i="4"/>
  <c r="E125" i="4"/>
  <c r="E126" i="4"/>
  <c r="E127" i="4"/>
  <c r="E128" i="4"/>
  <c r="E129" i="4"/>
  <c r="E130" i="4"/>
  <c r="E132" i="4"/>
  <c r="E133" i="4"/>
  <c r="E134" i="4"/>
  <c r="E135" i="4"/>
  <c r="E136" i="4"/>
  <c r="E137" i="4"/>
  <c r="E138" i="4"/>
  <c r="E139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96" i="4"/>
  <c r="E213" i="4"/>
  <c r="E214" i="4"/>
  <c r="E215" i="4"/>
  <c r="E216" i="4"/>
  <c r="E217" i="4"/>
  <c r="E218" i="4"/>
  <c r="E219" i="4"/>
  <c r="E220" i="4"/>
  <c r="E221" i="4"/>
  <c r="E222" i="4"/>
  <c r="E106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116" i="4"/>
  <c r="E235" i="4"/>
  <c r="E236" i="4"/>
  <c r="E237" i="4"/>
  <c r="E238" i="4"/>
  <c r="E239" i="4"/>
  <c r="E240" i="4"/>
  <c r="E241" i="4"/>
  <c r="E242" i="4"/>
  <c r="E243" i="4"/>
  <c r="E124" i="4"/>
  <c r="E244" i="4"/>
  <c r="E131" i="4"/>
  <c r="E245" i="4"/>
  <c r="E246" i="4"/>
  <c r="E247" i="4"/>
  <c r="E140" i="4"/>
  <c r="E248" i="4"/>
  <c r="E249" i="4"/>
  <c r="E250" i="4"/>
  <c r="E251" i="4"/>
  <c r="E252" i="4"/>
  <c r="E253" i="4"/>
  <c r="E162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6" i="4"/>
  <c r="G3" i="26"/>
  <c r="H6" i="1"/>
  <c r="I6" i="1"/>
  <c r="L6" i="1"/>
  <c r="H7" i="1"/>
  <c r="I7" i="1"/>
  <c r="L7" i="1"/>
  <c r="H8" i="1"/>
  <c r="I8" i="1"/>
  <c r="L8" i="1"/>
  <c r="H9" i="1"/>
  <c r="I9" i="1"/>
  <c r="L9" i="1"/>
  <c r="H10" i="1"/>
  <c r="I10" i="1"/>
  <c r="L10" i="1"/>
  <c r="H11" i="1"/>
  <c r="I11" i="1"/>
  <c r="L11" i="1"/>
  <c r="H12" i="1"/>
  <c r="I12" i="1"/>
  <c r="L12" i="1"/>
  <c r="H13" i="1"/>
  <c r="I13" i="1"/>
  <c r="L13" i="1"/>
  <c r="H14" i="1"/>
  <c r="I14" i="1"/>
  <c r="L14" i="1"/>
  <c r="H15" i="1"/>
  <c r="I15" i="1"/>
  <c r="L15" i="1"/>
  <c r="H16" i="1"/>
  <c r="I16" i="1"/>
  <c r="L16" i="1"/>
  <c r="H17" i="1"/>
  <c r="I17" i="1"/>
  <c r="L17" i="1"/>
  <c r="H18" i="1"/>
  <c r="I18" i="1"/>
  <c r="L18" i="1"/>
  <c r="H19" i="1"/>
  <c r="I19" i="1"/>
  <c r="L19" i="1"/>
  <c r="H20" i="1"/>
  <c r="I20" i="1"/>
  <c r="L20" i="1"/>
  <c r="H21" i="1"/>
  <c r="I21" i="1"/>
  <c r="L21" i="1"/>
  <c r="H22" i="1"/>
  <c r="I22" i="1"/>
  <c r="L22" i="1"/>
  <c r="H23" i="1"/>
  <c r="I23" i="1"/>
  <c r="L23" i="1"/>
  <c r="H24" i="1"/>
  <c r="I24" i="1"/>
  <c r="L24" i="1"/>
  <c r="H25" i="1"/>
  <c r="I25" i="1"/>
  <c r="L25" i="1"/>
  <c r="H26" i="1"/>
  <c r="I26" i="1"/>
  <c r="L26" i="1"/>
  <c r="H27" i="1"/>
  <c r="I27" i="1"/>
  <c r="L27" i="1"/>
  <c r="H28" i="1"/>
  <c r="I28" i="1"/>
  <c r="L28" i="1"/>
  <c r="H29" i="1"/>
  <c r="I29" i="1"/>
  <c r="L29" i="1"/>
  <c r="H30" i="1"/>
  <c r="I30" i="1"/>
  <c r="L30" i="1"/>
  <c r="H31" i="1"/>
  <c r="I31" i="1"/>
  <c r="L31" i="1"/>
  <c r="H32" i="1"/>
  <c r="I32" i="1"/>
  <c r="L32" i="1"/>
  <c r="H33" i="1"/>
  <c r="I33" i="1"/>
  <c r="L33" i="1"/>
  <c r="H34" i="1"/>
  <c r="I34" i="1"/>
  <c r="L34" i="1"/>
  <c r="H35" i="1"/>
  <c r="I35" i="1"/>
  <c r="L35" i="1"/>
  <c r="H36" i="1"/>
  <c r="I36" i="1"/>
  <c r="L36" i="1"/>
  <c r="H37" i="1"/>
  <c r="I37" i="1"/>
  <c r="L37" i="1"/>
  <c r="H38" i="1"/>
  <c r="I38" i="1"/>
  <c r="L38" i="1"/>
  <c r="H39" i="1"/>
  <c r="I39" i="1"/>
  <c r="L39" i="1"/>
  <c r="H40" i="1"/>
  <c r="I40" i="1"/>
  <c r="L40" i="1"/>
  <c r="H41" i="1"/>
  <c r="I41" i="1"/>
  <c r="L41" i="1"/>
  <c r="H42" i="1"/>
  <c r="I42" i="1"/>
  <c r="L42" i="1"/>
  <c r="H43" i="1"/>
  <c r="I43" i="1"/>
  <c r="L43" i="1"/>
  <c r="H44" i="1"/>
  <c r="I44" i="1"/>
  <c r="L44" i="1"/>
  <c r="H45" i="1"/>
  <c r="I45" i="1"/>
  <c r="L45" i="1"/>
  <c r="H46" i="1"/>
  <c r="I46" i="1"/>
  <c r="L46" i="1"/>
  <c r="H47" i="1"/>
  <c r="I47" i="1"/>
  <c r="L47" i="1"/>
  <c r="H48" i="1"/>
  <c r="I48" i="1"/>
  <c r="L48" i="1"/>
  <c r="H49" i="1"/>
  <c r="I49" i="1"/>
  <c r="L49" i="1"/>
  <c r="H50" i="1"/>
  <c r="I50" i="1"/>
  <c r="L50" i="1"/>
  <c r="H51" i="1"/>
  <c r="I51" i="1"/>
  <c r="L51" i="1"/>
  <c r="H52" i="1"/>
  <c r="I52" i="1"/>
  <c r="L52" i="1"/>
  <c r="H53" i="1"/>
  <c r="I53" i="1"/>
  <c r="L53" i="1"/>
  <c r="H54" i="1"/>
  <c r="I54" i="1"/>
  <c r="L54" i="1"/>
  <c r="H55" i="1"/>
  <c r="I55" i="1"/>
  <c r="L55" i="1"/>
  <c r="H56" i="1"/>
  <c r="I56" i="1"/>
  <c r="L56" i="1"/>
  <c r="H57" i="1"/>
  <c r="I57" i="1"/>
  <c r="L57" i="1"/>
  <c r="H58" i="1"/>
  <c r="I58" i="1"/>
  <c r="L58" i="1"/>
  <c r="H59" i="1"/>
  <c r="I59" i="1"/>
  <c r="L59" i="1"/>
  <c r="H60" i="1"/>
  <c r="I60" i="1"/>
  <c r="H61" i="1"/>
  <c r="I61" i="1"/>
  <c r="L61" i="1"/>
  <c r="H62" i="1"/>
  <c r="I62" i="1"/>
  <c r="L62" i="1"/>
  <c r="H63" i="1"/>
  <c r="I63" i="1"/>
  <c r="L63" i="1"/>
  <c r="H64" i="1"/>
  <c r="I64" i="1"/>
  <c r="L64" i="1"/>
  <c r="H65" i="1"/>
  <c r="I65" i="1"/>
  <c r="L65" i="1"/>
  <c r="H66" i="1"/>
  <c r="I66" i="1"/>
  <c r="L66" i="1"/>
  <c r="H67" i="1"/>
  <c r="I67" i="1"/>
  <c r="L67" i="1"/>
  <c r="H68" i="1"/>
  <c r="I68" i="1"/>
  <c r="L68" i="1"/>
  <c r="H69" i="1"/>
  <c r="I69" i="1"/>
  <c r="L69" i="1"/>
  <c r="H70" i="1"/>
  <c r="I70" i="1"/>
  <c r="L70" i="1"/>
  <c r="H71" i="1"/>
  <c r="I71" i="1"/>
  <c r="L71" i="1"/>
  <c r="H72" i="1"/>
  <c r="I72" i="1"/>
  <c r="L72" i="1"/>
  <c r="H73" i="1"/>
  <c r="I73" i="1"/>
  <c r="L73" i="1"/>
  <c r="H74" i="1"/>
  <c r="I74" i="1"/>
  <c r="H75" i="1"/>
  <c r="I75" i="1"/>
  <c r="L75" i="1"/>
  <c r="H77" i="1"/>
  <c r="I77" i="1"/>
  <c r="L77" i="1"/>
  <c r="H78" i="1"/>
  <c r="I78" i="1"/>
  <c r="L78" i="1"/>
  <c r="H79" i="1"/>
  <c r="I79" i="1"/>
  <c r="L79" i="1"/>
  <c r="H80" i="1"/>
  <c r="I80" i="1"/>
  <c r="L80" i="1"/>
  <c r="H81" i="1"/>
  <c r="I81" i="1"/>
  <c r="L81" i="1"/>
  <c r="H82" i="1"/>
  <c r="I82" i="1"/>
  <c r="L82" i="1"/>
  <c r="H83" i="1"/>
  <c r="I83" i="1"/>
  <c r="L83" i="1"/>
  <c r="H84" i="1"/>
  <c r="I84" i="1"/>
  <c r="L84" i="1"/>
  <c r="H85" i="1"/>
  <c r="I85" i="1"/>
  <c r="L85" i="1"/>
  <c r="H87" i="1"/>
  <c r="I87" i="1"/>
  <c r="L87" i="1"/>
  <c r="H88" i="1"/>
  <c r="I88" i="1"/>
  <c r="L88" i="1"/>
  <c r="H89" i="1"/>
  <c r="I89" i="1"/>
  <c r="L89" i="1"/>
  <c r="H90" i="1"/>
  <c r="I90" i="1"/>
  <c r="L90" i="1"/>
  <c r="H91" i="1"/>
  <c r="I91" i="1"/>
  <c r="L91" i="1"/>
  <c r="H92" i="1"/>
  <c r="I92" i="1"/>
  <c r="L92" i="1"/>
  <c r="H93" i="1"/>
  <c r="I93" i="1"/>
  <c r="L93" i="1"/>
  <c r="H94" i="1"/>
  <c r="I94" i="1"/>
  <c r="L94" i="1"/>
  <c r="H95" i="1"/>
  <c r="I95" i="1"/>
  <c r="L95" i="1"/>
  <c r="H97" i="1"/>
  <c r="I97" i="1"/>
  <c r="L97" i="1"/>
  <c r="H98" i="1"/>
  <c r="I98" i="1"/>
  <c r="L98" i="1"/>
  <c r="H99" i="1"/>
  <c r="I99" i="1"/>
  <c r="L99" i="1"/>
  <c r="H100" i="1"/>
  <c r="I100" i="1"/>
  <c r="L100" i="1"/>
  <c r="H101" i="1"/>
  <c r="I101" i="1"/>
  <c r="L101" i="1"/>
  <c r="H102" i="1"/>
  <c r="I102" i="1"/>
  <c r="L102" i="1"/>
  <c r="H103" i="1"/>
  <c r="I103" i="1"/>
  <c r="L103" i="1"/>
  <c r="H105" i="1"/>
  <c r="I105" i="1"/>
  <c r="L105" i="1"/>
  <c r="H106" i="1"/>
  <c r="I106" i="1"/>
  <c r="L106" i="1"/>
  <c r="H107" i="1"/>
  <c r="I107" i="1"/>
  <c r="L107" i="1"/>
  <c r="H108" i="1"/>
  <c r="I108" i="1"/>
  <c r="L108" i="1"/>
  <c r="H109" i="1"/>
  <c r="I109" i="1"/>
  <c r="L109" i="1"/>
  <c r="H110" i="1"/>
  <c r="I110" i="1"/>
  <c r="L110" i="1"/>
  <c r="H112" i="1"/>
  <c r="I112" i="1"/>
  <c r="L112" i="1"/>
  <c r="H113" i="1"/>
  <c r="I113" i="1"/>
  <c r="L113" i="1"/>
  <c r="H114" i="1"/>
  <c r="I114" i="1"/>
  <c r="L114" i="1"/>
  <c r="H115" i="1"/>
  <c r="I115" i="1"/>
  <c r="L115" i="1"/>
  <c r="H116" i="1"/>
  <c r="I116" i="1"/>
  <c r="L116" i="1"/>
  <c r="H117" i="1"/>
  <c r="I117" i="1"/>
  <c r="L117" i="1"/>
  <c r="H118" i="1"/>
  <c r="I118" i="1"/>
  <c r="L118" i="1"/>
  <c r="H119" i="1"/>
  <c r="I119" i="1"/>
  <c r="L119" i="1"/>
  <c r="H121" i="1"/>
  <c r="I121" i="1"/>
  <c r="L121" i="1"/>
  <c r="H122" i="1"/>
  <c r="I122" i="1"/>
  <c r="L122" i="1"/>
  <c r="H123" i="1"/>
  <c r="I123" i="1"/>
  <c r="L123" i="1"/>
  <c r="H124" i="1"/>
  <c r="I124" i="1"/>
  <c r="L124" i="1"/>
  <c r="H125" i="1"/>
  <c r="I125" i="1"/>
  <c r="L125" i="1"/>
  <c r="H126" i="1"/>
  <c r="I126" i="1"/>
  <c r="L126" i="1"/>
  <c r="H127" i="1"/>
  <c r="I127" i="1"/>
  <c r="L127" i="1"/>
  <c r="H128" i="1"/>
  <c r="I128" i="1"/>
  <c r="L128" i="1"/>
  <c r="H129" i="1"/>
  <c r="I129" i="1"/>
  <c r="L129" i="1"/>
  <c r="H130" i="1"/>
  <c r="I130" i="1"/>
  <c r="L130" i="1"/>
  <c r="H131" i="1"/>
  <c r="I131" i="1"/>
  <c r="L131" i="1"/>
  <c r="H132" i="1"/>
  <c r="I132" i="1"/>
  <c r="L132" i="1"/>
  <c r="H133" i="1"/>
  <c r="I133" i="1"/>
  <c r="L133" i="1"/>
  <c r="H134" i="1"/>
  <c r="I134" i="1"/>
  <c r="L134" i="1"/>
  <c r="H135" i="1"/>
  <c r="I135" i="1"/>
  <c r="L135" i="1"/>
  <c r="H136" i="1"/>
  <c r="I136" i="1"/>
  <c r="L136" i="1"/>
  <c r="H137" i="1"/>
  <c r="I137" i="1"/>
  <c r="L137" i="1"/>
  <c r="H138" i="1"/>
  <c r="I138" i="1"/>
  <c r="L138" i="1"/>
  <c r="H139" i="1"/>
  <c r="I139" i="1"/>
  <c r="L139" i="1"/>
  <c r="H140" i="1"/>
  <c r="I140" i="1"/>
  <c r="L140" i="1"/>
  <c r="H141" i="1"/>
  <c r="I141" i="1"/>
  <c r="L141" i="1"/>
  <c r="H143" i="1"/>
  <c r="I143" i="1"/>
  <c r="L143" i="1"/>
  <c r="H144" i="1"/>
  <c r="I144" i="1"/>
  <c r="L144" i="1"/>
  <c r="H145" i="1"/>
  <c r="I145" i="1"/>
  <c r="L145" i="1"/>
  <c r="H146" i="1"/>
  <c r="I146" i="1"/>
  <c r="L146" i="1"/>
  <c r="H147" i="1"/>
  <c r="I147" i="1"/>
  <c r="L147" i="1"/>
  <c r="H148" i="1"/>
  <c r="I148" i="1"/>
  <c r="L148" i="1"/>
  <c r="H149" i="1"/>
  <c r="I149" i="1"/>
  <c r="L149" i="1"/>
  <c r="H150" i="1"/>
  <c r="I150" i="1"/>
  <c r="L150" i="1"/>
  <c r="H151" i="1"/>
  <c r="I151" i="1"/>
  <c r="L151" i="1"/>
  <c r="H152" i="1"/>
  <c r="I152" i="1"/>
  <c r="L152" i="1"/>
  <c r="H153" i="1"/>
  <c r="I153" i="1"/>
  <c r="L153" i="1"/>
  <c r="H154" i="1"/>
  <c r="I154" i="1"/>
  <c r="L154" i="1"/>
  <c r="H155" i="1"/>
  <c r="I155" i="1"/>
  <c r="L155" i="1"/>
  <c r="H156" i="1"/>
  <c r="I156" i="1"/>
  <c r="L156" i="1"/>
  <c r="H157" i="1"/>
  <c r="I157" i="1"/>
  <c r="L157" i="1"/>
  <c r="H158" i="1"/>
  <c r="I158" i="1"/>
  <c r="L158" i="1"/>
  <c r="H159" i="1"/>
  <c r="I159" i="1"/>
  <c r="L159" i="1"/>
  <c r="H160" i="1"/>
  <c r="I160" i="1"/>
  <c r="L160" i="1"/>
  <c r="H161" i="1"/>
  <c r="I161" i="1"/>
  <c r="L161" i="1"/>
  <c r="H162" i="1"/>
  <c r="I162" i="1"/>
  <c r="L162" i="1"/>
  <c r="H163" i="1"/>
  <c r="I163" i="1"/>
  <c r="L163" i="1"/>
  <c r="H164" i="1"/>
  <c r="I164" i="1"/>
  <c r="L164" i="1"/>
  <c r="H165" i="1"/>
  <c r="I165" i="1"/>
  <c r="L165" i="1"/>
  <c r="H166" i="1"/>
  <c r="I166" i="1"/>
  <c r="L166" i="1"/>
  <c r="H167" i="1"/>
  <c r="I167" i="1"/>
  <c r="L167" i="1"/>
  <c r="H168" i="1"/>
  <c r="I168" i="1"/>
  <c r="L168" i="1"/>
  <c r="H169" i="1"/>
  <c r="I169" i="1"/>
  <c r="L169" i="1"/>
  <c r="H170" i="1"/>
  <c r="I170" i="1"/>
  <c r="L170" i="1"/>
  <c r="H171" i="1"/>
  <c r="I171" i="1"/>
  <c r="L171" i="1"/>
  <c r="H172" i="1"/>
  <c r="I172" i="1"/>
  <c r="L172" i="1"/>
  <c r="H173" i="1"/>
  <c r="I173" i="1"/>
  <c r="L173" i="1"/>
  <c r="H174" i="1"/>
  <c r="I174" i="1"/>
  <c r="L174" i="1"/>
  <c r="H175" i="1"/>
  <c r="I175" i="1"/>
  <c r="L175" i="1"/>
  <c r="H176" i="1"/>
  <c r="I176" i="1"/>
  <c r="L176" i="1"/>
  <c r="H177" i="1"/>
  <c r="I177" i="1"/>
  <c r="L177" i="1"/>
  <c r="H178" i="1"/>
  <c r="I178" i="1"/>
  <c r="L178" i="1"/>
  <c r="H179" i="1"/>
  <c r="I179" i="1"/>
  <c r="L179" i="1"/>
  <c r="H180" i="1"/>
  <c r="I180" i="1"/>
  <c r="L180" i="1"/>
  <c r="H181" i="1"/>
  <c r="I181" i="1"/>
  <c r="L181" i="1"/>
  <c r="H182" i="1"/>
  <c r="I182" i="1"/>
  <c r="L182" i="1"/>
  <c r="H183" i="1"/>
  <c r="I183" i="1"/>
  <c r="L183" i="1"/>
  <c r="H184" i="1"/>
  <c r="I184" i="1"/>
  <c r="L184" i="1"/>
  <c r="H185" i="1"/>
  <c r="I185" i="1"/>
  <c r="L185" i="1"/>
  <c r="H186" i="1"/>
  <c r="I186" i="1"/>
  <c r="L186" i="1"/>
  <c r="H187" i="1"/>
  <c r="I187" i="1"/>
  <c r="L187" i="1"/>
  <c r="H188" i="1"/>
  <c r="I188" i="1"/>
  <c r="L188" i="1"/>
  <c r="H189" i="1"/>
  <c r="I189" i="1"/>
  <c r="L189" i="1"/>
  <c r="H190" i="1"/>
  <c r="I190" i="1"/>
  <c r="L190" i="1"/>
  <c r="H191" i="1"/>
  <c r="I191" i="1"/>
  <c r="L191" i="1"/>
  <c r="H192" i="1"/>
  <c r="I192" i="1"/>
  <c r="L192" i="1"/>
  <c r="H76" i="1"/>
  <c r="I76" i="1"/>
  <c r="L76" i="1"/>
  <c r="H193" i="1"/>
  <c r="I193" i="1"/>
  <c r="L193" i="1"/>
  <c r="H194" i="1"/>
  <c r="I194" i="1"/>
  <c r="L194" i="1"/>
  <c r="H195" i="1"/>
  <c r="I195" i="1"/>
  <c r="L195" i="1"/>
  <c r="H196" i="1"/>
  <c r="I196" i="1"/>
  <c r="L196" i="1"/>
  <c r="H197" i="1"/>
  <c r="I197" i="1"/>
  <c r="L197" i="1"/>
  <c r="H198" i="1"/>
  <c r="I198" i="1"/>
  <c r="L198" i="1"/>
  <c r="H199" i="1"/>
  <c r="I199" i="1"/>
  <c r="L199" i="1"/>
  <c r="H200" i="1"/>
  <c r="I200" i="1"/>
  <c r="L200" i="1"/>
  <c r="H201" i="1"/>
  <c r="I201" i="1"/>
  <c r="L201" i="1"/>
  <c r="H202" i="1"/>
  <c r="I202" i="1"/>
  <c r="L202" i="1"/>
  <c r="H86" i="1"/>
  <c r="I86" i="1"/>
  <c r="L86" i="1"/>
  <c r="H203" i="1"/>
  <c r="I203" i="1"/>
  <c r="L203" i="1"/>
  <c r="H204" i="1"/>
  <c r="I204" i="1"/>
  <c r="L204" i="1"/>
  <c r="H205" i="1"/>
  <c r="I205" i="1"/>
  <c r="L205" i="1"/>
  <c r="H206" i="1"/>
  <c r="I206" i="1"/>
  <c r="L206" i="1"/>
  <c r="H207" i="1"/>
  <c r="I207" i="1"/>
  <c r="L207" i="1"/>
  <c r="H208" i="1"/>
  <c r="I208" i="1"/>
  <c r="L208" i="1"/>
  <c r="H209" i="1"/>
  <c r="I209" i="1"/>
  <c r="L209" i="1"/>
  <c r="H210" i="1"/>
  <c r="I210" i="1"/>
  <c r="L210" i="1"/>
  <c r="H211" i="1"/>
  <c r="I211" i="1"/>
  <c r="L211" i="1"/>
  <c r="H212" i="1"/>
  <c r="I212" i="1"/>
  <c r="L212" i="1"/>
  <c r="H213" i="1"/>
  <c r="I213" i="1"/>
  <c r="L213" i="1"/>
  <c r="H214" i="1"/>
  <c r="I214" i="1"/>
  <c r="L214" i="1"/>
  <c r="H96" i="1"/>
  <c r="I96" i="1"/>
  <c r="L96" i="1"/>
  <c r="H215" i="1"/>
  <c r="I215" i="1"/>
  <c r="L215" i="1"/>
  <c r="H216" i="1"/>
  <c r="I216" i="1"/>
  <c r="L216" i="1"/>
  <c r="H217" i="1"/>
  <c r="I217" i="1"/>
  <c r="L217" i="1"/>
  <c r="H218" i="1"/>
  <c r="I218" i="1"/>
  <c r="L218" i="1"/>
  <c r="H219" i="1"/>
  <c r="I219" i="1"/>
  <c r="L219" i="1"/>
  <c r="H220" i="1"/>
  <c r="I220" i="1"/>
  <c r="L220" i="1"/>
  <c r="H221" i="1"/>
  <c r="I221" i="1"/>
  <c r="L221" i="1"/>
  <c r="H222" i="1"/>
  <c r="I222" i="1"/>
  <c r="L222" i="1"/>
  <c r="H223" i="1"/>
  <c r="I223" i="1"/>
  <c r="L223" i="1"/>
  <c r="H104" i="1"/>
  <c r="I104" i="1"/>
  <c r="L104" i="1"/>
  <c r="H224" i="1"/>
  <c r="I224" i="1"/>
  <c r="L224" i="1"/>
  <c r="H111" i="1"/>
  <c r="I111" i="1"/>
  <c r="L111" i="1"/>
  <c r="H225" i="1"/>
  <c r="I225" i="1"/>
  <c r="L225" i="1"/>
  <c r="H226" i="1"/>
  <c r="I226" i="1"/>
  <c r="L226" i="1"/>
  <c r="H227" i="1"/>
  <c r="I227" i="1"/>
  <c r="L227" i="1"/>
  <c r="H120" i="1"/>
  <c r="I120" i="1"/>
  <c r="L120" i="1"/>
  <c r="H228" i="1"/>
  <c r="I228" i="1"/>
  <c r="L228" i="1"/>
  <c r="H229" i="1"/>
  <c r="I229" i="1"/>
  <c r="L229" i="1"/>
  <c r="H230" i="1"/>
  <c r="I230" i="1"/>
  <c r="L230" i="1"/>
  <c r="H231" i="1"/>
  <c r="I231" i="1"/>
  <c r="L231" i="1"/>
  <c r="H232" i="1"/>
  <c r="I232" i="1"/>
  <c r="L232" i="1"/>
  <c r="H233" i="1"/>
  <c r="I233" i="1"/>
  <c r="L233" i="1"/>
  <c r="H142" i="1"/>
  <c r="I142" i="1"/>
  <c r="L142" i="1"/>
  <c r="H234" i="1"/>
  <c r="I234" i="1"/>
  <c r="L234" i="1"/>
  <c r="H235" i="1"/>
  <c r="I235" i="1"/>
  <c r="L235" i="1"/>
  <c r="H236" i="1"/>
  <c r="I236" i="1"/>
  <c r="L236" i="1"/>
  <c r="H237" i="1"/>
  <c r="I237" i="1"/>
  <c r="L237" i="1"/>
  <c r="H238" i="1"/>
  <c r="I238" i="1"/>
  <c r="L238" i="1"/>
  <c r="H239" i="1"/>
  <c r="I239" i="1"/>
  <c r="L239" i="1"/>
  <c r="H240" i="1"/>
  <c r="I240" i="1"/>
  <c r="L240" i="1"/>
  <c r="H241" i="1"/>
  <c r="I241" i="1"/>
  <c r="L241" i="1"/>
  <c r="H242" i="1"/>
  <c r="I242" i="1"/>
  <c r="L242" i="1"/>
  <c r="H243" i="1"/>
  <c r="I243" i="1"/>
  <c r="L243" i="1"/>
  <c r="H244" i="1"/>
  <c r="I244" i="1"/>
  <c r="L244" i="1"/>
  <c r="H245" i="1"/>
  <c r="I245" i="1"/>
  <c r="L245" i="1"/>
  <c r="H246" i="1"/>
  <c r="I246" i="1"/>
  <c r="L246" i="1"/>
  <c r="H247" i="1"/>
  <c r="I247" i="1"/>
  <c r="L247" i="1"/>
  <c r="H248" i="1"/>
  <c r="I248" i="1"/>
  <c r="L248" i="1"/>
  <c r="H249" i="1"/>
  <c r="I249" i="1"/>
  <c r="L249" i="1"/>
  <c r="H250" i="1"/>
  <c r="I250" i="1"/>
  <c r="L250" i="1"/>
  <c r="H251" i="1"/>
  <c r="I251" i="1"/>
  <c r="L251" i="1"/>
  <c r="H252" i="1"/>
  <c r="I252" i="1"/>
  <c r="L252" i="1"/>
  <c r="H253" i="1"/>
  <c r="I253" i="1"/>
  <c r="L253" i="1"/>
  <c r="H254" i="1"/>
  <c r="I254" i="1"/>
  <c r="L254" i="1"/>
  <c r="M60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O60" i="1"/>
  <c r="M61" i="1"/>
  <c r="O61" i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7" i="1"/>
  <c r="O77" i="1" s="1"/>
  <c r="M78" i="1"/>
  <c r="O78" i="1" s="1"/>
  <c r="M79" i="1"/>
  <c r="O79" i="1" s="1"/>
  <c r="M80" i="1"/>
  <c r="O80" i="1"/>
  <c r="M81" i="1"/>
  <c r="O81" i="1" s="1"/>
  <c r="M82" i="1"/>
  <c r="O82" i="1" s="1"/>
  <c r="M83" i="1"/>
  <c r="O83" i="1" s="1"/>
  <c r="M84" i="1"/>
  <c r="O84" i="1" s="1"/>
  <c r="M85" i="1"/>
  <c r="O85" i="1" s="1"/>
  <c r="M87" i="1"/>
  <c r="O87" i="1"/>
  <c r="M88" i="1"/>
  <c r="O88" i="1" s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5" i="1"/>
  <c r="O95" i="1" s="1"/>
  <c r="M97" i="1"/>
  <c r="O97" i="1" s="1"/>
  <c r="M98" i="1"/>
  <c r="O98" i="1" s="1"/>
  <c r="M99" i="1"/>
  <c r="O99" i="1"/>
  <c r="M100" i="1"/>
  <c r="O100" i="1" s="1"/>
  <c r="M101" i="1"/>
  <c r="O101" i="1" s="1"/>
  <c r="M102" i="1"/>
  <c r="O102" i="1"/>
  <c r="M103" i="1"/>
  <c r="O103" i="1" s="1"/>
  <c r="M105" i="1"/>
  <c r="O105" i="1" s="1"/>
  <c r="M106" i="1"/>
  <c r="O106" i="1" s="1"/>
  <c r="M107" i="1"/>
  <c r="O107" i="1" s="1"/>
  <c r="M108" i="1"/>
  <c r="O108" i="1" s="1"/>
  <c r="M109" i="1"/>
  <c r="M110" i="1"/>
  <c r="O110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O118" i="1" s="1"/>
  <c r="M119" i="1"/>
  <c r="O119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4" i="1"/>
  <c r="O184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76" i="1"/>
  <c r="O76" i="1" s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O200" i="1" s="1"/>
  <c r="M201" i="1"/>
  <c r="O201" i="1" s="1"/>
  <c r="M202" i="1"/>
  <c r="O202" i="1" s="1"/>
  <c r="M86" i="1"/>
  <c r="O86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O208" i="1" s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96" i="1"/>
  <c r="O96" i="1" s="1"/>
  <c r="M215" i="1"/>
  <c r="O215" i="1" s="1"/>
  <c r="M216" i="1"/>
  <c r="O216" i="1" s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104" i="1"/>
  <c r="O104" i="1" s="1"/>
  <c r="M224" i="1"/>
  <c r="O224" i="1" s="1"/>
  <c r="M111" i="1"/>
  <c r="O111" i="1" s="1"/>
  <c r="M225" i="1"/>
  <c r="O225" i="1" s="1"/>
  <c r="M226" i="1"/>
  <c r="O226" i="1" s="1"/>
  <c r="M227" i="1"/>
  <c r="O227" i="1" s="1"/>
  <c r="M120" i="1"/>
  <c r="O120" i="1" s="1"/>
  <c r="M228" i="1"/>
  <c r="O228" i="1" s="1"/>
  <c r="M229" i="1"/>
  <c r="O229" i="1" s="1"/>
  <c r="M230" i="1"/>
  <c r="O230" i="1" s="1"/>
  <c r="M231" i="1"/>
  <c r="O231" i="1" s="1"/>
  <c r="M232" i="1"/>
  <c r="O232" i="1" s="1"/>
  <c r="M233" i="1"/>
  <c r="O233" i="1" s="1"/>
  <c r="M142" i="1"/>
  <c r="O142" i="1" s="1"/>
  <c r="M234" i="1"/>
  <c r="O234" i="1" s="1"/>
  <c r="M235" i="1"/>
  <c r="O235" i="1" s="1"/>
  <c r="M236" i="1"/>
  <c r="O236" i="1" s="1"/>
  <c r="M237" i="1"/>
  <c r="O237" i="1" s="1"/>
  <c r="M238" i="1"/>
  <c r="O238" i="1" s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O248" i="1" s="1"/>
  <c r="M249" i="1"/>
  <c r="O249" i="1" s="1"/>
  <c r="M250" i="1"/>
  <c r="O250" i="1" s="1"/>
  <c r="M251" i="1"/>
  <c r="O251" i="1" s="1"/>
  <c r="M252" i="1"/>
  <c r="O252" i="1" s="1"/>
  <c r="M253" i="1"/>
  <c r="O253" i="1" s="1"/>
  <c r="M254" i="1"/>
  <c r="O254" i="1" s="1"/>
  <c r="N60" i="1"/>
  <c r="R4" i="1"/>
  <c r="Q4" i="1" s="1"/>
  <c r="H106" i="4"/>
  <c r="I106" i="4" s="1"/>
  <c r="N109" i="1"/>
  <c r="N6" i="1"/>
  <c r="H26" i="4"/>
  <c r="H27" i="4"/>
  <c r="I27" i="4"/>
  <c r="H28" i="4"/>
  <c r="N12" i="1"/>
  <c r="H35" i="4"/>
  <c r="I35" i="4" s="1"/>
  <c r="H36" i="4"/>
  <c r="N18" i="1"/>
  <c r="H43" i="4"/>
  <c r="I43" i="4" s="1"/>
  <c r="H44" i="4"/>
  <c r="N25" i="1"/>
  <c r="H51" i="4"/>
  <c r="I51" i="4" s="1"/>
  <c r="H52" i="4"/>
  <c r="H59" i="4"/>
  <c r="I59" i="4" s="1"/>
  <c r="N40" i="1"/>
  <c r="H60" i="4"/>
  <c r="H67" i="4"/>
  <c r="I67" i="4"/>
  <c r="H68" i="4"/>
  <c r="H75" i="4"/>
  <c r="I75" i="4" s="1"/>
  <c r="H76" i="4"/>
  <c r="H83" i="4"/>
  <c r="I83" i="4" s="1"/>
  <c r="H84" i="4"/>
  <c r="H85" i="4"/>
  <c r="H91" i="4"/>
  <c r="I91" i="4" s="1"/>
  <c r="H92" i="4"/>
  <c r="H100" i="4"/>
  <c r="I100" i="4" s="1"/>
  <c r="H101" i="4"/>
  <c r="H109" i="4"/>
  <c r="I109" i="4" s="1"/>
  <c r="H110" i="4"/>
  <c r="H118" i="4"/>
  <c r="I118" i="4" s="1"/>
  <c r="H119" i="4"/>
  <c r="H127" i="4"/>
  <c r="I127" i="4" s="1"/>
  <c r="H128" i="4"/>
  <c r="H136" i="4"/>
  <c r="I136" i="4" s="1"/>
  <c r="H137" i="4"/>
  <c r="H145" i="4"/>
  <c r="I145" i="4" s="1"/>
  <c r="H146" i="4"/>
  <c r="H153" i="4"/>
  <c r="I153" i="4" s="1"/>
  <c r="H154" i="4"/>
  <c r="H161" i="4"/>
  <c r="I161" i="4" s="1"/>
  <c r="H163" i="4"/>
  <c r="H170" i="4"/>
  <c r="I170" i="4" s="1"/>
  <c r="H171" i="4"/>
  <c r="H172" i="4"/>
  <c r="H178" i="4"/>
  <c r="I178" i="4" s="1"/>
  <c r="H179" i="4"/>
  <c r="H186" i="4"/>
  <c r="I186" i="4" s="1"/>
  <c r="H187" i="4"/>
  <c r="H194" i="4"/>
  <c r="I194" i="4" s="1"/>
  <c r="N175" i="1"/>
  <c r="H195" i="4"/>
  <c r="I195" i="4" s="1"/>
  <c r="H202" i="4"/>
  <c r="I202" i="4" s="1"/>
  <c r="H203" i="4"/>
  <c r="H210" i="4"/>
  <c r="I210" i="4" s="1"/>
  <c r="H211" i="4"/>
  <c r="H217" i="4"/>
  <c r="I217" i="4" s="1"/>
  <c r="H218" i="4"/>
  <c r="H219" i="4"/>
  <c r="H224" i="4"/>
  <c r="I224" i="4" s="1"/>
  <c r="H225" i="4"/>
  <c r="H232" i="4"/>
  <c r="I232" i="4" s="1"/>
  <c r="H233" i="4"/>
  <c r="H239" i="4"/>
  <c r="I239" i="4" s="1"/>
  <c r="H240" i="4"/>
  <c r="N111" i="1"/>
  <c r="N225" i="1"/>
  <c r="H246" i="4"/>
  <c r="H251" i="4"/>
  <c r="H252" i="4"/>
  <c r="I252" i="4" s="1"/>
  <c r="H253" i="4"/>
  <c r="H259" i="4"/>
  <c r="H260" i="4"/>
  <c r="H267" i="4"/>
  <c r="H268" i="4"/>
  <c r="R19" i="4"/>
  <c r="U143" i="4"/>
  <c r="U177" i="4"/>
  <c r="U94" i="4"/>
  <c r="U210" i="4"/>
  <c r="U211" i="4"/>
  <c r="U212" i="4"/>
  <c r="U106" i="4"/>
  <c r="U193" i="4"/>
  <c r="U274" i="4"/>
  <c r="V26" i="4"/>
  <c r="V32" i="4"/>
  <c r="V60" i="4"/>
  <c r="V45" i="4"/>
  <c r="V38" i="4"/>
  <c r="V33" i="4"/>
  <c r="V27" i="4"/>
  <c r="V46" i="4"/>
  <c r="V47" i="4"/>
  <c r="V39" i="4"/>
  <c r="V129" i="4"/>
  <c r="V61" i="4"/>
  <c r="V28" i="4"/>
  <c r="V34" i="4"/>
  <c r="V40" i="4"/>
  <c r="V62" i="4"/>
  <c r="V130" i="4"/>
  <c r="V63" i="4"/>
  <c r="V48" i="4"/>
  <c r="V49" i="4"/>
  <c r="V50" i="4"/>
  <c r="V29" i="4"/>
  <c r="V131" i="4"/>
  <c r="V41" i="4"/>
  <c r="V42" i="4"/>
  <c r="V132" i="4"/>
  <c r="V51" i="4"/>
  <c r="V133" i="4"/>
  <c r="V64" i="4"/>
  <c r="V245" i="4"/>
  <c r="V134" i="4"/>
  <c r="V135" i="4"/>
  <c r="V30" i="4"/>
  <c r="V246" i="4"/>
  <c r="V43" i="4"/>
  <c r="V52" i="4"/>
  <c r="V53" i="4"/>
  <c r="V195" i="4"/>
  <c r="V54" i="4"/>
  <c r="V136" i="4"/>
  <c r="V247" i="4"/>
  <c r="V137" i="4"/>
  <c r="V138" i="4"/>
  <c r="V65" i="4"/>
  <c r="V139" i="4"/>
  <c r="V140" i="4"/>
  <c r="V66" i="4"/>
  <c r="V67" i="4"/>
  <c r="V141" i="4"/>
  <c r="V248" i="4"/>
  <c r="V196" i="4"/>
  <c r="V68" i="4"/>
  <c r="V142" i="4"/>
  <c r="V143" i="4"/>
  <c r="V144" i="4"/>
  <c r="V197" i="4"/>
  <c r="V145" i="4"/>
  <c r="V31" i="4"/>
  <c r="V146" i="4"/>
  <c r="V69" i="4"/>
  <c r="V147" i="4"/>
  <c r="V249" i="4"/>
  <c r="V250" i="4"/>
  <c r="V148" i="4"/>
  <c r="V149" i="4"/>
  <c r="V150" i="4"/>
  <c r="V44" i="4"/>
  <c r="V151" i="4"/>
  <c r="V152" i="4"/>
  <c r="V153" i="4"/>
  <c r="V154" i="4"/>
  <c r="V55" i="4"/>
  <c r="V155" i="4"/>
  <c r="V251" i="4"/>
  <c r="V35" i="4"/>
  <c r="V156" i="4"/>
  <c r="V36" i="4"/>
  <c r="V157" i="4"/>
  <c r="V158" i="4"/>
  <c r="V252" i="4"/>
  <c r="V198" i="4"/>
  <c r="V199" i="4"/>
  <c r="V159" i="4"/>
  <c r="V160" i="4"/>
  <c r="V161" i="4"/>
  <c r="V80" i="4"/>
  <c r="V200" i="4"/>
  <c r="V201" i="4"/>
  <c r="V81" i="4"/>
  <c r="V253" i="4"/>
  <c r="V162" i="4"/>
  <c r="V82" i="4"/>
  <c r="V70" i="4"/>
  <c r="V56" i="4"/>
  <c r="V83" i="4"/>
  <c r="V163" i="4"/>
  <c r="V164" i="4"/>
  <c r="V37" i="4"/>
  <c r="V84" i="4"/>
  <c r="V165" i="4"/>
  <c r="V166" i="4"/>
  <c r="V254" i="4"/>
  <c r="V167" i="4"/>
  <c r="V255" i="4"/>
  <c r="V256" i="4"/>
  <c r="V257" i="4"/>
  <c r="V258" i="4"/>
  <c r="V259" i="4"/>
  <c r="V71" i="4"/>
  <c r="V260" i="4"/>
  <c r="V168" i="4"/>
  <c r="V202" i="4"/>
  <c r="V261" i="4"/>
  <c r="V203" i="4"/>
  <c r="V262" i="4"/>
  <c r="V169" i="4"/>
  <c r="V170" i="4"/>
  <c r="V263" i="4"/>
  <c r="V171" i="4"/>
  <c r="V172" i="4"/>
  <c r="V173" i="4"/>
  <c r="V85" i="4"/>
  <c r="V72" i="4"/>
  <c r="V264" i="4"/>
  <c r="V174" i="4"/>
  <c r="V57" i="4"/>
  <c r="V204" i="4"/>
  <c r="V86" i="4"/>
  <c r="V175" i="4"/>
  <c r="V205" i="4"/>
  <c r="V206" i="4"/>
  <c r="V207" i="4"/>
  <c r="V208" i="4"/>
  <c r="V176" i="4"/>
  <c r="V209" i="4"/>
  <c r="V87" i="4"/>
  <c r="V88" i="4"/>
  <c r="V89" i="4"/>
  <c r="V90" i="4"/>
  <c r="V91" i="4"/>
  <c r="V92" i="4"/>
  <c r="V265" i="4"/>
  <c r="V266" i="4"/>
  <c r="V93" i="4"/>
  <c r="V177" i="4"/>
  <c r="V94" i="4"/>
  <c r="V210" i="4"/>
  <c r="V211" i="4"/>
  <c r="V212" i="4"/>
  <c r="V95" i="4"/>
  <c r="V267" i="4"/>
  <c r="V73" i="4"/>
  <c r="V96" i="4"/>
  <c r="V213" i="4"/>
  <c r="V97" i="4"/>
  <c r="V178" i="4"/>
  <c r="V179" i="4"/>
  <c r="V214" i="4"/>
  <c r="V180" i="4"/>
  <c r="V74" i="4"/>
  <c r="V75" i="4"/>
  <c r="V181" i="4"/>
  <c r="V98" i="4"/>
  <c r="V99" i="4"/>
  <c r="V215" i="4"/>
  <c r="V76" i="4"/>
  <c r="V182" i="4"/>
  <c r="V100" i="4"/>
  <c r="V58" i="4"/>
  <c r="V216" i="4"/>
  <c r="V101" i="4"/>
  <c r="V102" i="4"/>
  <c r="V268" i="4"/>
  <c r="V103" i="4"/>
  <c r="V217" i="4"/>
  <c r="V183" i="4"/>
  <c r="V218" i="4"/>
  <c r="V104" i="4"/>
  <c r="V219" i="4"/>
  <c r="V220" i="4"/>
  <c r="V221" i="4"/>
  <c r="V222" i="4"/>
  <c r="V105" i="4"/>
  <c r="V106" i="4"/>
  <c r="V223" i="4"/>
  <c r="V107" i="4"/>
  <c r="V224" i="4"/>
  <c r="V225" i="4"/>
  <c r="V108" i="4"/>
  <c r="V109" i="4"/>
  <c r="V269" i="4"/>
  <c r="V226" i="4"/>
  <c r="V227" i="4"/>
  <c r="V228" i="4"/>
  <c r="V110" i="4"/>
  <c r="V111" i="4"/>
  <c r="V229" i="4"/>
  <c r="V112" i="4"/>
  <c r="V230" i="4"/>
  <c r="V184" i="4"/>
  <c r="V185" i="4"/>
  <c r="V186" i="4"/>
  <c r="V231" i="4"/>
  <c r="V232" i="4"/>
  <c r="V233" i="4"/>
  <c r="V59" i="4"/>
  <c r="V77" i="4"/>
  <c r="V113" i="4"/>
  <c r="V114" i="4"/>
  <c r="V115" i="4"/>
  <c r="V234" i="4"/>
  <c r="V116" i="4"/>
  <c r="V117" i="4"/>
  <c r="V235" i="4"/>
  <c r="V118" i="4"/>
  <c r="V236" i="4"/>
  <c r="V78" i="4"/>
  <c r="V119" i="4"/>
  <c r="V237" i="4"/>
  <c r="V238" i="4"/>
  <c r="V79" i="4"/>
  <c r="V239" i="4"/>
  <c r="V240" i="4"/>
  <c r="V270" i="4"/>
  <c r="V271" i="4"/>
  <c r="V241" i="4"/>
  <c r="V120" i="4"/>
  <c r="V187" i="4"/>
  <c r="V121" i="4"/>
  <c r="V188" i="4"/>
  <c r="V122" i="4"/>
  <c r="V123" i="4"/>
  <c r="V189" i="4"/>
  <c r="V242" i="4"/>
  <c r="V243" i="4"/>
  <c r="V190" i="4"/>
  <c r="V191" i="4"/>
  <c r="V192" i="4"/>
  <c r="V124" i="4"/>
  <c r="V193" i="4"/>
  <c r="V125" i="4"/>
  <c r="V272" i="4"/>
  <c r="V194" i="4"/>
  <c r="V244" i="4"/>
  <c r="V126" i="4"/>
  <c r="V273" i="4"/>
  <c r="V127" i="4"/>
  <c r="V128" i="4"/>
  <c r="V274" i="4"/>
  <c r="F26" i="21"/>
  <c r="G26" i="21"/>
  <c r="I26" i="21"/>
  <c r="L26" i="21"/>
  <c r="O26" i="21"/>
  <c r="Q26" i="21"/>
  <c r="E6" i="22"/>
  <c r="F6" i="22"/>
  <c r="G6" i="22"/>
  <c r="H6" i="22"/>
  <c r="I6" i="22"/>
  <c r="L6" i="22"/>
  <c r="E7" i="22"/>
  <c r="F7" i="22"/>
  <c r="G7" i="22"/>
  <c r="H7" i="22"/>
  <c r="I7" i="22"/>
  <c r="L7" i="22"/>
  <c r="E8" i="22"/>
  <c r="F8" i="22"/>
  <c r="G8" i="22"/>
  <c r="H8" i="22"/>
  <c r="I8" i="22"/>
  <c r="L8" i="22"/>
  <c r="E9" i="22"/>
  <c r="F9" i="22"/>
  <c r="G9" i="22"/>
  <c r="H9" i="22"/>
  <c r="I9" i="22"/>
  <c r="L9" i="22"/>
  <c r="E10" i="22"/>
  <c r="F10" i="22"/>
  <c r="G10" i="22"/>
  <c r="H10" i="22"/>
  <c r="I10" i="22"/>
  <c r="L10" i="22"/>
  <c r="E11" i="22"/>
  <c r="F11" i="22"/>
  <c r="G11" i="22"/>
  <c r="H11" i="22"/>
  <c r="I11" i="22"/>
  <c r="L11" i="22"/>
  <c r="E12" i="22"/>
  <c r="F12" i="22"/>
  <c r="G12" i="22"/>
  <c r="H12" i="22"/>
  <c r="I12" i="22"/>
  <c r="L12" i="22"/>
  <c r="E13" i="22"/>
  <c r="F13" i="22"/>
  <c r="G13" i="22"/>
  <c r="H13" i="22"/>
  <c r="I13" i="22"/>
  <c r="L13" i="22"/>
  <c r="E14" i="22"/>
  <c r="F14" i="22"/>
  <c r="G14" i="22"/>
  <c r="H14" i="22"/>
  <c r="I14" i="22"/>
  <c r="L14" i="22"/>
  <c r="E15" i="22"/>
  <c r="F15" i="22"/>
  <c r="G15" i="22"/>
  <c r="H15" i="22"/>
  <c r="I15" i="22"/>
  <c r="L15" i="22"/>
  <c r="E16" i="22"/>
  <c r="F16" i="22"/>
  <c r="G16" i="22"/>
  <c r="H16" i="22"/>
  <c r="I16" i="22"/>
  <c r="L16" i="22"/>
  <c r="E17" i="22"/>
  <c r="F17" i="22"/>
  <c r="G17" i="22"/>
  <c r="H17" i="22"/>
  <c r="I17" i="22"/>
  <c r="L17" i="22"/>
  <c r="E18" i="22"/>
  <c r="F18" i="22"/>
  <c r="G18" i="22"/>
  <c r="H18" i="22"/>
  <c r="I18" i="22"/>
  <c r="L18" i="22"/>
  <c r="E19" i="22"/>
  <c r="F19" i="22"/>
  <c r="G19" i="22"/>
  <c r="H19" i="22"/>
  <c r="I19" i="22"/>
  <c r="L19" i="22"/>
  <c r="E20" i="22"/>
  <c r="F20" i="22"/>
  <c r="G20" i="22"/>
  <c r="H20" i="22"/>
  <c r="I20" i="22"/>
  <c r="L20" i="22"/>
  <c r="E21" i="22"/>
  <c r="F21" i="22"/>
  <c r="G21" i="22"/>
  <c r="H21" i="22"/>
  <c r="I21" i="22"/>
  <c r="L21" i="22"/>
  <c r="E22" i="22"/>
  <c r="F22" i="22"/>
  <c r="G22" i="22"/>
  <c r="H22" i="22"/>
  <c r="I22" i="22"/>
  <c r="L22" i="22"/>
  <c r="E23" i="22"/>
  <c r="F23" i="22"/>
  <c r="G23" i="22"/>
  <c r="H23" i="22"/>
  <c r="I23" i="22"/>
  <c r="L23" i="22"/>
  <c r="E24" i="22"/>
  <c r="F24" i="22"/>
  <c r="G24" i="22"/>
  <c r="H24" i="22"/>
  <c r="I24" i="22"/>
  <c r="L24" i="22"/>
  <c r="E25" i="22"/>
  <c r="F25" i="22"/>
  <c r="G25" i="22"/>
  <c r="H25" i="22"/>
  <c r="I25" i="22"/>
  <c r="L25" i="22"/>
  <c r="E26" i="22"/>
  <c r="F26" i="22"/>
  <c r="G26" i="22"/>
  <c r="H26" i="22"/>
  <c r="I26" i="22"/>
  <c r="L26" i="22"/>
  <c r="E27" i="22"/>
  <c r="F27" i="22"/>
  <c r="G27" i="22"/>
  <c r="H27" i="22"/>
  <c r="I27" i="22"/>
  <c r="L27" i="22"/>
  <c r="E28" i="22"/>
  <c r="F28" i="22"/>
  <c r="G28" i="22"/>
  <c r="H28" i="22"/>
  <c r="I28" i="22"/>
  <c r="L28" i="22"/>
  <c r="E29" i="22"/>
  <c r="F29" i="22"/>
  <c r="G29" i="22"/>
  <c r="H29" i="22"/>
  <c r="I29" i="22"/>
  <c r="L29" i="22"/>
  <c r="E30" i="22"/>
  <c r="F30" i="22"/>
  <c r="G30" i="22"/>
  <c r="H30" i="22"/>
  <c r="I30" i="22"/>
  <c r="L30" i="22"/>
  <c r="E31" i="22"/>
  <c r="F31" i="22"/>
  <c r="G31" i="22"/>
  <c r="H31" i="22"/>
  <c r="I31" i="22"/>
  <c r="L31" i="22"/>
  <c r="E32" i="22"/>
  <c r="F32" i="22"/>
  <c r="G32" i="22"/>
  <c r="H32" i="22"/>
  <c r="I32" i="22"/>
  <c r="L32" i="22"/>
  <c r="E33" i="22"/>
  <c r="F33" i="22"/>
  <c r="G33" i="22"/>
  <c r="H33" i="22"/>
  <c r="I33" i="22"/>
  <c r="L33" i="22"/>
  <c r="E34" i="22"/>
  <c r="F34" i="22"/>
  <c r="G34" i="22"/>
  <c r="H34" i="22"/>
  <c r="I34" i="22"/>
  <c r="L34" i="22"/>
  <c r="E35" i="22"/>
  <c r="F35" i="22"/>
  <c r="G35" i="22"/>
  <c r="H35" i="22"/>
  <c r="I35" i="22"/>
  <c r="L35" i="22"/>
  <c r="E36" i="22"/>
  <c r="F36" i="22"/>
  <c r="G36" i="22"/>
  <c r="H36" i="22"/>
  <c r="I36" i="22"/>
  <c r="L36" i="22"/>
  <c r="E37" i="22"/>
  <c r="F37" i="22"/>
  <c r="G37" i="22"/>
  <c r="H37" i="22"/>
  <c r="I37" i="22"/>
  <c r="L37" i="22"/>
  <c r="E38" i="22"/>
  <c r="F38" i="22"/>
  <c r="G38" i="22"/>
  <c r="H38" i="22"/>
  <c r="I38" i="22"/>
  <c r="L38" i="22"/>
  <c r="E39" i="22"/>
  <c r="F39" i="22"/>
  <c r="G39" i="22"/>
  <c r="H39" i="22"/>
  <c r="I39" i="22"/>
  <c r="L39" i="22"/>
  <c r="E40" i="22"/>
  <c r="F40" i="22"/>
  <c r="G40" i="22"/>
  <c r="H40" i="22"/>
  <c r="I40" i="22"/>
  <c r="L40" i="22"/>
  <c r="E41" i="22"/>
  <c r="F41" i="22"/>
  <c r="G41" i="22"/>
  <c r="H41" i="22"/>
  <c r="I41" i="22"/>
  <c r="L41" i="22"/>
  <c r="E42" i="22"/>
  <c r="F42" i="22"/>
  <c r="G42" i="22"/>
  <c r="H42" i="22"/>
  <c r="I42" i="22"/>
  <c r="L42" i="22"/>
  <c r="E43" i="22"/>
  <c r="F43" i="22"/>
  <c r="G43" i="22"/>
  <c r="H43" i="22"/>
  <c r="I43" i="22"/>
  <c r="L43" i="22"/>
  <c r="E44" i="22"/>
  <c r="F44" i="22"/>
  <c r="G44" i="22"/>
  <c r="H44" i="22"/>
  <c r="I44" i="22"/>
  <c r="L44" i="22"/>
  <c r="E45" i="22"/>
  <c r="F45" i="22"/>
  <c r="G45" i="22"/>
  <c r="H45" i="22"/>
  <c r="I45" i="22"/>
  <c r="L45" i="22"/>
  <c r="E46" i="22"/>
  <c r="F46" i="22"/>
  <c r="G46" i="22"/>
  <c r="H46" i="22"/>
  <c r="I46" i="22"/>
  <c r="L46" i="22"/>
  <c r="E47" i="22"/>
  <c r="F47" i="22"/>
  <c r="G47" i="22"/>
  <c r="H47" i="22"/>
  <c r="I47" i="22"/>
  <c r="L47" i="22"/>
  <c r="E48" i="22"/>
  <c r="F48" i="22"/>
  <c r="G48" i="22"/>
  <c r="H48" i="22"/>
  <c r="I48" i="22"/>
  <c r="L48" i="22"/>
  <c r="E49" i="22"/>
  <c r="F49" i="22"/>
  <c r="G49" i="22"/>
  <c r="H49" i="22"/>
  <c r="I49" i="22"/>
  <c r="L49" i="22"/>
  <c r="E50" i="22"/>
  <c r="F50" i="22"/>
  <c r="G50" i="22"/>
  <c r="H50" i="22"/>
  <c r="I50" i="22"/>
  <c r="L50" i="22"/>
  <c r="E51" i="22"/>
  <c r="F51" i="22"/>
  <c r="G51" i="22"/>
  <c r="H51" i="22"/>
  <c r="I51" i="22"/>
  <c r="L51" i="22"/>
  <c r="E52" i="22"/>
  <c r="F52" i="22"/>
  <c r="G52" i="22"/>
  <c r="H52" i="22"/>
  <c r="I52" i="22"/>
  <c r="L52" i="22"/>
  <c r="E53" i="22"/>
  <c r="F53" i="22"/>
  <c r="G53" i="22"/>
  <c r="H53" i="22"/>
  <c r="I53" i="22"/>
  <c r="L53" i="22"/>
  <c r="E54" i="22"/>
  <c r="F54" i="22"/>
  <c r="G54" i="22"/>
  <c r="H54" i="22"/>
  <c r="I54" i="22"/>
  <c r="L54" i="22"/>
  <c r="E55" i="22"/>
  <c r="F55" i="22"/>
  <c r="G55" i="22"/>
  <c r="H55" i="22"/>
  <c r="I55" i="22"/>
  <c r="L55" i="22"/>
  <c r="E56" i="22"/>
  <c r="F56" i="22"/>
  <c r="G56" i="22"/>
  <c r="H56" i="22"/>
  <c r="I56" i="22"/>
  <c r="L56" i="22"/>
  <c r="E57" i="22"/>
  <c r="F57" i="22"/>
  <c r="G57" i="22"/>
  <c r="H57" i="22"/>
  <c r="I57" i="22"/>
  <c r="L57" i="22"/>
  <c r="E58" i="22"/>
  <c r="F58" i="22"/>
  <c r="G58" i="22"/>
  <c r="H58" i="22"/>
  <c r="I58" i="22"/>
  <c r="L58" i="22"/>
  <c r="E59" i="22"/>
  <c r="F59" i="22"/>
  <c r="G59" i="22"/>
  <c r="H59" i="22"/>
  <c r="I59" i="22"/>
  <c r="L59" i="22"/>
  <c r="E60" i="22"/>
  <c r="F60" i="22"/>
  <c r="G60" i="22"/>
  <c r="H60" i="22"/>
  <c r="I60" i="22"/>
  <c r="L60" i="22"/>
  <c r="E61" i="22"/>
  <c r="F61" i="22"/>
  <c r="G61" i="22"/>
  <c r="H61" i="22"/>
  <c r="I61" i="22"/>
  <c r="L61" i="22"/>
  <c r="E62" i="22"/>
  <c r="F62" i="22"/>
  <c r="G62" i="22"/>
  <c r="H62" i="22"/>
  <c r="I62" i="22"/>
  <c r="L62" i="22"/>
  <c r="E63" i="22"/>
  <c r="F63" i="22"/>
  <c r="G63" i="22"/>
  <c r="H63" i="22"/>
  <c r="I63" i="22"/>
  <c r="L63" i="22"/>
  <c r="E64" i="22"/>
  <c r="F64" i="22"/>
  <c r="G64" i="22"/>
  <c r="H64" i="22"/>
  <c r="I64" i="22"/>
  <c r="L64" i="22"/>
  <c r="E65" i="22"/>
  <c r="F65" i="22"/>
  <c r="G65" i="22"/>
  <c r="H65" i="22"/>
  <c r="I65" i="22"/>
  <c r="L65" i="22"/>
  <c r="E66" i="22"/>
  <c r="F66" i="22"/>
  <c r="G66" i="22"/>
  <c r="H66" i="22"/>
  <c r="I66" i="22"/>
  <c r="L66" i="22"/>
  <c r="E67" i="22"/>
  <c r="F67" i="22"/>
  <c r="G67" i="22"/>
  <c r="H67" i="22"/>
  <c r="I67" i="22"/>
  <c r="L67" i="22"/>
  <c r="E68" i="22"/>
  <c r="F68" i="22"/>
  <c r="G68" i="22"/>
  <c r="H68" i="22"/>
  <c r="I68" i="22"/>
  <c r="L68" i="22"/>
  <c r="E69" i="22"/>
  <c r="F69" i="22"/>
  <c r="G69" i="22"/>
  <c r="H69" i="22"/>
  <c r="I69" i="22"/>
  <c r="L69" i="22"/>
  <c r="E70" i="22"/>
  <c r="F70" i="22"/>
  <c r="G70" i="22"/>
  <c r="H70" i="22"/>
  <c r="I70" i="22"/>
  <c r="L70" i="22"/>
  <c r="E71" i="22"/>
  <c r="F71" i="22"/>
  <c r="G71" i="22"/>
  <c r="H71" i="22"/>
  <c r="I71" i="22"/>
  <c r="L71" i="22"/>
  <c r="E72" i="22"/>
  <c r="F72" i="22"/>
  <c r="G72" i="22"/>
  <c r="H72" i="22"/>
  <c r="I72" i="22"/>
  <c r="L72" i="22"/>
  <c r="E73" i="22"/>
  <c r="F73" i="22"/>
  <c r="G73" i="22"/>
  <c r="H73" i="22"/>
  <c r="I73" i="22"/>
  <c r="L73" i="22"/>
  <c r="E74" i="22"/>
  <c r="F74" i="22"/>
  <c r="G74" i="22"/>
  <c r="H74" i="22"/>
  <c r="I74" i="22"/>
  <c r="L74" i="22"/>
  <c r="E75" i="22"/>
  <c r="F75" i="22"/>
  <c r="G75" i="22"/>
  <c r="H75" i="22"/>
  <c r="I75" i="22"/>
  <c r="L75" i="22"/>
  <c r="E76" i="22"/>
  <c r="F76" i="22"/>
  <c r="G76" i="22"/>
  <c r="H76" i="22"/>
  <c r="I76" i="22"/>
  <c r="L76" i="22"/>
  <c r="E77" i="22"/>
  <c r="F77" i="22"/>
  <c r="G77" i="22"/>
  <c r="H77" i="22"/>
  <c r="I77" i="22"/>
  <c r="L77" i="22"/>
  <c r="E78" i="22"/>
  <c r="F78" i="22"/>
  <c r="G78" i="22"/>
  <c r="H78" i="22"/>
  <c r="I78" i="22"/>
  <c r="L78" i="22"/>
  <c r="E79" i="22"/>
  <c r="F79" i="22"/>
  <c r="G79" i="22"/>
  <c r="H79" i="22"/>
  <c r="I79" i="22"/>
  <c r="L79" i="22"/>
  <c r="E80" i="22"/>
  <c r="F80" i="22"/>
  <c r="G80" i="22"/>
  <c r="H80" i="22"/>
  <c r="I80" i="22"/>
  <c r="L80" i="22"/>
  <c r="E81" i="22"/>
  <c r="F81" i="22"/>
  <c r="G81" i="22"/>
  <c r="H81" i="22"/>
  <c r="I81" i="22"/>
  <c r="L81" i="22"/>
  <c r="E82" i="22"/>
  <c r="F82" i="22"/>
  <c r="G82" i="22"/>
  <c r="H82" i="22"/>
  <c r="I82" i="22"/>
  <c r="L82" i="22"/>
  <c r="E83" i="22"/>
  <c r="F83" i="22"/>
  <c r="G83" i="22"/>
  <c r="H83" i="22"/>
  <c r="I83" i="22"/>
  <c r="L83" i="22"/>
  <c r="E84" i="22"/>
  <c r="F84" i="22"/>
  <c r="G84" i="22"/>
  <c r="H84" i="22"/>
  <c r="I84" i="22"/>
  <c r="L84" i="22"/>
  <c r="E85" i="22"/>
  <c r="F85" i="22"/>
  <c r="G85" i="22"/>
  <c r="H85" i="22"/>
  <c r="I85" i="22"/>
  <c r="L85" i="22"/>
  <c r="E86" i="22"/>
  <c r="F86" i="22"/>
  <c r="G86" i="22"/>
  <c r="H86" i="22"/>
  <c r="I86" i="22"/>
  <c r="L86" i="22"/>
  <c r="E87" i="22"/>
  <c r="F87" i="22"/>
  <c r="G87" i="22"/>
  <c r="H87" i="22"/>
  <c r="I87" i="22"/>
  <c r="L87" i="22"/>
  <c r="E88" i="22"/>
  <c r="F88" i="22"/>
  <c r="G88" i="22"/>
  <c r="H88" i="22"/>
  <c r="I88" i="22"/>
  <c r="L88" i="22"/>
  <c r="E89" i="22"/>
  <c r="F89" i="22"/>
  <c r="G89" i="22"/>
  <c r="H89" i="22"/>
  <c r="I89" i="22"/>
  <c r="L89" i="22"/>
  <c r="E90" i="22"/>
  <c r="F90" i="22"/>
  <c r="G90" i="22"/>
  <c r="H90" i="22"/>
  <c r="I90" i="22"/>
  <c r="L90" i="22"/>
  <c r="E91" i="22"/>
  <c r="F91" i="22"/>
  <c r="G91" i="22"/>
  <c r="H91" i="22"/>
  <c r="I91" i="22"/>
  <c r="L91" i="22"/>
  <c r="E92" i="22"/>
  <c r="F92" i="22"/>
  <c r="G92" i="22"/>
  <c r="H92" i="22"/>
  <c r="I92" i="22"/>
  <c r="L92" i="22"/>
  <c r="E93" i="22"/>
  <c r="F93" i="22"/>
  <c r="G93" i="22"/>
  <c r="H93" i="22"/>
  <c r="I93" i="22"/>
  <c r="L93" i="22"/>
  <c r="E94" i="22"/>
  <c r="F94" i="22"/>
  <c r="G94" i="22"/>
  <c r="H94" i="22"/>
  <c r="I94" i="22"/>
  <c r="L94" i="22"/>
  <c r="E95" i="22"/>
  <c r="F95" i="22"/>
  <c r="G95" i="22"/>
  <c r="H95" i="22"/>
  <c r="I95" i="22"/>
  <c r="L95" i="22"/>
  <c r="E96" i="22"/>
  <c r="F96" i="22"/>
  <c r="G96" i="22"/>
  <c r="H96" i="22"/>
  <c r="I96" i="22"/>
  <c r="L96" i="22"/>
  <c r="E97" i="22"/>
  <c r="F97" i="22"/>
  <c r="G97" i="22"/>
  <c r="H97" i="22"/>
  <c r="I97" i="22"/>
  <c r="L97" i="22"/>
  <c r="E98" i="22"/>
  <c r="F98" i="22"/>
  <c r="G98" i="22"/>
  <c r="H98" i="22"/>
  <c r="I98" i="22"/>
  <c r="L98" i="22"/>
  <c r="E99" i="22"/>
  <c r="F99" i="22"/>
  <c r="G99" i="22"/>
  <c r="H99" i="22"/>
  <c r="I99" i="22"/>
  <c r="L99" i="22"/>
  <c r="E100" i="22"/>
  <c r="F100" i="22"/>
  <c r="G100" i="22"/>
  <c r="H100" i="22"/>
  <c r="I100" i="22"/>
  <c r="L100" i="22"/>
  <c r="E101" i="22"/>
  <c r="F101" i="22"/>
  <c r="G101" i="22"/>
  <c r="H101" i="22"/>
  <c r="I101" i="22"/>
  <c r="L101" i="22"/>
  <c r="E102" i="22"/>
  <c r="F102" i="22"/>
  <c r="G102" i="22"/>
  <c r="H102" i="22"/>
  <c r="I102" i="22"/>
  <c r="L102" i="22"/>
  <c r="E103" i="22"/>
  <c r="F103" i="22"/>
  <c r="G103" i="22"/>
  <c r="H103" i="22"/>
  <c r="I103" i="22"/>
  <c r="L103" i="22"/>
  <c r="E104" i="22"/>
  <c r="F104" i="22"/>
  <c r="G104" i="22"/>
  <c r="H104" i="22"/>
  <c r="I104" i="22"/>
  <c r="L104" i="22"/>
  <c r="E105" i="22"/>
  <c r="F105" i="22"/>
  <c r="G105" i="22"/>
  <c r="H105" i="22"/>
  <c r="I105" i="22"/>
  <c r="L105" i="22"/>
  <c r="E106" i="22"/>
  <c r="F106" i="22"/>
  <c r="G106" i="22"/>
  <c r="H106" i="22"/>
  <c r="I106" i="22"/>
  <c r="L106" i="22"/>
  <c r="E107" i="22"/>
  <c r="F107" i="22"/>
  <c r="G107" i="22"/>
  <c r="H107" i="22"/>
  <c r="I107" i="22"/>
  <c r="L107" i="22"/>
  <c r="E108" i="22"/>
  <c r="F108" i="22"/>
  <c r="G108" i="22"/>
  <c r="H108" i="22"/>
  <c r="I108" i="22"/>
  <c r="L108" i="22"/>
  <c r="E109" i="22"/>
  <c r="F109" i="22"/>
  <c r="G109" i="22"/>
  <c r="H109" i="22"/>
  <c r="I109" i="22"/>
  <c r="L109" i="22"/>
  <c r="E110" i="22"/>
  <c r="F110" i="22"/>
  <c r="G110" i="22"/>
  <c r="H110" i="22"/>
  <c r="I110" i="22"/>
  <c r="L110" i="22"/>
  <c r="E111" i="22"/>
  <c r="F111" i="22"/>
  <c r="G111" i="22"/>
  <c r="H111" i="22"/>
  <c r="I111" i="22"/>
  <c r="L111" i="22"/>
  <c r="E112" i="22"/>
  <c r="F112" i="22"/>
  <c r="G112" i="22"/>
  <c r="H112" i="22"/>
  <c r="I112" i="22"/>
  <c r="L112" i="22"/>
  <c r="E113" i="22"/>
  <c r="F113" i="22"/>
  <c r="G113" i="22"/>
  <c r="H113" i="22"/>
  <c r="I113" i="22"/>
  <c r="L113" i="22"/>
  <c r="E114" i="22"/>
  <c r="F114" i="22"/>
  <c r="G114" i="22"/>
  <c r="H114" i="22"/>
  <c r="I114" i="22"/>
  <c r="L114" i="22"/>
  <c r="E115" i="22"/>
  <c r="F115" i="22"/>
  <c r="G115" i="22"/>
  <c r="H115" i="22"/>
  <c r="I115" i="22"/>
  <c r="L115" i="22"/>
  <c r="E116" i="22"/>
  <c r="F116" i="22"/>
  <c r="G116" i="22"/>
  <c r="H116" i="22"/>
  <c r="I116" i="22"/>
  <c r="L116" i="22"/>
  <c r="E117" i="22"/>
  <c r="F117" i="22"/>
  <c r="G117" i="22"/>
  <c r="H117" i="22"/>
  <c r="I117" i="22"/>
  <c r="L117" i="22"/>
  <c r="E118" i="22"/>
  <c r="F118" i="22"/>
  <c r="G118" i="22"/>
  <c r="H118" i="22"/>
  <c r="I118" i="22"/>
  <c r="L118" i="22"/>
  <c r="E119" i="22"/>
  <c r="F119" i="22"/>
  <c r="G119" i="22"/>
  <c r="H119" i="22"/>
  <c r="I119" i="22"/>
  <c r="L119" i="22"/>
  <c r="E120" i="22"/>
  <c r="F120" i="22"/>
  <c r="G120" i="22"/>
  <c r="H120" i="22"/>
  <c r="I120" i="22"/>
  <c r="L120" i="22"/>
  <c r="E121" i="22"/>
  <c r="F121" i="22"/>
  <c r="G121" i="22"/>
  <c r="H121" i="22"/>
  <c r="I121" i="22"/>
  <c r="L121" i="22"/>
  <c r="E122" i="22"/>
  <c r="F122" i="22"/>
  <c r="G122" i="22"/>
  <c r="H122" i="22"/>
  <c r="I122" i="22"/>
  <c r="L122" i="22"/>
  <c r="E123" i="22"/>
  <c r="F123" i="22"/>
  <c r="G123" i="22"/>
  <c r="H123" i="22"/>
  <c r="I123" i="22"/>
  <c r="L123" i="22"/>
  <c r="E124" i="22"/>
  <c r="F124" i="22"/>
  <c r="G124" i="22"/>
  <c r="H124" i="22"/>
  <c r="I124" i="22"/>
  <c r="L124" i="22"/>
  <c r="E125" i="22"/>
  <c r="F125" i="22"/>
  <c r="G125" i="22"/>
  <c r="H125" i="22"/>
  <c r="I125" i="22"/>
  <c r="L125" i="22"/>
  <c r="E126" i="22"/>
  <c r="F126" i="22"/>
  <c r="G126" i="22"/>
  <c r="H126" i="22"/>
  <c r="I126" i="22"/>
  <c r="L126" i="22"/>
  <c r="E127" i="22"/>
  <c r="F127" i="22"/>
  <c r="G127" i="22"/>
  <c r="H127" i="22"/>
  <c r="I127" i="22"/>
  <c r="L127" i="22"/>
  <c r="E128" i="22"/>
  <c r="F128" i="22"/>
  <c r="G128" i="22"/>
  <c r="H128" i="22"/>
  <c r="I128" i="22"/>
  <c r="L128" i="22"/>
  <c r="E129" i="22"/>
  <c r="F129" i="22"/>
  <c r="G129" i="22"/>
  <c r="H129" i="22"/>
  <c r="I129" i="22"/>
  <c r="L129" i="22"/>
  <c r="E130" i="22"/>
  <c r="F130" i="22"/>
  <c r="G130" i="22"/>
  <c r="H130" i="22"/>
  <c r="I130" i="22"/>
  <c r="L130" i="22"/>
  <c r="E131" i="22"/>
  <c r="F131" i="22"/>
  <c r="G131" i="22"/>
  <c r="H131" i="22"/>
  <c r="I131" i="22"/>
  <c r="L131" i="22"/>
  <c r="E132" i="22"/>
  <c r="F132" i="22"/>
  <c r="G132" i="22"/>
  <c r="H132" i="22"/>
  <c r="I132" i="22"/>
  <c r="L132" i="22"/>
  <c r="E133" i="22"/>
  <c r="F133" i="22"/>
  <c r="G133" i="22"/>
  <c r="H133" i="22"/>
  <c r="I133" i="22"/>
  <c r="L133" i="22"/>
  <c r="E134" i="22"/>
  <c r="F134" i="22"/>
  <c r="G134" i="22"/>
  <c r="H134" i="22"/>
  <c r="I134" i="22"/>
  <c r="L134" i="22"/>
  <c r="E135" i="22"/>
  <c r="F135" i="22"/>
  <c r="G135" i="22"/>
  <c r="H135" i="22"/>
  <c r="I135" i="22"/>
  <c r="L135" i="22"/>
  <c r="E136" i="22"/>
  <c r="F136" i="22"/>
  <c r="G136" i="22"/>
  <c r="H136" i="22"/>
  <c r="I136" i="22"/>
  <c r="L136" i="22"/>
  <c r="E137" i="22"/>
  <c r="F137" i="22"/>
  <c r="G137" i="22"/>
  <c r="H137" i="22"/>
  <c r="I137" i="22"/>
  <c r="L137" i="22"/>
  <c r="E138" i="22"/>
  <c r="F138" i="22"/>
  <c r="G138" i="22"/>
  <c r="H138" i="22"/>
  <c r="I138" i="22"/>
  <c r="L138" i="22"/>
  <c r="E139" i="22"/>
  <c r="F139" i="22"/>
  <c r="G139" i="22"/>
  <c r="H139" i="22"/>
  <c r="I139" i="22"/>
  <c r="L139" i="22"/>
  <c r="E140" i="22"/>
  <c r="F140" i="22"/>
  <c r="G140" i="22"/>
  <c r="H140" i="22"/>
  <c r="I140" i="22"/>
  <c r="L140" i="22"/>
  <c r="E141" i="22"/>
  <c r="F141" i="22"/>
  <c r="G141" i="22"/>
  <c r="H141" i="22"/>
  <c r="I141" i="22"/>
  <c r="L141" i="22"/>
  <c r="E142" i="22"/>
  <c r="F142" i="22"/>
  <c r="G142" i="22"/>
  <c r="H142" i="22"/>
  <c r="I142" i="22"/>
  <c r="L142" i="22"/>
  <c r="E143" i="22"/>
  <c r="F143" i="22"/>
  <c r="G143" i="22"/>
  <c r="H143" i="22"/>
  <c r="I143" i="22"/>
  <c r="L143" i="22"/>
  <c r="E144" i="22"/>
  <c r="F144" i="22"/>
  <c r="G144" i="22"/>
  <c r="H144" i="22"/>
  <c r="I144" i="22"/>
  <c r="L144" i="22"/>
  <c r="E145" i="22"/>
  <c r="F145" i="22"/>
  <c r="G145" i="22"/>
  <c r="H145" i="22"/>
  <c r="I145" i="22"/>
  <c r="L145" i="22"/>
  <c r="E146" i="22"/>
  <c r="F146" i="22"/>
  <c r="G146" i="22"/>
  <c r="H146" i="22"/>
  <c r="I146" i="22"/>
  <c r="L146" i="22"/>
  <c r="E147" i="22"/>
  <c r="F147" i="22"/>
  <c r="G147" i="22"/>
  <c r="H147" i="22"/>
  <c r="I147" i="22"/>
  <c r="L147" i="22"/>
  <c r="E148" i="22"/>
  <c r="F148" i="22"/>
  <c r="G148" i="22"/>
  <c r="H148" i="22"/>
  <c r="I148" i="22"/>
  <c r="L148" i="22"/>
  <c r="E149" i="22"/>
  <c r="F149" i="22"/>
  <c r="G149" i="22"/>
  <c r="H149" i="22"/>
  <c r="I149" i="22"/>
  <c r="L149" i="22"/>
  <c r="E150" i="22"/>
  <c r="F150" i="22"/>
  <c r="G150" i="22"/>
  <c r="H150" i="22"/>
  <c r="I150" i="22"/>
  <c r="L150" i="22"/>
  <c r="E151" i="22"/>
  <c r="F151" i="22"/>
  <c r="G151" i="22"/>
  <c r="H151" i="22"/>
  <c r="I151" i="22"/>
  <c r="L151" i="22"/>
  <c r="E152" i="22"/>
  <c r="F152" i="22"/>
  <c r="G152" i="22"/>
  <c r="H152" i="22"/>
  <c r="I152" i="22"/>
  <c r="L152" i="22"/>
  <c r="E153" i="22"/>
  <c r="F153" i="22"/>
  <c r="G153" i="22"/>
  <c r="H153" i="22"/>
  <c r="I153" i="22"/>
  <c r="L153" i="22"/>
  <c r="E154" i="22"/>
  <c r="F154" i="22"/>
  <c r="G154" i="22"/>
  <c r="H154" i="22"/>
  <c r="I154" i="22"/>
  <c r="L154" i="22"/>
  <c r="E155" i="22"/>
  <c r="F155" i="22"/>
  <c r="G155" i="22"/>
  <c r="H155" i="22"/>
  <c r="I155" i="22"/>
  <c r="L155" i="22"/>
  <c r="E156" i="22"/>
  <c r="F156" i="22"/>
  <c r="G156" i="22"/>
  <c r="H156" i="22"/>
  <c r="I156" i="22"/>
  <c r="L156" i="22"/>
  <c r="E157" i="22"/>
  <c r="F157" i="22"/>
  <c r="G157" i="22"/>
  <c r="H157" i="22"/>
  <c r="I157" i="22"/>
  <c r="L157" i="22"/>
  <c r="E158" i="22"/>
  <c r="F158" i="22"/>
  <c r="G158" i="22"/>
  <c r="H158" i="22"/>
  <c r="I158" i="22"/>
  <c r="L158" i="22"/>
  <c r="E159" i="22"/>
  <c r="F159" i="22"/>
  <c r="G159" i="22"/>
  <c r="H159" i="22"/>
  <c r="I159" i="22"/>
  <c r="L159" i="22"/>
  <c r="E160" i="22"/>
  <c r="F160" i="22"/>
  <c r="G160" i="22"/>
  <c r="H160" i="22"/>
  <c r="I160" i="22"/>
  <c r="L160" i="22"/>
  <c r="E161" i="22"/>
  <c r="F161" i="22"/>
  <c r="G161" i="22"/>
  <c r="H161" i="22"/>
  <c r="I161" i="22"/>
  <c r="L161" i="22"/>
  <c r="E162" i="22"/>
  <c r="F162" i="22"/>
  <c r="G162" i="22"/>
  <c r="H162" i="22"/>
  <c r="I162" i="22"/>
  <c r="L162" i="22"/>
  <c r="E163" i="22"/>
  <c r="F163" i="22"/>
  <c r="G163" i="22"/>
  <c r="H163" i="22"/>
  <c r="I163" i="22"/>
  <c r="L163" i="22"/>
  <c r="E164" i="22"/>
  <c r="F164" i="22"/>
  <c r="G164" i="22"/>
  <c r="H164" i="22"/>
  <c r="I164" i="22"/>
  <c r="L164" i="22"/>
  <c r="E165" i="22"/>
  <c r="F165" i="22"/>
  <c r="G165" i="22"/>
  <c r="H165" i="22"/>
  <c r="I165" i="22"/>
  <c r="L165" i="22"/>
  <c r="E166" i="22"/>
  <c r="F166" i="22"/>
  <c r="G166" i="22"/>
  <c r="H166" i="22"/>
  <c r="I166" i="22"/>
  <c r="L166" i="22"/>
  <c r="E167" i="22"/>
  <c r="F167" i="22"/>
  <c r="G167" i="22"/>
  <c r="H167" i="22"/>
  <c r="I167" i="22"/>
  <c r="L167" i="22"/>
  <c r="E168" i="22"/>
  <c r="F168" i="22"/>
  <c r="G168" i="22"/>
  <c r="H168" i="22"/>
  <c r="I168" i="22"/>
  <c r="L168" i="22"/>
  <c r="E169" i="22"/>
  <c r="F169" i="22"/>
  <c r="G169" i="22"/>
  <c r="H169" i="22"/>
  <c r="I169" i="22"/>
  <c r="L169" i="22"/>
  <c r="E170" i="22"/>
  <c r="F170" i="22"/>
  <c r="G170" i="22"/>
  <c r="H170" i="22"/>
  <c r="I170" i="22"/>
  <c r="L170" i="22"/>
  <c r="E171" i="22"/>
  <c r="F171" i="22"/>
  <c r="G171" i="22"/>
  <c r="H171" i="22"/>
  <c r="I171" i="22"/>
  <c r="L171" i="22"/>
  <c r="E172" i="22"/>
  <c r="F172" i="22"/>
  <c r="G172" i="22"/>
  <c r="H172" i="22"/>
  <c r="I172" i="22"/>
  <c r="L172" i="22"/>
  <c r="E173" i="22"/>
  <c r="F173" i="22"/>
  <c r="G173" i="22"/>
  <c r="H173" i="22"/>
  <c r="I173" i="22"/>
  <c r="L173" i="22"/>
  <c r="E174" i="22"/>
  <c r="F174" i="22"/>
  <c r="G174" i="22"/>
  <c r="H174" i="22"/>
  <c r="I174" i="22"/>
  <c r="L174" i="22"/>
  <c r="E175" i="22"/>
  <c r="F175" i="22"/>
  <c r="G175" i="22"/>
  <c r="H175" i="22"/>
  <c r="I175" i="22"/>
  <c r="L175" i="22"/>
  <c r="E176" i="22"/>
  <c r="F176" i="22"/>
  <c r="G176" i="22"/>
  <c r="H176" i="22"/>
  <c r="I176" i="22"/>
  <c r="L176" i="22"/>
  <c r="E177" i="22"/>
  <c r="F177" i="22"/>
  <c r="G177" i="22"/>
  <c r="H177" i="22"/>
  <c r="I177" i="22"/>
  <c r="L177" i="22"/>
  <c r="E178" i="22"/>
  <c r="F178" i="22"/>
  <c r="G178" i="22"/>
  <c r="H178" i="22"/>
  <c r="I178" i="22"/>
  <c r="L178" i="22"/>
  <c r="E179" i="22"/>
  <c r="F179" i="22"/>
  <c r="G179" i="22"/>
  <c r="H179" i="22"/>
  <c r="I179" i="22"/>
  <c r="L179" i="22"/>
  <c r="E180" i="22"/>
  <c r="F180" i="22"/>
  <c r="G180" i="22"/>
  <c r="H180" i="22"/>
  <c r="I180" i="22"/>
  <c r="L180" i="22"/>
  <c r="E181" i="22"/>
  <c r="F181" i="22"/>
  <c r="G181" i="22"/>
  <c r="H181" i="22"/>
  <c r="I181" i="22"/>
  <c r="L181" i="22"/>
  <c r="E182" i="22"/>
  <c r="F182" i="22"/>
  <c r="G182" i="22"/>
  <c r="H182" i="22"/>
  <c r="I182" i="22"/>
  <c r="L182" i="22"/>
  <c r="E183" i="22"/>
  <c r="F183" i="22"/>
  <c r="G183" i="22"/>
  <c r="H183" i="22"/>
  <c r="I183" i="22"/>
  <c r="L183" i="22"/>
  <c r="E184" i="22"/>
  <c r="F184" i="22"/>
  <c r="G184" i="22"/>
  <c r="H184" i="22"/>
  <c r="I184" i="22"/>
  <c r="L184" i="22"/>
  <c r="E185" i="22"/>
  <c r="F185" i="22"/>
  <c r="G185" i="22"/>
  <c r="H185" i="22"/>
  <c r="I185" i="22"/>
  <c r="L185" i="22"/>
  <c r="E186" i="22"/>
  <c r="F186" i="22"/>
  <c r="G186" i="22"/>
  <c r="H186" i="22"/>
  <c r="I186" i="22"/>
  <c r="L186" i="22"/>
  <c r="E187" i="22"/>
  <c r="F187" i="22"/>
  <c r="G187" i="22"/>
  <c r="H187" i="22"/>
  <c r="I187" i="22"/>
  <c r="L187" i="22"/>
  <c r="E188" i="22"/>
  <c r="F188" i="22"/>
  <c r="G188" i="22"/>
  <c r="H188" i="22"/>
  <c r="I188" i="22"/>
  <c r="L188" i="22"/>
  <c r="E189" i="22"/>
  <c r="F189" i="22"/>
  <c r="G189" i="22"/>
  <c r="H189" i="22"/>
  <c r="I189" i="22"/>
  <c r="L189" i="22"/>
  <c r="E190" i="22"/>
  <c r="F190" i="22"/>
  <c r="G190" i="22"/>
  <c r="H190" i="22"/>
  <c r="I190" i="22"/>
  <c r="L190" i="22"/>
  <c r="E191" i="22"/>
  <c r="F191" i="22"/>
  <c r="G191" i="22"/>
  <c r="H191" i="22"/>
  <c r="I191" i="22"/>
  <c r="L191" i="22"/>
  <c r="E192" i="22"/>
  <c r="F192" i="22"/>
  <c r="G192" i="22"/>
  <c r="H192" i="22"/>
  <c r="I192" i="22"/>
  <c r="L192" i="22"/>
  <c r="E193" i="22"/>
  <c r="F193" i="22"/>
  <c r="G193" i="22"/>
  <c r="H193" i="22"/>
  <c r="I193" i="22"/>
  <c r="L193" i="22"/>
  <c r="E194" i="22"/>
  <c r="F194" i="22"/>
  <c r="G194" i="22"/>
  <c r="H194" i="22"/>
  <c r="I194" i="22"/>
  <c r="L194" i="22"/>
  <c r="E195" i="22"/>
  <c r="F195" i="22"/>
  <c r="G195" i="22"/>
  <c r="H195" i="22"/>
  <c r="I195" i="22"/>
  <c r="L195" i="22"/>
  <c r="E196" i="22"/>
  <c r="F196" i="22"/>
  <c r="G196" i="22"/>
  <c r="H196" i="22"/>
  <c r="I196" i="22"/>
  <c r="L196" i="22"/>
  <c r="E197" i="22"/>
  <c r="F197" i="22"/>
  <c r="G197" i="22"/>
  <c r="H197" i="22"/>
  <c r="I197" i="22"/>
  <c r="L197" i="22"/>
  <c r="E198" i="22"/>
  <c r="F198" i="22"/>
  <c r="G198" i="22"/>
  <c r="H198" i="22"/>
  <c r="I198" i="22"/>
  <c r="L198" i="22"/>
  <c r="E199" i="22"/>
  <c r="F199" i="22"/>
  <c r="G199" i="22"/>
  <c r="H199" i="22"/>
  <c r="I199" i="22"/>
  <c r="L199" i="22"/>
  <c r="E200" i="22"/>
  <c r="F200" i="22"/>
  <c r="G200" i="22"/>
  <c r="H200" i="22"/>
  <c r="I200" i="22"/>
  <c r="L200" i="22"/>
  <c r="E201" i="22"/>
  <c r="F201" i="22"/>
  <c r="G201" i="22"/>
  <c r="H201" i="22"/>
  <c r="I201" i="22"/>
  <c r="L201" i="22"/>
  <c r="E202" i="22"/>
  <c r="F202" i="22"/>
  <c r="G202" i="22"/>
  <c r="H202" i="22"/>
  <c r="I202" i="22"/>
  <c r="L202" i="22"/>
  <c r="E203" i="22"/>
  <c r="F203" i="22"/>
  <c r="G203" i="22"/>
  <c r="H203" i="22"/>
  <c r="I203" i="22"/>
  <c r="L203" i="22"/>
  <c r="E204" i="22"/>
  <c r="F204" i="22"/>
  <c r="G204" i="22"/>
  <c r="H204" i="22"/>
  <c r="I204" i="22"/>
  <c r="L204" i="22"/>
  <c r="E205" i="22"/>
  <c r="F205" i="22"/>
  <c r="G205" i="22"/>
  <c r="H205" i="22"/>
  <c r="I205" i="22"/>
  <c r="L205" i="22"/>
  <c r="E206" i="22"/>
  <c r="F206" i="22"/>
  <c r="G206" i="22"/>
  <c r="H206" i="22"/>
  <c r="I206" i="22"/>
  <c r="L206" i="22"/>
  <c r="E207" i="22"/>
  <c r="F207" i="22"/>
  <c r="G207" i="22"/>
  <c r="H207" i="22"/>
  <c r="I207" i="22"/>
  <c r="L207" i="22"/>
  <c r="E208" i="22"/>
  <c r="F208" i="22"/>
  <c r="G208" i="22"/>
  <c r="H208" i="22"/>
  <c r="I208" i="22"/>
  <c r="L208" i="22"/>
  <c r="E209" i="22"/>
  <c r="F209" i="22"/>
  <c r="G209" i="22"/>
  <c r="H209" i="22"/>
  <c r="I209" i="22"/>
  <c r="L209" i="22"/>
  <c r="E210" i="22"/>
  <c r="F210" i="22"/>
  <c r="G210" i="22"/>
  <c r="H210" i="22"/>
  <c r="I210" i="22"/>
  <c r="L210" i="22"/>
  <c r="E211" i="22"/>
  <c r="F211" i="22"/>
  <c r="G211" i="22"/>
  <c r="H211" i="22"/>
  <c r="I211" i="22"/>
  <c r="L211" i="22"/>
  <c r="E212" i="22"/>
  <c r="F212" i="22"/>
  <c r="G212" i="22"/>
  <c r="H212" i="22"/>
  <c r="I212" i="22"/>
  <c r="L212" i="22"/>
  <c r="E213" i="22"/>
  <c r="F213" i="22"/>
  <c r="G213" i="22"/>
  <c r="H213" i="22"/>
  <c r="I213" i="22"/>
  <c r="L213" i="22"/>
  <c r="E214" i="22"/>
  <c r="F214" i="22"/>
  <c r="G214" i="22"/>
  <c r="H214" i="22"/>
  <c r="I214" i="22"/>
  <c r="L214" i="22"/>
  <c r="E215" i="22"/>
  <c r="F215" i="22"/>
  <c r="G215" i="22"/>
  <c r="H215" i="22"/>
  <c r="I215" i="22"/>
  <c r="L215" i="22"/>
  <c r="E216" i="22"/>
  <c r="F216" i="22"/>
  <c r="G216" i="22"/>
  <c r="H216" i="22"/>
  <c r="I216" i="22"/>
  <c r="L216" i="22"/>
  <c r="E217" i="22"/>
  <c r="F217" i="22"/>
  <c r="G217" i="22"/>
  <c r="H217" i="22"/>
  <c r="I217" i="22"/>
  <c r="L217" i="22"/>
  <c r="E218" i="22"/>
  <c r="F218" i="22"/>
  <c r="G218" i="22"/>
  <c r="H218" i="22"/>
  <c r="I218" i="22"/>
  <c r="L218" i="22"/>
  <c r="E219" i="22"/>
  <c r="F219" i="22"/>
  <c r="G219" i="22"/>
  <c r="H219" i="22"/>
  <c r="I219" i="22"/>
  <c r="L219" i="22"/>
  <c r="E220" i="22"/>
  <c r="F220" i="22"/>
  <c r="G220" i="22"/>
  <c r="H220" i="22"/>
  <c r="I220" i="22"/>
  <c r="L220" i="22"/>
  <c r="E221" i="22"/>
  <c r="F221" i="22"/>
  <c r="G221" i="22"/>
  <c r="H221" i="22"/>
  <c r="I221" i="22"/>
  <c r="L221" i="22"/>
  <c r="E222" i="22"/>
  <c r="F222" i="22"/>
  <c r="G222" i="22"/>
  <c r="H222" i="22"/>
  <c r="I222" i="22"/>
  <c r="L222" i="22"/>
  <c r="E223" i="22"/>
  <c r="F223" i="22"/>
  <c r="G223" i="22"/>
  <c r="H223" i="22"/>
  <c r="I223" i="22"/>
  <c r="L223" i="22"/>
  <c r="E224" i="22"/>
  <c r="F224" i="22"/>
  <c r="G224" i="22"/>
  <c r="H224" i="22"/>
  <c r="I224" i="22"/>
  <c r="L224" i="22"/>
  <c r="E225" i="22"/>
  <c r="F225" i="22"/>
  <c r="G225" i="22"/>
  <c r="H225" i="22"/>
  <c r="I225" i="22"/>
  <c r="L225" i="22"/>
  <c r="E226" i="22"/>
  <c r="F226" i="22"/>
  <c r="G226" i="22"/>
  <c r="H226" i="22"/>
  <c r="I226" i="22"/>
  <c r="L226" i="22"/>
  <c r="E227" i="22"/>
  <c r="F227" i="22"/>
  <c r="G227" i="22"/>
  <c r="H227" i="22"/>
  <c r="I227" i="22"/>
  <c r="L227" i="22"/>
  <c r="E228" i="22"/>
  <c r="F228" i="22"/>
  <c r="G228" i="22"/>
  <c r="H228" i="22"/>
  <c r="I228" i="22"/>
  <c r="L228" i="22"/>
  <c r="E229" i="22"/>
  <c r="F229" i="22"/>
  <c r="G229" i="22"/>
  <c r="H229" i="22"/>
  <c r="I229" i="22"/>
  <c r="L229" i="22"/>
  <c r="E230" i="22"/>
  <c r="F230" i="22"/>
  <c r="G230" i="22"/>
  <c r="H230" i="22"/>
  <c r="I230" i="22"/>
  <c r="L230" i="22"/>
  <c r="E231" i="22"/>
  <c r="F231" i="22"/>
  <c r="G231" i="22"/>
  <c r="H231" i="22"/>
  <c r="I231" i="22"/>
  <c r="L231" i="22"/>
  <c r="E232" i="22"/>
  <c r="F232" i="22"/>
  <c r="G232" i="22"/>
  <c r="H232" i="22"/>
  <c r="I232" i="22"/>
  <c r="L232" i="22"/>
  <c r="E233" i="22"/>
  <c r="F233" i="22"/>
  <c r="G233" i="22"/>
  <c r="H233" i="22"/>
  <c r="I233" i="22"/>
  <c r="L233" i="22"/>
  <c r="E234" i="22"/>
  <c r="F234" i="22"/>
  <c r="G234" i="22"/>
  <c r="H234" i="22"/>
  <c r="I234" i="22"/>
  <c r="L234" i="22"/>
  <c r="E235" i="22"/>
  <c r="F235" i="22"/>
  <c r="G235" i="22"/>
  <c r="H235" i="22"/>
  <c r="I235" i="22"/>
  <c r="L235" i="22"/>
  <c r="E236" i="22"/>
  <c r="F236" i="22"/>
  <c r="G236" i="22"/>
  <c r="H236" i="22"/>
  <c r="I236" i="22"/>
  <c r="L236" i="22"/>
  <c r="E237" i="22"/>
  <c r="F237" i="22"/>
  <c r="G237" i="22"/>
  <c r="H237" i="22"/>
  <c r="I237" i="22"/>
  <c r="L237" i="22"/>
  <c r="E238" i="22"/>
  <c r="F238" i="22"/>
  <c r="G238" i="22"/>
  <c r="H238" i="22"/>
  <c r="I238" i="22"/>
  <c r="L238" i="22"/>
  <c r="E239" i="22"/>
  <c r="F239" i="22"/>
  <c r="G239" i="22"/>
  <c r="H239" i="22"/>
  <c r="I239" i="22"/>
  <c r="L239" i="22"/>
  <c r="E240" i="22"/>
  <c r="F240" i="22"/>
  <c r="G240" i="22"/>
  <c r="H240" i="22"/>
  <c r="I240" i="22"/>
  <c r="L240" i="22"/>
  <c r="E241" i="22"/>
  <c r="F241" i="22"/>
  <c r="G241" i="22"/>
  <c r="H241" i="22"/>
  <c r="I241" i="22"/>
  <c r="L241" i="22"/>
  <c r="E242" i="22"/>
  <c r="F242" i="22"/>
  <c r="G242" i="22"/>
  <c r="H242" i="22"/>
  <c r="I242" i="22"/>
  <c r="L242" i="22"/>
  <c r="E243" i="22"/>
  <c r="F243" i="22"/>
  <c r="G243" i="22"/>
  <c r="H243" i="22"/>
  <c r="I243" i="22"/>
  <c r="L243" i="22"/>
  <c r="E244" i="22"/>
  <c r="F244" i="22"/>
  <c r="G244" i="22"/>
  <c r="H244" i="22"/>
  <c r="I244" i="22"/>
  <c r="L244" i="22"/>
  <c r="E245" i="22"/>
  <c r="F245" i="22"/>
  <c r="G245" i="22"/>
  <c r="H245" i="22"/>
  <c r="I245" i="22"/>
  <c r="L245" i="22"/>
  <c r="E246" i="22"/>
  <c r="F246" i="22"/>
  <c r="G246" i="22"/>
  <c r="H246" i="22"/>
  <c r="I246" i="22"/>
  <c r="L246" i="22"/>
  <c r="M6" i="22"/>
  <c r="O6" i="22"/>
  <c r="M7" i="22"/>
  <c r="O7" i="22"/>
  <c r="M8" i="22"/>
  <c r="O8" i="22"/>
  <c r="M9" i="22"/>
  <c r="O9" i="22"/>
  <c r="M10" i="22"/>
  <c r="O10" i="22"/>
  <c r="M11" i="22"/>
  <c r="O11" i="22"/>
  <c r="M12" i="22"/>
  <c r="O12" i="22"/>
  <c r="M13" i="22"/>
  <c r="O13" i="22"/>
  <c r="M14" i="22"/>
  <c r="O14" i="22"/>
  <c r="M15" i="22"/>
  <c r="O15" i="22"/>
  <c r="M16" i="22"/>
  <c r="O16" i="22"/>
  <c r="M17" i="22"/>
  <c r="O17" i="22"/>
  <c r="M18" i="22"/>
  <c r="O18" i="22"/>
  <c r="M19" i="22"/>
  <c r="O19" i="22"/>
  <c r="M20" i="22"/>
  <c r="O20" i="22"/>
  <c r="M21" i="22"/>
  <c r="O21" i="22"/>
  <c r="M22" i="22"/>
  <c r="O22" i="22"/>
  <c r="M23" i="22"/>
  <c r="O23" i="22"/>
  <c r="M24" i="22"/>
  <c r="O24" i="22"/>
  <c r="M25" i="22"/>
  <c r="O25" i="22"/>
  <c r="M26" i="22"/>
  <c r="O26" i="22"/>
  <c r="M27" i="22"/>
  <c r="O27" i="22"/>
  <c r="M28" i="22"/>
  <c r="O28" i="22"/>
  <c r="M29" i="22"/>
  <c r="O29" i="22"/>
  <c r="M30" i="22"/>
  <c r="O30" i="22"/>
  <c r="M31" i="22"/>
  <c r="O31" i="22"/>
  <c r="M32" i="22"/>
  <c r="O32" i="22"/>
  <c r="M33" i="22"/>
  <c r="O33" i="22"/>
  <c r="M34" i="22"/>
  <c r="O34" i="22"/>
  <c r="M35" i="22"/>
  <c r="O35" i="22"/>
  <c r="M36" i="22"/>
  <c r="O36" i="22"/>
  <c r="M37" i="22"/>
  <c r="O37" i="22"/>
  <c r="M38" i="22"/>
  <c r="O38" i="22"/>
  <c r="M39" i="22"/>
  <c r="O39" i="22"/>
  <c r="M40" i="22"/>
  <c r="O40" i="22"/>
  <c r="M41" i="22"/>
  <c r="O41" i="22"/>
  <c r="M42" i="22"/>
  <c r="O42" i="22"/>
  <c r="M43" i="22"/>
  <c r="O43" i="22"/>
  <c r="M44" i="22"/>
  <c r="O44" i="22"/>
  <c r="M45" i="22"/>
  <c r="O45" i="22"/>
  <c r="M46" i="22"/>
  <c r="O46" i="22"/>
  <c r="M47" i="22"/>
  <c r="O47" i="22"/>
  <c r="M48" i="22"/>
  <c r="O48" i="22"/>
  <c r="M49" i="22"/>
  <c r="O49" i="22"/>
  <c r="M50" i="22"/>
  <c r="O50" i="22"/>
  <c r="M51" i="22"/>
  <c r="O51" i="22"/>
  <c r="M52" i="22"/>
  <c r="O52" i="22"/>
  <c r="M53" i="22"/>
  <c r="O53" i="22"/>
  <c r="M54" i="22"/>
  <c r="O54" i="22"/>
  <c r="M55" i="22"/>
  <c r="O55" i="22"/>
  <c r="M56" i="22"/>
  <c r="O56" i="22"/>
  <c r="M57" i="22"/>
  <c r="O57" i="22"/>
  <c r="M58" i="22"/>
  <c r="O58" i="22"/>
  <c r="M59" i="22"/>
  <c r="O59" i="22"/>
  <c r="M60" i="22"/>
  <c r="O60" i="22"/>
  <c r="M61" i="22"/>
  <c r="O61" i="22"/>
  <c r="M62" i="22"/>
  <c r="O62" i="22"/>
  <c r="M63" i="22"/>
  <c r="O63" i="22"/>
  <c r="M64" i="22"/>
  <c r="O64" i="22"/>
  <c r="M65" i="22"/>
  <c r="O65" i="22"/>
  <c r="M66" i="22"/>
  <c r="O66" i="22"/>
  <c r="M67" i="22"/>
  <c r="O67" i="22"/>
  <c r="M68" i="22"/>
  <c r="O68" i="22"/>
  <c r="M69" i="22"/>
  <c r="O69" i="22"/>
  <c r="M70" i="22"/>
  <c r="O70" i="22"/>
  <c r="M71" i="22"/>
  <c r="O71" i="22"/>
  <c r="M72" i="22"/>
  <c r="O72" i="22"/>
  <c r="M73" i="22"/>
  <c r="O73" i="22"/>
  <c r="M74" i="22"/>
  <c r="O74" i="22"/>
  <c r="M75" i="22"/>
  <c r="O75" i="22"/>
  <c r="M76" i="22"/>
  <c r="O76" i="22"/>
  <c r="M77" i="22"/>
  <c r="O77" i="22"/>
  <c r="M78" i="22"/>
  <c r="O78" i="22"/>
  <c r="M79" i="22"/>
  <c r="O79" i="22"/>
  <c r="M80" i="22"/>
  <c r="O80" i="22"/>
  <c r="M81" i="22"/>
  <c r="O81" i="22"/>
  <c r="M82" i="22"/>
  <c r="O82" i="22"/>
  <c r="M83" i="22"/>
  <c r="O83" i="22"/>
  <c r="M84" i="22"/>
  <c r="O84" i="22"/>
  <c r="M85" i="22"/>
  <c r="O85" i="22"/>
  <c r="M86" i="22"/>
  <c r="O86" i="22"/>
  <c r="M87" i="22"/>
  <c r="O87" i="22"/>
  <c r="M88" i="22"/>
  <c r="O88" i="22"/>
  <c r="M89" i="22"/>
  <c r="O89" i="22"/>
  <c r="M90" i="22"/>
  <c r="O90" i="22"/>
  <c r="M91" i="22"/>
  <c r="O91" i="22"/>
  <c r="M92" i="22"/>
  <c r="O92" i="22"/>
  <c r="M93" i="22"/>
  <c r="O93" i="22"/>
  <c r="M94" i="22"/>
  <c r="O94" i="22"/>
  <c r="M95" i="22"/>
  <c r="O95" i="22"/>
  <c r="M96" i="22"/>
  <c r="O96" i="22"/>
  <c r="M97" i="22"/>
  <c r="O97" i="22"/>
  <c r="M98" i="22"/>
  <c r="O98" i="22"/>
  <c r="M99" i="22"/>
  <c r="O99" i="22"/>
  <c r="M100" i="22"/>
  <c r="O100" i="22"/>
  <c r="M101" i="22"/>
  <c r="O101" i="22"/>
  <c r="M102" i="22"/>
  <c r="O102" i="22"/>
  <c r="M103" i="22"/>
  <c r="O103" i="22"/>
  <c r="M104" i="22"/>
  <c r="O104" i="22"/>
  <c r="M105" i="22"/>
  <c r="O105" i="22"/>
  <c r="M106" i="22"/>
  <c r="O106" i="22"/>
  <c r="M107" i="22"/>
  <c r="O107" i="22"/>
  <c r="M108" i="22"/>
  <c r="O108" i="22"/>
  <c r="M109" i="22"/>
  <c r="O109" i="22"/>
  <c r="M110" i="22"/>
  <c r="O110" i="22"/>
  <c r="M111" i="22"/>
  <c r="O111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M131" i="22"/>
  <c r="O131" i="22"/>
  <c r="M132" i="22"/>
  <c r="O132" i="22"/>
  <c r="M133" i="22"/>
  <c r="O133" i="22"/>
  <c r="M134" i="22"/>
  <c r="O134" i="22"/>
  <c r="M135" i="22"/>
  <c r="O135" i="22"/>
  <c r="M136" i="22"/>
  <c r="O136" i="22"/>
  <c r="M137" i="22"/>
  <c r="O137" i="22"/>
  <c r="M138" i="22"/>
  <c r="O138" i="22"/>
  <c r="M139" i="22"/>
  <c r="O139" i="22"/>
  <c r="M140" i="22"/>
  <c r="O140" i="22"/>
  <c r="M141" i="22"/>
  <c r="O141" i="22"/>
  <c r="M142" i="22"/>
  <c r="O142" i="22"/>
  <c r="M143" i="22"/>
  <c r="O143" i="22"/>
  <c r="M144" i="22"/>
  <c r="O144" i="22"/>
  <c r="M145" i="22"/>
  <c r="O145" i="22"/>
  <c r="M146" i="22"/>
  <c r="O146" i="22"/>
  <c r="M147" i="22"/>
  <c r="O147" i="22"/>
  <c r="M148" i="22"/>
  <c r="O148" i="22"/>
  <c r="M149" i="22"/>
  <c r="O149" i="22"/>
  <c r="M150" i="22"/>
  <c r="O150" i="22"/>
  <c r="M151" i="22"/>
  <c r="O151" i="22"/>
  <c r="M152" i="22"/>
  <c r="O152" i="22"/>
  <c r="M153" i="22"/>
  <c r="O153" i="22"/>
  <c r="M154" i="22"/>
  <c r="O154" i="22"/>
  <c r="M155" i="22"/>
  <c r="O155" i="22"/>
  <c r="M156" i="22"/>
  <c r="O156" i="22"/>
  <c r="M157" i="22"/>
  <c r="O157" i="22"/>
  <c r="M158" i="22"/>
  <c r="O158" i="22"/>
  <c r="M159" i="22"/>
  <c r="O159" i="22"/>
  <c r="M160" i="22"/>
  <c r="O160" i="22"/>
  <c r="M161" i="22"/>
  <c r="O161" i="22"/>
  <c r="M162" i="22"/>
  <c r="O162" i="22"/>
  <c r="M163" i="22"/>
  <c r="O163" i="22"/>
  <c r="M164" i="22"/>
  <c r="O164" i="22"/>
  <c r="M165" i="22"/>
  <c r="O165" i="22"/>
  <c r="M166" i="22"/>
  <c r="O166" i="22"/>
  <c r="M167" i="22"/>
  <c r="O167" i="22"/>
  <c r="M168" i="22"/>
  <c r="O168" i="22"/>
  <c r="M169" i="22"/>
  <c r="O169" i="22"/>
  <c r="M170" i="22"/>
  <c r="O170" i="22"/>
  <c r="M171" i="22"/>
  <c r="O171" i="22"/>
  <c r="M172" i="22"/>
  <c r="O172" i="22"/>
  <c r="M173" i="22"/>
  <c r="O173" i="22"/>
  <c r="M174" i="22"/>
  <c r="O174" i="22"/>
  <c r="M175" i="22"/>
  <c r="O175" i="22"/>
  <c r="M176" i="22"/>
  <c r="O176" i="22"/>
  <c r="M177" i="22"/>
  <c r="O177" i="22"/>
  <c r="M178" i="22"/>
  <c r="O178" i="22"/>
  <c r="M179" i="22"/>
  <c r="O179" i="22"/>
  <c r="M180" i="22"/>
  <c r="O180" i="22"/>
  <c r="M181" i="22"/>
  <c r="O181" i="22"/>
  <c r="M182" i="22"/>
  <c r="O182" i="22"/>
  <c r="M183" i="22"/>
  <c r="O183" i="22"/>
  <c r="M184" i="22"/>
  <c r="O184" i="22"/>
  <c r="M185" i="22"/>
  <c r="O185" i="22"/>
  <c r="M186" i="22"/>
  <c r="O186" i="22"/>
  <c r="M187" i="22"/>
  <c r="O187" i="22"/>
  <c r="M188" i="22"/>
  <c r="O188" i="22"/>
  <c r="M189" i="22"/>
  <c r="O189" i="22"/>
  <c r="M190" i="22"/>
  <c r="O190" i="22"/>
  <c r="M191" i="22"/>
  <c r="O191" i="22"/>
  <c r="M192" i="22"/>
  <c r="O192" i="22"/>
  <c r="M193" i="22"/>
  <c r="O193" i="22"/>
  <c r="M194" i="22"/>
  <c r="O194" i="22"/>
  <c r="M195" i="22"/>
  <c r="O195" i="22"/>
  <c r="M196" i="22"/>
  <c r="O196" i="22"/>
  <c r="M197" i="22"/>
  <c r="O197" i="22"/>
  <c r="M198" i="22"/>
  <c r="O198" i="22"/>
  <c r="M199" i="22"/>
  <c r="O199" i="22"/>
  <c r="M200" i="22"/>
  <c r="O200" i="22"/>
  <c r="M201" i="22"/>
  <c r="O201" i="22"/>
  <c r="M202" i="22"/>
  <c r="O202" i="22"/>
  <c r="M203" i="22"/>
  <c r="O203" i="22"/>
  <c r="M204" i="22"/>
  <c r="O204" i="22"/>
  <c r="M205" i="22"/>
  <c r="O205" i="22"/>
  <c r="M206" i="22"/>
  <c r="O206" i="22"/>
  <c r="M207" i="22"/>
  <c r="O207" i="22"/>
  <c r="M208" i="22"/>
  <c r="O208" i="22"/>
  <c r="M209" i="22"/>
  <c r="O209" i="22"/>
  <c r="M210" i="22"/>
  <c r="O210" i="22"/>
  <c r="M211" i="22"/>
  <c r="O211" i="22"/>
  <c r="M212" i="22"/>
  <c r="O212" i="22"/>
  <c r="M213" i="22"/>
  <c r="O213" i="22"/>
  <c r="M214" i="22"/>
  <c r="O214" i="22"/>
  <c r="M215" i="22"/>
  <c r="O215" i="22"/>
  <c r="M216" i="22"/>
  <c r="O216" i="22"/>
  <c r="M217" i="22"/>
  <c r="O217" i="22"/>
  <c r="M218" i="22"/>
  <c r="O218" i="22"/>
  <c r="M219" i="22"/>
  <c r="O219" i="22"/>
  <c r="M220" i="22"/>
  <c r="O220" i="22"/>
  <c r="M221" i="22"/>
  <c r="O221" i="22"/>
  <c r="M222" i="22"/>
  <c r="O222" i="22"/>
  <c r="M223" i="22"/>
  <c r="O223" i="22"/>
  <c r="M224" i="22"/>
  <c r="O224" i="22"/>
  <c r="M225" i="22"/>
  <c r="O225" i="22"/>
  <c r="M226" i="22"/>
  <c r="O226" i="22"/>
  <c r="M227" i="22"/>
  <c r="O227" i="22"/>
  <c r="M228" i="22"/>
  <c r="O228" i="22"/>
  <c r="M229" i="22"/>
  <c r="O229" i="22"/>
  <c r="M230" i="22"/>
  <c r="O230" i="22"/>
  <c r="M231" i="22"/>
  <c r="O231" i="22"/>
  <c r="M232" i="22"/>
  <c r="O232" i="22"/>
  <c r="M233" i="22"/>
  <c r="O233" i="22"/>
  <c r="M234" i="22"/>
  <c r="O234" i="22"/>
  <c r="M235" i="22"/>
  <c r="O235" i="22"/>
  <c r="M236" i="22"/>
  <c r="O236" i="22"/>
  <c r="M237" i="22"/>
  <c r="O237" i="22"/>
  <c r="M238" i="22"/>
  <c r="O238" i="22"/>
  <c r="M239" i="22"/>
  <c r="O239" i="22"/>
  <c r="M240" i="22"/>
  <c r="O240" i="22"/>
  <c r="M241" i="22"/>
  <c r="O241" i="22"/>
  <c r="M242" i="22"/>
  <c r="O242" i="22"/>
  <c r="M243" i="22"/>
  <c r="O243" i="22"/>
  <c r="M244" i="22"/>
  <c r="O244" i="22"/>
  <c r="M245" i="22"/>
  <c r="O245" i="22"/>
  <c r="M246" i="22"/>
  <c r="O246" i="22"/>
  <c r="N6" i="22"/>
  <c r="P6" i="22"/>
  <c r="R6" i="22"/>
  <c r="V3" i="21"/>
  <c r="R26" i="21"/>
  <c r="S26" i="21"/>
  <c r="F27" i="21"/>
  <c r="I27" i="21"/>
  <c r="L27" i="21"/>
  <c r="O27" i="21"/>
  <c r="Q27" i="21"/>
  <c r="R27" i="21"/>
  <c r="S27" i="21"/>
  <c r="F28" i="21"/>
  <c r="I28" i="21"/>
  <c r="L28" i="21"/>
  <c r="O28" i="21"/>
  <c r="Q28" i="21"/>
  <c r="R28" i="21"/>
  <c r="S28" i="21"/>
  <c r="F29" i="21"/>
  <c r="I29" i="21"/>
  <c r="L29" i="21"/>
  <c r="O29" i="21"/>
  <c r="Q29" i="21"/>
  <c r="R29" i="21"/>
  <c r="S29" i="21"/>
  <c r="F30" i="21"/>
  <c r="I30" i="21"/>
  <c r="L30" i="21"/>
  <c r="O30" i="21"/>
  <c r="Q30" i="21"/>
  <c r="R30" i="21"/>
  <c r="S30" i="21"/>
  <c r="F31" i="21"/>
  <c r="I31" i="21"/>
  <c r="L31" i="21"/>
  <c r="O31" i="21"/>
  <c r="Q31" i="21"/>
  <c r="R31" i="21"/>
  <c r="S31" i="21"/>
  <c r="F32" i="21"/>
  <c r="I32" i="21"/>
  <c r="L32" i="21"/>
  <c r="O32" i="21"/>
  <c r="Q32" i="21"/>
  <c r="N12" i="22"/>
  <c r="P12" i="22"/>
  <c r="R12" i="22"/>
  <c r="V4" i="21"/>
  <c r="R32" i="21"/>
  <c r="S32" i="21"/>
  <c r="F33" i="21"/>
  <c r="I33" i="21"/>
  <c r="L33" i="21"/>
  <c r="O33" i="21"/>
  <c r="Q33" i="21"/>
  <c r="R33" i="21"/>
  <c r="S33" i="21"/>
  <c r="F34" i="21"/>
  <c r="I34" i="21"/>
  <c r="L34" i="21"/>
  <c r="O34" i="21"/>
  <c r="Q34" i="21"/>
  <c r="R34" i="21"/>
  <c r="S34" i="21"/>
  <c r="F35" i="21"/>
  <c r="I35" i="21"/>
  <c r="L35" i="21"/>
  <c r="O35" i="21"/>
  <c r="Q35" i="21"/>
  <c r="R35" i="21"/>
  <c r="S35" i="21"/>
  <c r="F36" i="21"/>
  <c r="I36" i="21"/>
  <c r="L36" i="21"/>
  <c r="O36" i="21"/>
  <c r="Q36" i="21"/>
  <c r="R36" i="21"/>
  <c r="S36" i="21"/>
  <c r="F37" i="21"/>
  <c r="I37" i="21"/>
  <c r="L37" i="21"/>
  <c r="O37" i="21"/>
  <c r="Q37" i="21"/>
  <c r="R37" i="21"/>
  <c r="S37" i="21"/>
  <c r="F38" i="21"/>
  <c r="I38" i="21"/>
  <c r="L38" i="21"/>
  <c r="O38" i="21"/>
  <c r="Q38" i="21"/>
  <c r="N18" i="22"/>
  <c r="P18" i="22"/>
  <c r="R18" i="22"/>
  <c r="V5" i="21"/>
  <c r="R38" i="21"/>
  <c r="S38" i="21"/>
  <c r="F39" i="21"/>
  <c r="I39" i="21"/>
  <c r="L39" i="21"/>
  <c r="O39" i="21"/>
  <c r="Q39" i="21"/>
  <c r="R39" i="21"/>
  <c r="S39" i="21"/>
  <c r="F40" i="21"/>
  <c r="I40" i="21"/>
  <c r="L40" i="21"/>
  <c r="O40" i="21"/>
  <c r="Q40" i="21"/>
  <c r="R40" i="21"/>
  <c r="S40" i="21"/>
  <c r="F41" i="21"/>
  <c r="I41" i="21"/>
  <c r="L41" i="21"/>
  <c r="O41" i="21"/>
  <c r="Q41" i="21"/>
  <c r="R41" i="21"/>
  <c r="S41" i="21"/>
  <c r="F42" i="21"/>
  <c r="I42" i="21"/>
  <c r="L42" i="21"/>
  <c r="O42" i="21"/>
  <c r="Q42" i="21"/>
  <c r="R42" i="21"/>
  <c r="S42" i="21"/>
  <c r="F43" i="21"/>
  <c r="I43" i="21"/>
  <c r="L43" i="21"/>
  <c r="O43" i="21"/>
  <c r="Q43" i="21"/>
  <c r="R43" i="21"/>
  <c r="S43" i="21"/>
  <c r="F44" i="21"/>
  <c r="I44" i="21"/>
  <c r="L44" i="21"/>
  <c r="O44" i="21"/>
  <c r="Q44" i="21"/>
  <c r="R44" i="21"/>
  <c r="S44" i="21"/>
  <c r="F45" i="21"/>
  <c r="I45" i="21"/>
  <c r="L45" i="21"/>
  <c r="O45" i="21"/>
  <c r="Q45" i="21"/>
  <c r="N25" i="22"/>
  <c r="P25" i="22"/>
  <c r="R25" i="22"/>
  <c r="V6" i="21"/>
  <c r="R45" i="21"/>
  <c r="S45" i="21"/>
  <c r="F46" i="21"/>
  <c r="I46" i="21"/>
  <c r="L46" i="21"/>
  <c r="O46" i="21"/>
  <c r="Q46" i="21"/>
  <c r="R46" i="21"/>
  <c r="S46" i="21"/>
  <c r="F47" i="21"/>
  <c r="I47" i="21"/>
  <c r="L47" i="21"/>
  <c r="O47" i="21"/>
  <c r="Q47" i="21"/>
  <c r="R47" i="21"/>
  <c r="S47" i="21"/>
  <c r="F48" i="21"/>
  <c r="I48" i="21"/>
  <c r="L48" i="21"/>
  <c r="O48" i="21"/>
  <c r="Q48" i="21"/>
  <c r="R48" i="21"/>
  <c r="S48" i="21"/>
  <c r="F49" i="21"/>
  <c r="I49" i="21"/>
  <c r="L49" i="21"/>
  <c r="O49" i="21"/>
  <c r="Q49" i="21"/>
  <c r="R49" i="21"/>
  <c r="S49" i="21"/>
  <c r="F50" i="21"/>
  <c r="I50" i="21"/>
  <c r="L50" i="21"/>
  <c r="O50" i="21"/>
  <c r="Q50" i="21"/>
  <c r="R50" i="21"/>
  <c r="S50" i="21"/>
  <c r="F51" i="21"/>
  <c r="I51" i="21"/>
  <c r="L51" i="21"/>
  <c r="O51" i="21"/>
  <c r="Q51" i="21"/>
  <c r="R51" i="21"/>
  <c r="S51" i="21"/>
  <c r="F52" i="21"/>
  <c r="I52" i="21"/>
  <c r="L52" i="21"/>
  <c r="O52" i="21"/>
  <c r="Q52" i="21"/>
  <c r="R52" i="21"/>
  <c r="S52" i="21"/>
  <c r="F53" i="21"/>
  <c r="I53" i="21"/>
  <c r="L53" i="21"/>
  <c r="O53" i="21"/>
  <c r="Q53" i="21"/>
  <c r="R53" i="21"/>
  <c r="S53" i="21"/>
  <c r="F54" i="21"/>
  <c r="I54" i="21"/>
  <c r="L54" i="21"/>
  <c r="O54" i="21"/>
  <c r="Q54" i="21"/>
  <c r="R54" i="21"/>
  <c r="S54" i="21"/>
  <c r="F55" i="21"/>
  <c r="I55" i="21"/>
  <c r="L55" i="21"/>
  <c r="O55" i="21"/>
  <c r="Q55" i="21"/>
  <c r="R55" i="21"/>
  <c r="S55" i="21"/>
  <c r="F56" i="21"/>
  <c r="I56" i="21"/>
  <c r="L56" i="21"/>
  <c r="O56" i="21"/>
  <c r="Q56" i="21"/>
  <c r="R56" i="21"/>
  <c r="S56" i="21"/>
  <c r="F57" i="21"/>
  <c r="I57" i="21"/>
  <c r="L57" i="21"/>
  <c r="O57" i="21"/>
  <c r="Q57" i="21"/>
  <c r="R57" i="21"/>
  <c r="S57" i="21"/>
  <c r="F58" i="21"/>
  <c r="I58" i="21"/>
  <c r="L58" i="21"/>
  <c r="O58" i="21"/>
  <c r="Q58" i="21"/>
  <c r="R58" i="21"/>
  <c r="S58" i="21"/>
  <c r="F59" i="21"/>
  <c r="I59" i="21"/>
  <c r="L59" i="21"/>
  <c r="O59" i="21"/>
  <c r="Q59" i="21"/>
  <c r="R59" i="21"/>
  <c r="S59" i="21"/>
  <c r="F60" i="21"/>
  <c r="I60" i="21"/>
  <c r="L60" i="21"/>
  <c r="O60" i="21"/>
  <c r="Q60" i="21"/>
  <c r="N40" i="22"/>
  <c r="P40" i="22"/>
  <c r="R40" i="22"/>
  <c r="V7" i="21"/>
  <c r="R60" i="21"/>
  <c r="S60" i="21"/>
  <c r="F61" i="21"/>
  <c r="I61" i="21"/>
  <c r="L61" i="21"/>
  <c r="O61" i="21"/>
  <c r="Q61" i="21"/>
  <c r="R61" i="21"/>
  <c r="S61" i="21"/>
  <c r="F62" i="21"/>
  <c r="I62" i="21"/>
  <c r="L62" i="21"/>
  <c r="O62" i="21"/>
  <c r="Q62" i="21"/>
  <c r="R62" i="21"/>
  <c r="S62" i="21"/>
  <c r="F63" i="21"/>
  <c r="I63" i="21"/>
  <c r="L63" i="21"/>
  <c r="O63" i="21"/>
  <c r="Q63" i="21"/>
  <c r="R63" i="21"/>
  <c r="S63" i="21"/>
  <c r="F64" i="21"/>
  <c r="I64" i="21"/>
  <c r="L64" i="21"/>
  <c r="O64" i="21"/>
  <c r="Q64" i="21"/>
  <c r="R64" i="21"/>
  <c r="S64" i="21"/>
  <c r="F65" i="21"/>
  <c r="I65" i="21"/>
  <c r="L65" i="21"/>
  <c r="O65" i="21"/>
  <c r="Q65" i="21"/>
  <c r="R65" i="21"/>
  <c r="S65" i="21"/>
  <c r="F66" i="21"/>
  <c r="I66" i="21"/>
  <c r="L66" i="21"/>
  <c r="O66" i="21"/>
  <c r="Q66" i="21"/>
  <c r="R66" i="21"/>
  <c r="S66" i="21"/>
  <c r="F67" i="21"/>
  <c r="I67" i="21"/>
  <c r="L67" i="21"/>
  <c r="O67" i="21"/>
  <c r="Q67" i="21"/>
  <c r="R67" i="21"/>
  <c r="S67" i="21"/>
  <c r="F68" i="21"/>
  <c r="I68" i="21"/>
  <c r="L68" i="21"/>
  <c r="O68" i="21"/>
  <c r="Q68" i="21"/>
  <c r="R68" i="21"/>
  <c r="S68" i="21"/>
  <c r="F69" i="21"/>
  <c r="I69" i="21"/>
  <c r="L69" i="21"/>
  <c r="O69" i="21"/>
  <c r="Q69" i="21"/>
  <c r="R69" i="21"/>
  <c r="S69" i="21"/>
  <c r="F70" i="21"/>
  <c r="I70" i="21"/>
  <c r="L70" i="21"/>
  <c r="O70" i="21"/>
  <c r="Q70" i="21"/>
  <c r="R70" i="21"/>
  <c r="S70" i="21"/>
  <c r="F71" i="21"/>
  <c r="I71" i="21"/>
  <c r="L71" i="21"/>
  <c r="O71" i="21"/>
  <c r="Q71" i="21"/>
  <c r="R71" i="21"/>
  <c r="S71" i="21"/>
  <c r="F72" i="21"/>
  <c r="I72" i="21"/>
  <c r="L72" i="21"/>
  <c r="O72" i="21"/>
  <c r="Q72" i="21"/>
  <c r="R72" i="21"/>
  <c r="S72" i="21"/>
  <c r="F73" i="21"/>
  <c r="I73" i="21"/>
  <c r="L73" i="21"/>
  <c r="O73" i="21"/>
  <c r="Q73" i="21"/>
  <c r="R73" i="21"/>
  <c r="S73" i="21"/>
  <c r="F74" i="21"/>
  <c r="I74" i="21"/>
  <c r="L74" i="21"/>
  <c r="O74" i="21"/>
  <c r="Q74" i="21"/>
  <c r="R74" i="21"/>
  <c r="S74" i="21"/>
  <c r="F75" i="21"/>
  <c r="I75" i="21"/>
  <c r="L75" i="21"/>
  <c r="O75" i="21"/>
  <c r="Q75" i="21"/>
  <c r="R75" i="21"/>
  <c r="S75" i="21"/>
  <c r="F76" i="21"/>
  <c r="I76" i="21"/>
  <c r="L76" i="21"/>
  <c r="O76" i="21"/>
  <c r="Q76" i="21"/>
  <c r="R76" i="21"/>
  <c r="S76" i="21"/>
  <c r="F77" i="21"/>
  <c r="I77" i="21"/>
  <c r="L77" i="21"/>
  <c r="O77" i="21"/>
  <c r="Q77" i="21"/>
  <c r="R77" i="21"/>
  <c r="S77" i="21"/>
  <c r="F78" i="21"/>
  <c r="I78" i="21"/>
  <c r="L78" i="21"/>
  <c r="O78" i="21"/>
  <c r="Q78" i="21"/>
  <c r="R78" i="21"/>
  <c r="S78" i="21"/>
  <c r="F79" i="21"/>
  <c r="I79" i="21"/>
  <c r="L79" i="21"/>
  <c r="O79" i="21"/>
  <c r="Q79" i="21"/>
  <c r="R79" i="21"/>
  <c r="S79" i="21"/>
  <c r="F80" i="21"/>
  <c r="I80" i="21"/>
  <c r="L80" i="21"/>
  <c r="O80" i="21"/>
  <c r="Q80" i="21"/>
  <c r="R80" i="21"/>
  <c r="S80" i="21"/>
  <c r="F81" i="21"/>
  <c r="I81" i="21"/>
  <c r="L81" i="21"/>
  <c r="O81" i="21"/>
  <c r="Q81" i="21"/>
  <c r="N61" i="22"/>
  <c r="P61" i="22"/>
  <c r="R61" i="22"/>
  <c r="V8" i="21"/>
  <c r="R81" i="21"/>
  <c r="S81" i="21"/>
  <c r="F82" i="21"/>
  <c r="I82" i="21"/>
  <c r="L82" i="21"/>
  <c r="O82" i="21"/>
  <c r="Q82" i="21"/>
  <c r="R82" i="21"/>
  <c r="S82" i="21"/>
  <c r="F83" i="21"/>
  <c r="I83" i="21"/>
  <c r="L83" i="21"/>
  <c r="O83" i="21"/>
  <c r="Q83" i="21"/>
  <c r="R83" i="21"/>
  <c r="S83" i="21"/>
  <c r="F84" i="21"/>
  <c r="I84" i="21"/>
  <c r="L84" i="21"/>
  <c r="O84" i="21"/>
  <c r="Q84" i="21"/>
  <c r="R84" i="21"/>
  <c r="S84" i="21"/>
  <c r="F85" i="21"/>
  <c r="I85" i="21"/>
  <c r="L85" i="21"/>
  <c r="O85" i="21"/>
  <c r="Q85" i="21"/>
  <c r="R85" i="21"/>
  <c r="S85" i="21"/>
  <c r="F86" i="21"/>
  <c r="I86" i="21"/>
  <c r="L86" i="21"/>
  <c r="O86" i="21"/>
  <c r="Q86" i="21"/>
  <c r="R86" i="21"/>
  <c r="S86" i="21"/>
  <c r="F87" i="21"/>
  <c r="I87" i="21"/>
  <c r="L87" i="21"/>
  <c r="O87" i="21"/>
  <c r="Q87" i="21"/>
  <c r="R87" i="21"/>
  <c r="S87" i="21"/>
  <c r="F88" i="21"/>
  <c r="I88" i="21"/>
  <c r="L88" i="21"/>
  <c r="O88" i="21"/>
  <c r="Q88" i="21"/>
  <c r="R88" i="21"/>
  <c r="S88" i="21"/>
  <c r="F89" i="21"/>
  <c r="I89" i="21"/>
  <c r="L89" i="21"/>
  <c r="O89" i="21"/>
  <c r="Q89" i="21"/>
  <c r="R89" i="21"/>
  <c r="S89" i="21"/>
  <c r="F90" i="21"/>
  <c r="I90" i="21"/>
  <c r="L90" i="21"/>
  <c r="O90" i="21"/>
  <c r="Q90" i="21"/>
  <c r="R90" i="21"/>
  <c r="S90" i="21"/>
  <c r="F91" i="21"/>
  <c r="I91" i="21"/>
  <c r="L91" i="21"/>
  <c r="O91" i="21"/>
  <c r="Q91" i="21"/>
  <c r="R91" i="21"/>
  <c r="S91" i="21"/>
  <c r="F92" i="21"/>
  <c r="I92" i="21"/>
  <c r="L92" i="21"/>
  <c r="O92" i="21"/>
  <c r="Q92" i="21"/>
  <c r="R92" i="21"/>
  <c r="S92" i="21"/>
  <c r="F93" i="21"/>
  <c r="I93" i="21"/>
  <c r="L93" i="21"/>
  <c r="O93" i="21"/>
  <c r="Q93" i="21"/>
  <c r="R93" i="21"/>
  <c r="S93" i="21"/>
  <c r="F94" i="21"/>
  <c r="I94" i="21"/>
  <c r="L94" i="21"/>
  <c r="O94" i="21"/>
  <c r="Q94" i="21"/>
  <c r="R94" i="21"/>
  <c r="S94" i="21"/>
  <c r="F95" i="21"/>
  <c r="I95" i="21"/>
  <c r="L95" i="21"/>
  <c r="O95" i="21"/>
  <c r="Q95" i="21"/>
  <c r="R95" i="21"/>
  <c r="S95" i="21"/>
  <c r="F96" i="21"/>
  <c r="I96" i="21"/>
  <c r="L96" i="21"/>
  <c r="O96" i="21"/>
  <c r="Q96" i="21"/>
  <c r="R96" i="21"/>
  <c r="S96" i="21"/>
  <c r="F97" i="21"/>
  <c r="I97" i="21"/>
  <c r="L97" i="21"/>
  <c r="O97" i="21"/>
  <c r="Q97" i="21"/>
  <c r="R97" i="21"/>
  <c r="S97" i="21"/>
  <c r="F98" i="21"/>
  <c r="I98" i="21"/>
  <c r="L98" i="21"/>
  <c r="O98" i="21"/>
  <c r="Q98" i="21"/>
  <c r="R98" i="21"/>
  <c r="S98" i="21"/>
  <c r="F99" i="21"/>
  <c r="I99" i="21"/>
  <c r="L99" i="21"/>
  <c r="O99" i="21"/>
  <c r="Q99" i="21"/>
  <c r="R99" i="21"/>
  <c r="S99" i="21"/>
  <c r="F100" i="21"/>
  <c r="I100" i="21"/>
  <c r="L100" i="21"/>
  <c r="O100" i="21"/>
  <c r="Q100" i="21"/>
  <c r="R100" i="21"/>
  <c r="S100" i="21"/>
  <c r="F101" i="21"/>
  <c r="I101" i="21"/>
  <c r="L101" i="21"/>
  <c r="O101" i="21"/>
  <c r="Q101" i="21"/>
  <c r="R101" i="21"/>
  <c r="S101" i="21"/>
  <c r="F102" i="21"/>
  <c r="I102" i="21"/>
  <c r="L102" i="21"/>
  <c r="O102" i="21"/>
  <c r="Q102" i="21"/>
  <c r="R102" i="21"/>
  <c r="S102" i="21"/>
  <c r="F103" i="21"/>
  <c r="I103" i="21"/>
  <c r="L103" i="21"/>
  <c r="O103" i="21"/>
  <c r="Q103" i="21"/>
  <c r="R103" i="21"/>
  <c r="S103" i="21"/>
  <c r="F104" i="21"/>
  <c r="I104" i="21"/>
  <c r="L104" i="21"/>
  <c r="O104" i="21"/>
  <c r="Q104" i="21"/>
  <c r="R104" i="21"/>
  <c r="S104" i="21"/>
  <c r="F105" i="21"/>
  <c r="I105" i="21"/>
  <c r="L105" i="21"/>
  <c r="O105" i="21"/>
  <c r="Q105" i="21"/>
  <c r="R105" i="21"/>
  <c r="S105" i="21"/>
  <c r="F106" i="21"/>
  <c r="I106" i="21"/>
  <c r="L106" i="21"/>
  <c r="O106" i="21"/>
  <c r="Q106" i="21"/>
  <c r="R106" i="21"/>
  <c r="S106" i="21"/>
  <c r="F107" i="21"/>
  <c r="I107" i="21"/>
  <c r="L107" i="21"/>
  <c r="O107" i="21"/>
  <c r="Q107" i="21"/>
  <c r="R107" i="21"/>
  <c r="S107" i="21"/>
  <c r="F108" i="21"/>
  <c r="I108" i="21"/>
  <c r="L108" i="21"/>
  <c r="O108" i="21"/>
  <c r="Q108" i="21"/>
  <c r="R108" i="21"/>
  <c r="S108" i="21"/>
  <c r="F109" i="21"/>
  <c r="I109" i="21"/>
  <c r="L109" i="21"/>
  <c r="O109" i="21"/>
  <c r="Q109" i="21"/>
  <c r="R109" i="21"/>
  <c r="S109" i="21"/>
  <c r="F110" i="21"/>
  <c r="I110" i="21"/>
  <c r="L110" i="21"/>
  <c r="O110" i="21"/>
  <c r="Q110" i="21"/>
  <c r="R110" i="21"/>
  <c r="S110" i="21"/>
  <c r="F111" i="21"/>
  <c r="I111" i="21"/>
  <c r="L111" i="21"/>
  <c r="O111" i="21"/>
  <c r="Q111" i="21"/>
  <c r="R111" i="21"/>
  <c r="S111" i="21"/>
  <c r="F112" i="21"/>
  <c r="I112" i="21"/>
  <c r="L112" i="21"/>
  <c r="O112" i="21"/>
  <c r="Q112" i="21"/>
  <c r="R112" i="21"/>
  <c r="S112" i="21"/>
  <c r="F113" i="21"/>
  <c r="I113" i="21"/>
  <c r="L113" i="21"/>
  <c r="O113" i="21"/>
  <c r="Q113" i="21"/>
  <c r="R113" i="21"/>
  <c r="S113" i="21"/>
  <c r="F114" i="21"/>
  <c r="I114" i="21"/>
  <c r="L114" i="21"/>
  <c r="O114" i="21"/>
  <c r="Q114" i="21"/>
  <c r="R114" i="21"/>
  <c r="S114" i="21"/>
  <c r="F115" i="21"/>
  <c r="I115" i="21"/>
  <c r="L115" i="21"/>
  <c r="O115" i="21"/>
  <c r="Q115" i="21"/>
  <c r="R115" i="21"/>
  <c r="S115" i="21"/>
  <c r="F116" i="21"/>
  <c r="I116" i="21"/>
  <c r="L116" i="21"/>
  <c r="O116" i="21"/>
  <c r="Q116" i="21"/>
  <c r="R116" i="21"/>
  <c r="S116" i="21"/>
  <c r="F117" i="21"/>
  <c r="I117" i="21"/>
  <c r="L117" i="21"/>
  <c r="O117" i="21"/>
  <c r="Q117" i="21"/>
  <c r="R117" i="21"/>
  <c r="S117" i="21"/>
  <c r="F118" i="21"/>
  <c r="I118" i="21"/>
  <c r="L118" i="21"/>
  <c r="O118" i="21"/>
  <c r="Q118" i="21"/>
  <c r="R118" i="21"/>
  <c r="S118" i="21"/>
  <c r="F119" i="21"/>
  <c r="I119" i="21"/>
  <c r="L119" i="21"/>
  <c r="O119" i="21"/>
  <c r="Q119" i="21"/>
  <c r="R119" i="21"/>
  <c r="S119" i="21"/>
  <c r="F120" i="21"/>
  <c r="I120" i="21"/>
  <c r="L120" i="21"/>
  <c r="O120" i="21"/>
  <c r="Q120" i="21"/>
  <c r="R120" i="21"/>
  <c r="S120" i="21"/>
  <c r="F121" i="21"/>
  <c r="I121" i="21"/>
  <c r="L121" i="21"/>
  <c r="O121" i="21"/>
  <c r="Q121" i="21"/>
  <c r="R121" i="21"/>
  <c r="S121" i="21"/>
  <c r="F122" i="21"/>
  <c r="I122" i="21"/>
  <c r="L122" i="21"/>
  <c r="O122" i="21"/>
  <c r="Q122" i="21"/>
  <c r="R122" i="21"/>
  <c r="S122" i="21"/>
  <c r="F123" i="21"/>
  <c r="I123" i="21"/>
  <c r="L123" i="21"/>
  <c r="O123" i="21"/>
  <c r="Q123" i="21"/>
  <c r="R123" i="21"/>
  <c r="S123" i="21"/>
  <c r="F124" i="21"/>
  <c r="I124" i="21"/>
  <c r="L124" i="21"/>
  <c r="O124" i="21"/>
  <c r="Q124" i="21"/>
  <c r="R124" i="21"/>
  <c r="S124" i="21"/>
  <c r="F125" i="21"/>
  <c r="I125" i="21"/>
  <c r="L125" i="21"/>
  <c r="O125" i="21"/>
  <c r="Q125" i="21"/>
  <c r="N105" i="22"/>
  <c r="P105" i="22"/>
  <c r="R105" i="22"/>
  <c r="V9" i="21"/>
  <c r="R125" i="21"/>
  <c r="S125" i="21"/>
  <c r="F126" i="21"/>
  <c r="I126" i="21"/>
  <c r="L126" i="21"/>
  <c r="O126" i="21"/>
  <c r="Q126" i="21"/>
  <c r="R126" i="21"/>
  <c r="S126" i="21"/>
  <c r="F127" i="21"/>
  <c r="I127" i="21"/>
  <c r="L127" i="21"/>
  <c r="O127" i="21"/>
  <c r="Q127" i="21"/>
  <c r="R127" i="21"/>
  <c r="S127" i="21"/>
  <c r="F128" i="21"/>
  <c r="I128" i="21"/>
  <c r="L128" i="21"/>
  <c r="O128" i="21"/>
  <c r="Q128" i="21"/>
  <c r="R128" i="21"/>
  <c r="S128" i="21"/>
  <c r="F129" i="21"/>
  <c r="I129" i="21"/>
  <c r="L129" i="21"/>
  <c r="O129" i="21"/>
  <c r="Q129" i="21"/>
  <c r="R129" i="21"/>
  <c r="S129" i="21"/>
  <c r="F130" i="21"/>
  <c r="I130" i="21"/>
  <c r="L130" i="21"/>
  <c r="O130" i="21"/>
  <c r="Q130" i="21"/>
  <c r="R130" i="21"/>
  <c r="S130" i="21"/>
  <c r="F131" i="21"/>
  <c r="I131" i="21"/>
  <c r="L131" i="21"/>
  <c r="O131" i="21"/>
  <c r="Q131" i="21"/>
  <c r="R131" i="21"/>
  <c r="S131" i="21"/>
  <c r="F132" i="21"/>
  <c r="I132" i="21"/>
  <c r="L132" i="21"/>
  <c r="O132" i="21"/>
  <c r="Q132" i="21"/>
  <c r="R132" i="21"/>
  <c r="S132" i="21"/>
  <c r="F133" i="21"/>
  <c r="I133" i="21"/>
  <c r="L133" i="21"/>
  <c r="O133" i="21"/>
  <c r="Q133" i="21"/>
  <c r="R133" i="21"/>
  <c r="S133" i="21"/>
  <c r="F134" i="21"/>
  <c r="I134" i="21"/>
  <c r="L134" i="21"/>
  <c r="O134" i="21"/>
  <c r="Q134" i="21"/>
  <c r="R134" i="21"/>
  <c r="S134" i="21"/>
  <c r="F135" i="21"/>
  <c r="I135" i="21"/>
  <c r="L135" i="21"/>
  <c r="O135" i="21"/>
  <c r="Q135" i="21"/>
  <c r="R135" i="21"/>
  <c r="S135" i="21"/>
  <c r="F136" i="21"/>
  <c r="I136" i="21"/>
  <c r="L136" i="21"/>
  <c r="O136" i="21"/>
  <c r="Q136" i="21"/>
  <c r="R136" i="21"/>
  <c r="S136" i="21"/>
  <c r="F137" i="21"/>
  <c r="I137" i="21"/>
  <c r="L137" i="21"/>
  <c r="O137" i="21"/>
  <c r="Q137" i="21"/>
  <c r="R137" i="21"/>
  <c r="S137" i="21"/>
  <c r="F138" i="21"/>
  <c r="I138" i="21"/>
  <c r="L138" i="21"/>
  <c r="O138" i="21"/>
  <c r="Q138" i="21"/>
  <c r="R138" i="21"/>
  <c r="S138" i="21"/>
  <c r="F139" i="21"/>
  <c r="I139" i="21"/>
  <c r="L139" i="21"/>
  <c r="O139" i="21"/>
  <c r="Q139" i="21"/>
  <c r="R139" i="21"/>
  <c r="S139" i="21"/>
  <c r="F140" i="21"/>
  <c r="I140" i="21"/>
  <c r="L140" i="21"/>
  <c r="O140" i="21"/>
  <c r="Q140" i="21"/>
  <c r="R140" i="21"/>
  <c r="S140" i="21"/>
  <c r="F141" i="21"/>
  <c r="I141" i="21"/>
  <c r="L141" i="21"/>
  <c r="O141" i="21"/>
  <c r="Q141" i="21"/>
  <c r="R141" i="21"/>
  <c r="S141" i="21"/>
  <c r="F142" i="21"/>
  <c r="I142" i="21"/>
  <c r="L142" i="21"/>
  <c r="O142" i="21"/>
  <c r="Q142" i="21"/>
  <c r="R142" i="21"/>
  <c r="S142" i="21"/>
  <c r="F143" i="21"/>
  <c r="I143" i="21"/>
  <c r="L143" i="21"/>
  <c r="O143" i="21"/>
  <c r="Q143" i="21"/>
  <c r="R143" i="21"/>
  <c r="S143" i="21"/>
  <c r="F144" i="21"/>
  <c r="I144" i="21"/>
  <c r="L144" i="21"/>
  <c r="O144" i="21"/>
  <c r="Q144" i="21"/>
  <c r="R144" i="21"/>
  <c r="S144" i="21"/>
  <c r="F145" i="21"/>
  <c r="I145" i="21"/>
  <c r="L145" i="21"/>
  <c r="O145" i="21"/>
  <c r="Q145" i="21"/>
  <c r="R145" i="21"/>
  <c r="S145" i="21"/>
  <c r="F146" i="21"/>
  <c r="I146" i="21"/>
  <c r="L146" i="21"/>
  <c r="O146" i="21"/>
  <c r="Q146" i="21"/>
  <c r="R146" i="21"/>
  <c r="S146" i="21"/>
  <c r="F147" i="21"/>
  <c r="I147" i="21"/>
  <c r="L147" i="21"/>
  <c r="O147" i="21"/>
  <c r="Q147" i="21"/>
  <c r="R147" i="21"/>
  <c r="S147" i="21"/>
  <c r="F148" i="21"/>
  <c r="I148" i="21"/>
  <c r="L148" i="21"/>
  <c r="O148" i="21"/>
  <c r="Q148" i="21"/>
  <c r="R148" i="21"/>
  <c r="S148" i="21"/>
  <c r="F149" i="21"/>
  <c r="I149" i="21"/>
  <c r="L149" i="21"/>
  <c r="O149" i="21"/>
  <c r="Q149" i="21"/>
  <c r="R149" i="21"/>
  <c r="S149" i="21"/>
  <c r="F150" i="21"/>
  <c r="I150" i="21"/>
  <c r="L150" i="21"/>
  <c r="O150" i="21"/>
  <c r="Q150" i="21"/>
  <c r="R150" i="21"/>
  <c r="S150" i="21"/>
  <c r="F151" i="21"/>
  <c r="I151" i="21"/>
  <c r="L151" i="21"/>
  <c r="O151" i="21"/>
  <c r="Q151" i="21"/>
  <c r="R151" i="21"/>
  <c r="S151" i="21"/>
  <c r="F152" i="21"/>
  <c r="I152" i="21"/>
  <c r="L152" i="21"/>
  <c r="O152" i="21"/>
  <c r="Q152" i="21"/>
  <c r="R152" i="21"/>
  <c r="S152" i="21"/>
  <c r="F153" i="21"/>
  <c r="I153" i="21"/>
  <c r="L153" i="21"/>
  <c r="O153" i="21"/>
  <c r="Q153" i="21"/>
  <c r="R153" i="21"/>
  <c r="S153" i="21"/>
  <c r="F154" i="21"/>
  <c r="I154" i="21"/>
  <c r="L154" i="21"/>
  <c r="O154" i="21"/>
  <c r="Q154" i="21"/>
  <c r="R154" i="21"/>
  <c r="S154" i="21"/>
  <c r="F155" i="21"/>
  <c r="I155" i="21"/>
  <c r="L155" i="21"/>
  <c r="O155" i="21"/>
  <c r="Q155" i="21"/>
  <c r="R155" i="21"/>
  <c r="S155" i="21"/>
  <c r="F156" i="21"/>
  <c r="I156" i="21"/>
  <c r="L156" i="21"/>
  <c r="O156" i="21"/>
  <c r="Q156" i="21"/>
  <c r="R156" i="21"/>
  <c r="S156" i="21"/>
  <c r="F157" i="21"/>
  <c r="I157" i="21"/>
  <c r="L157" i="21"/>
  <c r="O157" i="21"/>
  <c r="Q157" i="21"/>
  <c r="R157" i="21"/>
  <c r="S157" i="21"/>
  <c r="F158" i="21"/>
  <c r="I158" i="21"/>
  <c r="L158" i="21"/>
  <c r="O158" i="21"/>
  <c r="Q158" i="21"/>
  <c r="R158" i="21"/>
  <c r="S158" i="21"/>
  <c r="F159" i="21"/>
  <c r="I159" i="21"/>
  <c r="L159" i="21"/>
  <c r="O159" i="21"/>
  <c r="Q159" i="21"/>
  <c r="R159" i="21"/>
  <c r="S159" i="21"/>
  <c r="F160" i="21"/>
  <c r="I160" i="21"/>
  <c r="L160" i="21"/>
  <c r="O160" i="21"/>
  <c r="Q160" i="21"/>
  <c r="R160" i="21"/>
  <c r="S160" i="21"/>
  <c r="F161" i="21"/>
  <c r="I161" i="21"/>
  <c r="L161" i="21"/>
  <c r="O161" i="21"/>
  <c r="Q161" i="21"/>
  <c r="R161" i="21"/>
  <c r="S161" i="21"/>
  <c r="F162" i="21"/>
  <c r="I162" i="21"/>
  <c r="L162" i="21"/>
  <c r="O162" i="21"/>
  <c r="Q162" i="21"/>
  <c r="R162" i="21"/>
  <c r="S162" i="21"/>
  <c r="F163" i="21"/>
  <c r="I163" i="21"/>
  <c r="L163" i="21"/>
  <c r="O163" i="21"/>
  <c r="Q163" i="21"/>
  <c r="R163" i="21"/>
  <c r="S163" i="21"/>
  <c r="F164" i="21"/>
  <c r="I164" i="21"/>
  <c r="L164" i="21"/>
  <c r="O164" i="21"/>
  <c r="Q164" i="21"/>
  <c r="R164" i="21"/>
  <c r="S164" i="21"/>
  <c r="F165" i="21"/>
  <c r="I165" i="21"/>
  <c r="L165" i="21"/>
  <c r="O165" i="21"/>
  <c r="Q165" i="21"/>
  <c r="R165" i="21"/>
  <c r="S165" i="21"/>
  <c r="F166" i="21"/>
  <c r="I166" i="21"/>
  <c r="L166" i="21"/>
  <c r="O166" i="21"/>
  <c r="Q166" i="21"/>
  <c r="R166" i="21"/>
  <c r="S166" i="21"/>
  <c r="F167" i="21"/>
  <c r="I167" i="21"/>
  <c r="L167" i="21"/>
  <c r="O167" i="21"/>
  <c r="Q167" i="21"/>
  <c r="R167" i="21"/>
  <c r="S167" i="21"/>
  <c r="F168" i="21"/>
  <c r="I168" i="21"/>
  <c r="L168" i="21"/>
  <c r="O168" i="21"/>
  <c r="Q168" i="21"/>
  <c r="R168" i="21"/>
  <c r="S168" i="21"/>
  <c r="F169" i="21"/>
  <c r="I169" i="21"/>
  <c r="L169" i="21"/>
  <c r="O169" i="21"/>
  <c r="Q169" i="21"/>
  <c r="R169" i="21"/>
  <c r="S169" i="21"/>
  <c r="F170" i="21"/>
  <c r="I170" i="21"/>
  <c r="L170" i="21"/>
  <c r="O170" i="21"/>
  <c r="Q170" i="21"/>
  <c r="R170" i="21"/>
  <c r="S170" i="21"/>
  <c r="F171" i="21"/>
  <c r="I171" i="21"/>
  <c r="L171" i="21"/>
  <c r="O171" i="21"/>
  <c r="Q171" i="21"/>
  <c r="R171" i="21"/>
  <c r="S171" i="21"/>
  <c r="F172" i="21"/>
  <c r="I172" i="21"/>
  <c r="L172" i="21"/>
  <c r="O172" i="21"/>
  <c r="Q172" i="21"/>
  <c r="R172" i="21"/>
  <c r="S172" i="21"/>
  <c r="F173" i="21"/>
  <c r="I173" i="21"/>
  <c r="L173" i="21"/>
  <c r="O173" i="21"/>
  <c r="Q173" i="21"/>
  <c r="R173" i="21"/>
  <c r="S173" i="21"/>
  <c r="F174" i="21"/>
  <c r="I174" i="21"/>
  <c r="L174" i="21"/>
  <c r="O174" i="21"/>
  <c r="Q174" i="21"/>
  <c r="R174" i="21"/>
  <c r="S174" i="21"/>
  <c r="F175" i="21"/>
  <c r="I175" i="21"/>
  <c r="L175" i="21"/>
  <c r="O175" i="21"/>
  <c r="Q175" i="21"/>
  <c r="R175" i="21"/>
  <c r="S175" i="21"/>
  <c r="F176" i="21"/>
  <c r="I176" i="21"/>
  <c r="L176" i="21"/>
  <c r="O176" i="21"/>
  <c r="Q176" i="21"/>
  <c r="R176" i="21"/>
  <c r="S176" i="21"/>
  <c r="F177" i="21"/>
  <c r="I177" i="21"/>
  <c r="L177" i="21"/>
  <c r="O177" i="21"/>
  <c r="Q177" i="21"/>
  <c r="R177" i="21"/>
  <c r="S177" i="21"/>
  <c r="F178" i="21"/>
  <c r="I178" i="21"/>
  <c r="L178" i="21"/>
  <c r="O178" i="21"/>
  <c r="Q178" i="21"/>
  <c r="R178" i="21"/>
  <c r="S178" i="21"/>
  <c r="F179" i="21"/>
  <c r="I179" i="21"/>
  <c r="L179" i="21"/>
  <c r="O179" i="21"/>
  <c r="Q179" i="21"/>
  <c r="R179" i="21"/>
  <c r="S179" i="21"/>
  <c r="F180" i="21"/>
  <c r="I180" i="21"/>
  <c r="L180" i="21"/>
  <c r="O180" i="21"/>
  <c r="Q180" i="21"/>
  <c r="R180" i="21"/>
  <c r="S180" i="21"/>
  <c r="F181" i="21"/>
  <c r="I181" i="21"/>
  <c r="L181" i="21"/>
  <c r="O181" i="21"/>
  <c r="Q181" i="21"/>
  <c r="R181" i="21"/>
  <c r="S181" i="21"/>
  <c r="F182" i="21"/>
  <c r="I182" i="21"/>
  <c r="L182" i="21"/>
  <c r="O182" i="21"/>
  <c r="Q182" i="21"/>
  <c r="R182" i="21"/>
  <c r="S182" i="21"/>
  <c r="F183" i="21"/>
  <c r="I183" i="21"/>
  <c r="L183" i="21"/>
  <c r="O183" i="21"/>
  <c r="Q183" i="21"/>
  <c r="R183" i="21"/>
  <c r="S183" i="21"/>
  <c r="F184" i="21"/>
  <c r="I184" i="21"/>
  <c r="L184" i="21"/>
  <c r="O184" i="21"/>
  <c r="Q184" i="21"/>
  <c r="R184" i="21"/>
  <c r="S184" i="21"/>
  <c r="F185" i="21"/>
  <c r="I185" i="21"/>
  <c r="L185" i="21"/>
  <c r="O185" i="21"/>
  <c r="Q185" i="21"/>
  <c r="N165" i="22"/>
  <c r="P165" i="22"/>
  <c r="R165" i="22"/>
  <c r="V10" i="21"/>
  <c r="R185" i="21"/>
  <c r="S185" i="21"/>
  <c r="F186" i="21"/>
  <c r="I186" i="21"/>
  <c r="L186" i="21"/>
  <c r="O186" i="21"/>
  <c r="Q186" i="21"/>
  <c r="R186" i="21"/>
  <c r="S186" i="21"/>
  <c r="F187" i="21"/>
  <c r="I187" i="21"/>
  <c r="L187" i="21"/>
  <c r="O187" i="21"/>
  <c r="Q187" i="21"/>
  <c r="R187" i="21"/>
  <c r="S187" i="21"/>
  <c r="F188" i="21"/>
  <c r="I188" i="21"/>
  <c r="L188" i="21"/>
  <c r="O188" i="21"/>
  <c r="Q188" i="21"/>
  <c r="R188" i="21"/>
  <c r="S188" i="21"/>
  <c r="F189" i="21"/>
  <c r="I189" i="21"/>
  <c r="L189" i="21"/>
  <c r="O189" i="21"/>
  <c r="Q189" i="21"/>
  <c r="R189" i="21"/>
  <c r="S189" i="21"/>
  <c r="F190" i="21"/>
  <c r="I190" i="21"/>
  <c r="L190" i="21"/>
  <c r="O190" i="21"/>
  <c r="Q190" i="21"/>
  <c r="R190" i="21"/>
  <c r="S190" i="21"/>
  <c r="F191" i="21"/>
  <c r="I191" i="21"/>
  <c r="L191" i="21"/>
  <c r="O191" i="21"/>
  <c r="Q191" i="21"/>
  <c r="R191" i="21"/>
  <c r="S191" i="21"/>
  <c r="F192" i="21"/>
  <c r="I192" i="21"/>
  <c r="L192" i="21"/>
  <c r="O192" i="21"/>
  <c r="Q192" i="21"/>
  <c r="R192" i="21"/>
  <c r="S192" i="21"/>
  <c r="F193" i="21"/>
  <c r="I193" i="21"/>
  <c r="L193" i="21"/>
  <c r="O193" i="21"/>
  <c r="Q193" i="21"/>
  <c r="R193" i="21"/>
  <c r="S193" i="21"/>
  <c r="F194" i="21"/>
  <c r="I194" i="21"/>
  <c r="L194" i="21"/>
  <c r="O194" i="21"/>
  <c r="Q194" i="21"/>
  <c r="R194" i="21"/>
  <c r="S194" i="21"/>
  <c r="F195" i="21"/>
  <c r="I195" i="21"/>
  <c r="L195" i="21"/>
  <c r="O195" i="21"/>
  <c r="Q195" i="21"/>
  <c r="R195" i="21"/>
  <c r="S195" i="21"/>
  <c r="F196" i="21"/>
  <c r="I196" i="21"/>
  <c r="L196" i="21"/>
  <c r="O196" i="21"/>
  <c r="Q196" i="21"/>
  <c r="R196" i="21"/>
  <c r="S196" i="21"/>
  <c r="F197" i="21"/>
  <c r="I197" i="21"/>
  <c r="L197" i="21"/>
  <c r="O197" i="21"/>
  <c r="Q197" i="21"/>
  <c r="R197" i="21"/>
  <c r="S197" i="21"/>
  <c r="F198" i="21"/>
  <c r="I198" i="21"/>
  <c r="L198" i="21"/>
  <c r="O198" i="21"/>
  <c r="Q198" i="21"/>
  <c r="R198" i="21"/>
  <c r="S198" i="21"/>
  <c r="F199" i="21"/>
  <c r="I199" i="21"/>
  <c r="L199" i="21"/>
  <c r="O199" i="21"/>
  <c r="Q199" i="21"/>
  <c r="R199" i="21"/>
  <c r="S199" i="21"/>
  <c r="F200" i="21"/>
  <c r="I200" i="21"/>
  <c r="L200" i="21"/>
  <c r="O200" i="21"/>
  <c r="Q200" i="21"/>
  <c r="R200" i="21"/>
  <c r="S200" i="21"/>
  <c r="F201" i="21"/>
  <c r="I201" i="21"/>
  <c r="L201" i="21"/>
  <c r="O201" i="21"/>
  <c r="Q201" i="21"/>
  <c r="R201" i="21"/>
  <c r="S201" i="21"/>
  <c r="F202" i="21"/>
  <c r="I202" i="21"/>
  <c r="L202" i="21"/>
  <c r="O202" i="21"/>
  <c r="Q202" i="21"/>
  <c r="R202" i="21"/>
  <c r="S202" i="21"/>
  <c r="F203" i="21"/>
  <c r="I203" i="21"/>
  <c r="L203" i="21"/>
  <c r="O203" i="21"/>
  <c r="Q203" i="21"/>
  <c r="R203" i="21"/>
  <c r="S203" i="21"/>
  <c r="F204" i="21"/>
  <c r="I204" i="21"/>
  <c r="L204" i="21"/>
  <c r="O204" i="21"/>
  <c r="Q204" i="21"/>
  <c r="R204" i="21"/>
  <c r="S204" i="21"/>
  <c r="F205" i="21"/>
  <c r="I205" i="21"/>
  <c r="L205" i="21"/>
  <c r="O205" i="21"/>
  <c r="Q205" i="21"/>
  <c r="R205" i="21"/>
  <c r="S205" i="21"/>
  <c r="F206" i="21"/>
  <c r="I206" i="21"/>
  <c r="L206" i="21"/>
  <c r="O206" i="21"/>
  <c r="Q206" i="21"/>
  <c r="R206" i="21"/>
  <c r="S206" i="21"/>
  <c r="F207" i="21"/>
  <c r="I207" i="21"/>
  <c r="L207" i="21"/>
  <c r="O207" i="21"/>
  <c r="Q207" i="21"/>
  <c r="R207" i="21"/>
  <c r="S207" i="21"/>
  <c r="F208" i="21"/>
  <c r="I208" i="21"/>
  <c r="L208" i="21"/>
  <c r="O208" i="21"/>
  <c r="Q208" i="21"/>
  <c r="R208" i="21"/>
  <c r="S208" i="21"/>
  <c r="F209" i="21"/>
  <c r="I209" i="21"/>
  <c r="L209" i="21"/>
  <c r="O209" i="21"/>
  <c r="Q209" i="21"/>
  <c r="R209" i="21"/>
  <c r="S209" i="21"/>
  <c r="F210" i="21"/>
  <c r="I210" i="21"/>
  <c r="L210" i="21"/>
  <c r="O210" i="21"/>
  <c r="Q210" i="21"/>
  <c r="R210" i="21"/>
  <c r="S210" i="21"/>
  <c r="F211" i="21"/>
  <c r="I211" i="21"/>
  <c r="L211" i="21"/>
  <c r="O211" i="21"/>
  <c r="Q211" i="21"/>
  <c r="R211" i="21"/>
  <c r="S211" i="21"/>
  <c r="F212" i="21"/>
  <c r="I212" i="21"/>
  <c r="L212" i="21"/>
  <c r="O212" i="21"/>
  <c r="Q212" i="21"/>
  <c r="R212" i="21"/>
  <c r="S212" i="21"/>
  <c r="F213" i="21"/>
  <c r="I213" i="21"/>
  <c r="L213" i="21"/>
  <c r="O213" i="21"/>
  <c r="Q213" i="21"/>
  <c r="R213" i="21"/>
  <c r="S213" i="21"/>
  <c r="F214" i="21"/>
  <c r="I214" i="21"/>
  <c r="L214" i="21"/>
  <c r="O214" i="21"/>
  <c r="Q214" i="21"/>
  <c r="R214" i="21"/>
  <c r="S214" i="21"/>
  <c r="F215" i="21"/>
  <c r="I215" i="21"/>
  <c r="L215" i="21"/>
  <c r="O215" i="21"/>
  <c r="Q215" i="21"/>
  <c r="R215" i="21"/>
  <c r="S215" i="21"/>
  <c r="F216" i="21"/>
  <c r="I216" i="21"/>
  <c r="L216" i="21"/>
  <c r="O216" i="21"/>
  <c r="Q216" i="21"/>
  <c r="R216" i="21"/>
  <c r="S216" i="21"/>
  <c r="F217" i="21"/>
  <c r="I217" i="21"/>
  <c r="L217" i="21"/>
  <c r="O217" i="21"/>
  <c r="Q217" i="21"/>
  <c r="R217" i="21"/>
  <c r="S217" i="21"/>
  <c r="F218" i="21"/>
  <c r="I218" i="21"/>
  <c r="L218" i="21"/>
  <c r="O218" i="21"/>
  <c r="Q218" i="21"/>
  <c r="R218" i="21"/>
  <c r="S218" i="21"/>
  <c r="F219" i="21"/>
  <c r="I219" i="21"/>
  <c r="L219" i="21"/>
  <c r="O219" i="21"/>
  <c r="Q219" i="21"/>
  <c r="R219" i="21"/>
  <c r="S219" i="21"/>
  <c r="F220" i="21"/>
  <c r="I220" i="21"/>
  <c r="L220" i="21"/>
  <c r="O220" i="21"/>
  <c r="Q220" i="21"/>
  <c r="R220" i="21"/>
  <c r="S220" i="21"/>
  <c r="F221" i="21"/>
  <c r="I221" i="21"/>
  <c r="L221" i="21"/>
  <c r="O221" i="21"/>
  <c r="Q221" i="21"/>
  <c r="R221" i="21"/>
  <c r="S221" i="21"/>
  <c r="F222" i="21"/>
  <c r="I222" i="21"/>
  <c r="L222" i="21"/>
  <c r="O222" i="21"/>
  <c r="Q222" i="21"/>
  <c r="R222" i="21"/>
  <c r="S222" i="21"/>
  <c r="F223" i="21"/>
  <c r="I223" i="21"/>
  <c r="L223" i="21"/>
  <c r="O223" i="21"/>
  <c r="Q223" i="21"/>
  <c r="R223" i="21"/>
  <c r="S223" i="21"/>
  <c r="F224" i="21"/>
  <c r="I224" i="21"/>
  <c r="L224" i="21"/>
  <c r="O224" i="21"/>
  <c r="Q224" i="21"/>
  <c r="R224" i="21"/>
  <c r="S224" i="21"/>
  <c r="F225" i="21"/>
  <c r="I225" i="21"/>
  <c r="L225" i="21"/>
  <c r="O225" i="21"/>
  <c r="Q225" i="21"/>
  <c r="R225" i="21"/>
  <c r="S225" i="21"/>
  <c r="F226" i="21"/>
  <c r="I226" i="21"/>
  <c r="L226" i="21"/>
  <c r="O226" i="21"/>
  <c r="Q226" i="21"/>
  <c r="R226" i="21"/>
  <c r="S226" i="21"/>
  <c r="F227" i="21"/>
  <c r="I227" i="21"/>
  <c r="L227" i="21"/>
  <c r="O227" i="21"/>
  <c r="Q227" i="21"/>
  <c r="R227" i="21"/>
  <c r="S227" i="21"/>
  <c r="F228" i="21"/>
  <c r="I228" i="21"/>
  <c r="L228" i="21"/>
  <c r="O228" i="21"/>
  <c r="Q228" i="21"/>
  <c r="R228" i="21"/>
  <c r="S228" i="21"/>
  <c r="F229" i="21"/>
  <c r="I229" i="21"/>
  <c r="L229" i="21"/>
  <c r="O229" i="21"/>
  <c r="Q229" i="21"/>
  <c r="R229" i="21"/>
  <c r="S229" i="21"/>
  <c r="F230" i="21"/>
  <c r="I230" i="21"/>
  <c r="L230" i="21"/>
  <c r="O230" i="21"/>
  <c r="Q230" i="21"/>
  <c r="R230" i="21"/>
  <c r="S230" i="21"/>
  <c r="F231" i="21"/>
  <c r="I231" i="21"/>
  <c r="L231" i="21"/>
  <c r="O231" i="21"/>
  <c r="Q231" i="21"/>
  <c r="R231" i="21"/>
  <c r="S231" i="21"/>
  <c r="F232" i="21"/>
  <c r="I232" i="21"/>
  <c r="L232" i="21"/>
  <c r="O232" i="21"/>
  <c r="Q232" i="21"/>
  <c r="R232" i="21"/>
  <c r="S232" i="21"/>
  <c r="F233" i="21"/>
  <c r="I233" i="21"/>
  <c r="L233" i="21"/>
  <c r="O233" i="21"/>
  <c r="Q233" i="21"/>
  <c r="R233" i="21"/>
  <c r="S233" i="21"/>
  <c r="F234" i="21"/>
  <c r="I234" i="21"/>
  <c r="L234" i="21"/>
  <c r="O234" i="21"/>
  <c r="Q234" i="21"/>
  <c r="N214" i="22"/>
  <c r="P214" i="22"/>
  <c r="R214" i="22"/>
  <c r="V11" i="21"/>
  <c r="R234" i="21"/>
  <c r="S234" i="21"/>
  <c r="F235" i="21"/>
  <c r="I235" i="21"/>
  <c r="L235" i="21"/>
  <c r="O235" i="21"/>
  <c r="Q235" i="21"/>
  <c r="R235" i="21"/>
  <c r="S235" i="21"/>
  <c r="F236" i="21"/>
  <c r="I236" i="21"/>
  <c r="L236" i="21"/>
  <c r="O236" i="21"/>
  <c r="Q236" i="21"/>
  <c r="R236" i="21"/>
  <c r="S236" i="21"/>
  <c r="F237" i="21"/>
  <c r="I237" i="21"/>
  <c r="L237" i="21"/>
  <c r="O237" i="21"/>
  <c r="Q237" i="21"/>
  <c r="R237" i="21"/>
  <c r="S237" i="21"/>
  <c r="F238" i="21"/>
  <c r="I238" i="21"/>
  <c r="L238" i="21"/>
  <c r="O238" i="21"/>
  <c r="Q238" i="21"/>
  <c r="R238" i="21"/>
  <c r="S238" i="21"/>
  <c r="F239" i="21"/>
  <c r="I239" i="21"/>
  <c r="L239" i="21"/>
  <c r="O239" i="21"/>
  <c r="Q239" i="21"/>
  <c r="R239" i="21"/>
  <c r="S239" i="21"/>
  <c r="F240" i="21"/>
  <c r="I240" i="21"/>
  <c r="L240" i="21"/>
  <c r="O240" i="21"/>
  <c r="Q240" i="21"/>
  <c r="R240" i="21"/>
  <c r="S240" i="21"/>
  <c r="F241" i="21"/>
  <c r="I241" i="21"/>
  <c r="L241" i="21"/>
  <c r="O241" i="21"/>
  <c r="Q241" i="21"/>
  <c r="R241" i="21"/>
  <c r="S241" i="21"/>
  <c r="F242" i="21"/>
  <c r="I242" i="21"/>
  <c r="L242" i="21"/>
  <c r="O242" i="21"/>
  <c r="Q242" i="21"/>
  <c r="R242" i="21"/>
  <c r="S242" i="21"/>
  <c r="F243" i="21"/>
  <c r="I243" i="21"/>
  <c r="L243" i="21"/>
  <c r="O243" i="21"/>
  <c r="Q243" i="21"/>
  <c r="R243" i="21"/>
  <c r="S243" i="21"/>
  <c r="F244" i="21"/>
  <c r="I244" i="21"/>
  <c r="L244" i="21"/>
  <c r="O244" i="21"/>
  <c r="Q244" i="21"/>
  <c r="R244" i="21"/>
  <c r="S244" i="21"/>
  <c r="F245" i="21"/>
  <c r="I245" i="21"/>
  <c r="L245" i="21"/>
  <c r="O245" i="21"/>
  <c r="Q245" i="21"/>
  <c r="R245" i="21"/>
  <c r="S245" i="21"/>
  <c r="F246" i="21"/>
  <c r="I246" i="21"/>
  <c r="L246" i="21"/>
  <c r="O246" i="21"/>
  <c r="Q246" i="21"/>
  <c r="R246" i="21"/>
  <c r="S246" i="21"/>
  <c r="F247" i="21"/>
  <c r="I247" i="21"/>
  <c r="L247" i="21"/>
  <c r="O247" i="21"/>
  <c r="Q247" i="21"/>
  <c r="R247" i="21"/>
  <c r="S247" i="21"/>
  <c r="F248" i="21"/>
  <c r="I248" i="21"/>
  <c r="L248" i="21"/>
  <c r="O248" i="21"/>
  <c r="Q248" i="21"/>
  <c r="R248" i="21"/>
  <c r="S248" i="21"/>
  <c r="F249" i="21"/>
  <c r="I249" i="21"/>
  <c r="L249" i="21"/>
  <c r="O249" i="21"/>
  <c r="Q249" i="21"/>
  <c r="R249" i="21"/>
  <c r="S249" i="21"/>
  <c r="F250" i="21"/>
  <c r="I250" i="21"/>
  <c r="L250" i="21"/>
  <c r="O250" i="21"/>
  <c r="Q250" i="21"/>
  <c r="R250" i="21"/>
  <c r="S250" i="21"/>
  <c r="F251" i="21"/>
  <c r="I251" i="21"/>
  <c r="L251" i="21"/>
  <c r="O251" i="21"/>
  <c r="Q251" i="21"/>
  <c r="R251" i="21"/>
  <c r="S251" i="21"/>
  <c r="F252" i="21"/>
  <c r="I252" i="21"/>
  <c r="L252" i="21"/>
  <c r="O252" i="21"/>
  <c r="Q252" i="21"/>
  <c r="R252" i="21"/>
  <c r="S252" i="21"/>
  <c r="F253" i="21"/>
  <c r="I253" i="21"/>
  <c r="L253" i="21"/>
  <c r="O253" i="21"/>
  <c r="Q253" i="21"/>
  <c r="R253" i="21"/>
  <c r="S253" i="21"/>
  <c r="F254" i="21"/>
  <c r="I254" i="21"/>
  <c r="L254" i="21"/>
  <c r="O254" i="21"/>
  <c r="Q254" i="21"/>
  <c r="R254" i="21"/>
  <c r="S254" i="21"/>
  <c r="F255" i="21"/>
  <c r="I255" i="21"/>
  <c r="L255" i="21"/>
  <c r="O255" i="21"/>
  <c r="Q255" i="21"/>
  <c r="R255" i="21"/>
  <c r="S255" i="21"/>
  <c r="F256" i="21"/>
  <c r="I256" i="21"/>
  <c r="L256" i="21"/>
  <c r="O256" i="21"/>
  <c r="Q256" i="21"/>
  <c r="R256" i="21"/>
  <c r="S256" i="21"/>
  <c r="F257" i="21"/>
  <c r="I257" i="21"/>
  <c r="L257" i="21"/>
  <c r="O257" i="21"/>
  <c r="Q257" i="21"/>
  <c r="R257" i="21"/>
  <c r="S257" i="21"/>
  <c r="F258" i="21"/>
  <c r="I258" i="21"/>
  <c r="L258" i="21"/>
  <c r="O258" i="21"/>
  <c r="Q258" i="21"/>
  <c r="R258" i="21"/>
  <c r="S258" i="21"/>
  <c r="F259" i="21"/>
  <c r="I259" i="21"/>
  <c r="L259" i="21"/>
  <c r="O259" i="21"/>
  <c r="Q259" i="21"/>
  <c r="R259" i="21"/>
  <c r="S259" i="21"/>
  <c r="F260" i="21"/>
  <c r="I260" i="21"/>
  <c r="L260" i="21"/>
  <c r="O260" i="21"/>
  <c r="Q260" i="21"/>
  <c r="R260" i="21"/>
  <c r="S260" i="21"/>
  <c r="F261" i="21"/>
  <c r="I261" i="21"/>
  <c r="L261" i="21"/>
  <c r="O261" i="21"/>
  <c r="Q261" i="21"/>
  <c r="R261" i="21"/>
  <c r="S261" i="21"/>
  <c r="F262" i="21"/>
  <c r="I262" i="21"/>
  <c r="L262" i="21"/>
  <c r="O262" i="21"/>
  <c r="Q262" i="21"/>
  <c r="R262" i="21"/>
  <c r="S262" i="21"/>
  <c r="F263" i="21"/>
  <c r="I263" i="21"/>
  <c r="L263" i="21"/>
  <c r="O263" i="21"/>
  <c r="Q263" i="21"/>
  <c r="R263" i="21"/>
  <c r="S263" i="21"/>
  <c r="F264" i="21"/>
  <c r="I264" i="21"/>
  <c r="L264" i="21"/>
  <c r="O264" i="21"/>
  <c r="Q264" i="21"/>
  <c r="R264" i="21"/>
  <c r="S264" i="21"/>
  <c r="F265" i="21"/>
  <c r="I265" i="21"/>
  <c r="L265" i="21"/>
  <c r="O265" i="21"/>
  <c r="Q265" i="21"/>
  <c r="R265" i="21"/>
  <c r="S265" i="21"/>
  <c r="F266" i="21"/>
  <c r="I266" i="21"/>
  <c r="L266" i="21"/>
  <c r="O266" i="21"/>
  <c r="Q266" i="21"/>
  <c r="R266" i="21"/>
  <c r="S266" i="21"/>
  <c r="S24" i="21"/>
  <c r="U26" i="21"/>
  <c r="F24" i="21"/>
  <c r="V26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4" i="21"/>
  <c r="W175" i="21"/>
  <c r="W176" i="21"/>
  <c r="W177" i="21"/>
  <c r="W178" i="21"/>
  <c r="W179" i="21"/>
  <c r="W180" i="21"/>
  <c r="W181" i="21"/>
  <c r="W182" i="21"/>
  <c r="W183" i="21"/>
  <c r="W184" i="21"/>
  <c r="W185" i="21"/>
  <c r="W186" i="21"/>
  <c r="W187" i="21"/>
  <c r="W188" i="21"/>
  <c r="W189" i="21"/>
  <c r="W190" i="21"/>
  <c r="W191" i="21"/>
  <c r="W192" i="21"/>
  <c r="W193" i="21"/>
  <c r="W194" i="21"/>
  <c r="W195" i="21"/>
  <c r="W196" i="21"/>
  <c r="W197" i="21"/>
  <c r="W198" i="21"/>
  <c r="W199" i="21"/>
  <c r="W200" i="21"/>
  <c r="W201" i="21"/>
  <c r="W202" i="21"/>
  <c r="W203" i="21"/>
  <c r="W204" i="21"/>
  <c r="W205" i="21"/>
  <c r="W206" i="21"/>
  <c r="W207" i="21"/>
  <c r="W208" i="21"/>
  <c r="W209" i="21"/>
  <c r="W210" i="21"/>
  <c r="W211" i="21"/>
  <c r="W212" i="21"/>
  <c r="W213" i="21"/>
  <c r="W214" i="21"/>
  <c r="W215" i="21"/>
  <c r="W216" i="21"/>
  <c r="W217" i="21"/>
  <c r="W218" i="21"/>
  <c r="W219" i="21"/>
  <c r="W220" i="21"/>
  <c r="W221" i="21"/>
  <c r="W222" i="21"/>
  <c r="W223" i="21"/>
  <c r="W224" i="21"/>
  <c r="W225" i="21"/>
  <c r="W226" i="21"/>
  <c r="W227" i="21"/>
  <c r="W228" i="21"/>
  <c r="W229" i="21"/>
  <c r="W230" i="21"/>
  <c r="W231" i="21"/>
  <c r="W232" i="21"/>
  <c r="W233" i="21"/>
  <c r="W234" i="21"/>
  <c r="W235" i="21"/>
  <c r="W236" i="21"/>
  <c r="W237" i="21"/>
  <c r="W238" i="21"/>
  <c r="W239" i="21"/>
  <c r="W240" i="21"/>
  <c r="W241" i="21"/>
  <c r="W242" i="21"/>
  <c r="W243" i="21"/>
  <c r="W244" i="21"/>
  <c r="W245" i="21"/>
  <c r="W246" i="21"/>
  <c r="W247" i="21"/>
  <c r="W248" i="21"/>
  <c r="W249" i="21"/>
  <c r="W250" i="21"/>
  <c r="W251" i="21"/>
  <c r="W252" i="21"/>
  <c r="W253" i="21"/>
  <c r="W254" i="21"/>
  <c r="W255" i="21"/>
  <c r="W256" i="21"/>
  <c r="W257" i="21"/>
  <c r="W258" i="21"/>
  <c r="W259" i="21"/>
  <c r="W260" i="21"/>
  <c r="W261" i="21"/>
  <c r="W262" i="21"/>
  <c r="W263" i="21"/>
  <c r="W264" i="21"/>
  <c r="W265" i="21"/>
  <c r="W266" i="21"/>
  <c r="W24" i="21"/>
  <c r="W23" i="21"/>
  <c r="X26" i="21"/>
  <c r="Y26" i="21"/>
  <c r="Z26" i="21"/>
  <c r="U27" i="21"/>
  <c r="V27" i="21"/>
  <c r="X27" i="21"/>
  <c r="Y27" i="21"/>
  <c r="Z27" i="21"/>
  <c r="U28" i="21"/>
  <c r="V28" i="21"/>
  <c r="X28" i="21"/>
  <c r="Y28" i="21"/>
  <c r="Z28" i="21"/>
  <c r="U29" i="21"/>
  <c r="V29" i="21"/>
  <c r="X29" i="21"/>
  <c r="Y29" i="21"/>
  <c r="Z29" i="21"/>
  <c r="U30" i="21"/>
  <c r="V30" i="21"/>
  <c r="X30" i="21"/>
  <c r="Y30" i="21"/>
  <c r="Z30" i="21"/>
  <c r="U31" i="21"/>
  <c r="V31" i="21"/>
  <c r="X31" i="21"/>
  <c r="Y31" i="21"/>
  <c r="Z31" i="21"/>
  <c r="U32" i="21"/>
  <c r="V32" i="21"/>
  <c r="X32" i="21"/>
  <c r="Y32" i="21"/>
  <c r="Z32" i="21"/>
  <c r="U33" i="21"/>
  <c r="V33" i="21"/>
  <c r="X33" i="21"/>
  <c r="Y33" i="21"/>
  <c r="Z33" i="21"/>
  <c r="U34" i="21"/>
  <c r="V34" i="21"/>
  <c r="X34" i="21"/>
  <c r="Y34" i="21"/>
  <c r="Z34" i="21"/>
  <c r="U35" i="21"/>
  <c r="V35" i="21"/>
  <c r="X35" i="21"/>
  <c r="Y35" i="21"/>
  <c r="Z35" i="21"/>
  <c r="U36" i="21"/>
  <c r="V36" i="21"/>
  <c r="X36" i="21"/>
  <c r="Y36" i="21"/>
  <c r="Z36" i="21"/>
  <c r="U37" i="21"/>
  <c r="V37" i="21"/>
  <c r="X37" i="21"/>
  <c r="Y37" i="21"/>
  <c r="Z37" i="21"/>
  <c r="U38" i="21"/>
  <c r="V38" i="21"/>
  <c r="X38" i="21"/>
  <c r="Y38" i="21"/>
  <c r="Z38" i="21"/>
  <c r="U39" i="21"/>
  <c r="V39" i="21"/>
  <c r="X39" i="21"/>
  <c r="Y39" i="21"/>
  <c r="Z39" i="21"/>
  <c r="U40" i="21"/>
  <c r="V40" i="21"/>
  <c r="X40" i="21"/>
  <c r="Y40" i="21"/>
  <c r="Z40" i="21"/>
  <c r="U41" i="21"/>
  <c r="V41" i="21"/>
  <c r="X41" i="21"/>
  <c r="Y41" i="21"/>
  <c r="Z41" i="21"/>
  <c r="U42" i="21"/>
  <c r="V42" i="21"/>
  <c r="X42" i="21"/>
  <c r="Y42" i="21"/>
  <c r="Z42" i="21"/>
  <c r="U43" i="21"/>
  <c r="V43" i="21"/>
  <c r="X43" i="21"/>
  <c r="Y43" i="21"/>
  <c r="Z43" i="21"/>
  <c r="U44" i="21"/>
  <c r="V44" i="21"/>
  <c r="X44" i="21"/>
  <c r="Y44" i="21"/>
  <c r="Z44" i="21"/>
  <c r="U45" i="21"/>
  <c r="V45" i="21"/>
  <c r="X45" i="21"/>
  <c r="Y45" i="21"/>
  <c r="Z45" i="21"/>
  <c r="U46" i="21"/>
  <c r="V46" i="21"/>
  <c r="X46" i="21"/>
  <c r="Y46" i="21"/>
  <c r="Z46" i="21"/>
  <c r="U47" i="21"/>
  <c r="V47" i="21"/>
  <c r="X47" i="21"/>
  <c r="Y47" i="21"/>
  <c r="Z47" i="21"/>
  <c r="U48" i="21"/>
  <c r="V48" i="21"/>
  <c r="X48" i="21"/>
  <c r="Y48" i="21"/>
  <c r="Z48" i="21"/>
  <c r="U49" i="21"/>
  <c r="V49" i="21"/>
  <c r="X49" i="21"/>
  <c r="Y49" i="21"/>
  <c r="Z49" i="21"/>
  <c r="U50" i="21"/>
  <c r="V50" i="21"/>
  <c r="X50" i="21"/>
  <c r="Y50" i="21"/>
  <c r="Z50" i="21"/>
  <c r="U51" i="21"/>
  <c r="V51" i="21"/>
  <c r="X51" i="21"/>
  <c r="Y51" i="21"/>
  <c r="Z51" i="21"/>
  <c r="U52" i="21"/>
  <c r="V52" i="21"/>
  <c r="X52" i="21"/>
  <c r="Y52" i="21"/>
  <c r="Z52" i="21"/>
  <c r="U53" i="21"/>
  <c r="V53" i="21"/>
  <c r="X53" i="21"/>
  <c r="Y53" i="21"/>
  <c r="Z53" i="21"/>
  <c r="U54" i="21"/>
  <c r="V54" i="21"/>
  <c r="X54" i="21"/>
  <c r="Y54" i="21"/>
  <c r="Z54" i="21"/>
  <c r="U55" i="21"/>
  <c r="V55" i="21"/>
  <c r="X55" i="21"/>
  <c r="Y55" i="21"/>
  <c r="Z55" i="21"/>
  <c r="U56" i="21"/>
  <c r="V56" i="21"/>
  <c r="X56" i="21"/>
  <c r="Y56" i="21"/>
  <c r="Z56" i="21"/>
  <c r="U57" i="21"/>
  <c r="V57" i="21"/>
  <c r="X57" i="21"/>
  <c r="Y57" i="21"/>
  <c r="Z57" i="21"/>
  <c r="U58" i="21"/>
  <c r="V58" i="21"/>
  <c r="X58" i="21"/>
  <c r="Y58" i="21"/>
  <c r="Z58" i="21"/>
  <c r="U59" i="21"/>
  <c r="V59" i="21"/>
  <c r="X59" i="21"/>
  <c r="Y59" i="21"/>
  <c r="Z59" i="21"/>
  <c r="U60" i="21"/>
  <c r="V60" i="21"/>
  <c r="X60" i="21"/>
  <c r="Y60" i="21"/>
  <c r="Z60" i="21"/>
  <c r="U61" i="21"/>
  <c r="V61" i="21"/>
  <c r="X61" i="21"/>
  <c r="Y61" i="21"/>
  <c r="Z61" i="21"/>
  <c r="U62" i="21"/>
  <c r="V62" i="21"/>
  <c r="X62" i="21"/>
  <c r="Y62" i="21"/>
  <c r="Z62" i="21"/>
  <c r="U63" i="21"/>
  <c r="V63" i="21"/>
  <c r="X63" i="21"/>
  <c r="Y63" i="21"/>
  <c r="Z63" i="21"/>
  <c r="U64" i="21"/>
  <c r="V64" i="21"/>
  <c r="X64" i="21"/>
  <c r="Y64" i="21"/>
  <c r="Z64" i="21"/>
  <c r="U65" i="21"/>
  <c r="V65" i="21"/>
  <c r="X65" i="21"/>
  <c r="Y65" i="21"/>
  <c r="Z65" i="21"/>
  <c r="U66" i="21"/>
  <c r="V66" i="21"/>
  <c r="X66" i="21"/>
  <c r="Y66" i="21"/>
  <c r="Z66" i="21"/>
  <c r="U67" i="21"/>
  <c r="V67" i="21"/>
  <c r="X67" i="21"/>
  <c r="Y67" i="21"/>
  <c r="Z67" i="21"/>
  <c r="U68" i="21"/>
  <c r="V68" i="21"/>
  <c r="X68" i="21"/>
  <c r="Y68" i="21"/>
  <c r="Z68" i="21"/>
  <c r="U69" i="21"/>
  <c r="V69" i="21"/>
  <c r="X69" i="21"/>
  <c r="Y69" i="21"/>
  <c r="Z69" i="21"/>
  <c r="U70" i="21"/>
  <c r="V70" i="21"/>
  <c r="X70" i="21"/>
  <c r="Y70" i="21"/>
  <c r="Z70" i="21"/>
  <c r="U71" i="21"/>
  <c r="V71" i="21"/>
  <c r="X71" i="21"/>
  <c r="Y71" i="21"/>
  <c r="Z71" i="21"/>
  <c r="U72" i="21"/>
  <c r="V72" i="21"/>
  <c r="X72" i="21"/>
  <c r="Y72" i="21"/>
  <c r="Z72" i="21"/>
  <c r="U73" i="21"/>
  <c r="V73" i="21"/>
  <c r="X73" i="21"/>
  <c r="Y73" i="21"/>
  <c r="Z73" i="21"/>
  <c r="U74" i="21"/>
  <c r="V74" i="21"/>
  <c r="X74" i="21"/>
  <c r="Y74" i="21"/>
  <c r="Z74" i="21"/>
  <c r="U75" i="21"/>
  <c r="V75" i="21"/>
  <c r="X75" i="21"/>
  <c r="Y75" i="21"/>
  <c r="Z75" i="21"/>
  <c r="U76" i="21"/>
  <c r="V76" i="21"/>
  <c r="X76" i="21"/>
  <c r="Y76" i="21"/>
  <c r="Z76" i="21"/>
  <c r="U77" i="21"/>
  <c r="V77" i="21"/>
  <c r="X77" i="21"/>
  <c r="Y77" i="21"/>
  <c r="Z77" i="21"/>
  <c r="U78" i="21"/>
  <c r="V78" i="21"/>
  <c r="X78" i="21"/>
  <c r="Y78" i="21"/>
  <c r="Z78" i="21"/>
  <c r="U79" i="21"/>
  <c r="V79" i="21"/>
  <c r="X79" i="21"/>
  <c r="Y79" i="21"/>
  <c r="Z79" i="21"/>
  <c r="U80" i="21"/>
  <c r="V80" i="21"/>
  <c r="X80" i="21"/>
  <c r="Y80" i="21"/>
  <c r="Z80" i="21"/>
  <c r="U81" i="21"/>
  <c r="V81" i="21"/>
  <c r="X81" i="21"/>
  <c r="Y81" i="21"/>
  <c r="Z81" i="21"/>
  <c r="U82" i="21"/>
  <c r="V82" i="21"/>
  <c r="X82" i="21"/>
  <c r="Y82" i="21"/>
  <c r="Z82" i="21"/>
  <c r="U83" i="21"/>
  <c r="V83" i="21"/>
  <c r="X83" i="21"/>
  <c r="Y83" i="21"/>
  <c r="Z83" i="21"/>
  <c r="U84" i="21"/>
  <c r="V84" i="21"/>
  <c r="X84" i="21"/>
  <c r="Y84" i="21"/>
  <c r="Z84" i="21"/>
  <c r="U85" i="21"/>
  <c r="V85" i="21"/>
  <c r="X85" i="21"/>
  <c r="Y85" i="21"/>
  <c r="Z85" i="21"/>
  <c r="U86" i="21"/>
  <c r="V86" i="21"/>
  <c r="X86" i="21"/>
  <c r="Y86" i="21"/>
  <c r="Z86" i="21"/>
  <c r="U87" i="21"/>
  <c r="V87" i="21"/>
  <c r="X87" i="21"/>
  <c r="Y87" i="21"/>
  <c r="Z87" i="21"/>
  <c r="U88" i="21"/>
  <c r="V88" i="21"/>
  <c r="X88" i="21"/>
  <c r="Y88" i="21"/>
  <c r="Z88" i="21"/>
  <c r="U89" i="21"/>
  <c r="V89" i="21"/>
  <c r="X89" i="21"/>
  <c r="Y89" i="21"/>
  <c r="Z89" i="21"/>
  <c r="U90" i="21"/>
  <c r="V90" i="21"/>
  <c r="X90" i="21"/>
  <c r="Y90" i="21"/>
  <c r="Z90" i="21"/>
  <c r="U91" i="21"/>
  <c r="V91" i="21"/>
  <c r="X91" i="21"/>
  <c r="Y91" i="21"/>
  <c r="Z91" i="21"/>
  <c r="U92" i="21"/>
  <c r="V92" i="21"/>
  <c r="X92" i="21"/>
  <c r="Y92" i="21"/>
  <c r="Z92" i="21"/>
  <c r="U93" i="21"/>
  <c r="V93" i="21"/>
  <c r="X93" i="21"/>
  <c r="Y93" i="21"/>
  <c r="Z93" i="21"/>
  <c r="U94" i="21"/>
  <c r="V94" i="21"/>
  <c r="X94" i="21"/>
  <c r="Y94" i="21"/>
  <c r="Z94" i="21"/>
  <c r="U95" i="21"/>
  <c r="V95" i="21"/>
  <c r="X95" i="21"/>
  <c r="Y95" i="21"/>
  <c r="Z95" i="21"/>
  <c r="U96" i="21"/>
  <c r="V96" i="21"/>
  <c r="X96" i="21"/>
  <c r="Y96" i="21"/>
  <c r="Z96" i="21"/>
  <c r="U97" i="21"/>
  <c r="V97" i="21"/>
  <c r="X97" i="21"/>
  <c r="Y97" i="21"/>
  <c r="Z97" i="21"/>
  <c r="U98" i="21"/>
  <c r="V98" i="21"/>
  <c r="X98" i="21"/>
  <c r="Y98" i="21"/>
  <c r="Z98" i="21"/>
  <c r="U99" i="21"/>
  <c r="V99" i="21"/>
  <c r="X99" i="21"/>
  <c r="Y99" i="21"/>
  <c r="Z99" i="21"/>
  <c r="U100" i="21"/>
  <c r="V100" i="21"/>
  <c r="X100" i="21"/>
  <c r="Y100" i="21"/>
  <c r="Z100" i="21"/>
  <c r="U101" i="21"/>
  <c r="V101" i="21"/>
  <c r="X101" i="21"/>
  <c r="Y101" i="21"/>
  <c r="Z101" i="21"/>
  <c r="U102" i="21"/>
  <c r="V102" i="21"/>
  <c r="X102" i="21"/>
  <c r="Y102" i="21"/>
  <c r="Z102" i="21"/>
  <c r="U103" i="21"/>
  <c r="V103" i="21"/>
  <c r="X103" i="21"/>
  <c r="Y103" i="21"/>
  <c r="Z103" i="21"/>
  <c r="U104" i="21"/>
  <c r="V104" i="21"/>
  <c r="X104" i="21"/>
  <c r="Y104" i="21"/>
  <c r="Z104" i="21"/>
  <c r="U105" i="21"/>
  <c r="V105" i="21"/>
  <c r="X105" i="21"/>
  <c r="Y105" i="21"/>
  <c r="Z105" i="21"/>
  <c r="U106" i="21"/>
  <c r="V106" i="21"/>
  <c r="X106" i="21"/>
  <c r="Y106" i="21"/>
  <c r="Z106" i="21"/>
  <c r="U107" i="21"/>
  <c r="V107" i="21"/>
  <c r="X107" i="21"/>
  <c r="Y107" i="21"/>
  <c r="Z107" i="21"/>
  <c r="U108" i="21"/>
  <c r="V108" i="21"/>
  <c r="X108" i="21"/>
  <c r="Y108" i="21"/>
  <c r="Z108" i="21"/>
  <c r="U109" i="21"/>
  <c r="V109" i="21"/>
  <c r="X109" i="21"/>
  <c r="Y109" i="21"/>
  <c r="Z109" i="21"/>
  <c r="U110" i="21"/>
  <c r="V110" i="21"/>
  <c r="X110" i="21"/>
  <c r="Y110" i="21"/>
  <c r="Z110" i="21"/>
  <c r="U111" i="21"/>
  <c r="V111" i="21"/>
  <c r="X111" i="21"/>
  <c r="Y111" i="21"/>
  <c r="Z111" i="21"/>
  <c r="U112" i="21"/>
  <c r="V112" i="21"/>
  <c r="X112" i="21"/>
  <c r="Y112" i="21"/>
  <c r="Z112" i="21"/>
  <c r="U113" i="21"/>
  <c r="V113" i="21"/>
  <c r="X113" i="21"/>
  <c r="Y113" i="21"/>
  <c r="Z113" i="21"/>
  <c r="U114" i="21"/>
  <c r="V114" i="21"/>
  <c r="X114" i="21"/>
  <c r="Y114" i="21"/>
  <c r="Z114" i="21"/>
  <c r="U115" i="21"/>
  <c r="V115" i="21"/>
  <c r="X115" i="21"/>
  <c r="Y115" i="21"/>
  <c r="Z115" i="21"/>
  <c r="U116" i="21"/>
  <c r="V116" i="21"/>
  <c r="X116" i="21"/>
  <c r="Y116" i="21"/>
  <c r="Z116" i="21"/>
  <c r="U117" i="21"/>
  <c r="V117" i="21"/>
  <c r="X117" i="21"/>
  <c r="Y117" i="21"/>
  <c r="Z117" i="21"/>
  <c r="U118" i="21"/>
  <c r="V118" i="21"/>
  <c r="X118" i="21"/>
  <c r="Y118" i="21"/>
  <c r="Z118" i="21"/>
  <c r="U119" i="21"/>
  <c r="V119" i="21"/>
  <c r="X119" i="21"/>
  <c r="Y119" i="21"/>
  <c r="Z119" i="21"/>
  <c r="U120" i="21"/>
  <c r="V120" i="21"/>
  <c r="X120" i="21"/>
  <c r="Y120" i="21"/>
  <c r="Z120" i="21"/>
  <c r="U121" i="21"/>
  <c r="V121" i="21"/>
  <c r="X121" i="21"/>
  <c r="Y121" i="21"/>
  <c r="Z121" i="21"/>
  <c r="U122" i="21"/>
  <c r="V122" i="21"/>
  <c r="X122" i="21"/>
  <c r="Y122" i="21"/>
  <c r="Z122" i="21"/>
  <c r="U123" i="21"/>
  <c r="V123" i="21"/>
  <c r="X123" i="21"/>
  <c r="Y123" i="21"/>
  <c r="Z123" i="21"/>
  <c r="U124" i="21"/>
  <c r="V124" i="21"/>
  <c r="X124" i="21"/>
  <c r="Y124" i="21"/>
  <c r="Z124" i="21"/>
  <c r="U125" i="21"/>
  <c r="V125" i="21"/>
  <c r="X125" i="21"/>
  <c r="Y125" i="21"/>
  <c r="Z125" i="21"/>
  <c r="U126" i="21"/>
  <c r="V126" i="21"/>
  <c r="X126" i="21"/>
  <c r="Y126" i="21"/>
  <c r="Z126" i="21"/>
  <c r="U127" i="21"/>
  <c r="V127" i="21"/>
  <c r="X127" i="21"/>
  <c r="Y127" i="21"/>
  <c r="Z127" i="21"/>
  <c r="U128" i="21"/>
  <c r="V128" i="21"/>
  <c r="X128" i="21"/>
  <c r="Y128" i="21"/>
  <c r="Z128" i="21"/>
  <c r="U129" i="21"/>
  <c r="V129" i="21"/>
  <c r="X129" i="21"/>
  <c r="Y129" i="21"/>
  <c r="Z129" i="21"/>
  <c r="U130" i="21"/>
  <c r="V130" i="21"/>
  <c r="X130" i="21"/>
  <c r="Y130" i="21"/>
  <c r="Z130" i="21"/>
  <c r="U131" i="21"/>
  <c r="V131" i="21"/>
  <c r="X131" i="21"/>
  <c r="Y131" i="21"/>
  <c r="Z131" i="21"/>
  <c r="U132" i="21"/>
  <c r="V132" i="21"/>
  <c r="X132" i="21"/>
  <c r="Y132" i="21"/>
  <c r="Z132" i="21"/>
  <c r="U133" i="21"/>
  <c r="V133" i="21"/>
  <c r="X133" i="21"/>
  <c r="Y133" i="21"/>
  <c r="Z133" i="21"/>
  <c r="U134" i="21"/>
  <c r="V134" i="21"/>
  <c r="X134" i="21"/>
  <c r="Y134" i="21"/>
  <c r="Z134" i="21"/>
  <c r="U135" i="21"/>
  <c r="V135" i="21"/>
  <c r="X135" i="21"/>
  <c r="Y135" i="21"/>
  <c r="Z135" i="21"/>
  <c r="U136" i="21"/>
  <c r="V136" i="21"/>
  <c r="X136" i="21"/>
  <c r="Y136" i="21"/>
  <c r="Z136" i="21"/>
  <c r="U137" i="21"/>
  <c r="V137" i="21"/>
  <c r="X137" i="21"/>
  <c r="Y137" i="21"/>
  <c r="Z137" i="21"/>
  <c r="U138" i="21"/>
  <c r="V138" i="21"/>
  <c r="X138" i="21"/>
  <c r="Y138" i="21"/>
  <c r="Z138" i="21"/>
  <c r="U139" i="21"/>
  <c r="V139" i="21"/>
  <c r="X139" i="21"/>
  <c r="Y139" i="21"/>
  <c r="Z139" i="21"/>
  <c r="U140" i="21"/>
  <c r="V140" i="21"/>
  <c r="X140" i="21"/>
  <c r="Y140" i="21"/>
  <c r="Z140" i="21"/>
  <c r="U141" i="21"/>
  <c r="V141" i="21"/>
  <c r="X141" i="21"/>
  <c r="Y141" i="21"/>
  <c r="Z141" i="21"/>
  <c r="U142" i="21"/>
  <c r="V142" i="21"/>
  <c r="X142" i="21"/>
  <c r="Y142" i="21"/>
  <c r="Z142" i="21"/>
  <c r="U143" i="21"/>
  <c r="V143" i="21"/>
  <c r="X143" i="21"/>
  <c r="Y143" i="21"/>
  <c r="Z143" i="21"/>
  <c r="U144" i="21"/>
  <c r="V144" i="21"/>
  <c r="X144" i="21"/>
  <c r="Y144" i="21"/>
  <c r="Z144" i="21"/>
  <c r="U145" i="21"/>
  <c r="V145" i="21"/>
  <c r="X145" i="21"/>
  <c r="Y145" i="21"/>
  <c r="Z145" i="21"/>
  <c r="U146" i="21"/>
  <c r="V146" i="21"/>
  <c r="X146" i="21"/>
  <c r="Y146" i="21"/>
  <c r="Z146" i="21"/>
  <c r="U147" i="21"/>
  <c r="V147" i="21"/>
  <c r="X147" i="21"/>
  <c r="Y147" i="21"/>
  <c r="Z147" i="21"/>
  <c r="U148" i="21"/>
  <c r="V148" i="21"/>
  <c r="X148" i="21"/>
  <c r="Y148" i="21"/>
  <c r="Z148" i="21"/>
  <c r="U149" i="21"/>
  <c r="V149" i="21"/>
  <c r="X149" i="21"/>
  <c r="Y149" i="21"/>
  <c r="Z149" i="21"/>
  <c r="U150" i="21"/>
  <c r="V150" i="21"/>
  <c r="X150" i="21"/>
  <c r="Y150" i="21"/>
  <c r="Z150" i="21"/>
  <c r="U151" i="21"/>
  <c r="V151" i="21"/>
  <c r="X151" i="21"/>
  <c r="Y151" i="21"/>
  <c r="Z151" i="21"/>
  <c r="U152" i="21"/>
  <c r="V152" i="21"/>
  <c r="X152" i="21"/>
  <c r="Y152" i="21"/>
  <c r="Z152" i="21"/>
  <c r="U153" i="21"/>
  <c r="V153" i="21"/>
  <c r="X153" i="21"/>
  <c r="Y153" i="21"/>
  <c r="Z153" i="21"/>
  <c r="U154" i="21"/>
  <c r="V154" i="21"/>
  <c r="X154" i="21"/>
  <c r="Y154" i="21"/>
  <c r="Z154" i="21"/>
  <c r="U155" i="21"/>
  <c r="V155" i="21"/>
  <c r="X155" i="21"/>
  <c r="Y155" i="21"/>
  <c r="Z155" i="21"/>
  <c r="U156" i="21"/>
  <c r="V156" i="21"/>
  <c r="X156" i="21"/>
  <c r="Y156" i="21"/>
  <c r="Z156" i="21"/>
  <c r="U157" i="21"/>
  <c r="V157" i="21"/>
  <c r="X157" i="21"/>
  <c r="Y157" i="21"/>
  <c r="Z157" i="21"/>
  <c r="U158" i="21"/>
  <c r="V158" i="21"/>
  <c r="X158" i="21"/>
  <c r="Y158" i="21"/>
  <c r="Z158" i="21"/>
  <c r="U159" i="21"/>
  <c r="V159" i="21"/>
  <c r="X159" i="21"/>
  <c r="Y159" i="21"/>
  <c r="Z159" i="21"/>
  <c r="U160" i="21"/>
  <c r="V160" i="21"/>
  <c r="X160" i="21"/>
  <c r="Y160" i="21"/>
  <c r="Z160" i="21"/>
  <c r="U161" i="21"/>
  <c r="V161" i="21"/>
  <c r="X161" i="21"/>
  <c r="Y161" i="21"/>
  <c r="Z161" i="21"/>
  <c r="U162" i="21"/>
  <c r="V162" i="21"/>
  <c r="X162" i="21"/>
  <c r="Y162" i="21"/>
  <c r="Z162" i="21"/>
  <c r="U163" i="21"/>
  <c r="V163" i="21"/>
  <c r="X163" i="21"/>
  <c r="Y163" i="21"/>
  <c r="Z163" i="21"/>
  <c r="U164" i="21"/>
  <c r="V164" i="21"/>
  <c r="X164" i="21"/>
  <c r="Y164" i="21"/>
  <c r="Z164" i="21"/>
  <c r="U165" i="21"/>
  <c r="V165" i="21"/>
  <c r="X165" i="21"/>
  <c r="Y165" i="21"/>
  <c r="Z165" i="21"/>
  <c r="U166" i="21"/>
  <c r="V166" i="21"/>
  <c r="X166" i="21"/>
  <c r="Y166" i="21"/>
  <c r="Z166" i="21"/>
  <c r="U167" i="21"/>
  <c r="V167" i="21"/>
  <c r="X167" i="21"/>
  <c r="Y167" i="21"/>
  <c r="Z167" i="21"/>
  <c r="U168" i="21"/>
  <c r="V168" i="21"/>
  <c r="X168" i="21"/>
  <c r="Y168" i="21"/>
  <c r="Z168" i="21"/>
  <c r="U169" i="21"/>
  <c r="V169" i="21"/>
  <c r="X169" i="21"/>
  <c r="Y169" i="21"/>
  <c r="Z169" i="21"/>
  <c r="U170" i="21"/>
  <c r="V170" i="21"/>
  <c r="X170" i="21"/>
  <c r="Y170" i="21"/>
  <c r="Z170" i="21"/>
  <c r="U171" i="21"/>
  <c r="V171" i="21"/>
  <c r="X171" i="21"/>
  <c r="Y171" i="21"/>
  <c r="Z171" i="21"/>
  <c r="U172" i="21"/>
  <c r="V172" i="21"/>
  <c r="X172" i="21"/>
  <c r="Y172" i="21"/>
  <c r="Z172" i="21"/>
  <c r="U173" i="21"/>
  <c r="V173" i="21"/>
  <c r="X173" i="21"/>
  <c r="Y173" i="21"/>
  <c r="Z173" i="21"/>
  <c r="U174" i="21"/>
  <c r="V174" i="21"/>
  <c r="X174" i="21"/>
  <c r="Y174" i="21"/>
  <c r="Z174" i="21"/>
  <c r="U175" i="21"/>
  <c r="V175" i="21"/>
  <c r="X175" i="21"/>
  <c r="Y175" i="21"/>
  <c r="Z175" i="21"/>
  <c r="U176" i="21"/>
  <c r="V176" i="21"/>
  <c r="X176" i="21"/>
  <c r="Y176" i="21"/>
  <c r="Z176" i="21"/>
  <c r="U177" i="21"/>
  <c r="V177" i="21"/>
  <c r="X177" i="21"/>
  <c r="Y177" i="21"/>
  <c r="Z177" i="21"/>
  <c r="U178" i="21"/>
  <c r="V178" i="21"/>
  <c r="X178" i="21"/>
  <c r="Y178" i="21"/>
  <c r="Z178" i="21"/>
  <c r="U179" i="21"/>
  <c r="V179" i="21"/>
  <c r="X179" i="21"/>
  <c r="Y179" i="21"/>
  <c r="Z179" i="21"/>
  <c r="U180" i="21"/>
  <c r="V180" i="21"/>
  <c r="X180" i="21"/>
  <c r="Y180" i="21"/>
  <c r="Z180" i="21"/>
  <c r="U181" i="21"/>
  <c r="V181" i="21"/>
  <c r="X181" i="21"/>
  <c r="Y181" i="21"/>
  <c r="Z181" i="21"/>
  <c r="U182" i="21"/>
  <c r="V182" i="21"/>
  <c r="X182" i="21"/>
  <c r="Y182" i="21"/>
  <c r="Z182" i="21"/>
  <c r="U183" i="21"/>
  <c r="V183" i="21"/>
  <c r="X183" i="21"/>
  <c r="Y183" i="21"/>
  <c r="Z183" i="21"/>
  <c r="U184" i="21"/>
  <c r="V184" i="21"/>
  <c r="X184" i="21"/>
  <c r="Y184" i="21"/>
  <c r="Z184" i="21"/>
  <c r="U185" i="21"/>
  <c r="V185" i="21"/>
  <c r="X185" i="21"/>
  <c r="Y185" i="21"/>
  <c r="Z185" i="21"/>
  <c r="U186" i="21"/>
  <c r="V186" i="21"/>
  <c r="X186" i="21"/>
  <c r="Y186" i="21"/>
  <c r="Z186" i="21"/>
  <c r="U187" i="21"/>
  <c r="V187" i="21"/>
  <c r="X187" i="21"/>
  <c r="Y187" i="21"/>
  <c r="Z187" i="21"/>
  <c r="U188" i="21"/>
  <c r="V188" i="21"/>
  <c r="X188" i="21"/>
  <c r="Y188" i="21"/>
  <c r="Z188" i="21"/>
  <c r="U189" i="21"/>
  <c r="V189" i="21"/>
  <c r="X189" i="21"/>
  <c r="Y189" i="21"/>
  <c r="Z189" i="21"/>
  <c r="U190" i="21"/>
  <c r="V190" i="21"/>
  <c r="X190" i="21"/>
  <c r="Y190" i="21"/>
  <c r="Z190" i="21"/>
  <c r="U191" i="21"/>
  <c r="V191" i="21"/>
  <c r="X191" i="21"/>
  <c r="Y191" i="21"/>
  <c r="Z191" i="21"/>
  <c r="U192" i="21"/>
  <c r="V192" i="21"/>
  <c r="X192" i="21"/>
  <c r="Y192" i="21"/>
  <c r="Z192" i="21"/>
  <c r="U193" i="21"/>
  <c r="V193" i="21"/>
  <c r="X193" i="21"/>
  <c r="Y193" i="21"/>
  <c r="Z193" i="21"/>
  <c r="U194" i="21"/>
  <c r="V194" i="21"/>
  <c r="X194" i="21"/>
  <c r="Y194" i="21"/>
  <c r="Z194" i="21"/>
  <c r="U195" i="21"/>
  <c r="V195" i="21"/>
  <c r="X195" i="21"/>
  <c r="Y195" i="21"/>
  <c r="Z195" i="21"/>
  <c r="U196" i="21"/>
  <c r="V196" i="21"/>
  <c r="X196" i="21"/>
  <c r="Y196" i="21"/>
  <c r="Z196" i="21"/>
  <c r="U197" i="21"/>
  <c r="V197" i="21"/>
  <c r="X197" i="21"/>
  <c r="Y197" i="21"/>
  <c r="Z197" i="21"/>
  <c r="U198" i="21"/>
  <c r="V198" i="21"/>
  <c r="X198" i="21"/>
  <c r="Y198" i="21"/>
  <c r="Z198" i="21"/>
  <c r="U199" i="21"/>
  <c r="V199" i="21"/>
  <c r="X199" i="21"/>
  <c r="Y199" i="21"/>
  <c r="Z199" i="21"/>
  <c r="U200" i="21"/>
  <c r="V200" i="21"/>
  <c r="X200" i="21"/>
  <c r="Y200" i="21"/>
  <c r="Z200" i="21"/>
  <c r="U201" i="21"/>
  <c r="V201" i="21"/>
  <c r="X201" i="21"/>
  <c r="Y201" i="21"/>
  <c r="Z201" i="21"/>
  <c r="U202" i="21"/>
  <c r="V202" i="21"/>
  <c r="X202" i="21"/>
  <c r="Y202" i="21"/>
  <c r="Z202" i="21"/>
  <c r="U203" i="21"/>
  <c r="V203" i="21"/>
  <c r="X203" i="21"/>
  <c r="Y203" i="21"/>
  <c r="Z203" i="21"/>
  <c r="U204" i="21"/>
  <c r="V204" i="21"/>
  <c r="X204" i="21"/>
  <c r="Y204" i="21"/>
  <c r="Z204" i="21"/>
  <c r="U205" i="21"/>
  <c r="V205" i="21"/>
  <c r="X205" i="21"/>
  <c r="Y205" i="21"/>
  <c r="Z205" i="21"/>
  <c r="U206" i="21"/>
  <c r="V206" i="21"/>
  <c r="X206" i="21"/>
  <c r="Y206" i="21"/>
  <c r="Z206" i="21"/>
  <c r="U207" i="21"/>
  <c r="V207" i="21"/>
  <c r="X207" i="21"/>
  <c r="Y207" i="21"/>
  <c r="Z207" i="21"/>
  <c r="U208" i="21"/>
  <c r="V208" i="21"/>
  <c r="X208" i="21"/>
  <c r="Y208" i="21"/>
  <c r="Z208" i="21"/>
  <c r="U209" i="21"/>
  <c r="V209" i="21"/>
  <c r="X209" i="21"/>
  <c r="Y209" i="21"/>
  <c r="Z209" i="21"/>
  <c r="U210" i="21"/>
  <c r="V210" i="21"/>
  <c r="X210" i="21"/>
  <c r="Y210" i="21"/>
  <c r="Z210" i="21"/>
  <c r="U211" i="21"/>
  <c r="V211" i="21"/>
  <c r="X211" i="21"/>
  <c r="Y211" i="21"/>
  <c r="Z211" i="21"/>
  <c r="U212" i="21"/>
  <c r="V212" i="21"/>
  <c r="X212" i="21"/>
  <c r="Y212" i="21"/>
  <c r="Z212" i="21"/>
  <c r="U213" i="21"/>
  <c r="V213" i="21"/>
  <c r="X213" i="21"/>
  <c r="Y213" i="21"/>
  <c r="Z213" i="21"/>
  <c r="U214" i="21"/>
  <c r="V214" i="21"/>
  <c r="X214" i="21"/>
  <c r="Y214" i="21"/>
  <c r="Z214" i="21"/>
  <c r="U215" i="21"/>
  <c r="V215" i="21"/>
  <c r="X215" i="21"/>
  <c r="Y215" i="21"/>
  <c r="Z215" i="21"/>
  <c r="U216" i="21"/>
  <c r="V216" i="21"/>
  <c r="X216" i="21"/>
  <c r="Y216" i="21"/>
  <c r="Z216" i="21"/>
  <c r="U217" i="21"/>
  <c r="V217" i="21"/>
  <c r="X217" i="21"/>
  <c r="Y217" i="21"/>
  <c r="Z217" i="21"/>
  <c r="U218" i="21"/>
  <c r="V218" i="21"/>
  <c r="X218" i="21"/>
  <c r="Y218" i="21"/>
  <c r="Z218" i="21"/>
  <c r="U219" i="21"/>
  <c r="V219" i="21"/>
  <c r="X219" i="21"/>
  <c r="Y219" i="21"/>
  <c r="Z219" i="21"/>
  <c r="U220" i="21"/>
  <c r="V220" i="21"/>
  <c r="X220" i="21"/>
  <c r="Y220" i="21"/>
  <c r="Z220" i="21"/>
  <c r="U221" i="21"/>
  <c r="V221" i="21"/>
  <c r="X221" i="21"/>
  <c r="Y221" i="21"/>
  <c r="Z221" i="21"/>
  <c r="U222" i="21"/>
  <c r="V222" i="21"/>
  <c r="X222" i="21"/>
  <c r="Y222" i="21"/>
  <c r="Z222" i="21"/>
  <c r="U223" i="21"/>
  <c r="V223" i="21"/>
  <c r="X223" i="21"/>
  <c r="Y223" i="21"/>
  <c r="Z223" i="21"/>
  <c r="U224" i="21"/>
  <c r="V224" i="21"/>
  <c r="X224" i="21"/>
  <c r="Y224" i="21"/>
  <c r="Z224" i="21"/>
  <c r="U225" i="21"/>
  <c r="V225" i="21"/>
  <c r="X225" i="21"/>
  <c r="Y225" i="21"/>
  <c r="Z225" i="21"/>
  <c r="U226" i="21"/>
  <c r="V226" i="21"/>
  <c r="X226" i="21"/>
  <c r="Y226" i="21"/>
  <c r="Z226" i="21"/>
  <c r="U227" i="21"/>
  <c r="V227" i="21"/>
  <c r="X227" i="21"/>
  <c r="Y227" i="21"/>
  <c r="Z227" i="21"/>
  <c r="U228" i="21"/>
  <c r="V228" i="21"/>
  <c r="X228" i="21"/>
  <c r="Y228" i="21"/>
  <c r="Z228" i="21"/>
  <c r="U229" i="21"/>
  <c r="V229" i="21"/>
  <c r="X229" i="21"/>
  <c r="Y229" i="21"/>
  <c r="Z229" i="21"/>
  <c r="U230" i="21"/>
  <c r="V230" i="21"/>
  <c r="X230" i="21"/>
  <c r="Y230" i="21"/>
  <c r="Z230" i="21"/>
  <c r="U231" i="21"/>
  <c r="V231" i="21"/>
  <c r="X231" i="21"/>
  <c r="Y231" i="21"/>
  <c r="Z231" i="21"/>
  <c r="U232" i="21"/>
  <c r="V232" i="21"/>
  <c r="X232" i="21"/>
  <c r="Y232" i="21"/>
  <c r="Z232" i="21"/>
  <c r="U233" i="21"/>
  <c r="V233" i="21"/>
  <c r="X233" i="21"/>
  <c r="Y233" i="21"/>
  <c r="Z233" i="21"/>
  <c r="U234" i="21"/>
  <c r="V234" i="21"/>
  <c r="X234" i="21"/>
  <c r="Y234" i="21"/>
  <c r="Z234" i="21"/>
  <c r="U235" i="21"/>
  <c r="V235" i="21"/>
  <c r="X235" i="21"/>
  <c r="Y235" i="21"/>
  <c r="Z235" i="21"/>
  <c r="U236" i="21"/>
  <c r="V236" i="21"/>
  <c r="X236" i="21"/>
  <c r="Y236" i="21"/>
  <c r="Z236" i="21"/>
  <c r="U237" i="21"/>
  <c r="V237" i="21"/>
  <c r="X237" i="21"/>
  <c r="Y237" i="21"/>
  <c r="Z237" i="21"/>
  <c r="U238" i="21"/>
  <c r="V238" i="21"/>
  <c r="X238" i="21"/>
  <c r="Y238" i="21"/>
  <c r="Z238" i="21"/>
  <c r="U239" i="21"/>
  <c r="V239" i="21"/>
  <c r="X239" i="21"/>
  <c r="Y239" i="21"/>
  <c r="Z239" i="21"/>
  <c r="U240" i="21"/>
  <c r="V240" i="21"/>
  <c r="X240" i="21"/>
  <c r="Y240" i="21"/>
  <c r="Z240" i="21"/>
  <c r="U241" i="21"/>
  <c r="V241" i="21"/>
  <c r="X241" i="21"/>
  <c r="Y241" i="21"/>
  <c r="Z241" i="21"/>
  <c r="U242" i="21"/>
  <c r="V242" i="21"/>
  <c r="X242" i="21"/>
  <c r="Y242" i="21"/>
  <c r="Z242" i="21"/>
  <c r="U243" i="21"/>
  <c r="V243" i="21"/>
  <c r="X243" i="21"/>
  <c r="Y243" i="21"/>
  <c r="Z243" i="21"/>
  <c r="U244" i="21"/>
  <c r="V244" i="21"/>
  <c r="X244" i="21"/>
  <c r="Y244" i="21"/>
  <c r="Z244" i="21"/>
  <c r="U245" i="21"/>
  <c r="V245" i="21"/>
  <c r="X245" i="21"/>
  <c r="Y245" i="21"/>
  <c r="Z245" i="21"/>
  <c r="U246" i="21"/>
  <c r="V246" i="21"/>
  <c r="X246" i="21"/>
  <c r="Y246" i="21"/>
  <c r="Z246" i="21"/>
  <c r="U247" i="21"/>
  <c r="V247" i="21"/>
  <c r="X247" i="21"/>
  <c r="Y247" i="21"/>
  <c r="Z247" i="21"/>
  <c r="U248" i="21"/>
  <c r="V248" i="21"/>
  <c r="X248" i="21"/>
  <c r="Y248" i="21"/>
  <c r="Z248" i="21"/>
  <c r="U249" i="21"/>
  <c r="V249" i="21"/>
  <c r="X249" i="21"/>
  <c r="Y249" i="21"/>
  <c r="Z249" i="21"/>
  <c r="U250" i="21"/>
  <c r="V250" i="21"/>
  <c r="X250" i="21"/>
  <c r="Y250" i="21"/>
  <c r="Z250" i="21"/>
  <c r="U251" i="21"/>
  <c r="V251" i="21"/>
  <c r="X251" i="21"/>
  <c r="Y251" i="21"/>
  <c r="Z251" i="21"/>
  <c r="U252" i="21"/>
  <c r="V252" i="21"/>
  <c r="X252" i="21"/>
  <c r="Y252" i="21"/>
  <c r="Z252" i="21"/>
  <c r="U253" i="21"/>
  <c r="V253" i="21"/>
  <c r="X253" i="21"/>
  <c r="Y253" i="21"/>
  <c r="Z253" i="21"/>
  <c r="U254" i="21"/>
  <c r="V254" i="21"/>
  <c r="X254" i="21"/>
  <c r="Y254" i="21"/>
  <c r="Z254" i="21"/>
  <c r="U255" i="21"/>
  <c r="V255" i="21"/>
  <c r="X255" i="21"/>
  <c r="Y255" i="21"/>
  <c r="Z255" i="21"/>
  <c r="U256" i="21"/>
  <c r="V256" i="21"/>
  <c r="X256" i="21"/>
  <c r="Y256" i="21"/>
  <c r="Z256" i="21"/>
  <c r="U257" i="21"/>
  <c r="V257" i="21"/>
  <c r="X257" i="21"/>
  <c r="Y257" i="21"/>
  <c r="Z257" i="21"/>
  <c r="U258" i="21"/>
  <c r="V258" i="21"/>
  <c r="X258" i="21"/>
  <c r="Y258" i="21"/>
  <c r="Z258" i="21"/>
  <c r="U259" i="21"/>
  <c r="V259" i="21"/>
  <c r="X259" i="21"/>
  <c r="Y259" i="21"/>
  <c r="Z259" i="21"/>
  <c r="U260" i="21"/>
  <c r="V260" i="21"/>
  <c r="X260" i="21"/>
  <c r="Y260" i="21"/>
  <c r="Z260" i="21"/>
  <c r="U261" i="21"/>
  <c r="V261" i="21"/>
  <c r="X261" i="21"/>
  <c r="Y261" i="21"/>
  <c r="Z261" i="21"/>
  <c r="U262" i="21"/>
  <c r="V262" i="21"/>
  <c r="X262" i="21"/>
  <c r="Y262" i="21"/>
  <c r="Z262" i="21"/>
  <c r="U263" i="21"/>
  <c r="V263" i="21"/>
  <c r="X263" i="21"/>
  <c r="Y263" i="21"/>
  <c r="Z263" i="21"/>
  <c r="U264" i="21"/>
  <c r="V264" i="21"/>
  <c r="X264" i="21"/>
  <c r="Y264" i="21"/>
  <c r="Z264" i="21"/>
  <c r="U265" i="21"/>
  <c r="V265" i="21"/>
  <c r="X265" i="21"/>
  <c r="Y265" i="21"/>
  <c r="Z265" i="21"/>
  <c r="U266" i="21"/>
  <c r="V266" i="21"/>
  <c r="X266" i="21"/>
  <c r="Y266" i="21"/>
  <c r="Z266" i="21"/>
  <c r="Z23" i="21"/>
  <c r="Z22" i="21"/>
  <c r="AA26" i="21"/>
  <c r="AD26" i="21"/>
  <c r="AC24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5" i="21"/>
  <c r="E19" i="21"/>
  <c r="N22" i="21"/>
  <c r="H24" i="21"/>
  <c r="K24" i="21"/>
  <c r="N23" i="21"/>
  <c r="N24" i="21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O23" i="21"/>
  <c r="O24" i="21"/>
  <c r="O22" i="21"/>
  <c r="H5" i="22"/>
  <c r="G5" i="22"/>
  <c r="F5" i="22"/>
  <c r="E5" i="22"/>
  <c r="E4" i="22"/>
  <c r="I245" i="26"/>
  <c r="I244" i="26"/>
  <c r="I243" i="26"/>
  <c r="I242" i="26"/>
  <c r="I241" i="26"/>
  <c r="I240" i="26"/>
  <c r="I239" i="26"/>
  <c r="I238" i="26"/>
  <c r="I237" i="26"/>
  <c r="I236" i="26"/>
  <c r="I235" i="26"/>
  <c r="I234" i="26"/>
  <c r="I233" i="26"/>
  <c r="I232" i="26"/>
  <c r="I231" i="26"/>
  <c r="I230" i="26"/>
  <c r="I229" i="26"/>
  <c r="I228" i="26"/>
  <c r="I227" i="26"/>
  <c r="I226" i="26"/>
  <c r="I225" i="26"/>
  <c r="I224" i="26"/>
  <c r="I223" i="26"/>
  <c r="I222" i="26"/>
  <c r="I221" i="26"/>
  <c r="I220" i="26"/>
  <c r="I219" i="26"/>
  <c r="I218" i="26"/>
  <c r="I217" i="26"/>
  <c r="I216" i="26"/>
  <c r="I215" i="26"/>
  <c r="I214" i="26"/>
  <c r="I213" i="26"/>
  <c r="I212" i="26"/>
  <c r="I211" i="26"/>
  <c r="I210" i="26"/>
  <c r="I209" i="26"/>
  <c r="I208" i="26"/>
  <c r="I207" i="26"/>
  <c r="I206" i="26"/>
  <c r="I205" i="26"/>
  <c r="I204" i="26"/>
  <c r="I203" i="26"/>
  <c r="I202" i="26"/>
  <c r="I201" i="26"/>
  <c r="I200" i="26"/>
  <c r="I199" i="26"/>
  <c r="I198" i="26"/>
  <c r="I197" i="26"/>
  <c r="I196" i="26"/>
  <c r="I195" i="26"/>
  <c r="I194" i="26"/>
  <c r="I193" i="26"/>
  <c r="I192" i="26"/>
  <c r="I191" i="26"/>
  <c r="I190" i="26"/>
  <c r="I189" i="26"/>
  <c r="I188" i="26"/>
  <c r="I187" i="26"/>
  <c r="I186" i="26"/>
  <c r="I185" i="26"/>
  <c r="I184" i="26"/>
  <c r="I183" i="26"/>
  <c r="I182" i="26"/>
  <c r="I181" i="26"/>
  <c r="I180" i="26"/>
  <c r="I179" i="26"/>
  <c r="I178" i="26"/>
  <c r="I177" i="26"/>
  <c r="I176" i="26"/>
  <c r="I175" i="26"/>
  <c r="I174" i="26"/>
  <c r="I173" i="26"/>
  <c r="I172" i="26"/>
  <c r="I171" i="26"/>
  <c r="I170" i="26"/>
  <c r="I169" i="26"/>
  <c r="I168" i="26"/>
  <c r="I167" i="26"/>
  <c r="I166" i="26"/>
  <c r="I165" i="26"/>
  <c r="I164" i="26"/>
  <c r="I163" i="26"/>
  <c r="I162" i="26"/>
  <c r="I161" i="26"/>
  <c r="I160" i="26"/>
  <c r="I159" i="26"/>
  <c r="I158" i="26"/>
  <c r="I157" i="26"/>
  <c r="I156" i="26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H3" i="26"/>
  <c r="I3" i="26"/>
  <c r="F3" i="26"/>
  <c r="E3" i="26"/>
  <c r="I2" i="26" a="1"/>
  <c r="I2" i="26"/>
  <c r="I1" i="26" a="1"/>
  <c r="I1" i="26"/>
  <c r="E24" i="21"/>
  <c r="F6" i="19"/>
  <c r="H6" i="19"/>
  <c r="H5" i="19"/>
  <c r="G5" i="19"/>
  <c r="F5" i="19"/>
  <c r="E5" i="19"/>
  <c r="I6" i="19"/>
  <c r="L6" i="19"/>
  <c r="M6" i="19" a="1"/>
  <c r="M6" i="19"/>
  <c r="O6" i="19"/>
  <c r="M7" i="19"/>
  <c r="O7" i="19"/>
  <c r="M8" i="19"/>
  <c r="O8" i="19"/>
  <c r="M9" i="19"/>
  <c r="O9" i="19"/>
  <c r="M10" i="19"/>
  <c r="O10" i="19"/>
  <c r="M11" i="19"/>
  <c r="O11" i="19"/>
  <c r="M12" i="19"/>
  <c r="O12" i="19"/>
  <c r="M13" i="19"/>
  <c r="O13" i="19"/>
  <c r="M14" i="19"/>
  <c r="O14" i="19"/>
  <c r="M15" i="19"/>
  <c r="O15" i="19"/>
  <c r="M16" i="19"/>
  <c r="O16" i="19"/>
  <c r="M17" i="19"/>
  <c r="O17" i="19"/>
  <c r="M18" i="19"/>
  <c r="O18" i="19"/>
  <c r="M19" i="19"/>
  <c r="O19" i="19"/>
  <c r="M20" i="19"/>
  <c r="O20" i="19"/>
  <c r="M21" i="19"/>
  <c r="O21" i="19"/>
  <c r="M22" i="19"/>
  <c r="O22" i="19"/>
  <c r="M23" i="19"/>
  <c r="O23" i="19"/>
  <c r="M24" i="19"/>
  <c r="O24" i="19"/>
  <c r="M25" i="19"/>
  <c r="O25" i="19"/>
  <c r="M26" i="19"/>
  <c r="O26" i="19"/>
  <c r="M27" i="19"/>
  <c r="O27" i="19"/>
  <c r="M28" i="19"/>
  <c r="O28" i="19"/>
  <c r="M29" i="19"/>
  <c r="O29" i="19"/>
  <c r="M30" i="19"/>
  <c r="O30" i="19"/>
  <c r="M31" i="19"/>
  <c r="O31" i="19"/>
  <c r="M32" i="19"/>
  <c r="O32" i="19"/>
  <c r="M33" i="19"/>
  <c r="O33" i="19"/>
  <c r="M34" i="19"/>
  <c r="O34" i="19"/>
  <c r="M35" i="19"/>
  <c r="O35" i="19"/>
  <c r="M36" i="19"/>
  <c r="O36" i="19"/>
  <c r="M37" i="19"/>
  <c r="O37" i="19"/>
  <c r="M38" i="19"/>
  <c r="O38" i="19"/>
  <c r="M39" i="19"/>
  <c r="O39" i="19"/>
  <c r="M40" i="19"/>
  <c r="O40" i="19"/>
  <c r="M41" i="19"/>
  <c r="O41" i="19"/>
  <c r="M42" i="19"/>
  <c r="O42" i="19"/>
  <c r="M43" i="19"/>
  <c r="O43" i="19"/>
  <c r="M44" i="19"/>
  <c r="O44" i="19"/>
  <c r="M45" i="19"/>
  <c r="O45" i="19"/>
  <c r="M46" i="19"/>
  <c r="O46" i="19"/>
  <c r="M47" i="19"/>
  <c r="O47" i="19"/>
  <c r="M48" i="19"/>
  <c r="O48" i="19"/>
  <c r="M49" i="19"/>
  <c r="O49" i="19"/>
  <c r="M50" i="19"/>
  <c r="O50" i="19"/>
  <c r="M51" i="19"/>
  <c r="O51" i="19"/>
  <c r="M52" i="19"/>
  <c r="O52" i="19"/>
  <c r="M53" i="19"/>
  <c r="O53" i="19"/>
  <c r="M54" i="19"/>
  <c r="O54" i="19"/>
  <c r="M55" i="19"/>
  <c r="O55" i="19"/>
  <c r="M56" i="19"/>
  <c r="O56" i="19"/>
  <c r="M57" i="19"/>
  <c r="O57" i="19"/>
  <c r="M58" i="19"/>
  <c r="O58" i="19"/>
  <c r="M59" i="19"/>
  <c r="O59" i="19"/>
  <c r="M60" i="19"/>
  <c r="O60" i="19"/>
  <c r="M61" i="19"/>
  <c r="O61" i="19"/>
  <c r="M62" i="19"/>
  <c r="O62" i="19"/>
  <c r="M63" i="19"/>
  <c r="O63" i="19"/>
  <c r="M64" i="19"/>
  <c r="O64" i="19"/>
  <c r="M65" i="19"/>
  <c r="O65" i="19"/>
  <c r="M66" i="19"/>
  <c r="O66" i="19"/>
  <c r="M67" i="19"/>
  <c r="O67" i="19"/>
  <c r="M68" i="19"/>
  <c r="O68" i="19"/>
  <c r="M69" i="19"/>
  <c r="O69" i="19"/>
  <c r="M70" i="19"/>
  <c r="O70" i="19"/>
  <c r="M71" i="19"/>
  <c r="O71" i="19"/>
  <c r="M72" i="19"/>
  <c r="O72" i="19"/>
  <c r="M73" i="19"/>
  <c r="O73" i="19"/>
  <c r="M74" i="19"/>
  <c r="O74" i="19"/>
  <c r="M75" i="19"/>
  <c r="O75" i="19"/>
  <c r="M76" i="19"/>
  <c r="O76" i="19"/>
  <c r="M77" i="19"/>
  <c r="O77" i="19"/>
  <c r="M78" i="19"/>
  <c r="O78" i="19"/>
  <c r="M79" i="19"/>
  <c r="O79" i="19"/>
  <c r="M80" i="19"/>
  <c r="O80" i="19"/>
  <c r="M81" i="19"/>
  <c r="O81" i="19"/>
  <c r="M82" i="19"/>
  <c r="O82" i="19"/>
  <c r="M83" i="19"/>
  <c r="O83" i="19"/>
  <c r="M84" i="19"/>
  <c r="O84" i="19"/>
  <c r="M85" i="19"/>
  <c r="O85" i="19"/>
  <c r="M86" i="19"/>
  <c r="O86" i="19"/>
  <c r="M87" i="19"/>
  <c r="O87" i="19"/>
  <c r="M88" i="19"/>
  <c r="O88" i="19"/>
  <c r="M89" i="19"/>
  <c r="O89" i="19"/>
  <c r="M90" i="19"/>
  <c r="O90" i="19"/>
  <c r="M91" i="19"/>
  <c r="O91" i="19"/>
  <c r="M92" i="19"/>
  <c r="O92" i="19"/>
  <c r="M93" i="19"/>
  <c r="O93" i="19"/>
  <c r="M94" i="19"/>
  <c r="O94" i="19"/>
  <c r="M95" i="19"/>
  <c r="O95" i="19"/>
  <c r="M96" i="19"/>
  <c r="O96" i="19"/>
  <c r="M97" i="19"/>
  <c r="O97" i="19"/>
  <c r="M98" i="19"/>
  <c r="O98" i="19"/>
  <c r="M99" i="19"/>
  <c r="O99" i="19"/>
  <c r="M100" i="19"/>
  <c r="O100" i="19"/>
  <c r="M101" i="19"/>
  <c r="O101" i="19"/>
  <c r="M102" i="19"/>
  <c r="O102" i="19"/>
  <c r="M103" i="19"/>
  <c r="O103" i="19"/>
  <c r="M104" i="19"/>
  <c r="O104" i="19"/>
  <c r="M105" i="19"/>
  <c r="O105" i="19"/>
  <c r="M106" i="19"/>
  <c r="O106" i="19"/>
  <c r="M107" i="19"/>
  <c r="O107" i="19"/>
  <c r="M108" i="19"/>
  <c r="O108" i="19"/>
  <c r="M109" i="19"/>
  <c r="O109" i="19"/>
  <c r="M110" i="19"/>
  <c r="O110" i="19"/>
  <c r="M111" i="19"/>
  <c r="O111" i="19"/>
  <c r="M112" i="19"/>
  <c r="O112" i="19"/>
  <c r="M113" i="19"/>
  <c r="O113" i="19"/>
  <c r="M114" i="19"/>
  <c r="O114" i="19"/>
  <c r="M115" i="19"/>
  <c r="O115" i="19"/>
  <c r="M116" i="19"/>
  <c r="O116" i="19"/>
  <c r="M117" i="19"/>
  <c r="O117" i="19"/>
  <c r="M118" i="19"/>
  <c r="O118" i="19"/>
  <c r="M119" i="19"/>
  <c r="O119" i="19"/>
  <c r="M120" i="19"/>
  <c r="O120" i="19"/>
  <c r="M121" i="19"/>
  <c r="O121" i="19"/>
  <c r="M122" i="19"/>
  <c r="O122" i="19"/>
  <c r="M123" i="19"/>
  <c r="O123" i="19"/>
  <c r="M124" i="19"/>
  <c r="O124" i="19"/>
  <c r="M125" i="19"/>
  <c r="O125" i="19"/>
  <c r="M126" i="19"/>
  <c r="O126" i="19"/>
  <c r="M127" i="19"/>
  <c r="O127" i="19"/>
  <c r="M128" i="19"/>
  <c r="O128" i="19"/>
  <c r="M129" i="19"/>
  <c r="O129" i="19"/>
  <c r="M130" i="19"/>
  <c r="O130" i="19"/>
  <c r="M131" i="19"/>
  <c r="O131" i="19"/>
  <c r="M132" i="19"/>
  <c r="O132" i="19"/>
  <c r="M133" i="19"/>
  <c r="O133" i="19"/>
  <c r="M134" i="19"/>
  <c r="O134" i="19"/>
  <c r="M135" i="19"/>
  <c r="O135" i="19"/>
  <c r="M136" i="19"/>
  <c r="O136" i="19"/>
  <c r="M137" i="19"/>
  <c r="O137" i="19"/>
  <c r="M138" i="19"/>
  <c r="O138" i="19"/>
  <c r="M139" i="19"/>
  <c r="O139" i="19"/>
  <c r="M140" i="19"/>
  <c r="O140" i="19"/>
  <c r="M141" i="19"/>
  <c r="O141" i="19"/>
  <c r="M142" i="19"/>
  <c r="O142" i="19"/>
  <c r="M143" i="19"/>
  <c r="O143" i="19"/>
  <c r="M144" i="19"/>
  <c r="O144" i="19"/>
  <c r="M145" i="19"/>
  <c r="O145" i="19"/>
  <c r="M146" i="19"/>
  <c r="O146" i="19"/>
  <c r="M147" i="19"/>
  <c r="O147" i="19"/>
  <c r="M148" i="19"/>
  <c r="O148" i="19"/>
  <c r="M149" i="19"/>
  <c r="O149" i="19"/>
  <c r="M150" i="19"/>
  <c r="O150" i="19"/>
  <c r="M151" i="19"/>
  <c r="O151" i="19"/>
  <c r="M152" i="19"/>
  <c r="O152" i="19"/>
  <c r="M153" i="19"/>
  <c r="O153" i="19"/>
  <c r="M154" i="19"/>
  <c r="O154" i="19"/>
  <c r="M155" i="19"/>
  <c r="O155" i="19"/>
  <c r="M156" i="19"/>
  <c r="O156" i="19"/>
  <c r="M157" i="19"/>
  <c r="O157" i="19"/>
  <c r="M158" i="19"/>
  <c r="O158" i="19"/>
  <c r="M159" i="19"/>
  <c r="O159" i="19"/>
  <c r="M160" i="19"/>
  <c r="O160" i="19"/>
  <c r="M161" i="19"/>
  <c r="O161" i="19"/>
  <c r="M162" i="19"/>
  <c r="O162" i="19"/>
  <c r="M163" i="19"/>
  <c r="O163" i="19"/>
  <c r="M164" i="19"/>
  <c r="O164" i="19"/>
  <c r="M165" i="19"/>
  <c r="O165" i="19"/>
  <c r="M166" i="19"/>
  <c r="O166" i="19"/>
  <c r="M167" i="19"/>
  <c r="O167" i="19"/>
  <c r="M168" i="19"/>
  <c r="O168" i="19"/>
  <c r="M169" i="19"/>
  <c r="O169" i="19"/>
  <c r="M170" i="19"/>
  <c r="O170" i="19"/>
  <c r="M171" i="19"/>
  <c r="O171" i="19"/>
  <c r="M172" i="19"/>
  <c r="O172" i="19"/>
  <c r="M173" i="19"/>
  <c r="O173" i="19"/>
  <c r="M174" i="19"/>
  <c r="O174" i="19"/>
  <c r="M175" i="19"/>
  <c r="O175" i="19"/>
  <c r="M176" i="19"/>
  <c r="O176" i="19"/>
  <c r="M177" i="19"/>
  <c r="O177" i="19"/>
  <c r="M178" i="19"/>
  <c r="O178" i="19"/>
  <c r="M179" i="19"/>
  <c r="O179" i="19"/>
  <c r="M180" i="19"/>
  <c r="O180" i="19"/>
  <c r="M181" i="19"/>
  <c r="O181" i="19"/>
  <c r="M182" i="19"/>
  <c r="O182" i="19"/>
  <c r="M183" i="19"/>
  <c r="O183" i="19"/>
  <c r="M184" i="19"/>
  <c r="O184" i="19"/>
  <c r="M185" i="19"/>
  <c r="O185" i="19"/>
  <c r="M186" i="19"/>
  <c r="O186" i="19"/>
  <c r="M187" i="19"/>
  <c r="O187" i="19"/>
  <c r="M188" i="19"/>
  <c r="O188" i="19"/>
  <c r="M189" i="19"/>
  <c r="O189" i="19"/>
  <c r="M190" i="19"/>
  <c r="O190" i="19"/>
  <c r="M191" i="19"/>
  <c r="O191" i="19"/>
  <c r="M192" i="19"/>
  <c r="O192" i="19"/>
  <c r="M193" i="19"/>
  <c r="O193" i="19"/>
  <c r="M194" i="19"/>
  <c r="O194" i="19"/>
  <c r="M195" i="19"/>
  <c r="O195" i="19"/>
  <c r="M196" i="19"/>
  <c r="O196" i="19"/>
  <c r="M197" i="19"/>
  <c r="O197" i="19"/>
  <c r="M198" i="19"/>
  <c r="O198" i="19"/>
  <c r="M199" i="19"/>
  <c r="O199" i="19"/>
  <c r="M200" i="19"/>
  <c r="O200" i="19"/>
  <c r="M201" i="19"/>
  <c r="O201" i="19"/>
  <c r="M202" i="19"/>
  <c r="O202" i="19"/>
  <c r="M203" i="19"/>
  <c r="O203" i="19"/>
  <c r="M204" i="19"/>
  <c r="O204" i="19"/>
  <c r="M205" i="19"/>
  <c r="O205" i="19"/>
  <c r="M206" i="19"/>
  <c r="O206" i="19"/>
  <c r="M207" i="19"/>
  <c r="O207" i="19"/>
  <c r="M208" i="19"/>
  <c r="O208" i="19"/>
  <c r="M209" i="19"/>
  <c r="O209" i="19"/>
  <c r="M210" i="19"/>
  <c r="O210" i="19"/>
  <c r="M211" i="19"/>
  <c r="O211" i="19"/>
  <c r="M212" i="19"/>
  <c r="O212" i="19"/>
  <c r="M213" i="19"/>
  <c r="O213" i="19"/>
  <c r="M214" i="19"/>
  <c r="O214" i="19"/>
  <c r="M215" i="19"/>
  <c r="O215" i="19"/>
  <c r="M216" i="19"/>
  <c r="O216" i="19"/>
  <c r="M217" i="19"/>
  <c r="O217" i="19"/>
  <c r="M218" i="19"/>
  <c r="O218" i="19"/>
  <c r="M219" i="19"/>
  <c r="O219" i="19"/>
  <c r="M220" i="19"/>
  <c r="O220" i="19"/>
  <c r="M221" i="19"/>
  <c r="O221" i="19"/>
  <c r="M222" i="19"/>
  <c r="O222" i="19"/>
  <c r="M223" i="19"/>
  <c r="O223" i="19"/>
  <c r="M224" i="19"/>
  <c r="O224" i="19"/>
  <c r="M225" i="19"/>
  <c r="O225" i="19"/>
  <c r="M226" i="19"/>
  <c r="O226" i="19"/>
  <c r="M227" i="19"/>
  <c r="O227" i="19"/>
  <c r="M228" i="19"/>
  <c r="O228" i="19"/>
  <c r="M229" i="19"/>
  <c r="O229" i="19"/>
  <c r="M230" i="19"/>
  <c r="O230" i="19"/>
  <c r="M231" i="19"/>
  <c r="O231" i="19"/>
  <c r="M232" i="19"/>
  <c r="O232" i="19"/>
  <c r="M233" i="19"/>
  <c r="O233" i="19"/>
  <c r="M234" i="19"/>
  <c r="O234" i="19"/>
  <c r="M235" i="19"/>
  <c r="O235" i="19"/>
  <c r="M236" i="19"/>
  <c r="O236" i="19"/>
  <c r="M237" i="19"/>
  <c r="O237" i="19"/>
  <c r="M238" i="19"/>
  <c r="O238" i="19"/>
  <c r="M239" i="19"/>
  <c r="O239" i="19"/>
  <c r="M240" i="19"/>
  <c r="O240" i="19"/>
  <c r="M241" i="19"/>
  <c r="O241" i="19"/>
  <c r="M242" i="19"/>
  <c r="O242" i="19"/>
  <c r="M243" i="19"/>
  <c r="O243" i="19"/>
  <c r="M244" i="19"/>
  <c r="O244" i="19"/>
  <c r="M245" i="19"/>
  <c r="O245" i="19"/>
  <c r="M246" i="19"/>
  <c r="O246" i="19"/>
  <c r="M247" i="19"/>
  <c r="O247" i="19"/>
  <c r="M248" i="19"/>
  <c r="O248" i="19"/>
  <c r="M249" i="19"/>
  <c r="O249" i="19"/>
  <c r="M250" i="19"/>
  <c r="O250" i="19"/>
  <c r="N6" i="19"/>
  <c r="P6" i="19"/>
  <c r="R6" i="19"/>
  <c r="J6" i="19"/>
  <c r="K6" i="19"/>
  <c r="N7" i="19"/>
  <c r="P7" i="19"/>
  <c r="R7" i="19"/>
  <c r="J7" i="19"/>
  <c r="K7" i="19"/>
  <c r="N8" i="19"/>
  <c r="P8" i="19"/>
  <c r="R8" i="19"/>
  <c r="J8" i="19"/>
  <c r="K8" i="19"/>
  <c r="N9" i="19"/>
  <c r="P9" i="19"/>
  <c r="R9" i="19"/>
  <c r="J9" i="19"/>
  <c r="K9" i="19"/>
  <c r="N10" i="19"/>
  <c r="P10" i="19"/>
  <c r="R10" i="19"/>
  <c r="J10" i="19"/>
  <c r="K10" i="19"/>
  <c r="N11" i="19"/>
  <c r="P11" i="19"/>
  <c r="R11" i="19"/>
  <c r="J11" i="19"/>
  <c r="K11" i="19"/>
  <c r="N12" i="19"/>
  <c r="P12" i="19"/>
  <c r="R12" i="19"/>
  <c r="J12" i="19"/>
  <c r="K12" i="19"/>
  <c r="N13" i="19"/>
  <c r="P13" i="19"/>
  <c r="R13" i="19"/>
  <c r="J13" i="19"/>
  <c r="K13" i="19"/>
  <c r="N14" i="19"/>
  <c r="P14" i="19"/>
  <c r="R14" i="19"/>
  <c r="J14" i="19"/>
  <c r="K14" i="19"/>
  <c r="N15" i="19"/>
  <c r="P15" i="19"/>
  <c r="R15" i="19"/>
  <c r="J15" i="19"/>
  <c r="K15" i="19"/>
  <c r="N16" i="19"/>
  <c r="P16" i="19"/>
  <c r="R16" i="19"/>
  <c r="J16" i="19"/>
  <c r="K16" i="19"/>
  <c r="N17" i="19"/>
  <c r="P17" i="19"/>
  <c r="R17" i="19"/>
  <c r="J17" i="19"/>
  <c r="K17" i="19"/>
  <c r="N18" i="19"/>
  <c r="P18" i="19"/>
  <c r="R18" i="19"/>
  <c r="J18" i="19"/>
  <c r="K18" i="19"/>
  <c r="N19" i="19"/>
  <c r="P19" i="19"/>
  <c r="R19" i="19"/>
  <c r="J19" i="19"/>
  <c r="K19" i="19"/>
  <c r="N20" i="19"/>
  <c r="P20" i="19"/>
  <c r="R20" i="19"/>
  <c r="J20" i="19"/>
  <c r="K20" i="19"/>
  <c r="N21" i="19"/>
  <c r="P21" i="19"/>
  <c r="R21" i="19"/>
  <c r="J21" i="19"/>
  <c r="K21" i="19"/>
  <c r="N22" i="19"/>
  <c r="P22" i="19"/>
  <c r="R22" i="19"/>
  <c r="J22" i="19"/>
  <c r="K22" i="19"/>
  <c r="N23" i="19"/>
  <c r="P23" i="19"/>
  <c r="R23" i="19"/>
  <c r="J23" i="19"/>
  <c r="K23" i="19"/>
  <c r="N24" i="19"/>
  <c r="P24" i="19"/>
  <c r="R24" i="19"/>
  <c r="J24" i="19"/>
  <c r="K24" i="19"/>
  <c r="N25" i="19"/>
  <c r="P25" i="19"/>
  <c r="R25" i="19"/>
  <c r="J25" i="19"/>
  <c r="K25" i="19"/>
  <c r="N26" i="19"/>
  <c r="P26" i="19"/>
  <c r="R26" i="19"/>
  <c r="J26" i="19"/>
  <c r="K26" i="19"/>
  <c r="N27" i="19"/>
  <c r="P27" i="19"/>
  <c r="R27" i="19"/>
  <c r="J27" i="19"/>
  <c r="K27" i="19"/>
  <c r="N28" i="19"/>
  <c r="P28" i="19"/>
  <c r="R28" i="19"/>
  <c r="J28" i="19"/>
  <c r="K28" i="19"/>
  <c r="N29" i="19"/>
  <c r="P29" i="19"/>
  <c r="R29" i="19"/>
  <c r="J29" i="19"/>
  <c r="K29" i="19"/>
  <c r="N30" i="19"/>
  <c r="P30" i="19"/>
  <c r="R30" i="19"/>
  <c r="J30" i="19"/>
  <c r="K30" i="19"/>
  <c r="N31" i="19"/>
  <c r="P31" i="19"/>
  <c r="R31" i="19"/>
  <c r="J31" i="19"/>
  <c r="K31" i="19"/>
  <c r="N32" i="19"/>
  <c r="P32" i="19"/>
  <c r="R32" i="19"/>
  <c r="J32" i="19"/>
  <c r="K32" i="19"/>
  <c r="N33" i="19"/>
  <c r="P33" i="19"/>
  <c r="R33" i="19"/>
  <c r="J33" i="19"/>
  <c r="K33" i="19"/>
  <c r="N34" i="19"/>
  <c r="P34" i="19"/>
  <c r="R34" i="19"/>
  <c r="J34" i="19"/>
  <c r="K34" i="19"/>
  <c r="N35" i="19"/>
  <c r="P35" i="19"/>
  <c r="R35" i="19"/>
  <c r="J35" i="19"/>
  <c r="K35" i="19"/>
  <c r="N36" i="19"/>
  <c r="P36" i="19"/>
  <c r="R36" i="19"/>
  <c r="J36" i="19"/>
  <c r="K36" i="19"/>
  <c r="N37" i="19"/>
  <c r="P37" i="19"/>
  <c r="R37" i="19"/>
  <c r="J37" i="19"/>
  <c r="K37" i="19"/>
  <c r="N38" i="19"/>
  <c r="P38" i="19"/>
  <c r="R38" i="19"/>
  <c r="J38" i="19"/>
  <c r="K38" i="19"/>
  <c r="N39" i="19"/>
  <c r="P39" i="19"/>
  <c r="R39" i="19"/>
  <c r="J39" i="19"/>
  <c r="K39" i="19"/>
  <c r="N40" i="19"/>
  <c r="P40" i="19"/>
  <c r="R40" i="19"/>
  <c r="J40" i="19"/>
  <c r="K40" i="19"/>
  <c r="N41" i="19"/>
  <c r="P41" i="19"/>
  <c r="R41" i="19"/>
  <c r="J41" i="19"/>
  <c r="K41" i="19"/>
  <c r="N42" i="19"/>
  <c r="P42" i="19"/>
  <c r="R42" i="19"/>
  <c r="J42" i="19"/>
  <c r="K42" i="19"/>
  <c r="N43" i="19"/>
  <c r="P43" i="19"/>
  <c r="R43" i="19"/>
  <c r="J43" i="19"/>
  <c r="K43" i="19"/>
  <c r="N44" i="19"/>
  <c r="P44" i="19"/>
  <c r="R44" i="19"/>
  <c r="J44" i="19"/>
  <c r="K44" i="19"/>
  <c r="N45" i="19"/>
  <c r="P45" i="19"/>
  <c r="R45" i="19"/>
  <c r="J45" i="19"/>
  <c r="K45" i="19"/>
  <c r="N46" i="19"/>
  <c r="P46" i="19"/>
  <c r="R46" i="19"/>
  <c r="J46" i="19"/>
  <c r="K46" i="19"/>
  <c r="N47" i="19"/>
  <c r="P47" i="19"/>
  <c r="R47" i="19"/>
  <c r="J47" i="19"/>
  <c r="K47" i="19"/>
  <c r="N48" i="19"/>
  <c r="P48" i="19"/>
  <c r="R48" i="19"/>
  <c r="J48" i="19"/>
  <c r="K48" i="19"/>
  <c r="N49" i="19"/>
  <c r="P49" i="19"/>
  <c r="R49" i="19"/>
  <c r="J49" i="19"/>
  <c r="K49" i="19"/>
  <c r="N50" i="19"/>
  <c r="P50" i="19"/>
  <c r="R50" i="19"/>
  <c r="J50" i="19"/>
  <c r="K50" i="19"/>
  <c r="N51" i="19"/>
  <c r="P51" i="19"/>
  <c r="R51" i="19"/>
  <c r="J51" i="19"/>
  <c r="K51" i="19"/>
  <c r="N52" i="19"/>
  <c r="P52" i="19"/>
  <c r="R52" i="19"/>
  <c r="J52" i="19"/>
  <c r="K52" i="19"/>
  <c r="N53" i="19"/>
  <c r="P53" i="19"/>
  <c r="R53" i="19"/>
  <c r="J53" i="19"/>
  <c r="K53" i="19"/>
  <c r="N54" i="19"/>
  <c r="P54" i="19"/>
  <c r="R54" i="19"/>
  <c r="J54" i="19"/>
  <c r="K54" i="19"/>
  <c r="N55" i="19"/>
  <c r="P55" i="19"/>
  <c r="R55" i="19"/>
  <c r="J55" i="19"/>
  <c r="K55" i="19"/>
  <c r="N56" i="19"/>
  <c r="P56" i="19"/>
  <c r="R56" i="19"/>
  <c r="J56" i="19"/>
  <c r="K56" i="19"/>
  <c r="N57" i="19"/>
  <c r="P57" i="19"/>
  <c r="R57" i="19"/>
  <c r="J57" i="19"/>
  <c r="K57" i="19"/>
  <c r="N58" i="19"/>
  <c r="P58" i="19"/>
  <c r="R58" i="19"/>
  <c r="J58" i="19"/>
  <c r="K58" i="19"/>
  <c r="N59" i="19"/>
  <c r="P59" i="19"/>
  <c r="R59" i="19"/>
  <c r="J59" i="19"/>
  <c r="K59" i="19"/>
  <c r="N60" i="19"/>
  <c r="P60" i="19"/>
  <c r="R60" i="19"/>
  <c r="J60" i="19"/>
  <c r="K60" i="19"/>
  <c r="N61" i="19"/>
  <c r="P61" i="19"/>
  <c r="R61" i="19"/>
  <c r="J61" i="19"/>
  <c r="K61" i="19"/>
  <c r="N62" i="19"/>
  <c r="P62" i="19"/>
  <c r="R62" i="19"/>
  <c r="J62" i="19"/>
  <c r="K62" i="19"/>
  <c r="N63" i="19"/>
  <c r="P63" i="19"/>
  <c r="R63" i="19"/>
  <c r="J63" i="19"/>
  <c r="K63" i="19"/>
  <c r="N64" i="19"/>
  <c r="P64" i="19"/>
  <c r="R64" i="19"/>
  <c r="J64" i="19"/>
  <c r="K64" i="19"/>
  <c r="N65" i="19"/>
  <c r="P65" i="19"/>
  <c r="R65" i="19"/>
  <c r="J65" i="19"/>
  <c r="K65" i="19"/>
  <c r="N66" i="19"/>
  <c r="P66" i="19"/>
  <c r="R66" i="19"/>
  <c r="J66" i="19"/>
  <c r="K66" i="19"/>
  <c r="N67" i="19"/>
  <c r="P67" i="19"/>
  <c r="R67" i="19"/>
  <c r="J67" i="19"/>
  <c r="K67" i="19"/>
  <c r="N68" i="19"/>
  <c r="P68" i="19"/>
  <c r="R68" i="19"/>
  <c r="J68" i="19"/>
  <c r="K68" i="19"/>
  <c r="N69" i="19"/>
  <c r="P69" i="19"/>
  <c r="R69" i="19"/>
  <c r="J69" i="19"/>
  <c r="K69" i="19"/>
  <c r="N70" i="19"/>
  <c r="P70" i="19"/>
  <c r="R70" i="19"/>
  <c r="J70" i="19"/>
  <c r="K70" i="19"/>
  <c r="N71" i="19"/>
  <c r="P71" i="19"/>
  <c r="R71" i="19"/>
  <c r="J71" i="19"/>
  <c r="K71" i="19"/>
  <c r="N72" i="19"/>
  <c r="P72" i="19"/>
  <c r="R72" i="19"/>
  <c r="J72" i="19"/>
  <c r="K72" i="19"/>
  <c r="N73" i="19"/>
  <c r="P73" i="19"/>
  <c r="R73" i="19"/>
  <c r="J73" i="19"/>
  <c r="K73" i="19"/>
  <c r="N74" i="19"/>
  <c r="P74" i="19"/>
  <c r="R74" i="19"/>
  <c r="J74" i="19"/>
  <c r="K74" i="19"/>
  <c r="N75" i="19"/>
  <c r="P75" i="19"/>
  <c r="R75" i="19"/>
  <c r="J75" i="19"/>
  <c r="K75" i="19"/>
  <c r="N76" i="19"/>
  <c r="P76" i="19"/>
  <c r="R76" i="19"/>
  <c r="J76" i="19"/>
  <c r="K76" i="19"/>
  <c r="N77" i="19"/>
  <c r="P77" i="19"/>
  <c r="R77" i="19"/>
  <c r="J77" i="19"/>
  <c r="K77" i="19"/>
  <c r="N78" i="19"/>
  <c r="P78" i="19"/>
  <c r="R78" i="19"/>
  <c r="J78" i="19"/>
  <c r="K78" i="19"/>
  <c r="N79" i="19"/>
  <c r="P79" i="19"/>
  <c r="R79" i="19"/>
  <c r="J79" i="19"/>
  <c r="K79" i="19"/>
  <c r="N80" i="19"/>
  <c r="P80" i="19"/>
  <c r="R80" i="19"/>
  <c r="J80" i="19"/>
  <c r="K80" i="19"/>
  <c r="N81" i="19"/>
  <c r="P81" i="19"/>
  <c r="R81" i="19"/>
  <c r="J81" i="19"/>
  <c r="K81" i="19"/>
  <c r="N82" i="19"/>
  <c r="P82" i="19"/>
  <c r="R82" i="19"/>
  <c r="J82" i="19"/>
  <c r="K82" i="19"/>
  <c r="N83" i="19"/>
  <c r="P83" i="19"/>
  <c r="R83" i="19"/>
  <c r="J83" i="19"/>
  <c r="K83" i="19"/>
  <c r="N84" i="19"/>
  <c r="P84" i="19"/>
  <c r="R84" i="19"/>
  <c r="J84" i="19"/>
  <c r="K84" i="19"/>
  <c r="N85" i="19"/>
  <c r="P85" i="19"/>
  <c r="R85" i="19"/>
  <c r="J85" i="19"/>
  <c r="K85" i="19"/>
  <c r="N86" i="19"/>
  <c r="P86" i="19"/>
  <c r="R86" i="19"/>
  <c r="J86" i="19"/>
  <c r="K86" i="19"/>
  <c r="N87" i="19"/>
  <c r="P87" i="19"/>
  <c r="R87" i="19"/>
  <c r="J87" i="19"/>
  <c r="K87" i="19"/>
  <c r="N88" i="19"/>
  <c r="P88" i="19"/>
  <c r="R88" i="19"/>
  <c r="J88" i="19"/>
  <c r="K88" i="19"/>
  <c r="N89" i="19"/>
  <c r="P89" i="19"/>
  <c r="R89" i="19"/>
  <c r="J89" i="19"/>
  <c r="K89" i="19"/>
  <c r="N90" i="19"/>
  <c r="P90" i="19"/>
  <c r="R90" i="19"/>
  <c r="J90" i="19"/>
  <c r="K90" i="19"/>
  <c r="N91" i="19"/>
  <c r="P91" i="19"/>
  <c r="R91" i="19"/>
  <c r="J91" i="19"/>
  <c r="K91" i="19"/>
  <c r="N92" i="19"/>
  <c r="P92" i="19"/>
  <c r="R92" i="19"/>
  <c r="J92" i="19"/>
  <c r="K92" i="19"/>
  <c r="N93" i="19"/>
  <c r="P93" i="19"/>
  <c r="R93" i="19"/>
  <c r="J93" i="19"/>
  <c r="K93" i="19"/>
  <c r="N94" i="19"/>
  <c r="P94" i="19"/>
  <c r="R94" i="19"/>
  <c r="J94" i="19"/>
  <c r="K94" i="19"/>
  <c r="N95" i="19"/>
  <c r="P95" i="19"/>
  <c r="R95" i="19"/>
  <c r="J95" i="19"/>
  <c r="K95" i="19"/>
  <c r="N96" i="19"/>
  <c r="P96" i="19"/>
  <c r="R96" i="19"/>
  <c r="J96" i="19"/>
  <c r="K96" i="19"/>
  <c r="N97" i="19"/>
  <c r="P97" i="19"/>
  <c r="R97" i="19"/>
  <c r="J97" i="19"/>
  <c r="K97" i="19"/>
  <c r="N98" i="19"/>
  <c r="P98" i="19"/>
  <c r="R98" i="19"/>
  <c r="J98" i="19"/>
  <c r="K98" i="19"/>
  <c r="N99" i="19"/>
  <c r="P99" i="19"/>
  <c r="R99" i="19"/>
  <c r="J99" i="19"/>
  <c r="K99" i="19"/>
  <c r="N100" i="19"/>
  <c r="P100" i="19"/>
  <c r="R100" i="19"/>
  <c r="J100" i="19"/>
  <c r="K100" i="19"/>
  <c r="N101" i="19"/>
  <c r="P101" i="19"/>
  <c r="R101" i="19"/>
  <c r="J101" i="19"/>
  <c r="K101" i="19"/>
  <c r="N102" i="19"/>
  <c r="P102" i="19"/>
  <c r="R102" i="19"/>
  <c r="J102" i="19"/>
  <c r="K102" i="19"/>
  <c r="N103" i="19"/>
  <c r="P103" i="19"/>
  <c r="R103" i="19"/>
  <c r="J103" i="19"/>
  <c r="K103" i="19"/>
  <c r="N104" i="19"/>
  <c r="P104" i="19"/>
  <c r="R104" i="19"/>
  <c r="J104" i="19"/>
  <c r="K104" i="19"/>
  <c r="N105" i="19"/>
  <c r="P105" i="19"/>
  <c r="R105" i="19"/>
  <c r="J105" i="19"/>
  <c r="K105" i="19"/>
  <c r="N106" i="19"/>
  <c r="P106" i="19"/>
  <c r="R106" i="19"/>
  <c r="J106" i="19"/>
  <c r="K106" i="19"/>
  <c r="N107" i="19"/>
  <c r="P107" i="19"/>
  <c r="R107" i="19"/>
  <c r="J107" i="19"/>
  <c r="K107" i="19"/>
  <c r="N108" i="19"/>
  <c r="P108" i="19"/>
  <c r="R108" i="19"/>
  <c r="J108" i="19"/>
  <c r="K108" i="19"/>
  <c r="N109" i="19"/>
  <c r="P109" i="19"/>
  <c r="R109" i="19"/>
  <c r="J109" i="19"/>
  <c r="K109" i="19"/>
  <c r="N110" i="19"/>
  <c r="P110" i="19"/>
  <c r="R110" i="19"/>
  <c r="J110" i="19"/>
  <c r="K110" i="19"/>
  <c r="N111" i="19"/>
  <c r="P111" i="19"/>
  <c r="R111" i="19"/>
  <c r="J111" i="19"/>
  <c r="K111" i="19"/>
  <c r="N112" i="19"/>
  <c r="P112" i="19"/>
  <c r="R112" i="19"/>
  <c r="J112" i="19"/>
  <c r="K112" i="19"/>
  <c r="N113" i="19"/>
  <c r="P113" i="19"/>
  <c r="R113" i="19"/>
  <c r="J113" i="19"/>
  <c r="K113" i="19"/>
  <c r="N114" i="19"/>
  <c r="P114" i="19"/>
  <c r="R114" i="19"/>
  <c r="J114" i="19"/>
  <c r="K114" i="19"/>
  <c r="N115" i="19"/>
  <c r="P115" i="19"/>
  <c r="R115" i="19"/>
  <c r="J115" i="19"/>
  <c r="K115" i="19"/>
  <c r="N116" i="19"/>
  <c r="P116" i="19"/>
  <c r="R116" i="19"/>
  <c r="J116" i="19"/>
  <c r="K116" i="19"/>
  <c r="N117" i="19"/>
  <c r="P117" i="19"/>
  <c r="R117" i="19"/>
  <c r="J117" i="19"/>
  <c r="K117" i="19"/>
  <c r="N118" i="19"/>
  <c r="P118" i="19"/>
  <c r="R118" i="19"/>
  <c r="J118" i="19"/>
  <c r="K118" i="19"/>
  <c r="N119" i="19"/>
  <c r="P119" i="19"/>
  <c r="R119" i="19"/>
  <c r="J119" i="19"/>
  <c r="K119" i="19"/>
  <c r="N120" i="19"/>
  <c r="P120" i="19"/>
  <c r="R120" i="19"/>
  <c r="J120" i="19"/>
  <c r="K120" i="19"/>
  <c r="N121" i="19"/>
  <c r="P121" i="19"/>
  <c r="R121" i="19"/>
  <c r="J121" i="19"/>
  <c r="K121" i="19"/>
  <c r="N122" i="19"/>
  <c r="P122" i="19"/>
  <c r="R122" i="19"/>
  <c r="J122" i="19"/>
  <c r="K122" i="19"/>
  <c r="N123" i="19"/>
  <c r="P123" i="19"/>
  <c r="R123" i="19"/>
  <c r="J123" i="19"/>
  <c r="K123" i="19"/>
  <c r="N124" i="19"/>
  <c r="P124" i="19"/>
  <c r="R124" i="19"/>
  <c r="J124" i="19"/>
  <c r="K124" i="19"/>
  <c r="N125" i="19"/>
  <c r="P125" i="19"/>
  <c r="R125" i="19"/>
  <c r="J125" i="19"/>
  <c r="K125" i="19"/>
  <c r="N126" i="19"/>
  <c r="P126" i="19"/>
  <c r="R126" i="19"/>
  <c r="J126" i="19"/>
  <c r="K126" i="19"/>
  <c r="N127" i="19"/>
  <c r="P127" i="19"/>
  <c r="R127" i="19"/>
  <c r="J127" i="19"/>
  <c r="K127" i="19"/>
  <c r="N128" i="19"/>
  <c r="P128" i="19"/>
  <c r="R128" i="19"/>
  <c r="J128" i="19"/>
  <c r="K128" i="19"/>
  <c r="N129" i="19"/>
  <c r="P129" i="19"/>
  <c r="R129" i="19"/>
  <c r="J129" i="19"/>
  <c r="K129" i="19"/>
  <c r="N130" i="19"/>
  <c r="P130" i="19"/>
  <c r="R130" i="19"/>
  <c r="J130" i="19"/>
  <c r="K130" i="19"/>
  <c r="N131" i="19"/>
  <c r="P131" i="19"/>
  <c r="R131" i="19"/>
  <c r="J131" i="19"/>
  <c r="K131" i="19"/>
  <c r="N132" i="19"/>
  <c r="P132" i="19"/>
  <c r="R132" i="19"/>
  <c r="J132" i="19"/>
  <c r="K132" i="19"/>
  <c r="N133" i="19"/>
  <c r="P133" i="19"/>
  <c r="R133" i="19"/>
  <c r="J133" i="19"/>
  <c r="K133" i="19"/>
  <c r="N134" i="19"/>
  <c r="P134" i="19"/>
  <c r="R134" i="19"/>
  <c r="J134" i="19"/>
  <c r="K134" i="19"/>
  <c r="N135" i="19"/>
  <c r="P135" i="19"/>
  <c r="R135" i="19"/>
  <c r="J135" i="19"/>
  <c r="K135" i="19"/>
  <c r="N136" i="19"/>
  <c r="P136" i="19"/>
  <c r="R136" i="19"/>
  <c r="J136" i="19"/>
  <c r="K136" i="19"/>
  <c r="N137" i="19"/>
  <c r="P137" i="19"/>
  <c r="R137" i="19"/>
  <c r="J137" i="19"/>
  <c r="K137" i="19"/>
  <c r="N138" i="19"/>
  <c r="P138" i="19"/>
  <c r="R138" i="19"/>
  <c r="J138" i="19"/>
  <c r="K138" i="19"/>
  <c r="N139" i="19"/>
  <c r="P139" i="19"/>
  <c r="R139" i="19"/>
  <c r="J139" i="19"/>
  <c r="K139" i="19"/>
  <c r="N140" i="19"/>
  <c r="P140" i="19"/>
  <c r="R140" i="19"/>
  <c r="J140" i="19"/>
  <c r="K140" i="19"/>
  <c r="N141" i="19"/>
  <c r="P141" i="19"/>
  <c r="R141" i="19"/>
  <c r="J141" i="19"/>
  <c r="K141" i="19"/>
  <c r="N142" i="19"/>
  <c r="P142" i="19"/>
  <c r="R142" i="19"/>
  <c r="J142" i="19"/>
  <c r="K142" i="19"/>
  <c r="N143" i="19"/>
  <c r="P143" i="19"/>
  <c r="R143" i="19"/>
  <c r="J143" i="19"/>
  <c r="K143" i="19"/>
  <c r="N144" i="19"/>
  <c r="P144" i="19"/>
  <c r="R144" i="19"/>
  <c r="J144" i="19"/>
  <c r="K144" i="19"/>
  <c r="N145" i="19"/>
  <c r="P145" i="19"/>
  <c r="R145" i="19"/>
  <c r="J145" i="19"/>
  <c r="K145" i="19"/>
  <c r="N146" i="19"/>
  <c r="P146" i="19"/>
  <c r="R146" i="19"/>
  <c r="J146" i="19"/>
  <c r="K146" i="19"/>
  <c r="N147" i="19"/>
  <c r="P147" i="19"/>
  <c r="R147" i="19"/>
  <c r="J147" i="19"/>
  <c r="K147" i="19"/>
  <c r="N148" i="19"/>
  <c r="P148" i="19"/>
  <c r="R148" i="19"/>
  <c r="J148" i="19"/>
  <c r="K148" i="19"/>
  <c r="N149" i="19"/>
  <c r="P149" i="19"/>
  <c r="R149" i="19"/>
  <c r="J149" i="19"/>
  <c r="K149" i="19"/>
  <c r="N150" i="19"/>
  <c r="P150" i="19"/>
  <c r="R150" i="19"/>
  <c r="J150" i="19"/>
  <c r="K150" i="19"/>
  <c r="N151" i="19"/>
  <c r="P151" i="19"/>
  <c r="R151" i="19"/>
  <c r="J151" i="19"/>
  <c r="K151" i="19"/>
  <c r="N152" i="19"/>
  <c r="P152" i="19"/>
  <c r="R152" i="19"/>
  <c r="J152" i="19"/>
  <c r="K152" i="19"/>
  <c r="N153" i="19"/>
  <c r="P153" i="19"/>
  <c r="R153" i="19"/>
  <c r="J153" i="19"/>
  <c r="K153" i="19"/>
  <c r="N154" i="19"/>
  <c r="P154" i="19"/>
  <c r="R154" i="19"/>
  <c r="J154" i="19"/>
  <c r="K154" i="19"/>
  <c r="N155" i="19"/>
  <c r="P155" i="19"/>
  <c r="R155" i="19"/>
  <c r="J155" i="19"/>
  <c r="K155" i="19"/>
  <c r="N156" i="19"/>
  <c r="P156" i="19"/>
  <c r="R156" i="19"/>
  <c r="J156" i="19"/>
  <c r="K156" i="19"/>
  <c r="N157" i="19"/>
  <c r="P157" i="19"/>
  <c r="R157" i="19"/>
  <c r="J157" i="19"/>
  <c r="K157" i="19"/>
  <c r="N158" i="19"/>
  <c r="P158" i="19"/>
  <c r="R158" i="19"/>
  <c r="J158" i="19"/>
  <c r="K158" i="19"/>
  <c r="N159" i="19"/>
  <c r="P159" i="19"/>
  <c r="R159" i="19"/>
  <c r="J159" i="19"/>
  <c r="K159" i="19"/>
  <c r="N160" i="19"/>
  <c r="P160" i="19"/>
  <c r="R160" i="19"/>
  <c r="J160" i="19"/>
  <c r="K160" i="19"/>
  <c r="N161" i="19"/>
  <c r="P161" i="19"/>
  <c r="R161" i="19"/>
  <c r="J161" i="19"/>
  <c r="K161" i="19"/>
  <c r="N162" i="19"/>
  <c r="P162" i="19"/>
  <c r="R162" i="19"/>
  <c r="J162" i="19"/>
  <c r="K162" i="19"/>
  <c r="N163" i="19"/>
  <c r="P163" i="19"/>
  <c r="R163" i="19"/>
  <c r="J163" i="19"/>
  <c r="K163" i="19"/>
  <c r="N164" i="19"/>
  <c r="P164" i="19"/>
  <c r="R164" i="19"/>
  <c r="J164" i="19"/>
  <c r="K164" i="19"/>
  <c r="N165" i="19"/>
  <c r="P165" i="19"/>
  <c r="R165" i="19"/>
  <c r="J165" i="19"/>
  <c r="K165" i="19"/>
  <c r="N166" i="19"/>
  <c r="P166" i="19"/>
  <c r="R166" i="19"/>
  <c r="J166" i="19"/>
  <c r="K166" i="19"/>
  <c r="N167" i="19"/>
  <c r="P167" i="19"/>
  <c r="R167" i="19"/>
  <c r="J167" i="19"/>
  <c r="K167" i="19"/>
  <c r="N168" i="19"/>
  <c r="P168" i="19"/>
  <c r="R168" i="19"/>
  <c r="J168" i="19"/>
  <c r="K168" i="19"/>
  <c r="N169" i="19"/>
  <c r="P169" i="19"/>
  <c r="R169" i="19"/>
  <c r="J169" i="19"/>
  <c r="K169" i="19"/>
  <c r="N170" i="19"/>
  <c r="P170" i="19"/>
  <c r="R170" i="19"/>
  <c r="J170" i="19"/>
  <c r="K170" i="19"/>
  <c r="N171" i="19"/>
  <c r="P171" i="19"/>
  <c r="R171" i="19"/>
  <c r="J171" i="19"/>
  <c r="K171" i="19"/>
  <c r="N172" i="19"/>
  <c r="P172" i="19"/>
  <c r="R172" i="19"/>
  <c r="J172" i="19"/>
  <c r="K172" i="19"/>
  <c r="N173" i="19"/>
  <c r="P173" i="19"/>
  <c r="R173" i="19"/>
  <c r="J173" i="19"/>
  <c r="K173" i="19"/>
  <c r="N174" i="19"/>
  <c r="P174" i="19"/>
  <c r="R174" i="19"/>
  <c r="J174" i="19"/>
  <c r="K174" i="19"/>
  <c r="N175" i="19"/>
  <c r="P175" i="19"/>
  <c r="R175" i="19"/>
  <c r="J175" i="19"/>
  <c r="K175" i="19"/>
  <c r="N176" i="19"/>
  <c r="P176" i="19"/>
  <c r="R176" i="19"/>
  <c r="J176" i="19"/>
  <c r="K176" i="19"/>
  <c r="N177" i="19"/>
  <c r="P177" i="19"/>
  <c r="R177" i="19"/>
  <c r="J177" i="19"/>
  <c r="K177" i="19"/>
  <c r="N178" i="19"/>
  <c r="P178" i="19"/>
  <c r="R178" i="19"/>
  <c r="J178" i="19"/>
  <c r="K178" i="19"/>
  <c r="N179" i="19"/>
  <c r="P179" i="19"/>
  <c r="R179" i="19"/>
  <c r="J179" i="19"/>
  <c r="K179" i="19"/>
  <c r="N180" i="19"/>
  <c r="P180" i="19"/>
  <c r="R180" i="19"/>
  <c r="J180" i="19"/>
  <c r="K180" i="19"/>
  <c r="N181" i="19"/>
  <c r="P181" i="19"/>
  <c r="R181" i="19"/>
  <c r="J181" i="19"/>
  <c r="K181" i="19"/>
  <c r="N182" i="19"/>
  <c r="P182" i="19"/>
  <c r="R182" i="19"/>
  <c r="J182" i="19"/>
  <c r="K182" i="19"/>
  <c r="N183" i="19"/>
  <c r="P183" i="19"/>
  <c r="R183" i="19"/>
  <c r="J183" i="19"/>
  <c r="K183" i="19"/>
  <c r="N184" i="19"/>
  <c r="P184" i="19"/>
  <c r="R184" i="19"/>
  <c r="J184" i="19"/>
  <c r="K184" i="19"/>
  <c r="N185" i="19"/>
  <c r="P185" i="19"/>
  <c r="R185" i="19"/>
  <c r="J185" i="19"/>
  <c r="K185" i="19"/>
  <c r="N186" i="19"/>
  <c r="P186" i="19"/>
  <c r="R186" i="19"/>
  <c r="J186" i="19"/>
  <c r="K186" i="19"/>
  <c r="N187" i="19"/>
  <c r="P187" i="19"/>
  <c r="R187" i="19"/>
  <c r="J187" i="19"/>
  <c r="K187" i="19"/>
  <c r="N188" i="19"/>
  <c r="P188" i="19"/>
  <c r="R188" i="19"/>
  <c r="J188" i="19"/>
  <c r="K188" i="19"/>
  <c r="N189" i="19"/>
  <c r="P189" i="19"/>
  <c r="R189" i="19"/>
  <c r="J189" i="19"/>
  <c r="K189" i="19"/>
  <c r="N190" i="19"/>
  <c r="P190" i="19"/>
  <c r="R190" i="19"/>
  <c r="J190" i="19"/>
  <c r="K190" i="19"/>
  <c r="N191" i="19"/>
  <c r="P191" i="19"/>
  <c r="R191" i="19"/>
  <c r="J191" i="19"/>
  <c r="K191" i="19"/>
  <c r="N192" i="19"/>
  <c r="P192" i="19"/>
  <c r="R192" i="19"/>
  <c r="J192" i="19"/>
  <c r="K192" i="19"/>
  <c r="N193" i="19"/>
  <c r="P193" i="19"/>
  <c r="R193" i="19"/>
  <c r="J193" i="19"/>
  <c r="K193" i="19"/>
  <c r="N194" i="19"/>
  <c r="P194" i="19"/>
  <c r="R194" i="19"/>
  <c r="J194" i="19"/>
  <c r="K194" i="19"/>
  <c r="N195" i="19"/>
  <c r="P195" i="19"/>
  <c r="R195" i="19"/>
  <c r="J195" i="19"/>
  <c r="K195" i="19"/>
  <c r="N196" i="19"/>
  <c r="P196" i="19"/>
  <c r="R196" i="19"/>
  <c r="J196" i="19"/>
  <c r="K196" i="19"/>
  <c r="N197" i="19"/>
  <c r="P197" i="19"/>
  <c r="R197" i="19"/>
  <c r="J197" i="19"/>
  <c r="K197" i="19"/>
  <c r="N198" i="19"/>
  <c r="P198" i="19"/>
  <c r="R198" i="19"/>
  <c r="J198" i="19"/>
  <c r="K198" i="19"/>
  <c r="N199" i="19"/>
  <c r="P199" i="19"/>
  <c r="R199" i="19"/>
  <c r="J199" i="19"/>
  <c r="K199" i="19"/>
  <c r="N200" i="19"/>
  <c r="P200" i="19"/>
  <c r="R200" i="19"/>
  <c r="J200" i="19"/>
  <c r="K200" i="19"/>
  <c r="N201" i="19"/>
  <c r="P201" i="19"/>
  <c r="R201" i="19"/>
  <c r="J201" i="19"/>
  <c r="K201" i="19"/>
  <c r="N202" i="19"/>
  <c r="P202" i="19"/>
  <c r="R202" i="19"/>
  <c r="J202" i="19"/>
  <c r="K202" i="19"/>
  <c r="N203" i="19"/>
  <c r="P203" i="19"/>
  <c r="R203" i="19"/>
  <c r="J203" i="19"/>
  <c r="K203" i="19"/>
  <c r="N204" i="19"/>
  <c r="P204" i="19"/>
  <c r="R204" i="19"/>
  <c r="J204" i="19"/>
  <c r="K204" i="19"/>
  <c r="N205" i="19"/>
  <c r="P205" i="19"/>
  <c r="R205" i="19"/>
  <c r="J205" i="19"/>
  <c r="K205" i="19"/>
  <c r="N206" i="19"/>
  <c r="P206" i="19"/>
  <c r="R206" i="19"/>
  <c r="J206" i="19"/>
  <c r="K206" i="19"/>
  <c r="N207" i="19"/>
  <c r="P207" i="19"/>
  <c r="R207" i="19"/>
  <c r="J207" i="19"/>
  <c r="K207" i="19"/>
  <c r="N208" i="19"/>
  <c r="P208" i="19"/>
  <c r="R208" i="19"/>
  <c r="J208" i="19"/>
  <c r="K208" i="19"/>
  <c r="N209" i="19"/>
  <c r="P209" i="19"/>
  <c r="R209" i="19"/>
  <c r="J209" i="19"/>
  <c r="K209" i="19"/>
  <c r="N210" i="19"/>
  <c r="P210" i="19"/>
  <c r="R210" i="19"/>
  <c r="J210" i="19"/>
  <c r="K210" i="19"/>
  <c r="N211" i="19"/>
  <c r="P211" i="19"/>
  <c r="R211" i="19"/>
  <c r="J211" i="19"/>
  <c r="K211" i="19"/>
  <c r="N212" i="19"/>
  <c r="P212" i="19"/>
  <c r="R212" i="19"/>
  <c r="J212" i="19"/>
  <c r="K212" i="19"/>
  <c r="N213" i="19"/>
  <c r="P213" i="19"/>
  <c r="R213" i="19"/>
  <c r="J213" i="19"/>
  <c r="K213" i="19"/>
  <c r="N214" i="19"/>
  <c r="P214" i="19"/>
  <c r="R214" i="19"/>
  <c r="J214" i="19"/>
  <c r="K214" i="19"/>
  <c r="N215" i="19"/>
  <c r="P215" i="19"/>
  <c r="R215" i="19"/>
  <c r="J215" i="19"/>
  <c r="K215" i="19"/>
  <c r="N216" i="19"/>
  <c r="P216" i="19"/>
  <c r="R216" i="19"/>
  <c r="J216" i="19"/>
  <c r="K216" i="19"/>
  <c r="N217" i="19"/>
  <c r="P217" i="19"/>
  <c r="R217" i="19"/>
  <c r="J217" i="19"/>
  <c r="K217" i="19"/>
  <c r="N218" i="19"/>
  <c r="P218" i="19"/>
  <c r="R218" i="19"/>
  <c r="J218" i="19"/>
  <c r="K218" i="19"/>
  <c r="N219" i="19"/>
  <c r="P219" i="19"/>
  <c r="R219" i="19"/>
  <c r="J219" i="19"/>
  <c r="K219" i="19"/>
  <c r="N220" i="19"/>
  <c r="P220" i="19"/>
  <c r="R220" i="19"/>
  <c r="J220" i="19"/>
  <c r="K220" i="19"/>
  <c r="N221" i="19"/>
  <c r="P221" i="19"/>
  <c r="R221" i="19"/>
  <c r="J221" i="19"/>
  <c r="K221" i="19"/>
  <c r="N222" i="19"/>
  <c r="P222" i="19"/>
  <c r="R222" i="19"/>
  <c r="J222" i="19"/>
  <c r="K222" i="19"/>
  <c r="N223" i="19"/>
  <c r="P223" i="19"/>
  <c r="R223" i="19"/>
  <c r="J223" i="19"/>
  <c r="K223" i="19"/>
  <c r="N224" i="19"/>
  <c r="P224" i="19"/>
  <c r="R224" i="19"/>
  <c r="J224" i="19"/>
  <c r="K224" i="19"/>
  <c r="N225" i="19"/>
  <c r="P225" i="19"/>
  <c r="R225" i="19"/>
  <c r="J225" i="19"/>
  <c r="K225" i="19"/>
  <c r="N226" i="19"/>
  <c r="P226" i="19"/>
  <c r="R226" i="19"/>
  <c r="J226" i="19"/>
  <c r="K226" i="19"/>
  <c r="N227" i="19"/>
  <c r="P227" i="19"/>
  <c r="R227" i="19"/>
  <c r="J227" i="19"/>
  <c r="K227" i="19"/>
  <c r="N228" i="19"/>
  <c r="P228" i="19"/>
  <c r="R228" i="19"/>
  <c r="J228" i="19"/>
  <c r="K228" i="19"/>
  <c r="N229" i="19"/>
  <c r="P229" i="19"/>
  <c r="R229" i="19"/>
  <c r="J229" i="19"/>
  <c r="K229" i="19"/>
  <c r="N230" i="19"/>
  <c r="P230" i="19"/>
  <c r="R230" i="19"/>
  <c r="J230" i="19"/>
  <c r="K230" i="19"/>
  <c r="N231" i="19"/>
  <c r="P231" i="19"/>
  <c r="R231" i="19"/>
  <c r="J231" i="19"/>
  <c r="K231" i="19"/>
  <c r="N232" i="19"/>
  <c r="P232" i="19"/>
  <c r="R232" i="19"/>
  <c r="J232" i="19"/>
  <c r="K232" i="19"/>
  <c r="N233" i="19"/>
  <c r="P233" i="19"/>
  <c r="R233" i="19"/>
  <c r="J233" i="19"/>
  <c r="K233" i="19"/>
  <c r="N234" i="19"/>
  <c r="P234" i="19"/>
  <c r="R234" i="19"/>
  <c r="J234" i="19"/>
  <c r="K234" i="19"/>
  <c r="N235" i="19"/>
  <c r="P235" i="19"/>
  <c r="R235" i="19"/>
  <c r="J235" i="19"/>
  <c r="K235" i="19"/>
  <c r="N236" i="19"/>
  <c r="P236" i="19"/>
  <c r="R236" i="19"/>
  <c r="J236" i="19"/>
  <c r="K236" i="19"/>
  <c r="N237" i="19"/>
  <c r="P237" i="19"/>
  <c r="R237" i="19"/>
  <c r="J237" i="19"/>
  <c r="K237" i="19"/>
  <c r="N238" i="19"/>
  <c r="P238" i="19"/>
  <c r="R238" i="19"/>
  <c r="J238" i="19"/>
  <c r="K238" i="19"/>
  <c r="N239" i="19"/>
  <c r="P239" i="19"/>
  <c r="R239" i="19"/>
  <c r="J239" i="19"/>
  <c r="K239" i="19"/>
  <c r="N240" i="19"/>
  <c r="P240" i="19"/>
  <c r="R240" i="19"/>
  <c r="J240" i="19"/>
  <c r="K240" i="19"/>
  <c r="N241" i="19"/>
  <c r="P241" i="19"/>
  <c r="R241" i="19"/>
  <c r="J241" i="19"/>
  <c r="K241" i="19"/>
  <c r="N242" i="19"/>
  <c r="P242" i="19"/>
  <c r="R242" i="19"/>
  <c r="J242" i="19"/>
  <c r="K242" i="19"/>
  <c r="N243" i="19"/>
  <c r="P243" i="19"/>
  <c r="R243" i="19"/>
  <c r="J243" i="19"/>
  <c r="K243" i="19"/>
  <c r="N244" i="19"/>
  <c r="P244" i="19"/>
  <c r="R244" i="19"/>
  <c r="J244" i="19"/>
  <c r="K244" i="19"/>
  <c r="N245" i="19"/>
  <c r="P245" i="19"/>
  <c r="R245" i="19"/>
  <c r="J245" i="19"/>
  <c r="K245" i="19"/>
  <c r="N246" i="19" a="1"/>
  <c r="N246" i="19"/>
  <c r="P246" i="19"/>
  <c r="R246" i="19"/>
  <c r="J246" i="19"/>
  <c r="K246" i="19"/>
  <c r="N247" i="19" a="1"/>
  <c r="N247" i="19"/>
  <c r="P247" i="19"/>
  <c r="R247" i="19"/>
  <c r="J247" i="19"/>
  <c r="K247" i="19"/>
  <c r="N248" i="19" a="1"/>
  <c r="N248" i="19"/>
  <c r="P248" i="19"/>
  <c r="R248" i="19"/>
  <c r="J248" i="19"/>
  <c r="K248" i="19"/>
  <c r="N249" i="19" a="1"/>
  <c r="N249" i="19"/>
  <c r="P249" i="19"/>
  <c r="R249" i="19"/>
  <c r="J249" i="19"/>
  <c r="K249" i="19"/>
  <c r="N250" i="19" a="1"/>
  <c r="N250" i="19"/>
  <c r="P250" i="19"/>
  <c r="R250" i="19"/>
  <c r="J250" i="19"/>
  <c r="K250" i="19"/>
  <c r="K4" i="19"/>
  <c r="I26" i="18"/>
  <c r="O26" i="18" s="1"/>
  <c r="L26" i="18"/>
  <c r="M26" i="18" s="1"/>
  <c r="F26" i="18"/>
  <c r="V3" i="18"/>
  <c r="V4" i="18"/>
  <c r="V5" i="18"/>
  <c r="V6" i="18"/>
  <c r="V7" i="18"/>
  <c r="V8" i="18"/>
  <c r="V9" i="18"/>
  <c r="V10" i="18"/>
  <c r="V11" i="18"/>
  <c r="AC24" i="18"/>
  <c r="H247" i="19"/>
  <c r="I247" i="19"/>
  <c r="L247" i="19"/>
  <c r="H248" i="19"/>
  <c r="I248" i="19"/>
  <c r="L248" i="19"/>
  <c r="H249" i="19"/>
  <c r="I249" i="19"/>
  <c r="L249" i="19"/>
  <c r="H250" i="19"/>
  <c r="I250" i="19"/>
  <c r="L250" i="19"/>
  <c r="Q247" i="19"/>
  <c r="S247" i="19"/>
  <c r="Q248" i="19"/>
  <c r="S248" i="19"/>
  <c r="Q249" i="19"/>
  <c r="S249" i="19"/>
  <c r="Q250" i="19"/>
  <c r="S250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4" i="19"/>
  <c r="G4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4" i="19"/>
  <c r="E4" i="19"/>
  <c r="E250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6" i="19"/>
  <c r="I7" i="19"/>
  <c r="L7" i="19"/>
  <c r="I8" i="19"/>
  <c r="L8" i="19"/>
  <c r="I9" i="19"/>
  <c r="L9" i="19"/>
  <c r="I10" i="19"/>
  <c r="L10" i="19"/>
  <c r="I11" i="19"/>
  <c r="L11" i="19"/>
  <c r="I12" i="19"/>
  <c r="L12" i="19"/>
  <c r="I13" i="19"/>
  <c r="L13" i="19"/>
  <c r="I14" i="19"/>
  <c r="L14" i="19"/>
  <c r="I15" i="19"/>
  <c r="L15" i="19"/>
  <c r="I16" i="19"/>
  <c r="L16" i="19"/>
  <c r="I17" i="19"/>
  <c r="L17" i="19"/>
  <c r="I18" i="19"/>
  <c r="L18" i="19"/>
  <c r="I19" i="19"/>
  <c r="L19" i="19"/>
  <c r="I20" i="19"/>
  <c r="L20" i="19"/>
  <c r="I21" i="19"/>
  <c r="L21" i="19"/>
  <c r="I22" i="19"/>
  <c r="L22" i="19"/>
  <c r="I23" i="19"/>
  <c r="L23" i="19"/>
  <c r="I24" i="19"/>
  <c r="L24" i="19"/>
  <c r="I25" i="19"/>
  <c r="L25" i="19"/>
  <c r="I26" i="19"/>
  <c r="L26" i="19"/>
  <c r="I27" i="19"/>
  <c r="L27" i="19"/>
  <c r="I28" i="19"/>
  <c r="L28" i="19"/>
  <c r="I29" i="19"/>
  <c r="L29" i="19"/>
  <c r="I30" i="19"/>
  <c r="L30" i="19"/>
  <c r="I31" i="19"/>
  <c r="L31" i="19"/>
  <c r="I32" i="19"/>
  <c r="L32" i="19"/>
  <c r="I33" i="19"/>
  <c r="L33" i="19"/>
  <c r="I34" i="19"/>
  <c r="L34" i="19"/>
  <c r="I35" i="19"/>
  <c r="L35" i="19"/>
  <c r="I36" i="19"/>
  <c r="L36" i="19"/>
  <c r="I37" i="19"/>
  <c r="L37" i="19"/>
  <c r="I38" i="19"/>
  <c r="L38" i="19"/>
  <c r="I39" i="19"/>
  <c r="L39" i="19"/>
  <c r="I40" i="19"/>
  <c r="L40" i="19"/>
  <c r="I41" i="19"/>
  <c r="L41" i="19"/>
  <c r="I42" i="19"/>
  <c r="L42" i="19"/>
  <c r="I43" i="19"/>
  <c r="L43" i="19"/>
  <c r="I44" i="19"/>
  <c r="L44" i="19"/>
  <c r="I45" i="19"/>
  <c r="L45" i="19"/>
  <c r="I46" i="19"/>
  <c r="L46" i="19"/>
  <c r="I47" i="19"/>
  <c r="L47" i="19"/>
  <c r="I48" i="19"/>
  <c r="L48" i="19"/>
  <c r="I49" i="19"/>
  <c r="L49" i="19"/>
  <c r="I50" i="19"/>
  <c r="L50" i="19"/>
  <c r="I51" i="19"/>
  <c r="L51" i="19"/>
  <c r="I52" i="19"/>
  <c r="L52" i="19"/>
  <c r="I53" i="19"/>
  <c r="L53" i="19"/>
  <c r="I54" i="19"/>
  <c r="L54" i="19"/>
  <c r="I55" i="19"/>
  <c r="L55" i="19"/>
  <c r="I56" i="19"/>
  <c r="L56" i="19"/>
  <c r="I57" i="19"/>
  <c r="L57" i="19"/>
  <c r="I58" i="19"/>
  <c r="L58" i="19"/>
  <c r="I59" i="19"/>
  <c r="L59" i="19"/>
  <c r="I60" i="19"/>
  <c r="L60" i="19"/>
  <c r="I61" i="19"/>
  <c r="L61" i="19"/>
  <c r="I62" i="19"/>
  <c r="L62" i="19"/>
  <c r="I63" i="19"/>
  <c r="L63" i="19"/>
  <c r="I64" i="19"/>
  <c r="L64" i="19"/>
  <c r="I65" i="19"/>
  <c r="L65" i="19"/>
  <c r="I66" i="19"/>
  <c r="L66" i="19"/>
  <c r="I67" i="19"/>
  <c r="L67" i="19"/>
  <c r="I68" i="19"/>
  <c r="L68" i="19"/>
  <c r="I69" i="19"/>
  <c r="L69" i="19"/>
  <c r="I70" i="19"/>
  <c r="L70" i="19"/>
  <c r="I71" i="19"/>
  <c r="L71" i="19"/>
  <c r="I72" i="19"/>
  <c r="L72" i="19"/>
  <c r="I73" i="19"/>
  <c r="L73" i="19"/>
  <c r="I74" i="19"/>
  <c r="L74" i="19"/>
  <c r="I75" i="19"/>
  <c r="L75" i="19"/>
  <c r="I76" i="19"/>
  <c r="L76" i="19"/>
  <c r="I77" i="19"/>
  <c r="L77" i="19"/>
  <c r="I78" i="19"/>
  <c r="L78" i="19"/>
  <c r="I79" i="19"/>
  <c r="L79" i="19"/>
  <c r="I80" i="19"/>
  <c r="L80" i="19"/>
  <c r="I81" i="19"/>
  <c r="L81" i="19"/>
  <c r="I82" i="19"/>
  <c r="L82" i="19"/>
  <c r="I83" i="19"/>
  <c r="L83" i="19"/>
  <c r="I84" i="19"/>
  <c r="L84" i="19"/>
  <c r="I85" i="19"/>
  <c r="L85" i="19"/>
  <c r="I86" i="19"/>
  <c r="L86" i="19"/>
  <c r="I87" i="19"/>
  <c r="L87" i="19"/>
  <c r="I88" i="19"/>
  <c r="L88" i="19"/>
  <c r="I89" i="19"/>
  <c r="L89" i="19"/>
  <c r="I90" i="19"/>
  <c r="L90" i="19"/>
  <c r="I91" i="19"/>
  <c r="L91" i="19"/>
  <c r="I92" i="19"/>
  <c r="L92" i="19"/>
  <c r="I93" i="19"/>
  <c r="L93" i="19"/>
  <c r="I94" i="19"/>
  <c r="L94" i="19"/>
  <c r="I95" i="19"/>
  <c r="L95" i="19"/>
  <c r="I96" i="19"/>
  <c r="L96" i="19"/>
  <c r="I97" i="19"/>
  <c r="L97" i="19"/>
  <c r="I98" i="19"/>
  <c r="L98" i="19"/>
  <c r="I99" i="19"/>
  <c r="L99" i="19"/>
  <c r="I100" i="19"/>
  <c r="L100" i="19"/>
  <c r="I101" i="19"/>
  <c r="L101" i="19"/>
  <c r="I102" i="19"/>
  <c r="L102" i="19"/>
  <c r="I103" i="19"/>
  <c r="L103" i="19"/>
  <c r="I104" i="19"/>
  <c r="L104" i="19"/>
  <c r="I105" i="19"/>
  <c r="L105" i="19"/>
  <c r="I106" i="19"/>
  <c r="L106" i="19"/>
  <c r="I107" i="19"/>
  <c r="L107" i="19"/>
  <c r="I108" i="19"/>
  <c r="L108" i="19"/>
  <c r="I109" i="19"/>
  <c r="L109" i="19"/>
  <c r="I110" i="19"/>
  <c r="L110" i="19"/>
  <c r="I111" i="19"/>
  <c r="L111" i="19"/>
  <c r="I112" i="19"/>
  <c r="L112" i="19"/>
  <c r="I113" i="19"/>
  <c r="L113" i="19"/>
  <c r="I114" i="19"/>
  <c r="L114" i="19"/>
  <c r="I115" i="19"/>
  <c r="L115" i="19"/>
  <c r="I116" i="19"/>
  <c r="L116" i="19"/>
  <c r="I117" i="19"/>
  <c r="L117" i="19"/>
  <c r="I118" i="19"/>
  <c r="L118" i="19"/>
  <c r="I119" i="19"/>
  <c r="L119" i="19"/>
  <c r="I120" i="19"/>
  <c r="L120" i="19"/>
  <c r="I121" i="19"/>
  <c r="L121" i="19"/>
  <c r="I122" i="19"/>
  <c r="L122" i="19"/>
  <c r="I123" i="19"/>
  <c r="L123" i="19"/>
  <c r="I124" i="19"/>
  <c r="L124" i="19"/>
  <c r="I125" i="19"/>
  <c r="L125" i="19"/>
  <c r="I126" i="19"/>
  <c r="L126" i="19"/>
  <c r="I127" i="19"/>
  <c r="L127" i="19"/>
  <c r="I128" i="19"/>
  <c r="L128" i="19"/>
  <c r="I129" i="19"/>
  <c r="L129" i="19"/>
  <c r="I130" i="19"/>
  <c r="L130" i="19"/>
  <c r="I131" i="19"/>
  <c r="L131" i="19"/>
  <c r="I132" i="19"/>
  <c r="L132" i="19"/>
  <c r="I133" i="19"/>
  <c r="L133" i="19"/>
  <c r="I134" i="19"/>
  <c r="L134" i="19"/>
  <c r="I135" i="19"/>
  <c r="L135" i="19"/>
  <c r="I136" i="19"/>
  <c r="L136" i="19"/>
  <c r="I137" i="19"/>
  <c r="L137" i="19"/>
  <c r="I138" i="19"/>
  <c r="L138" i="19"/>
  <c r="I139" i="19"/>
  <c r="L139" i="19"/>
  <c r="I140" i="19"/>
  <c r="L140" i="19"/>
  <c r="I141" i="19"/>
  <c r="L141" i="19"/>
  <c r="I142" i="19"/>
  <c r="L142" i="19"/>
  <c r="I143" i="19"/>
  <c r="L143" i="19"/>
  <c r="I144" i="19"/>
  <c r="L144" i="19"/>
  <c r="I145" i="19"/>
  <c r="L145" i="19"/>
  <c r="I146" i="19"/>
  <c r="L146" i="19"/>
  <c r="I147" i="19"/>
  <c r="L147" i="19"/>
  <c r="I148" i="19"/>
  <c r="L148" i="19"/>
  <c r="I149" i="19"/>
  <c r="L149" i="19"/>
  <c r="I150" i="19"/>
  <c r="L150" i="19"/>
  <c r="I151" i="19"/>
  <c r="L151" i="19"/>
  <c r="I152" i="19"/>
  <c r="L152" i="19"/>
  <c r="I153" i="19"/>
  <c r="L153" i="19"/>
  <c r="I154" i="19"/>
  <c r="L154" i="19"/>
  <c r="I155" i="19"/>
  <c r="L155" i="19"/>
  <c r="I156" i="19"/>
  <c r="L156" i="19"/>
  <c r="I157" i="19"/>
  <c r="L157" i="19"/>
  <c r="I158" i="19"/>
  <c r="L158" i="19"/>
  <c r="I159" i="19"/>
  <c r="L159" i="19"/>
  <c r="I160" i="19"/>
  <c r="L160" i="19"/>
  <c r="I161" i="19"/>
  <c r="L161" i="19"/>
  <c r="I162" i="19"/>
  <c r="L162" i="19"/>
  <c r="I163" i="19"/>
  <c r="L163" i="19"/>
  <c r="I164" i="19"/>
  <c r="L164" i="19"/>
  <c r="I165" i="19"/>
  <c r="L165" i="19"/>
  <c r="I166" i="19"/>
  <c r="L166" i="19"/>
  <c r="I167" i="19"/>
  <c r="L167" i="19"/>
  <c r="I168" i="19"/>
  <c r="L168" i="19"/>
  <c r="I169" i="19"/>
  <c r="L169" i="19"/>
  <c r="I170" i="19"/>
  <c r="L170" i="19"/>
  <c r="I171" i="19"/>
  <c r="L171" i="19"/>
  <c r="I172" i="19"/>
  <c r="L172" i="19"/>
  <c r="I173" i="19"/>
  <c r="L173" i="19"/>
  <c r="I174" i="19"/>
  <c r="L174" i="19"/>
  <c r="I175" i="19"/>
  <c r="L175" i="19"/>
  <c r="I176" i="19"/>
  <c r="L176" i="19"/>
  <c r="I177" i="19"/>
  <c r="L177" i="19"/>
  <c r="I178" i="19"/>
  <c r="L178" i="19"/>
  <c r="I179" i="19"/>
  <c r="L179" i="19"/>
  <c r="I180" i="19"/>
  <c r="L180" i="19"/>
  <c r="I181" i="19"/>
  <c r="L181" i="19"/>
  <c r="I182" i="19"/>
  <c r="L182" i="19"/>
  <c r="I183" i="19"/>
  <c r="L183" i="19"/>
  <c r="I184" i="19"/>
  <c r="L184" i="19"/>
  <c r="I185" i="19"/>
  <c r="L185" i="19"/>
  <c r="I186" i="19"/>
  <c r="L186" i="19"/>
  <c r="I187" i="19"/>
  <c r="L187" i="19"/>
  <c r="I188" i="19"/>
  <c r="L188" i="19"/>
  <c r="I189" i="19"/>
  <c r="L189" i="19"/>
  <c r="I190" i="19"/>
  <c r="L190" i="19"/>
  <c r="I191" i="19"/>
  <c r="L191" i="19"/>
  <c r="I192" i="19"/>
  <c r="L192" i="19"/>
  <c r="I193" i="19"/>
  <c r="L193" i="19"/>
  <c r="I194" i="19"/>
  <c r="L194" i="19"/>
  <c r="I195" i="19"/>
  <c r="L195" i="19"/>
  <c r="I196" i="19"/>
  <c r="L196" i="19"/>
  <c r="I197" i="19"/>
  <c r="L197" i="19"/>
  <c r="I198" i="19"/>
  <c r="L198" i="19"/>
  <c r="I199" i="19"/>
  <c r="L199" i="19"/>
  <c r="I200" i="19"/>
  <c r="L200" i="19"/>
  <c r="I201" i="19"/>
  <c r="L201" i="19"/>
  <c r="I202" i="19"/>
  <c r="L202" i="19"/>
  <c r="I203" i="19"/>
  <c r="L203" i="19"/>
  <c r="I204" i="19"/>
  <c r="L204" i="19"/>
  <c r="I205" i="19"/>
  <c r="L205" i="19"/>
  <c r="I206" i="19"/>
  <c r="L206" i="19"/>
  <c r="I207" i="19"/>
  <c r="L207" i="19"/>
  <c r="I208" i="19"/>
  <c r="L208" i="19"/>
  <c r="I209" i="19"/>
  <c r="L209" i="19"/>
  <c r="I210" i="19"/>
  <c r="L210" i="19"/>
  <c r="I211" i="19"/>
  <c r="L211" i="19"/>
  <c r="I212" i="19"/>
  <c r="L212" i="19"/>
  <c r="I213" i="19"/>
  <c r="L213" i="19"/>
  <c r="I214" i="19"/>
  <c r="L214" i="19"/>
  <c r="I215" i="19"/>
  <c r="L215" i="19"/>
  <c r="I216" i="19"/>
  <c r="L216" i="19"/>
  <c r="I217" i="19"/>
  <c r="L217" i="19"/>
  <c r="I218" i="19"/>
  <c r="L218" i="19"/>
  <c r="I219" i="19"/>
  <c r="L219" i="19"/>
  <c r="I220" i="19"/>
  <c r="L220" i="19"/>
  <c r="I221" i="19"/>
  <c r="L221" i="19"/>
  <c r="I222" i="19"/>
  <c r="L222" i="19"/>
  <c r="I223" i="19"/>
  <c r="L223" i="19"/>
  <c r="I224" i="19"/>
  <c r="L224" i="19"/>
  <c r="I225" i="19"/>
  <c r="L225" i="19"/>
  <c r="I226" i="19"/>
  <c r="L226" i="19"/>
  <c r="I227" i="19"/>
  <c r="L227" i="19"/>
  <c r="I228" i="19"/>
  <c r="L228" i="19"/>
  <c r="I229" i="19"/>
  <c r="L229" i="19"/>
  <c r="I230" i="19"/>
  <c r="L230" i="19"/>
  <c r="I231" i="19"/>
  <c r="L231" i="19"/>
  <c r="I232" i="19"/>
  <c r="L232" i="19"/>
  <c r="I233" i="19"/>
  <c r="L233" i="19"/>
  <c r="I234" i="19"/>
  <c r="L234" i="19"/>
  <c r="I235" i="19"/>
  <c r="L235" i="19"/>
  <c r="I236" i="19"/>
  <c r="L236" i="19"/>
  <c r="I237" i="19"/>
  <c r="L237" i="19"/>
  <c r="I238" i="19"/>
  <c r="L238" i="19"/>
  <c r="I239" i="19"/>
  <c r="L239" i="19"/>
  <c r="I240" i="19"/>
  <c r="L240" i="19"/>
  <c r="I241" i="19"/>
  <c r="L241" i="19"/>
  <c r="I242" i="19"/>
  <c r="L242" i="19"/>
  <c r="I243" i="19"/>
  <c r="L243" i="19"/>
  <c r="I244" i="19"/>
  <c r="L244" i="19"/>
  <c r="I245" i="19"/>
  <c r="L245" i="19"/>
  <c r="I246" i="19"/>
  <c r="L246" i="19"/>
  <c r="E10" i="18"/>
  <c r="E11" i="18" s="1"/>
  <c r="E15" i="18" s="1"/>
  <c r="L97" i="18"/>
  <c r="M97" i="18" s="1"/>
  <c r="I97" i="18"/>
  <c r="J97" i="18" s="1"/>
  <c r="F97" i="18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3" i="25"/>
  <c r="I27" i="18"/>
  <c r="L27" i="18"/>
  <c r="M27" i="18" s="1"/>
  <c r="I28" i="18"/>
  <c r="J28" i="18" s="1"/>
  <c r="L28" i="18"/>
  <c r="M28" i="18" s="1"/>
  <c r="I29" i="18"/>
  <c r="J29" i="18" s="1"/>
  <c r="L29" i="18"/>
  <c r="I30" i="18"/>
  <c r="J30" i="18" s="1"/>
  <c r="L30" i="18"/>
  <c r="M30" i="18" s="1"/>
  <c r="I31" i="18"/>
  <c r="J31" i="18" s="1"/>
  <c r="L31" i="18"/>
  <c r="M31" i="18" s="1"/>
  <c r="I32" i="18"/>
  <c r="L32" i="18"/>
  <c r="M32" i="18" s="1"/>
  <c r="I33" i="18"/>
  <c r="J33" i="18" s="1"/>
  <c r="L33" i="18"/>
  <c r="M33" i="18" s="1"/>
  <c r="I34" i="18"/>
  <c r="J34" i="18" s="1"/>
  <c r="L34" i="18"/>
  <c r="M34" i="18" s="1"/>
  <c r="I35" i="18"/>
  <c r="J35" i="18" s="1"/>
  <c r="L35" i="18"/>
  <c r="M35" i="18" s="1"/>
  <c r="I36" i="18"/>
  <c r="J36" i="18" s="1"/>
  <c r="L36" i="18"/>
  <c r="M36" i="18" s="1"/>
  <c r="I37" i="18"/>
  <c r="J37" i="18" s="1"/>
  <c r="L37" i="18"/>
  <c r="I38" i="18"/>
  <c r="J38" i="18" s="1"/>
  <c r="L38" i="18"/>
  <c r="M38" i="18" s="1"/>
  <c r="I39" i="18"/>
  <c r="J39" i="18" s="1"/>
  <c r="L39" i="18"/>
  <c r="M39" i="18" s="1"/>
  <c r="I40" i="18"/>
  <c r="L40" i="18"/>
  <c r="M40" i="18" s="1"/>
  <c r="I41" i="18"/>
  <c r="J41" i="18" s="1"/>
  <c r="L41" i="18"/>
  <c r="M41" i="18" s="1"/>
  <c r="I42" i="18"/>
  <c r="J42" i="18" s="1"/>
  <c r="L42" i="18"/>
  <c r="M42" i="18" s="1"/>
  <c r="I43" i="18"/>
  <c r="J43" i="18" s="1"/>
  <c r="L43" i="18"/>
  <c r="M43" i="18" s="1"/>
  <c r="I44" i="18"/>
  <c r="J44" i="18" s="1"/>
  <c r="L44" i="18"/>
  <c r="M44" i="18" s="1"/>
  <c r="I45" i="18"/>
  <c r="J45" i="18" s="1"/>
  <c r="L45" i="18"/>
  <c r="I46" i="18"/>
  <c r="J46" i="18" s="1"/>
  <c r="L46" i="18"/>
  <c r="M46" i="18" s="1"/>
  <c r="I47" i="18"/>
  <c r="J47" i="18" s="1"/>
  <c r="L47" i="18"/>
  <c r="M47" i="18" s="1"/>
  <c r="I48" i="18"/>
  <c r="L48" i="18"/>
  <c r="M48" i="18" s="1"/>
  <c r="I49" i="18"/>
  <c r="J49" i="18" s="1"/>
  <c r="L49" i="18"/>
  <c r="M49" i="18" s="1"/>
  <c r="I50" i="18"/>
  <c r="J50" i="18" s="1"/>
  <c r="L50" i="18"/>
  <c r="M50" i="18" s="1"/>
  <c r="I51" i="18"/>
  <c r="J51" i="18" s="1"/>
  <c r="L51" i="18"/>
  <c r="M51" i="18" s="1"/>
  <c r="I52" i="18"/>
  <c r="J52" i="18" s="1"/>
  <c r="L52" i="18"/>
  <c r="M52" i="18" s="1"/>
  <c r="I53" i="18"/>
  <c r="J53" i="18" s="1"/>
  <c r="L53" i="18"/>
  <c r="I54" i="18"/>
  <c r="J54" i="18" s="1"/>
  <c r="L54" i="18"/>
  <c r="M54" i="18" s="1"/>
  <c r="I55" i="18"/>
  <c r="J55" i="18" s="1"/>
  <c r="L55" i="18"/>
  <c r="M55" i="18" s="1"/>
  <c r="I56" i="18"/>
  <c r="L56" i="18"/>
  <c r="M56" i="18" s="1"/>
  <c r="I57" i="18"/>
  <c r="J57" i="18" s="1"/>
  <c r="L57" i="18"/>
  <c r="M57" i="18" s="1"/>
  <c r="I58" i="18"/>
  <c r="J58" i="18" s="1"/>
  <c r="L58" i="18"/>
  <c r="M58" i="18" s="1"/>
  <c r="I59" i="18"/>
  <c r="J59" i="18" s="1"/>
  <c r="L59" i="18"/>
  <c r="M59" i="18" s="1"/>
  <c r="I60" i="18"/>
  <c r="J60" i="18" s="1"/>
  <c r="L60" i="18"/>
  <c r="M60" i="18" s="1"/>
  <c r="I61" i="18"/>
  <c r="J61" i="18" s="1"/>
  <c r="L61" i="18"/>
  <c r="I62" i="18"/>
  <c r="J62" i="18" s="1"/>
  <c r="L62" i="18"/>
  <c r="M62" i="18" s="1"/>
  <c r="I63" i="18"/>
  <c r="J63" i="18" s="1"/>
  <c r="L63" i="18"/>
  <c r="M63" i="18" s="1"/>
  <c r="I64" i="18"/>
  <c r="L64" i="18"/>
  <c r="M64" i="18" s="1"/>
  <c r="I65" i="18"/>
  <c r="J65" i="18" s="1"/>
  <c r="L65" i="18"/>
  <c r="M65" i="18" s="1"/>
  <c r="I66" i="18"/>
  <c r="J66" i="18" s="1"/>
  <c r="L66" i="18"/>
  <c r="M66" i="18" s="1"/>
  <c r="I67" i="18"/>
  <c r="J67" i="18" s="1"/>
  <c r="L67" i="18"/>
  <c r="M67" i="18" s="1"/>
  <c r="I68" i="18"/>
  <c r="J68" i="18" s="1"/>
  <c r="L68" i="18"/>
  <c r="M68" i="18" s="1"/>
  <c r="I69" i="18"/>
  <c r="J69" i="18" s="1"/>
  <c r="L69" i="18"/>
  <c r="I70" i="18"/>
  <c r="J70" i="18" s="1"/>
  <c r="L70" i="18"/>
  <c r="M70" i="18" s="1"/>
  <c r="I71" i="18"/>
  <c r="J71" i="18" s="1"/>
  <c r="L71" i="18"/>
  <c r="M71" i="18" s="1"/>
  <c r="I72" i="18"/>
  <c r="L72" i="18"/>
  <c r="M72" i="18" s="1"/>
  <c r="I73" i="18"/>
  <c r="J73" i="18" s="1"/>
  <c r="L73" i="18"/>
  <c r="M73" i="18" s="1"/>
  <c r="I74" i="18"/>
  <c r="J74" i="18" s="1"/>
  <c r="L74" i="18"/>
  <c r="M74" i="18" s="1"/>
  <c r="I75" i="18"/>
  <c r="J75" i="18" s="1"/>
  <c r="L75" i="18"/>
  <c r="M75" i="18" s="1"/>
  <c r="I76" i="18"/>
  <c r="J76" i="18" s="1"/>
  <c r="L76" i="18"/>
  <c r="M76" i="18" s="1"/>
  <c r="I77" i="18"/>
  <c r="J77" i="18" s="1"/>
  <c r="L77" i="18"/>
  <c r="M77" i="18" s="1"/>
  <c r="I78" i="18"/>
  <c r="J78" i="18" s="1"/>
  <c r="L78" i="18"/>
  <c r="M78" i="18" s="1"/>
  <c r="I79" i="18"/>
  <c r="J79" i="18" s="1"/>
  <c r="L79" i="18"/>
  <c r="M79" i="18" s="1"/>
  <c r="I80" i="18"/>
  <c r="L80" i="18"/>
  <c r="M80" i="18" s="1"/>
  <c r="I81" i="18"/>
  <c r="J81" i="18" s="1"/>
  <c r="L81" i="18"/>
  <c r="M81" i="18" s="1"/>
  <c r="I82" i="18"/>
  <c r="J82" i="18" s="1"/>
  <c r="L82" i="18"/>
  <c r="M82" i="18" s="1"/>
  <c r="I83" i="18"/>
  <c r="J83" i="18" s="1"/>
  <c r="L83" i="18"/>
  <c r="M83" i="18" s="1"/>
  <c r="I84" i="18"/>
  <c r="J84" i="18" s="1"/>
  <c r="L84" i="18"/>
  <c r="M84" i="18" s="1"/>
  <c r="I85" i="18"/>
  <c r="J85" i="18" s="1"/>
  <c r="L85" i="18"/>
  <c r="I86" i="18"/>
  <c r="J86" i="18" s="1"/>
  <c r="L86" i="18"/>
  <c r="M86" i="18" s="1"/>
  <c r="I87" i="18"/>
  <c r="J87" i="18" s="1"/>
  <c r="L87" i="18"/>
  <c r="M87" i="18" s="1"/>
  <c r="I88" i="18"/>
  <c r="L88" i="18"/>
  <c r="M88" i="18" s="1"/>
  <c r="I89" i="18"/>
  <c r="J89" i="18" s="1"/>
  <c r="L89" i="18"/>
  <c r="M89" i="18" s="1"/>
  <c r="I90" i="18"/>
  <c r="J90" i="18" s="1"/>
  <c r="L90" i="18"/>
  <c r="M90" i="18" s="1"/>
  <c r="I91" i="18"/>
  <c r="J91" i="18" s="1"/>
  <c r="L91" i="18"/>
  <c r="M91" i="18" s="1"/>
  <c r="I92" i="18"/>
  <c r="J92" i="18" s="1"/>
  <c r="L92" i="18"/>
  <c r="M92" i="18" s="1"/>
  <c r="I93" i="18"/>
  <c r="J93" i="18" s="1"/>
  <c r="L93" i="18"/>
  <c r="I94" i="18"/>
  <c r="J94" i="18" s="1"/>
  <c r="L94" i="18"/>
  <c r="M94" i="18" s="1"/>
  <c r="I95" i="18"/>
  <c r="J95" i="18" s="1"/>
  <c r="L95" i="18"/>
  <c r="M95" i="18" s="1"/>
  <c r="I96" i="18"/>
  <c r="L96" i="18"/>
  <c r="M96" i="18" s="1"/>
  <c r="I98" i="18"/>
  <c r="J98" i="18" s="1"/>
  <c r="L98" i="18"/>
  <c r="M98" i="18" s="1"/>
  <c r="I99" i="18"/>
  <c r="J99" i="18" s="1"/>
  <c r="L99" i="18"/>
  <c r="M99" i="18" s="1"/>
  <c r="I100" i="18"/>
  <c r="J100" i="18" s="1"/>
  <c r="L100" i="18"/>
  <c r="M100" i="18" s="1"/>
  <c r="I101" i="18"/>
  <c r="J101" i="18" s="1"/>
  <c r="L101" i="18"/>
  <c r="M101" i="18" s="1"/>
  <c r="I102" i="18"/>
  <c r="J102" i="18" s="1"/>
  <c r="L102" i="18"/>
  <c r="I103" i="18"/>
  <c r="J103" i="18" s="1"/>
  <c r="L103" i="18"/>
  <c r="M103" i="18" s="1"/>
  <c r="I104" i="18"/>
  <c r="J104" i="18" s="1"/>
  <c r="L104" i="18"/>
  <c r="M104" i="18" s="1"/>
  <c r="I105" i="18"/>
  <c r="L105" i="18"/>
  <c r="M105" i="18" s="1"/>
  <c r="I106" i="18"/>
  <c r="J106" i="18" s="1"/>
  <c r="L106" i="18"/>
  <c r="M106" i="18" s="1"/>
  <c r="I107" i="18"/>
  <c r="J107" i="18" s="1"/>
  <c r="L107" i="18"/>
  <c r="M107" i="18" s="1"/>
  <c r="I108" i="18"/>
  <c r="L108" i="18"/>
  <c r="M108" i="18" s="1"/>
  <c r="I109" i="18"/>
  <c r="J109" i="18" s="1"/>
  <c r="L109" i="18"/>
  <c r="M109" i="18" s="1"/>
  <c r="I110" i="18"/>
  <c r="J110" i="18" s="1"/>
  <c r="L110" i="18"/>
  <c r="I111" i="18"/>
  <c r="J111" i="18" s="1"/>
  <c r="L111" i="18"/>
  <c r="M111" i="18" s="1"/>
  <c r="I112" i="18"/>
  <c r="J112" i="18" s="1"/>
  <c r="L112" i="18"/>
  <c r="M112" i="18" s="1"/>
  <c r="I113" i="18"/>
  <c r="L113" i="18"/>
  <c r="M113" i="18" s="1"/>
  <c r="I114" i="18"/>
  <c r="J114" i="18" s="1"/>
  <c r="L114" i="18"/>
  <c r="M114" i="18" s="1"/>
  <c r="I115" i="18"/>
  <c r="J115" i="18" s="1"/>
  <c r="L115" i="18"/>
  <c r="M115" i="18" s="1"/>
  <c r="I116" i="18"/>
  <c r="J116" i="18" s="1"/>
  <c r="L116" i="18"/>
  <c r="M116" i="18" s="1"/>
  <c r="I117" i="18"/>
  <c r="J117" i="18" s="1"/>
  <c r="L117" i="18"/>
  <c r="M117" i="18" s="1"/>
  <c r="I118" i="18"/>
  <c r="J118" i="18" s="1"/>
  <c r="L118" i="18"/>
  <c r="M118" i="18" s="1"/>
  <c r="I119" i="18"/>
  <c r="J119" i="18" s="1"/>
  <c r="L119" i="18"/>
  <c r="M119" i="18" s="1"/>
  <c r="I120" i="18"/>
  <c r="J120" i="18" s="1"/>
  <c r="L120" i="18"/>
  <c r="M120" i="18" s="1"/>
  <c r="I121" i="18"/>
  <c r="L121" i="18"/>
  <c r="M121" i="18" s="1"/>
  <c r="I122" i="18"/>
  <c r="J122" i="18" s="1"/>
  <c r="L122" i="18"/>
  <c r="M122" i="18" s="1"/>
  <c r="I123" i="18"/>
  <c r="J123" i="18" s="1"/>
  <c r="L123" i="18"/>
  <c r="M123" i="18" s="1"/>
  <c r="I124" i="18"/>
  <c r="J124" i="18" s="1"/>
  <c r="L124" i="18"/>
  <c r="M124" i="18" s="1"/>
  <c r="I125" i="18"/>
  <c r="J125" i="18" s="1"/>
  <c r="L125" i="18"/>
  <c r="M125" i="18" s="1"/>
  <c r="I126" i="18"/>
  <c r="J126" i="18" s="1"/>
  <c r="L126" i="18"/>
  <c r="I127" i="18"/>
  <c r="J127" i="18" s="1"/>
  <c r="L127" i="18"/>
  <c r="M127" i="18" s="1"/>
  <c r="I128" i="18"/>
  <c r="J128" i="18" s="1"/>
  <c r="L128" i="18"/>
  <c r="M128" i="18" s="1"/>
  <c r="I129" i="18"/>
  <c r="L129" i="18"/>
  <c r="M129" i="18" s="1"/>
  <c r="I130" i="18"/>
  <c r="J130" i="18" s="1"/>
  <c r="L130" i="18"/>
  <c r="M130" i="18" s="1"/>
  <c r="I131" i="18"/>
  <c r="J131" i="18" s="1"/>
  <c r="L131" i="18"/>
  <c r="M131" i="18" s="1"/>
  <c r="I132" i="18"/>
  <c r="J132" i="18" s="1"/>
  <c r="L132" i="18"/>
  <c r="M132" i="18" s="1"/>
  <c r="I133" i="18"/>
  <c r="J133" i="18" s="1"/>
  <c r="L133" i="18"/>
  <c r="M133" i="18" s="1"/>
  <c r="I134" i="18"/>
  <c r="J134" i="18" s="1"/>
  <c r="L134" i="18"/>
  <c r="I135" i="18"/>
  <c r="J135" i="18" s="1"/>
  <c r="L135" i="18"/>
  <c r="M135" i="18" s="1"/>
  <c r="I136" i="18"/>
  <c r="J136" i="18" s="1"/>
  <c r="L136" i="18"/>
  <c r="M136" i="18" s="1"/>
  <c r="I137" i="18"/>
  <c r="L137" i="18"/>
  <c r="M137" i="18" s="1"/>
  <c r="I138" i="18"/>
  <c r="J138" i="18" s="1"/>
  <c r="L138" i="18"/>
  <c r="M138" i="18" s="1"/>
  <c r="I139" i="18"/>
  <c r="J139" i="18" s="1"/>
  <c r="L139" i="18"/>
  <c r="M139" i="18" s="1"/>
  <c r="I140" i="18"/>
  <c r="J140" i="18" s="1"/>
  <c r="L140" i="18"/>
  <c r="M140" i="18" s="1"/>
  <c r="I141" i="18"/>
  <c r="J141" i="18" s="1"/>
  <c r="L141" i="18"/>
  <c r="M141" i="18" s="1"/>
  <c r="I142" i="18"/>
  <c r="J142" i="18" s="1"/>
  <c r="L142" i="18"/>
  <c r="I143" i="18"/>
  <c r="J143" i="18" s="1"/>
  <c r="L143" i="18"/>
  <c r="M143" i="18" s="1"/>
  <c r="I144" i="18"/>
  <c r="J144" i="18" s="1"/>
  <c r="L144" i="18"/>
  <c r="M144" i="18" s="1"/>
  <c r="I145" i="18"/>
  <c r="L145" i="18"/>
  <c r="M145" i="18" s="1"/>
  <c r="I146" i="18"/>
  <c r="J146" i="18" s="1"/>
  <c r="L146" i="18"/>
  <c r="M146" i="18" s="1"/>
  <c r="I147" i="18"/>
  <c r="J147" i="18" s="1"/>
  <c r="L147" i="18"/>
  <c r="M147" i="18" s="1"/>
  <c r="I148" i="18"/>
  <c r="J148" i="18" s="1"/>
  <c r="L148" i="18"/>
  <c r="M148" i="18" s="1"/>
  <c r="I149" i="18"/>
  <c r="J149" i="18" s="1"/>
  <c r="L149" i="18"/>
  <c r="M149" i="18" s="1"/>
  <c r="I150" i="18"/>
  <c r="J150" i="18" s="1"/>
  <c r="L150" i="18"/>
  <c r="I151" i="18"/>
  <c r="J151" i="18" s="1"/>
  <c r="L151" i="18"/>
  <c r="M151" i="18" s="1"/>
  <c r="I152" i="18"/>
  <c r="J152" i="18" s="1"/>
  <c r="L152" i="18"/>
  <c r="M152" i="18" s="1"/>
  <c r="I153" i="18"/>
  <c r="L153" i="18"/>
  <c r="M153" i="18" s="1"/>
  <c r="I154" i="18"/>
  <c r="J154" i="18" s="1"/>
  <c r="L154" i="18"/>
  <c r="M154" i="18" s="1"/>
  <c r="I155" i="18"/>
  <c r="J155" i="18" s="1"/>
  <c r="L155" i="18"/>
  <c r="M155" i="18" s="1"/>
  <c r="I156" i="18"/>
  <c r="J156" i="18" s="1"/>
  <c r="L156" i="18"/>
  <c r="M156" i="18" s="1"/>
  <c r="I157" i="18"/>
  <c r="J157" i="18" s="1"/>
  <c r="L157" i="18"/>
  <c r="M157" i="18" s="1"/>
  <c r="I158" i="18"/>
  <c r="J158" i="18" s="1"/>
  <c r="L158" i="18"/>
  <c r="I159" i="18"/>
  <c r="J159" i="18" s="1"/>
  <c r="L159" i="18"/>
  <c r="M159" i="18" s="1"/>
  <c r="I160" i="18"/>
  <c r="J160" i="18" s="1"/>
  <c r="L160" i="18"/>
  <c r="M160" i="18" s="1"/>
  <c r="I161" i="18"/>
  <c r="L161" i="18"/>
  <c r="M161" i="18" s="1"/>
  <c r="I162" i="18"/>
  <c r="J162" i="18" s="1"/>
  <c r="L162" i="18"/>
  <c r="M162" i="18" s="1"/>
  <c r="I163" i="18"/>
  <c r="J163" i="18" s="1"/>
  <c r="L163" i="18"/>
  <c r="M163" i="18" s="1"/>
  <c r="I164" i="18"/>
  <c r="J164" i="18" s="1"/>
  <c r="L164" i="18"/>
  <c r="M164" i="18" s="1"/>
  <c r="I165" i="18"/>
  <c r="J165" i="18" s="1"/>
  <c r="L165" i="18"/>
  <c r="M165" i="18" s="1"/>
  <c r="I166" i="18"/>
  <c r="J166" i="18" s="1"/>
  <c r="L166" i="18"/>
  <c r="I167" i="18"/>
  <c r="J167" i="18" s="1"/>
  <c r="L167" i="18"/>
  <c r="M167" i="18" s="1"/>
  <c r="I168" i="18"/>
  <c r="J168" i="18" s="1"/>
  <c r="L168" i="18"/>
  <c r="M168" i="18" s="1"/>
  <c r="I169" i="18"/>
  <c r="L169" i="18"/>
  <c r="M169" i="18" s="1"/>
  <c r="I170" i="18"/>
  <c r="J170" i="18" s="1"/>
  <c r="L170" i="18"/>
  <c r="M170" i="18" s="1"/>
  <c r="I171" i="18"/>
  <c r="J171" i="18" s="1"/>
  <c r="L171" i="18"/>
  <c r="M171" i="18" s="1"/>
  <c r="I172" i="18"/>
  <c r="J172" i="18" s="1"/>
  <c r="L172" i="18"/>
  <c r="M172" i="18" s="1"/>
  <c r="I173" i="18"/>
  <c r="J173" i="18" s="1"/>
  <c r="L173" i="18"/>
  <c r="M173" i="18" s="1"/>
  <c r="I174" i="18"/>
  <c r="J174" i="18" s="1"/>
  <c r="L174" i="18"/>
  <c r="I175" i="18"/>
  <c r="J175" i="18" s="1"/>
  <c r="L175" i="18"/>
  <c r="M175" i="18" s="1"/>
  <c r="I176" i="18"/>
  <c r="J176" i="18" s="1"/>
  <c r="L176" i="18"/>
  <c r="M176" i="18" s="1"/>
  <c r="I177" i="18"/>
  <c r="L177" i="18"/>
  <c r="M177" i="18" s="1"/>
  <c r="I178" i="18"/>
  <c r="J178" i="18" s="1"/>
  <c r="L178" i="18"/>
  <c r="M178" i="18" s="1"/>
  <c r="I179" i="18"/>
  <c r="J179" i="18" s="1"/>
  <c r="L179" i="18"/>
  <c r="M179" i="18" s="1"/>
  <c r="I180" i="18"/>
  <c r="J180" i="18" s="1"/>
  <c r="L180" i="18"/>
  <c r="M180" i="18" s="1"/>
  <c r="I181" i="18"/>
  <c r="J181" i="18" s="1"/>
  <c r="L181" i="18"/>
  <c r="M181" i="18" s="1"/>
  <c r="I182" i="18"/>
  <c r="J182" i="18" s="1"/>
  <c r="L182" i="18"/>
  <c r="M182" i="18" s="1"/>
  <c r="I183" i="18"/>
  <c r="J183" i="18" s="1"/>
  <c r="L183" i="18"/>
  <c r="M183" i="18" s="1"/>
  <c r="I184" i="18"/>
  <c r="J184" i="18" s="1"/>
  <c r="L184" i="18"/>
  <c r="M184" i="18" s="1"/>
  <c r="I185" i="18"/>
  <c r="L185" i="18"/>
  <c r="M185" i="18" s="1"/>
  <c r="I186" i="18"/>
  <c r="J186" i="18" s="1"/>
  <c r="L186" i="18"/>
  <c r="M186" i="18" s="1"/>
  <c r="I187" i="18"/>
  <c r="J187" i="18" s="1"/>
  <c r="L187" i="18"/>
  <c r="M187" i="18" s="1"/>
  <c r="O187" i="18"/>
  <c r="I188" i="18"/>
  <c r="J188" i="18" s="1"/>
  <c r="L188" i="18"/>
  <c r="M188" i="18" s="1"/>
  <c r="I189" i="18"/>
  <c r="J189" i="18" s="1"/>
  <c r="L189" i="18"/>
  <c r="M189" i="18" s="1"/>
  <c r="I190" i="18"/>
  <c r="J190" i="18" s="1"/>
  <c r="L190" i="18"/>
  <c r="I191" i="18"/>
  <c r="J191" i="18" s="1"/>
  <c r="L191" i="18"/>
  <c r="M191" i="18" s="1"/>
  <c r="I192" i="18"/>
  <c r="J192" i="18" s="1"/>
  <c r="L192" i="18"/>
  <c r="M192" i="18" s="1"/>
  <c r="I193" i="18"/>
  <c r="L193" i="18"/>
  <c r="M193" i="18" s="1"/>
  <c r="I194" i="18"/>
  <c r="J194" i="18" s="1"/>
  <c r="L194" i="18"/>
  <c r="M194" i="18" s="1"/>
  <c r="I195" i="18"/>
  <c r="J195" i="18" s="1"/>
  <c r="L195" i="18"/>
  <c r="M195" i="18" s="1"/>
  <c r="I196" i="18"/>
  <c r="L196" i="18"/>
  <c r="M196" i="18" s="1"/>
  <c r="I197" i="18"/>
  <c r="J197" i="18" s="1"/>
  <c r="L197" i="18"/>
  <c r="M197" i="18" s="1"/>
  <c r="I198" i="18"/>
  <c r="J198" i="18" s="1"/>
  <c r="L198" i="18"/>
  <c r="I199" i="18"/>
  <c r="J199" i="18" s="1"/>
  <c r="L199" i="18"/>
  <c r="M199" i="18" s="1"/>
  <c r="I200" i="18"/>
  <c r="J200" i="18" s="1"/>
  <c r="L200" i="18"/>
  <c r="M200" i="18" s="1"/>
  <c r="I201" i="18"/>
  <c r="L201" i="18"/>
  <c r="M201" i="18" s="1"/>
  <c r="I202" i="18"/>
  <c r="J202" i="18" s="1"/>
  <c r="L202" i="18"/>
  <c r="M202" i="18" s="1"/>
  <c r="I203" i="18"/>
  <c r="J203" i="18" s="1"/>
  <c r="L203" i="18"/>
  <c r="M203" i="18" s="1"/>
  <c r="I204" i="18"/>
  <c r="J204" i="18" s="1"/>
  <c r="L204" i="18"/>
  <c r="M204" i="18" s="1"/>
  <c r="I205" i="18"/>
  <c r="J205" i="18" s="1"/>
  <c r="L205" i="18"/>
  <c r="M205" i="18" s="1"/>
  <c r="I206" i="18"/>
  <c r="J206" i="18" s="1"/>
  <c r="L206" i="18"/>
  <c r="I207" i="18"/>
  <c r="J207" i="18" s="1"/>
  <c r="L207" i="18"/>
  <c r="M207" i="18" s="1"/>
  <c r="I208" i="18"/>
  <c r="J208" i="18" s="1"/>
  <c r="L208" i="18"/>
  <c r="M208" i="18" s="1"/>
  <c r="I209" i="18"/>
  <c r="L209" i="18"/>
  <c r="M209" i="18" s="1"/>
  <c r="I210" i="18"/>
  <c r="J210" i="18" s="1"/>
  <c r="L210" i="18"/>
  <c r="M210" i="18" s="1"/>
  <c r="I211" i="18"/>
  <c r="J211" i="18" s="1"/>
  <c r="L211" i="18"/>
  <c r="M211" i="18" s="1"/>
  <c r="I212" i="18"/>
  <c r="J212" i="18" s="1"/>
  <c r="L212" i="18"/>
  <c r="M212" i="18" s="1"/>
  <c r="I213" i="18"/>
  <c r="J213" i="18" s="1"/>
  <c r="L213" i="18"/>
  <c r="M213" i="18" s="1"/>
  <c r="I214" i="18"/>
  <c r="J214" i="18" s="1"/>
  <c r="L214" i="18"/>
  <c r="I215" i="18"/>
  <c r="J215" i="18" s="1"/>
  <c r="L215" i="18"/>
  <c r="M215" i="18" s="1"/>
  <c r="I216" i="18"/>
  <c r="J216" i="18" s="1"/>
  <c r="L216" i="18"/>
  <c r="M216" i="18" s="1"/>
  <c r="I217" i="18"/>
  <c r="L217" i="18"/>
  <c r="M217" i="18" s="1"/>
  <c r="I218" i="18"/>
  <c r="J218" i="18" s="1"/>
  <c r="L218" i="18"/>
  <c r="M218" i="18" s="1"/>
  <c r="I219" i="18"/>
  <c r="J219" i="18" s="1"/>
  <c r="L219" i="18"/>
  <c r="M219" i="18" s="1"/>
  <c r="I220" i="18"/>
  <c r="J220" i="18" s="1"/>
  <c r="L220" i="18"/>
  <c r="M220" i="18" s="1"/>
  <c r="I221" i="18"/>
  <c r="J221" i="18" s="1"/>
  <c r="L221" i="18"/>
  <c r="M221" i="18" s="1"/>
  <c r="I222" i="18"/>
  <c r="J222" i="18" s="1"/>
  <c r="L222" i="18"/>
  <c r="I223" i="18"/>
  <c r="J223" i="18" s="1"/>
  <c r="L223" i="18"/>
  <c r="M223" i="18" s="1"/>
  <c r="I224" i="18"/>
  <c r="J224" i="18" s="1"/>
  <c r="L224" i="18"/>
  <c r="M224" i="18" s="1"/>
  <c r="I225" i="18"/>
  <c r="L225" i="18"/>
  <c r="M225" i="18" s="1"/>
  <c r="I226" i="18"/>
  <c r="J226" i="18" s="1"/>
  <c r="L226" i="18"/>
  <c r="M226" i="18" s="1"/>
  <c r="I227" i="18"/>
  <c r="J227" i="18" s="1"/>
  <c r="L227" i="18"/>
  <c r="M227" i="18" s="1"/>
  <c r="I228" i="18"/>
  <c r="J228" i="18" s="1"/>
  <c r="L228" i="18"/>
  <c r="M228" i="18" s="1"/>
  <c r="I229" i="18"/>
  <c r="J229" i="18" s="1"/>
  <c r="L229" i="18"/>
  <c r="M229" i="18" s="1"/>
  <c r="I230" i="18"/>
  <c r="J230" i="18" s="1"/>
  <c r="L230" i="18"/>
  <c r="M230" i="18" s="1"/>
  <c r="I231" i="18"/>
  <c r="J231" i="18" s="1"/>
  <c r="L231" i="18"/>
  <c r="M231" i="18" s="1"/>
  <c r="I232" i="18"/>
  <c r="J232" i="18" s="1"/>
  <c r="L232" i="18"/>
  <c r="M232" i="18" s="1"/>
  <c r="I233" i="18"/>
  <c r="L233" i="18"/>
  <c r="M233" i="18" s="1"/>
  <c r="I234" i="18"/>
  <c r="J234" i="18" s="1"/>
  <c r="L234" i="18"/>
  <c r="M234" i="18" s="1"/>
  <c r="I235" i="18"/>
  <c r="J235" i="18" s="1"/>
  <c r="L235" i="18"/>
  <c r="M235" i="18" s="1"/>
  <c r="I236" i="18"/>
  <c r="J236" i="18" s="1"/>
  <c r="L236" i="18"/>
  <c r="M236" i="18" s="1"/>
  <c r="I237" i="18"/>
  <c r="J237" i="18" s="1"/>
  <c r="L237" i="18"/>
  <c r="M237" i="18" s="1"/>
  <c r="I238" i="18"/>
  <c r="J238" i="18" s="1"/>
  <c r="L238" i="18"/>
  <c r="M238" i="18" s="1"/>
  <c r="I239" i="18"/>
  <c r="J239" i="18" s="1"/>
  <c r="L239" i="18"/>
  <c r="M239" i="18" s="1"/>
  <c r="I240" i="18"/>
  <c r="J240" i="18" s="1"/>
  <c r="L240" i="18"/>
  <c r="M240" i="18" s="1"/>
  <c r="I241" i="18"/>
  <c r="L241" i="18"/>
  <c r="M241" i="18" s="1"/>
  <c r="I242" i="18"/>
  <c r="J242" i="18" s="1"/>
  <c r="L242" i="18"/>
  <c r="M242" i="18" s="1"/>
  <c r="I243" i="18"/>
  <c r="J243" i="18" s="1"/>
  <c r="L243" i="18"/>
  <c r="M243" i="18" s="1"/>
  <c r="I244" i="18"/>
  <c r="J244" i="18" s="1"/>
  <c r="L244" i="18"/>
  <c r="M244" i="18" s="1"/>
  <c r="I245" i="18"/>
  <c r="J245" i="18" s="1"/>
  <c r="L245" i="18"/>
  <c r="M245" i="18" s="1"/>
  <c r="I246" i="18"/>
  <c r="J246" i="18" s="1"/>
  <c r="L246" i="18"/>
  <c r="M246" i="18" s="1"/>
  <c r="I247" i="18"/>
  <c r="J247" i="18" s="1"/>
  <c r="L247" i="18"/>
  <c r="M247" i="18" s="1"/>
  <c r="I248" i="18"/>
  <c r="J248" i="18" s="1"/>
  <c r="L248" i="18"/>
  <c r="M248" i="18" s="1"/>
  <c r="I249" i="18"/>
  <c r="L249" i="18"/>
  <c r="M249" i="18" s="1"/>
  <c r="I250" i="18"/>
  <c r="J250" i="18" s="1"/>
  <c r="L250" i="18"/>
  <c r="M250" i="18" s="1"/>
  <c r="I251" i="18"/>
  <c r="J251" i="18" s="1"/>
  <c r="L251" i="18"/>
  <c r="M251" i="18" s="1"/>
  <c r="I252" i="18"/>
  <c r="J252" i="18" s="1"/>
  <c r="L252" i="18"/>
  <c r="M252" i="18" s="1"/>
  <c r="I253" i="18"/>
  <c r="J253" i="18" s="1"/>
  <c r="L253" i="18"/>
  <c r="M253" i="18" s="1"/>
  <c r="I254" i="18"/>
  <c r="J254" i="18" s="1"/>
  <c r="L254" i="18"/>
  <c r="M254" i="18" s="1"/>
  <c r="I255" i="18"/>
  <c r="J255" i="18" s="1"/>
  <c r="L255" i="18"/>
  <c r="M255" i="18" s="1"/>
  <c r="I256" i="18"/>
  <c r="J256" i="18" s="1"/>
  <c r="L256" i="18"/>
  <c r="M256" i="18" s="1"/>
  <c r="I257" i="18"/>
  <c r="L257" i="18"/>
  <c r="M257" i="18" s="1"/>
  <c r="I258" i="18"/>
  <c r="J258" i="18" s="1"/>
  <c r="L258" i="18"/>
  <c r="M258" i="18" s="1"/>
  <c r="I259" i="18"/>
  <c r="J259" i="18" s="1"/>
  <c r="L259" i="18"/>
  <c r="M259" i="18" s="1"/>
  <c r="I260" i="18"/>
  <c r="J260" i="18" s="1"/>
  <c r="L260" i="18"/>
  <c r="M260" i="18" s="1"/>
  <c r="I261" i="18"/>
  <c r="J261" i="18" s="1"/>
  <c r="L261" i="18"/>
  <c r="M261" i="18" s="1"/>
  <c r="I262" i="18"/>
  <c r="J262" i="18" s="1"/>
  <c r="L262" i="18"/>
  <c r="M262" i="18" s="1"/>
  <c r="I263" i="18"/>
  <c r="J263" i="18" s="1"/>
  <c r="L263" i="18"/>
  <c r="M263" i="18" s="1"/>
  <c r="I264" i="18"/>
  <c r="J264" i="18" s="1"/>
  <c r="L264" i="18"/>
  <c r="M264" i="18" s="1"/>
  <c r="I265" i="18"/>
  <c r="L265" i="18"/>
  <c r="M265" i="18" s="1"/>
  <c r="I266" i="18"/>
  <c r="J266" i="18" s="1"/>
  <c r="L266" i="18"/>
  <c r="M266" i="18" s="1"/>
  <c r="I267" i="18"/>
  <c r="J267" i="18" s="1"/>
  <c r="L267" i="18"/>
  <c r="M267" i="18" s="1"/>
  <c r="I268" i="18"/>
  <c r="J268" i="18" s="1"/>
  <c r="L268" i="18"/>
  <c r="M268" i="18" s="1"/>
  <c r="I269" i="18"/>
  <c r="J269" i="18" s="1"/>
  <c r="L269" i="18"/>
  <c r="M269" i="18" s="1"/>
  <c r="I270" i="18"/>
  <c r="J270" i="18" s="1"/>
  <c r="L270" i="18"/>
  <c r="M270" i="18" s="1"/>
  <c r="O23" i="18"/>
  <c r="H24" i="18"/>
  <c r="K24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G63" i="18" s="1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G79" i="18" s="1"/>
  <c r="F80" i="18"/>
  <c r="F81" i="18"/>
  <c r="F82" i="18"/>
  <c r="F83" i="18"/>
  <c r="F84" i="18"/>
  <c r="F85" i="18"/>
  <c r="F86" i="18"/>
  <c r="F87" i="18"/>
  <c r="F88" i="18"/>
  <c r="G88" i="18" s="1"/>
  <c r="F89" i="18"/>
  <c r="G89" i="18" s="1"/>
  <c r="F90" i="18"/>
  <c r="G90" i="18" s="1"/>
  <c r="F91" i="18"/>
  <c r="F92" i="18"/>
  <c r="F93" i="18"/>
  <c r="F94" i="18"/>
  <c r="F95" i="18"/>
  <c r="F96" i="18"/>
  <c r="G96" i="18" s="1"/>
  <c r="F98" i="18"/>
  <c r="F99" i="18"/>
  <c r="F100" i="18"/>
  <c r="F101" i="18"/>
  <c r="F102" i="18"/>
  <c r="G102" i="18" s="1"/>
  <c r="F103" i="18"/>
  <c r="F104" i="18"/>
  <c r="F105" i="18"/>
  <c r="F106" i="18"/>
  <c r="G106" i="18" s="1"/>
  <c r="F107" i="18"/>
  <c r="F108" i="18"/>
  <c r="F109" i="18"/>
  <c r="F110" i="18"/>
  <c r="G110" i="18" s="1"/>
  <c r="F111" i="18"/>
  <c r="F112" i="18"/>
  <c r="F113" i="18"/>
  <c r="F114" i="18"/>
  <c r="G114" i="18" s="1"/>
  <c r="F115" i="18"/>
  <c r="F116" i="18"/>
  <c r="F117" i="18"/>
  <c r="F118" i="18"/>
  <c r="G118" i="18" s="1"/>
  <c r="F119" i="18"/>
  <c r="F120" i="18"/>
  <c r="F121" i="18"/>
  <c r="G121" i="18" s="1"/>
  <c r="F122" i="18"/>
  <c r="G122" i="18" s="1"/>
  <c r="F123" i="18"/>
  <c r="F124" i="18"/>
  <c r="F125" i="18"/>
  <c r="F126" i="18"/>
  <c r="F127" i="18"/>
  <c r="F128" i="18"/>
  <c r="F129" i="18"/>
  <c r="G129" i="18" s="1"/>
  <c r="F130" i="18"/>
  <c r="F131" i="18"/>
  <c r="F132" i="18"/>
  <c r="F133" i="18"/>
  <c r="G133" i="18" s="1"/>
  <c r="F134" i="18"/>
  <c r="F135" i="18"/>
  <c r="F136" i="18"/>
  <c r="F137" i="18"/>
  <c r="G137" i="18" s="1"/>
  <c r="F138" i="18"/>
  <c r="F139" i="18"/>
  <c r="F140" i="18"/>
  <c r="F141" i="18"/>
  <c r="G141" i="18" s="1"/>
  <c r="F142" i="18"/>
  <c r="F143" i="18"/>
  <c r="F144" i="18"/>
  <c r="F145" i="18"/>
  <c r="G145" i="18" s="1"/>
  <c r="F146" i="18"/>
  <c r="F147" i="18"/>
  <c r="F148" i="18"/>
  <c r="F149" i="18"/>
  <c r="G149" i="18" s="1"/>
  <c r="F150" i="18"/>
  <c r="F151" i="18"/>
  <c r="F152" i="18"/>
  <c r="F153" i="18"/>
  <c r="G153" i="18" s="1"/>
  <c r="F154" i="18"/>
  <c r="F155" i="18"/>
  <c r="F156" i="18"/>
  <c r="F157" i="18"/>
  <c r="G157" i="18" s="1"/>
  <c r="F158" i="18"/>
  <c r="F159" i="18"/>
  <c r="F160" i="18"/>
  <c r="F161" i="18"/>
  <c r="G161" i="18" s="1"/>
  <c r="F162" i="18"/>
  <c r="F163" i="18"/>
  <c r="F164" i="18"/>
  <c r="F165" i="18"/>
  <c r="G165" i="18" s="1"/>
  <c r="F166" i="18"/>
  <c r="F167" i="18"/>
  <c r="F168" i="18"/>
  <c r="F169" i="18"/>
  <c r="G169" i="18" s="1"/>
  <c r="F170" i="18"/>
  <c r="F171" i="18"/>
  <c r="F172" i="18"/>
  <c r="F173" i="18"/>
  <c r="G173" i="18" s="1"/>
  <c r="F174" i="18"/>
  <c r="F175" i="18"/>
  <c r="F176" i="18"/>
  <c r="F177" i="18"/>
  <c r="G177" i="18" s="1"/>
  <c r="F178" i="18"/>
  <c r="F179" i="18"/>
  <c r="F180" i="18"/>
  <c r="F181" i="18"/>
  <c r="G181" i="18" s="1"/>
  <c r="F182" i="18"/>
  <c r="F183" i="18"/>
  <c r="F184" i="18"/>
  <c r="F185" i="18"/>
  <c r="G185" i="18" s="1"/>
  <c r="F186" i="18"/>
  <c r="F187" i="18"/>
  <c r="F188" i="18"/>
  <c r="F189" i="18"/>
  <c r="G189" i="18" s="1"/>
  <c r="F190" i="18"/>
  <c r="F191" i="18"/>
  <c r="F192" i="18"/>
  <c r="F193" i="18"/>
  <c r="G193" i="18" s="1"/>
  <c r="F194" i="18"/>
  <c r="F195" i="18"/>
  <c r="F196" i="18"/>
  <c r="F197" i="18"/>
  <c r="G197" i="18" s="1"/>
  <c r="F198" i="18"/>
  <c r="F199" i="18"/>
  <c r="F200" i="18"/>
  <c r="F201" i="18"/>
  <c r="G201" i="18" s="1"/>
  <c r="F202" i="18"/>
  <c r="F203" i="18"/>
  <c r="F204" i="18"/>
  <c r="F205" i="18"/>
  <c r="G205" i="18" s="1"/>
  <c r="F206" i="18"/>
  <c r="F207" i="18"/>
  <c r="F208" i="18"/>
  <c r="F209" i="18"/>
  <c r="G209" i="18" s="1"/>
  <c r="F210" i="18"/>
  <c r="F211" i="18"/>
  <c r="F212" i="18"/>
  <c r="F213" i="18"/>
  <c r="G213" i="18" s="1"/>
  <c r="F214" i="18"/>
  <c r="F215" i="18"/>
  <c r="F216" i="18"/>
  <c r="F217" i="18"/>
  <c r="F218" i="18"/>
  <c r="G218" i="18" s="1"/>
  <c r="F219" i="18"/>
  <c r="F220" i="18"/>
  <c r="F221" i="18"/>
  <c r="G221" i="18" s="1"/>
  <c r="F222" i="18"/>
  <c r="F223" i="18"/>
  <c r="F224" i="18"/>
  <c r="F225" i="18"/>
  <c r="G225" i="18" s="1"/>
  <c r="F226" i="18"/>
  <c r="F227" i="18"/>
  <c r="F228" i="18"/>
  <c r="F229" i="18"/>
  <c r="G229" i="18" s="1"/>
  <c r="F230" i="18"/>
  <c r="F231" i="18"/>
  <c r="F232" i="18"/>
  <c r="F233" i="18"/>
  <c r="G233" i="18" s="1"/>
  <c r="F234" i="18"/>
  <c r="F235" i="18"/>
  <c r="F236" i="18"/>
  <c r="F237" i="18"/>
  <c r="G237" i="18" s="1"/>
  <c r="F238" i="18"/>
  <c r="F239" i="18"/>
  <c r="F240" i="18"/>
  <c r="G240" i="18" s="1"/>
  <c r="F241" i="18"/>
  <c r="F242" i="18"/>
  <c r="F243" i="18"/>
  <c r="F244" i="18"/>
  <c r="G244" i="18" s="1"/>
  <c r="F245" i="18"/>
  <c r="F246" i="18"/>
  <c r="F247" i="18"/>
  <c r="F248" i="18"/>
  <c r="G248" i="18" s="1"/>
  <c r="F249" i="18"/>
  <c r="G249" i="18" s="1"/>
  <c r="F250" i="18"/>
  <c r="F251" i="18"/>
  <c r="F252" i="18"/>
  <c r="F253" i="18"/>
  <c r="F254" i="18"/>
  <c r="F255" i="18"/>
  <c r="F256" i="18"/>
  <c r="G256" i="18" s="1"/>
  <c r="F257" i="18"/>
  <c r="F258" i="18"/>
  <c r="F259" i="18"/>
  <c r="F260" i="18"/>
  <c r="G260" i="18" s="1"/>
  <c r="F261" i="18"/>
  <c r="F262" i="18"/>
  <c r="F263" i="18"/>
  <c r="F264" i="18"/>
  <c r="G264" i="18" s="1"/>
  <c r="F265" i="18"/>
  <c r="F266" i="18"/>
  <c r="F267" i="18"/>
  <c r="F268" i="18"/>
  <c r="F269" i="18"/>
  <c r="G269" i="18" s="1"/>
  <c r="F270" i="18"/>
  <c r="N24" i="18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H3" i="25"/>
  <c r="I3" i="25"/>
  <c r="F3" i="25"/>
  <c r="E3" i="25"/>
  <c r="N250" i="1"/>
  <c r="N251" i="1"/>
  <c r="N252" i="1"/>
  <c r="N253" i="1"/>
  <c r="N254" i="1"/>
  <c r="Z19" i="18"/>
  <c r="N217" i="22"/>
  <c r="P217" i="22"/>
  <c r="R4" i="22"/>
  <c r="R217" i="22"/>
  <c r="N106" i="22"/>
  <c r="P106" i="22"/>
  <c r="R106" i="22"/>
  <c r="N168" i="22"/>
  <c r="P168" i="22"/>
  <c r="R168" i="22"/>
  <c r="E10" i="21"/>
  <c r="E11" i="21"/>
  <c r="E14" i="21"/>
  <c r="E16" i="21"/>
  <c r="E15" i="21"/>
  <c r="Z19" i="21"/>
  <c r="AD262" i="21"/>
  <c r="AF262" i="21"/>
  <c r="AD263" i="21"/>
  <c r="AF263" i="21"/>
  <c r="AD264" i="21"/>
  <c r="AF264" i="21"/>
  <c r="AD265" i="21"/>
  <c r="AF265" i="21"/>
  <c r="AD266" i="21"/>
  <c r="AF266" i="21"/>
  <c r="AF26" i="21"/>
  <c r="AD27" i="21"/>
  <c r="AF27" i="21"/>
  <c r="AD28" i="21"/>
  <c r="AF28" i="21"/>
  <c r="AD29" i="21"/>
  <c r="AF29" i="21"/>
  <c r="AD30" i="21"/>
  <c r="AF30" i="21"/>
  <c r="AD31" i="21"/>
  <c r="AF31" i="21"/>
  <c r="AD32" i="21"/>
  <c r="AF32" i="21"/>
  <c r="AD33" i="21"/>
  <c r="AF33" i="21"/>
  <c r="AD34" i="21"/>
  <c r="AF34" i="21"/>
  <c r="AD35" i="21"/>
  <c r="AF35" i="21"/>
  <c r="AD36" i="21"/>
  <c r="AF36" i="21"/>
  <c r="AD37" i="21"/>
  <c r="AF37" i="21"/>
  <c r="AD38" i="21"/>
  <c r="AF38" i="21"/>
  <c r="AD39" i="21"/>
  <c r="AF39" i="21"/>
  <c r="AD40" i="21"/>
  <c r="AF40" i="21"/>
  <c r="AD41" i="21"/>
  <c r="AF41" i="21"/>
  <c r="AD42" i="21"/>
  <c r="AF42" i="21"/>
  <c r="AD43" i="21"/>
  <c r="AF43" i="21"/>
  <c r="AD44" i="21"/>
  <c r="AF44" i="21"/>
  <c r="AD45" i="21"/>
  <c r="AF45" i="21"/>
  <c r="AD46" i="21"/>
  <c r="AF46" i="21"/>
  <c r="AD47" i="21"/>
  <c r="AF47" i="21"/>
  <c r="AD48" i="21"/>
  <c r="AF48" i="21"/>
  <c r="AD49" i="21"/>
  <c r="AF49" i="21"/>
  <c r="AD50" i="21"/>
  <c r="AF50" i="21"/>
  <c r="AD51" i="21"/>
  <c r="AF51" i="21"/>
  <c r="AD52" i="21"/>
  <c r="AF52" i="21"/>
  <c r="AD53" i="21"/>
  <c r="AF53" i="21"/>
  <c r="AD54" i="21"/>
  <c r="AF54" i="21"/>
  <c r="AD55" i="21"/>
  <c r="AF55" i="21"/>
  <c r="AD56" i="21"/>
  <c r="AF56" i="21"/>
  <c r="AD57" i="21"/>
  <c r="AF57" i="21"/>
  <c r="AD58" i="21"/>
  <c r="AF58" i="21"/>
  <c r="AD59" i="21"/>
  <c r="AF59" i="21"/>
  <c r="AD60" i="21"/>
  <c r="AF60" i="21"/>
  <c r="AD61" i="21"/>
  <c r="AF61" i="21"/>
  <c r="AD62" i="21"/>
  <c r="AF62" i="21"/>
  <c r="AD63" i="21"/>
  <c r="AF63" i="21"/>
  <c r="AD64" i="21"/>
  <c r="AF64" i="21"/>
  <c r="AD65" i="21"/>
  <c r="AF65" i="21"/>
  <c r="AD66" i="21"/>
  <c r="AF66" i="21"/>
  <c r="AD67" i="21"/>
  <c r="AF67" i="21"/>
  <c r="AD68" i="21"/>
  <c r="AF68" i="21"/>
  <c r="AD69" i="21"/>
  <c r="AF69" i="21"/>
  <c r="AD70" i="21"/>
  <c r="AF70" i="21"/>
  <c r="AD71" i="21"/>
  <c r="AF71" i="21"/>
  <c r="AD72" i="21"/>
  <c r="AF72" i="21"/>
  <c r="AD74" i="21"/>
  <c r="AF74" i="21"/>
  <c r="AD75" i="21"/>
  <c r="AF75" i="21"/>
  <c r="AD76" i="21"/>
  <c r="AF76" i="21"/>
  <c r="AD77" i="21"/>
  <c r="AF77" i="21"/>
  <c r="AD78" i="21"/>
  <c r="AF78" i="21"/>
  <c r="AD79" i="21"/>
  <c r="AF79" i="21"/>
  <c r="AD80" i="21"/>
  <c r="AF80" i="21"/>
  <c r="AD81" i="21"/>
  <c r="AF81" i="21"/>
  <c r="AD82" i="21"/>
  <c r="AF82" i="21"/>
  <c r="AD83" i="21"/>
  <c r="AF83" i="21"/>
  <c r="AD84" i="21"/>
  <c r="AF84" i="21"/>
  <c r="AD85" i="21"/>
  <c r="AF85" i="21"/>
  <c r="AD86" i="21"/>
  <c r="AF86" i="21"/>
  <c r="AD87" i="21"/>
  <c r="AF87" i="21"/>
  <c r="AD88" i="21"/>
  <c r="AF88" i="21"/>
  <c r="AD89" i="21"/>
  <c r="AF89" i="21"/>
  <c r="AD90" i="21"/>
  <c r="AF90" i="21"/>
  <c r="AD91" i="21"/>
  <c r="AF91" i="21"/>
  <c r="AD92" i="21"/>
  <c r="AF92" i="21"/>
  <c r="AD93" i="21"/>
  <c r="AF93" i="21"/>
  <c r="AD94" i="21"/>
  <c r="AF94" i="21"/>
  <c r="AD95" i="21"/>
  <c r="AF95" i="21"/>
  <c r="AD97" i="21"/>
  <c r="AF97" i="21"/>
  <c r="AD98" i="21"/>
  <c r="AF98" i="21"/>
  <c r="AD99" i="21"/>
  <c r="AF99" i="21"/>
  <c r="AD100" i="21"/>
  <c r="AF100" i="21"/>
  <c r="AD101" i="21"/>
  <c r="AF101" i="21"/>
  <c r="AD102" i="21"/>
  <c r="AF102" i="21"/>
  <c r="AD103" i="21"/>
  <c r="AF103" i="21"/>
  <c r="AD104" i="21"/>
  <c r="AF104" i="21"/>
  <c r="AD105" i="21"/>
  <c r="AF105" i="21"/>
  <c r="AD106" i="21"/>
  <c r="AF106" i="21"/>
  <c r="AD107" i="21"/>
  <c r="AF107" i="21"/>
  <c r="AD108" i="21"/>
  <c r="AF108" i="21"/>
  <c r="AD109" i="21"/>
  <c r="AF109" i="21"/>
  <c r="AD110" i="21"/>
  <c r="AF110" i="21"/>
  <c r="AD111" i="21"/>
  <c r="AF111" i="21"/>
  <c r="AD112" i="21"/>
  <c r="AF112" i="21"/>
  <c r="AD113" i="21"/>
  <c r="AF113" i="21"/>
  <c r="AD114" i="21"/>
  <c r="AF114" i="21"/>
  <c r="AD115" i="21"/>
  <c r="AF115" i="21"/>
  <c r="AD116" i="21"/>
  <c r="AF116" i="21"/>
  <c r="AD117" i="21"/>
  <c r="AF117" i="21"/>
  <c r="AD118" i="21"/>
  <c r="AF118" i="21"/>
  <c r="AD119" i="21"/>
  <c r="AF119" i="21"/>
  <c r="AD120" i="21"/>
  <c r="AF120" i="21"/>
  <c r="AD121" i="21"/>
  <c r="AF121" i="21"/>
  <c r="AD122" i="21"/>
  <c r="AF122" i="21"/>
  <c r="AD123" i="21"/>
  <c r="AF123" i="21"/>
  <c r="AD124" i="21"/>
  <c r="AF124" i="21"/>
  <c r="AD125" i="21"/>
  <c r="AF125" i="21"/>
  <c r="AD126" i="21"/>
  <c r="AF126" i="21"/>
  <c r="AD127" i="21"/>
  <c r="AF127" i="21"/>
  <c r="AD128" i="21"/>
  <c r="AF128" i="21"/>
  <c r="AD129" i="21"/>
  <c r="AF129" i="21"/>
  <c r="AD130" i="21"/>
  <c r="AF130" i="21"/>
  <c r="AD131" i="21"/>
  <c r="AF131" i="21"/>
  <c r="AD132" i="21"/>
  <c r="AF132" i="21"/>
  <c r="AD133" i="21"/>
  <c r="AF133" i="21"/>
  <c r="AD134" i="21"/>
  <c r="AF134" i="21"/>
  <c r="AD135" i="21"/>
  <c r="AF135" i="21"/>
  <c r="AD136" i="21"/>
  <c r="AF136" i="21"/>
  <c r="AD137" i="21"/>
  <c r="AF137" i="21"/>
  <c r="AD138" i="21"/>
  <c r="AF138" i="21"/>
  <c r="AD139" i="21"/>
  <c r="AF139" i="21"/>
  <c r="AD140" i="21"/>
  <c r="AF140" i="21"/>
  <c r="AD141" i="21"/>
  <c r="AF141" i="21"/>
  <c r="AD142" i="21"/>
  <c r="AF142" i="21"/>
  <c r="AD143" i="21"/>
  <c r="AF143" i="21"/>
  <c r="AD144" i="21"/>
  <c r="AF144" i="21"/>
  <c r="AD145" i="21"/>
  <c r="AF145" i="21"/>
  <c r="AD146" i="21"/>
  <c r="AF146" i="21"/>
  <c r="AD147" i="21"/>
  <c r="AF147" i="21"/>
  <c r="AD148" i="21"/>
  <c r="AF148" i="21"/>
  <c r="AD149" i="21"/>
  <c r="AF149" i="21"/>
  <c r="AD150" i="21"/>
  <c r="AF150" i="21"/>
  <c r="AD151" i="21"/>
  <c r="AF151" i="21"/>
  <c r="AD152" i="21"/>
  <c r="AF152" i="21"/>
  <c r="AD153" i="21"/>
  <c r="AF153" i="21"/>
  <c r="AD154" i="21"/>
  <c r="AF154" i="21"/>
  <c r="AD155" i="21"/>
  <c r="AF155" i="21"/>
  <c r="AD156" i="21"/>
  <c r="AF156" i="21"/>
  <c r="AD157" i="21"/>
  <c r="AF157" i="21"/>
  <c r="AD158" i="21"/>
  <c r="AF158" i="21"/>
  <c r="AD159" i="21"/>
  <c r="AF159" i="21"/>
  <c r="AD160" i="21"/>
  <c r="AF160" i="21"/>
  <c r="AD161" i="21"/>
  <c r="AF161" i="21"/>
  <c r="AD162" i="21"/>
  <c r="AF162" i="21"/>
  <c r="AD163" i="21"/>
  <c r="AF163" i="21"/>
  <c r="AD164" i="21"/>
  <c r="AF164" i="21"/>
  <c r="AD165" i="21"/>
  <c r="AF165" i="21"/>
  <c r="AD166" i="21"/>
  <c r="AF166" i="21"/>
  <c r="AD167" i="21"/>
  <c r="AF167" i="21"/>
  <c r="AD168" i="21"/>
  <c r="AF168" i="21"/>
  <c r="AD169" i="21"/>
  <c r="AF169" i="21"/>
  <c r="AD170" i="21"/>
  <c r="AF170" i="21"/>
  <c r="AD171" i="21"/>
  <c r="AF171" i="21"/>
  <c r="AD172" i="21"/>
  <c r="AF172" i="21"/>
  <c r="AD173" i="21"/>
  <c r="AF173" i="21"/>
  <c r="AD174" i="21"/>
  <c r="AF174" i="21"/>
  <c r="AD175" i="21"/>
  <c r="AF175" i="21"/>
  <c r="AD176" i="21"/>
  <c r="AF176" i="21"/>
  <c r="AD177" i="21"/>
  <c r="AF177" i="21"/>
  <c r="AD178" i="21"/>
  <c r="AF178" i="21"/>
  <c r="AD179" i="21"/>
  <c r="AF179" i="21"/>
  <c r="AD180" i="21"/>
  <c r="AF180" i="21"/>
  <c r="AD181" i="21"/>
  <c r="AF181" i="21"/>
  <c r="AD182" i="21"/>
  <c r="AF182" i="21"/>
  <c r="AD183" i="21"/>
  <c r="AF183" i="21"/>
  <c r="AD184" i="21"/>
  <c r="AF184" i="21"/>
  <c r="AD185" i="21"/>
  <c r="AF185" i="21"/>
  <c r="AD186" i="21"/>
  <c r="AF186" i="21"/>
  <c r="AD187" i="21"/>
  <c r="AF187" i="21"/>
  <c r="AD188" i="21"/>
  <c r="AF188" i="21"/>
  <c r="AD189" i="21"/>
  <c r="AF189" i="21"/>
  <c r="AD190" i="21"/>
  <c r="AF190" i="21"/>
  <c r="AD191" i="21"/>
  <c r="AF191" i="21"/>
  <c r="AD192" i="21"/>
  <c r="AF192" i="21"/>
  <c r="AD193" i="21"/>
  <c r="AF193" i="21"/>
  <c r="AD194" i="21"/>
  <c r="AF194" i="21"/>
  <c r="AD195" i="21"/>
  <c r="AF195" i="21"/>
  <c r="AD196" i="21"/>
  <c r="AF196" i="21"/>
  <c r="AD197" i="21"/>
  <c r="AF197" i="21"/>
  <c r="AD198" i="21"/>
  <c r="AF198" i="21"/>
  <c r="AD200" i="21"/>
  <c r="AF200" i="21"/>
  <c r="AD201" i="21"/>
  <c r="AF201" i="21"/>
  <c r="AD202" i="21"/>
  <c r="AF202" i="21"/>
  <c r="AD203" i="21"/>
  <c r="AF203" i="21"/>
  <c r="AD204" i="21"/>
  <c r="AF204" i="21"/>
  <c r="AD205" i="21"/>
  <c r="AF205" i="21"/>
  <c r="AD206" i="21"/>
  <c r="AF206" i="21"/>
  <c r="AD207" i="21"/>
  <c r="AF207" i="21"/>
  <c r="AD208" i="21"/>
  <c r="AF208" i="21"/>
  <c r="AD209" i="21"/>
  <c r="AF209" i="21"/>
  <c r="AD210" i="21"/>
  <c r="AF210" i="21"/>
  <c r="AD211" i="21"/>
  <c r="AF211" i="21"/>
  <c r="AD212" i="21"/>
  <c r="AF212" i="21"/>
  <c r="AD213" i="21"/>
  <c r="AF213" i="21"/>
  <c r="AD214" i="21"/>
  <c r="AF214" i="21"/>
  <c r="AD215" i="21"/>
  <c r="AF215" i="21"/>
  <c r="AD216" i="21"/>
  <c r="AF216" i="21"/>
  <c r="AD217" i="21"/>
  <c r="AF217" i="21"/>
  <c r="AD218" i="21"/>
  <c r="AF218" i="21"/>
  <c r="AD219" i="21"/>
  <c r="AF219" i="21"/>
  <c r="AD220" i="21"/>
  <c r="AF220" i="21"/>
  <c r="AD221" i="21"/>
  <c r="AF221" i="21"/>
  <c r="AD222" i="21"/>
  <c r="AF222" i="21"/>
  <c r="AD223" i="21"/>
  <c r="AF223" i="21"/>
  <c r="AD224" i="21"/>
  <c r="AF224" i="21"/>
  <c r="AD225" i="21"/>
  <c r="AF225" i="21"/>
  <c r="AD226" i="21"/>
  <c r="AF226" i="21"/>
  <c r="AD227" i="21"/>
  <c r="AF227" i="21"/>
  <c r="AD228" i="21"/>
  <c r="AF228" i="21"/>
  <c r="AD229" i="21"/>
  <c r="AF229" i="21"/>
  <c r="AD230" i="21"/>
  <c r="AF230" i="21"/>
  <c r="AD231" i="21"/>
  <c r="AF231" i="21"/>
  <c r="AD232" i="21"/>
  <c r="AF232" i="21"/>
  <c r="AD234" i="21"/>
  <c r="AF234" i="21"/>
  <c r="AD235" i="21"/>
  <c r="AF235" i="21"/>
  <c r="AD236" i="21"/>
  <c r="AF236" i="21"/>
  <c r="AD237" i="21"/>
  <c r="AF237" i="21"/>
  <c r="AD238" i="21"/>
  <c r="AF238" i="21"/>
  <c r="AD239" i="21"/>
  <c r="AF239" i="21"/>
  <c r="AD240" i="21"/>
  <c r="AF240" i="21"/>
  <c r="AD241" i="21"/>
  <c r="AF241" i="21"/>
  <c r="AD242" i="21"/>
  <c r="AF242" i="21"/>
  <c r="AD243" i="21"/>
  <c r="AF243" i="21"/>
  <c r="AD244" i="21"/>
  <c r="AF244" i="21"/>
  <c r="AD245" i="21"/>
  <c r="AF245" i="21"/>
  <c r="AD246" i="21"/>
  <c r="AF246" i="21"/>
  <c r="AD247" i="21"/>
  <c r="AF247" i="21"/>
  <c r="AD248" i="21"/>
  <c r="AF248" i="21"/>
  <c r="AD249" i="21"/>
  <c r="AF249" i="21"/>
  <c r="AD250" i="21"/>
  <c r="AF250" i="21"/>
  <c r="AD251" i="21"/>
  <c r="AF251" i="21"/>
  <c r="AD252" i="21"/>
  <c r="AF252" i="21"/>
  <c r="AD253" i="21"/>
  <c r="AF253" i="21"/>
  <c r="AD254" i="21"/>
  <c r="AF254" i="21"/>
  <c r="AD255" i="21"/>
  <c r="AF255" i="21"/>
  <c r="AD256" i="21"/>
  <c r="AF256" i="21"/>
  <c r="AD257" i="21"/>
  <c r="AF257" i="21"/>
  <c r="AD258" i="21"/>
  <c r="AF258" i="21"/>
  <c r="AD259" i="21"/>
  <c r="AF259" i="21"/>
  <c r="AD260" i="21"/>
  <c r="AF260" i="21"/>
  <c r="AD261" i="21"/>
  <c r="AF261" i="21"/>
  <c r="M11" i="4"/>
  <c r="M10" i="4"/>
  <c r="M9" i="4"/>
  <c r="M8" i="4"/>
  <c r="M7" i="4"/>
  <c r="M6" i="4"/>
  <c r="M5" i="4"/>
  <c r="M3" i="4"/>
  <c r="E4" i="1"/>
  <c r="N9" i="1"/>
  <c r="M30" i="21"/>
  <c r="M34" i="21"/>
  <c r="M38" i="21"/>
  <c r="M44" i="21"/>
  <c r="M46" i="21"/>
  <c r="M48" i="21"/>
  <c r="M50" i="21"/>
  <c r="M52" i="21"/>
  <c r="M54" i="21"/>
  <c r="M56" i="21"/>
  <c r="M58" i="21"/>
  <c r="M62" i="21"/>
  <c r="M66" i="21"/>
  <c r="M70" i="21"/>
  <c r="M74" i="21"/>
  <c r="M78" i="21"/>
  <c r="M80" i="21"/>
  <c r="M82" i="21"/>
  <c r="M84" i="21"/>
  <c r="M86" i="21"/>
  <c r="M88" i="21"/>
  <c r="M94" i="21"/>
  <c r="M98" i="21"/>
  <c r="M102" i="21"/>
  <c r="M106" i="21"/>
  <c r="M108" i="21"/>
  <c r="M110" i="21"/>
  <c r="M114" i="21"/>
  <c r="M118" i="21"/>
  <c r="M122" i="21"/>
  <c r="M130" i="21"/>
  <c r="M138" i="21"/>
  <c r="M142" i="21"/>
  <c r="M144" i="21"/>
  <c r="M146" i="21"/>
  <c r="M148" i="21"/>
  <c r="M154" i="21"/>
  <c r="M158" i="21"/>
  <c r="M162" i="21"/>
  <c r="M166" i="21"/>
  <c r="M168" i="21"/>
  <c r="M170" i="21"/>
  <c r="M172" i="21"/>
  <c r="M174" i="21"/>
  <c r="M176" i="21"/>
  <c r="M178" i="21"/>
  <c r="M180" i="21"/>
  <c r="M182" i="21"/>
  <c r="M186" i="21"/>
  <c r="M194" i="21"/>
  <c r="M196" i="21"/>
  <c r="M198" i="21"/>
  <c r="M200" i="21"/>
  <c r="M202" i="21"/>
  <c r="M204" i="21"/>
  <c r="M206" i="21"/>
  <c r="M210" i="21"/>
  <c r="M214" i="21"/>
  <c r="M218" i="21"/>
  <c r="M220" i="21"/>
  <c r="M222" i="21"/>
  <c r="M224" i="21"/>
  <c r="M226" i="21"/>
  <c r="M228" i="21"/>
  <c r="M230" i="21"/>
  <c r="M234" i="21"/>
  <c r="M238" i="21"/>
  <c r="M242" i="21"/>
  <c r="M246" i="21"/>
  <c r="M247" i="21"/>
  <c r="M248" i="21"/>
  <c r="M250" i="21"/>
  <c r="M252" i="21"/>
  <c r="M254" i="21"/>
  <c r="M258" i="21"/>
  <c r="M260" i="21"/>
  <c r="M264" i="21"/>
  <c r="M266" i="21"/>
  <c r="J28" i="21"/>
  <c r="J33" i="21"/>
  <c r="J45" i="21"/>
  <c r="J49" i="21"/>
  <c r="J53" i="21"/>
  <c r="J57" i="21"/>
  <c r="J65" i="21"/>
  <c r="J101" i="21"/>
  <c r="J112" i="21"/>
  <c r="J116" i="21"/>
  <c r="J120" i="21"/>
  <c r="J124" i="21"/>
  <c r="J128" i="21"/>
  <c r="J132" i="21"/>
  <c r="J136" i="21"/>
  <c r="J140" i="21"/>
  <c r="J146" i="21"/>
  <c r="J150" i="21"/>
  <c r="J154" i="21"/>
  <c r="J156" i="21"/>
  <c r="J158" i="21"/>
  <c r="J162" i="21"/>
  <c r="J167" i="21"/>
  <c r="J178" i="21"/>
  <c r="J180" i="21"/>
  <c r="J182" i="21"/>
  <c r="J184" i="21"/>
  <c r="J186" i="21"/>
  <c r="J190" i="21"/>
  <c r="J192" i="21"/>
  <c r="J194" i="21"/>
  <c r="J196" i="21"/>
  <c r="J198" i="21"/>
  <c r="J202" i="21"/>
  <c r="J206" i="21"/>
  <c r="J214" i="21"/>
  <c r="J217" i="21"/>
  <c r="J219" i="21"/>
  <c r="J223" i="21"/>
  <c r="J240" i="21"/>
  <c r="J244" i="21"/>
  <c r="J247" i="21"/>
  <c r="J249" i="21"/>
  <c r="J261" i="21"/>
  <c r="J265" i="21"/>
  <c r="M26" i="21"/>
  <c r="M265" i="21"/>
  <c r="M263" i="21"/>
  <c r="J263" i="21"/>
  <c r="M262" i="21"/>
  <c r="M261" i="21"/>
  <c r="M259" i="21"/>
  <c r="J259" i="21"/>
  <c r="M257" i="21"/>
  <c r="M256" i="21"/>
  <c r="M255" i="21"/>
  <c r="J255" i="21"/>
  <c r="M253" i="21"/>
  <c r="M251" i="21"/>
  <c r="J251" i="21"/>
  <c r="M249" i="21"/>
  <c r="P247" i="21"/>
  <c r="M245" i="21"/>
  <c r="M243" i="21"/>
  <c r="J243" i="21"/>
  <c r="M241" i="21"/>
  <c r="M239" i="21"/>
  <c r="J239" i="21"/>
  <c r="M237" i="21"/>
  <c r="J236" i="21"/>
  <c r="M235" i="21"/>
  <c r="M233" i="21"/>
  <c r="M232" i="21"/>
  <c r="J232" i="21"/>
  <c r="M231" i="21"/>
  <c r="J231" i="21"/>
  <c r="M229" i="21"/>
  <c r="M227" i="21"/>
  <c r="J227" i="21"/>
  <c r="M225" i="21"/>
  <c r="M223" i="21"/>
  <c r="M221" i="21"/>
  <c r="M219" i="21"/>
  <c r="P217" i="21"/>
  <c r="M217" i="21"/>
  <c r="M216" i="21"/>
  <c r="M215" i="21"/>
  <c r="M213" i="21"/>
  <c r="M212" i="21"/>
  <c r="M211" i="21"/>
  <c r="J210" i="21"/>
  <c r="M209" i="21"/>
  <c r="M208" i="21"/>
  <c r="M207" i="21"/>
  <c r="M205" i="21"/>
  <c r="M203" i="21"/>
  <c r="M201" i="21"/>
  <c r="M199" i="21"/>
  <c r="M197" i="21"/>
  <c r="M195" i="21"/>
  <c r="M193" i="21"/>
  <c r="M191" i="21"/>
  <c r="M190" i="21"/>
  <c r="M189" i="21"/>
  <c r="J188" i="21"/>
  <c r="M187" i="21"/>
  <c r="M185" i="21"/>
  <c r="M184" i="21"/>
  <c r="M183" i="21"/>
  <c r="M181" i="21"/>
  <c r="M179" i="21"/>
  <c r="M177" i="21"/>
  <c r="J176" i="21"/>
  <c r="M175" i="21"/>
  <c r="M173" i="21"/>
  <c r="M171" i="21"/>
  <c r="J171" i="21"/>
  <c r="M169" i="21"/>
  <c r="M167" i="21"/>
  <c r="M165" i="21"/>
  <c r="J164" i="21"/>
  <c r="M163" i="21"/>
  <c r="J163" i="21"/>
  <c r="M161" i="21"/>
  <c r="M160" i="21"/>
  <c r="J160" i="21"/>
  <c r="M159" i="21"/>
  <c r="M157" i="21"/>
  <c r="M156" i="21"/>
  <c r="M155" i="21"/>
  <c r="J155" i="21"/>
  <c r="M153" i="21"/>
  <c r="M152" i="21"/>
  <c r="J152" i="21"/>
  <c r="M151" i="21"/>
  <c r="M150" i="21"/>
  <c r="M149" i="21"/>
  <c r="M147" i="21"/>
  <c r="J147" i="21"/>
  <c r="M145" i="21"/>
  <c r="J144" i="21"/>
  <c r="M143" i="21"/>
  <c r="J143" i="21"/>
  <c r="M141" i="21"/>
  <c r="M139" i="21"/>
  <c r="J139" i="21"/>
  <c r="M137" i="21"/>
  <c r="M135" i="21"/>
  <c r="M134" i="21"/>
  <c r="M133" i="21"/>
  <c r="M131" i="21"/>
  <c r="J131" i="21"/>
  <c r="M129" i="21"/>
  <c r="M127" i="21"/>
  <c r="J127" i="21"/>
  <c r="M126" i="21"/>
  <c r="M125" i="21"/>
  <c r="P125" i="21"/>
  <c r="M123" i="21"/>
  <c r="J123" i="21"/>
  <c r="M121" i="21"/>
  <c r="M119" i="21"/>
  <c r="J119" i="21"/>
  <c r="M117" i="21"/>
  <c r="M115" i="21"/>
  <c r="J115" i="21"/>
  <c r="M113" i="21"/>
  <c r="M111" i="21"/>
  <c r="J111" i="21"/>
  <c r="M109" i="21"/>
  <c r="M107" i="21"/>
  <c r="J107" i="21"/>
  <c r="M105" i="21"/>
  <c r="M104" i="21"/>
  <c r="P103" i="21"/>
  <c r="M103" i="21"/>
  <c r="J103" i="21"/>
  <c r="P101" i="21"/>
  <c r="M101" i="21"/>
  <c r="M100" i="21"/>
  <c r="P99" i="21"/>
  <c r="M99" i="21"/>
  <c r="J99" i="21"/>
  <c r="M97" i="21"/>
  <c r="M96" i="21"/>
  <c r="P95" i="21"/>
  <c r="M95" i="21"/>
  <c r="J95" i="21"/>
  <c r="M93" i="21"/>
  <c r="M92" i="21"/>
  <c r="P91" i="21"/>
  <c r="M91" i="21"/>
  <c r="J91" i="21"/>
  <c r="M90" i="21"/>
  <c r="M89" i="21"/>
  <c r="J89" i="21"/>
  <c r="M87" i="21"/>
  <c r="J87" i="21"/>
  <c r="M85" i="21"/>
  <c r="J85" i="21"/>
  <c r="M83" i="21"/>
  <c r="J83" i="21"/>
  <c r="M81" i="21"/>
  <c r="J81" i="21"/>
  <c r="M79" i="21"/>
  <c r="J79" i="21"/>
  <c r="M77" i="21"/>
  <c r="M76" i="21"/>
  <c r="M75" i="21"/>
  <c r="J75" i="21"/>
  <c r="M73" i="21"/>
  <c r="J73" i="21"/>
  <c r="M72" i="21"/>
  <c r="M71" i="21"/>
  <c r="J71" i="21"/>
  <c r="M69" i="21"/>
  <c r="J69" i="21"/>
  <c r="M68" i="21"/>
  <c r="M67" i="21"/>
  <c r="J67" i="21"/>
  <c r="P65" i="21"/>
  <c r="M65" i="21"/>
  <c r="M64" i="21"/>
  <c r="M63" i="21"/>
  <c r="J63" i="21"/>
  <c r="M61" i="21"/>
  <c r="J61" i="21"/>
  <c r="M60" i="21"/>
  <c r="M59" i="21"/>
  <c r="J59" i="21"/>
  <c r="M57" i="21"/>
  <c r="M55" i="21"/>
  <c r="J55" i="21"/>
  <c r="M53" i="21"/>
  <c r="M51" i="21"/>
  <c r="J51" i="21"/>
  <c r="M49" i="21"/>
  <c r="M47" i="21"/>
  <c r="J47" i="21"/>
  <c r="M45" i="21"/>
  <c r="M43" i="21"/>
  <c r="J43" i="21"/>
  <c r="M42" i="21"/>
  <c r="P41" i="21"/>
  <c r="M41" i="21"/>
  <c r="J41" i="21"/>
  <c r="M40" i="21"/>
  <c r="M39" i="21"/>
  <c r="J39" i="21"/>
  <c r="M37" i="21"/>
  <c r="M36" i="21"/>
  <c r="J36" i="21"/>
  <c r="M35" i="21"/>
  <c r="M33" i="21"/>
  <c r="M32" i="21"/>
  <c r="M31" i="21"/>
  <c r="M28" i="21"/>
  <c r="M27" i="21"/>
  <c r="Z24" i="21"/>
  <c r="U18" i="21"/>
  <c r="P241" i="21"/>
  <c r="P229" i="21"/>
  <c r="P225" i="21"/>
  <c r="P173" i="21"/>
  <c r="P137" i="21"/>
  <c r="P117" i="21"/>
  <c r="P97" i="21"/>
  <c r="P89" i="21"/>
  <c r="P81" i="21"/>
  <c r="P69" i="21"/>
  <c r="P196" i="21"/>
  <c r="P144" i="21"/>
  <c r="J257" i="21"/>
  <c r="P71" i="21"/>
  <c r="P261" i="21"/>
  <c r="J97" i="21"/>
  <c r="P265" i="21"/>
  <c r="J253" i="21"/>
  <c r="P253" i="21"/>
  <c r="J109" i="21"/>
  <c r="J105" i="21"/>
  <c r="J93" i="21"/>
  <c r="P93" i="21"/>
  <c r="J77" i="21"/>
  <c r="P77" i="21"/>
  <c r="J37" i="21"/>
  <c r="P37" i="21"/>
  <c r="P29" i="21"/>
  <c r="J29" i="21"/>
  <c r="P63" i="21"/>
  <c r="P67" i="21"/>
  <c r="P75" i="21"/>
  <c r="I24" i="21"/>
  <c r="P212" i="21"/>
  <c r="P192" i="21"/>
  <c r="P188" i="21"/>
  <c r="P184" i="21"/>
  <c r="P47" i="21"/>
  <c r="P49" i="21"/>
  <c r="P79" i="21"/>
  <c r="P87" i="21"/>
  <c r="M188" i="21"/>
  <c r="M192" i="21"/>
  <c r="P200" i="21"/>
  <c r="P110" i="21"/>
  <c r="P26" i="21"/>
  <c r="P51" i="21"/>
  <c r="P53" i="21"/>
  <c r="P83" i="21"/>
  <c r="P85" i="21"/>
  <c r="P165" i="21"/>
  <c r="P210" i="21"/>
  <c r="P198" i="21"/>
  <c r="P182" i="21"/>
  <c r="P178" i="21"/>
  <c r="P43" i="21"/>
  <c r="P45" i="21"/>
  <c r="P59" i="21"/>
  <c r="P61" i="21"/>
  <c r="P107" i="21"/>
  <c r="P113" i="21"/>
  <c r="P133" i="21"/>
  <c r="P208" i="21"/>
  <c r="P237" i="21"/>
  <c r="P245" i="21"/>
  <c r="P55" i="21"/>
  <c r="P57" i="21"/>
  <c r="P121" i="21"/>
  <c r="P129" i="21"/>
  <c r="P169" i="21"/>
  <c r="P204" i="21"/>
  <c r="P221" i="21"/>
  <c r="P257" i="21"/>
  <c r="P207" i="21"/>
  <c r="P156" i="21"/>
  <c r="P179" i="21"/>
  <c r="P187" i="21"/>
  <c r="P195" i="21"/>
  <c r="P32" i="21"/>
  <c r="P30" i="21"/>
  <c r="P35" i="21"/>
  <c r="P31" i="21"/>
  <c r="J46" i="21"/>
  <c r="J54" i="21"/>
  <c r="J62" i="21"/>
  <c r="L24" i="21"/>
  <c r="J27" i="21"/>
  <c r="P27" i="21"/>
  <c r="P28" i="21"/>
  <c r="M29" i="21"/>
  <c r="J31" i="21"/>
  <c r="J32" i="21"/>
  <c r="P33" i="21"/>
  <c r="J44" i="21"/>
  <c r="P52" i="21"/>
  <c r="J52" i="21"/>
  <c r="J60" i="21"/>
  <c r="J68" i="21"/>
  <c r="J76" i="21"/>
  <c r="J84" i="21"/>
  <c r="J92" i="21"/>
  <c r="J100" i="21"/>
  <c r="J104" i="21"/>
  <c r="M116" i="21"/>
  <c r="J126" i="21"/>
  <c r="M132" i="21"/>
  <c r="P160" i="21"/>
  <c r="P172" i="21"/>
  <c r="J26" i="21"/>
  <c r="J30" i="21"/>
  <c r="J35" i="21"/>
  <c r="J42" i="21"/>
  <c r="J50" i="21"/>
  <c r="P58" i="21"/>
  <c r="J58" i="21"/>
  <c r="J66" i="21"/>
  <c r="J74" i="21"/>
  <c r="J82" i="21"/>
  <c r="P90" i="21"/>
  <c r="J90" i="21"/>
  <c r="J98" i="21"/>
  <c r="P106" i="21"/>
  <c r="P145" i="21"/>
  <c r="J145" i="21"/>
  <c r="J38" i="21"/>
  <c r="P70" i="21"/>
  <c r="J70" i="21"/>
  <c r="J78" i="21"/>
  <c r="P86" i="21"/>
  <c r="J86" i="21"/>
  <c r="J94" i="21"/>
  <c r="J102" i="21"/>
  <c r="J34" i="21"/>
  <c r="J40" i="21"/>
  <c r="J48" i="21"/>
  <c r="J56" i="21"/>
  <c r="J64" i="21"/>
  <c r="P72" i="21"/>
  <c r="J72" i="21"/>
  <c r="J80" i="21"/>
  <c r="P88" i="21"/>
  <c r="J88" i="21"/>
  <c r="J96" i="21"/>
  <c r="J108" i="21"/>
  <c r="P109" i="21"/>
  <c r="P127" i="21"/>
  <c r="J153" i="21"/>
  <c r="J170" i="21"/>
  <c r="J114" i="21"/>
  <c r="P115" i="21"/>
  <c r="P120" i="21"/>
  <c r="M120" i="21"/>
  <c r="J130" i="21"/>
  <c r="P131" i="21"/>
  <c r="P136" i="21"/>
  <c r="M136" i="21"/>
  <c r="P206" i="21"/>
  <c r="J118" i="21"/>
  <c r="P119" i="21"/>
  <c r="M124" i="21"/>
  <c r="J134" i="21"/>
  <c r="M140" i="21"/>
  <c r="J149" i="21"/>
  <c r="P157" i="21"/>
  <c r="J157" i="21"/>
  <c r="P163" i="21"/>
  <c r="J106" i="21"/>
  <c r="J110" i="21"/>
  <c r="P112" i="21"/>
  <c r="M112" i="21"/>
  <c r="J122" i="21"/>
  <c r="P123" i="21"/>
  <c r="M128" i="21"/>
  <c r="J138" i="21"/>
  <c r="P139" i="21"/>
  <c r="J142" i="21"/>
  <c r="P147" i="21"/>
  <c r="P155" i="21"/>
  <c r="J161" i="21"/>
  <c r="P162" i="21"/>
  <c r="J166" i="21"/>
  <c r="P167" i="21"/>
  <c r="J209" i="21"/>
  <c r="P211" i="21"/>
  <c r="J113" i="21"/>
  <c r="J117" i="21"/>
  <c r="J121" i="21"/>
  <c r="J125" i="21"/>
  <c r="J129" i="21"/>
  <c r="J133" i="21"/>
  <c r="J137" i="21"/>
  <c r="J141" i="21"/>
  <c r="J193" i="21"/>
  <c r="M164" i="21"/>
  <c r="P171" i="21"/>
  <c r="J174" i="21"/>
  <c r="P185" i="21"/>
  <c r="J185" i="21"/>
  <c r="J175" i="21"/>
  <c r="P202" i="21"/>
  <c r="J205" i="21"/>
  <c r="J165" i="21"/>
  <c r="J169" i="21"/>
  <c r="J173" i="21"/>
  <c r="J177" i="21"/>
  <c r="J181" i="21"/>
  <c r="P189" i="21"/>
  <c r="J189" i="21"/>
  <c r="J197" i="21"/>
  <c r="P201" i="21"/>
  <c r="J201" i="21"/>
  <c r="P214" i="21"/>
  <c r="J168" i="21"/>
  <c r="J172" i="21"/>
  <c r="P213" i="21"/>
  <c r="J213" i="21"/>
  <c r="P223" i="21"/>
  <c r="J226" i="21"/>
  <c r="P227" i="21"/>
  <c r="J230" i="21"/>
  <c r="P233" i="21"/>
  <c r="J238" i="21"/>
  <c r="P244" i="21"/>
  <c r="M244" i="21"/>
  <c r="J200" i="21"/>
  <c r="J204" i="21"/>
  <c r="J208" i="21"/>
  <c r="J212" i="21"/>
  <c r="J218" i="21"/>
  <c r="P219" i="21"/>
  <c r="J222" i="21"/>
  <c r="P228" i="21"/>
  <c r="J179" i="21"/>
  <c r="J183" i="21"/>
  <c r="J187" i="21"/>
  <c r="J191" i="21"/>
  <c r="J195" i="21"/>
  <c r="J199" i="21"/>
  <c r="J203" i="21"/>
  <c r="J207" i="21"/>
  <c r="J211" i="21"/>
  <c r="P231" i="21"/>
  <c r="P239" i="21"/>
  <c r="J242" i="21"/>
  <c r="P243" i="21"/>
  <c r="J221" i="21"/>
  <c r="J225" i="21"/>
  <c r="J229" i="21"/>
  <c r="M236" i="21"/>
  <c r="J246" i="21"/>
  <c r="J216" i="21"/>
  <c r="J220" i="21"/>
  <c r="J224" i="21"/>
  <c r="J228" i="21"/>
  <c r="P234" i="21"/>
  <c r="J234" i="21"/>
  <c r="M240" i="21"/>
  <c r="P256" i="21"/>
  <c r="P264" i="21"/>
  <c r="J250" i="21"/>
  <c r="P251" i="21"/>
  <c r="J258" i="21"/>
  <c r="P259" i="21"/>
  <c r="J266" i="21"/>
  <c r="J233" i="21"/>
  <c r="J237" i="21"/>
  <c r="J241" i="21"/>
  <c r="J245" i="21"/>
  <c r="J248" i="21"/>
  <c r="P254" i="21"/>
  <c r="J254" i="21"/>
  <c r="P255" i="21"/>
  <c r="P262" i="21"/>
  <c r="J262" i="21"/>
  <c r="J252" i="21"/>
  <c r="J256" i="21"/>
  <c r="J260" i="21"/>
  <c r="J264" i="21"/>
  <c r="P263" i="21"/>
  <c r="P158" i="21"/>
  <c r="P105" i="21"/>
  <c r="P152" i="21"/>
  <c r="P180" i="21"/>
  <c r="P194" i="21"/>
  <c r="P150" i="21"/>
  <c r="P146" i="21"/>
  <c r="P154" i="21"/>
  <c r="P216" i="21"/>
  <c r="P176" i="21"/>
  <c r="P186" i="21"/>
  <c r="P190" i="21"/>
  <c r="M24" i="21"/>
  <c r="P199" i="21"/>
  <c r="P142" i="21"/>
  <c r="P126" i="21"/>
  <c r="P236" i="21"/>
  <c r="P222" i="21"/>
  <c r="P191" i="21"/>
  <c r="P174" i="21"/>
  <c r="P168" i="21"/>
  <c r="P166" i="21"/>
  <c r="P124" i="21"/>
  <c r="P118" i="21"/>
  <c r="P96" i="21"/>
  <c r="P80" i="21"/>
  <c r="P64" i="21"/>
  <c r="P48" i="21"/>
  <c r="P34" i="21"/>
  <c r="P100" i="21"/>
  <c r="P68" i="21"/>
  <c r="P62" i="21"/>
  <c r="P46" i="21"/>
  <c r="P242" i="21"/>
  <c r="P220" i="21"/>
  <c r="P175" i="21"/>
  <c r="P193" i="21"/>
  <c r="P138" i="21"/>
  <c r="P149" i="21"/>
  <c r="P130" i="21"/>
  <c r="P153" i="21"/>
  <c r="P102" i="21"/>
  <c r="P260" i="21"/>
  <c r="P258" i="21"/>
  <c r="P250" i="21"/>
  <c r="P246" i="21"/>
  <c r="P232" i="21"/>
  <c r="P218" i="21"/>
  <c r="P230" i="21"/>
  <c r="P183" i="21"/>
  <c r="P177" i="21"/>
  <c r="P164" i="21"/>
  <c r="P209" i="21"/>
  <c r="P161" i="21"/>
  <c r="P140" i="21"/>
  <c r="P134" i="21"/>
  <c r="P143" i="21"/>
  <c r="P170" i="21"/>
  <c r="P94" i="21"/>
  <c r="P78" i="21"/>
  <c r="P38" i="21"/>
  <c r="P98" i="21"/>
  <c r="P66" i="21"/>
  <c r="P132" i="21"/>
  <c r="P116" i="21"/>
  <c r="P104" i="21"/>
  <c r="P76" i="21"/>
  <c r="P44" i="21"/>
  <c r="P240" i="21"/>
  <c r="P203" i="21"/>
  <c r="P82" i="21"/>
  <c r="P50" i="21"/>
  <c r="P92" i="21"/>
  <c r="P60" i="21"/>
  <c r="P248" i="21"/>
  <c r="P266" i="21"/>
  <c r="P252" i="21"/>
  <c r="P224" i="21"/>
  <c r="P238" i="21"/>
  <c r="P226" i="21"/>
  <c r="P197" i="21"/>
  <c r="P181" i="21"/>
  <c r="P205" i="21"/>
  <c r="P141" i="21"/>
  <c r="P128" i="21"/>
  <c r="P122" i="21"/>
  <c r="P111" i="21"/>
  <c r="P114" i="21"/>
  <c r="P108" i="21"/>
  <c r="P56" i="21"/>
  <c r="P40" i="21"/>
  <c r="P74" i="21"/>
  <c r="P42" i="21"/>
  <c r="P84" i="21"/>
  <c r="P36" i="21"/>
  <c r="P54" i="21"/>
  <c r="F4" i="22"/>
  <c r="G4" i="22"/>
  <c r="G31" i="21"/>
  <c r="G41" i="21"/>
  <c r="G32" i="21"/>
  <c r="G42" i="21"/>
  <c r="G55" i="21"/>
  <c r="G72" i="21"/>
  <c r="G78" i="21"/>
  <c r="G27" i="21"/>
  <c r="G30" i="21"/>
  <c r="G33" i="21"/>
  <c r="G36" i="21"/>
  <c r="G39" i="21"/>
  <c r="G43" i="21"/>
  <c r="G50" i="21"/>
  <c r="G53" i="21"/>
  <c r="G56" i="21"/>
  <c r="G60" i="21"/>
  <c r="G63" i="21"/>
  <c r="G66" i="21"/>
  <c r="G70" i="21"/>
  <c r="G73" i="21"/>
  <c r="G76" i="21"/>
  <c r="G79" i="21"/>
  <c r="G89" i="21"/>
  <c r="G92" i="21"/>
  <c r="G95" i="21"/>
  <c r="G102" i="21"/>
  <c r="G104" i="21"/>
  <c r="G111" i="21"/>
  <c r="G113" i="21"/>
  <c r="G118" i="21"/>
  <c r="G120" i="21"/>
  <c r="G130" i="21"/>
  <c r="G140" i="21"/>
  <c r="G142" i="21"/>
  <c r="G146" i="21"/>
  <c r="G149" i="21"/>
  <c r="G156" i="21"/>
  <c r="G159" i="21"/>
  <c r="G162" i="21"/>
  <c r="G167" i="21"/>
  <c r="G171" i="21"/>
  <c r="G179" i="21"/>
  <c r="G187" i="21"/>
  <c r="G191" i="21"/>
  <c r="G193" i="21"/>
  <c r="G196" i="21"/>
  <c r="G199" i="21"/>
  <c r="G201" i="21"/>
  <c r="G204" i="21"/>
  <c r="G208" i="21"/>
  <c r="G210" i="21"/>
  <c r="G213" i="21"/>
  <c r="G224" i="21"/>
  <c r="G230" i="21"/>
  <c r="G236" i="21"/>
  <c r="G238" i="21"/>
  <c r="G241" i="21"/>
  <c r="G244" i="21"/>
  <c r="G246" i="21"/>
  <c r="G249" i="21"/>
  <c r="G252" i="21"/>
  <c r="G254" i="21"/>
  <c r="G257" i="21"/>
  <c r="G260" i="21"/>
  <c r="G262" i="21"/>
  <c r="G265" i="21"/>
  <c r="G45" i="21"/>
  <c r="G35" i="21"/>
  <c r="G46" i="21"/>
  <c r="G52" i="21"/>
  <c r="G69" i="21"/>
  <c r="G82" i="21"/>
  <c r="G28" i="21"/>
  <c r="G34" i="21"/>
  <c r="G37" i="21"/>
  <c r="G40" i="21"/>
  <c r="G44" i="21"/>
  <c r="G47" i="21"/>
  <c r="G54" i="21"/>
  <c r="G57" i="21"/>
  <c r="G61" i="21"/>
  <c r="G64" i="21"/>
  <c r="G67" i="21"/>
  <c r="G77" i="21"/>
  <c r="G80" i="21"/>
  <c r="G83" i="21"/>
  <c r="G86" i="21"/>
  <c r="G90" i="21"/>
  <c r="G93" i="21"/>
  <c r="G96" i="21"/>
  <c r="G98" i="21"/>
  <c r="G100" i="21"/>
  <c r="G107" i="21"/>
  <c r="G109" i="21"/>
  <c r="G114" i="21"/>
  <c r="G116" i="21"/>
  <c r="G123" i="21"/>
  <c r="G125" i="21"/>
  <c r="G128" i="21"/>
  <c r="G131" i="21"/>
  <c r="G133" i="21"/>
  <c r="G136" i="21"/>
  <c r="G138" i="21"/>
  <c r="G143" i="21"/>
  <c r="G147" i="21"/>
  <c r="G150" i="21"/>
  <c r="G153" i="21"/>
  <c r="G160" i="21"/>
  <c r="G165" i="21"/>
  <c r="G168" i="21"/>
  <c r="G172" i="21"/>
  <c r="G174" i="21"/>
  <c r="G177" i="21"/>
  <c r="G180" i="21"/>
  <c r="G183" i="21"/>
  <c r="G185" i="21"/>
  <c r="G188" i="21"/>
  <c r="G205" i="21"/>
  <c r="G211" i="21"/>
  <c r="G214" i="21"/>
  <c r="G217" i="21"/>
  <c r="G220" i="21"/>
  <c r="G222" i="21"/>
  <c r="G225" i="21"/>
  <c r="G228" i="21"/>
  <c r="G231" i="21"/>
  <c r="G234" i="21"/>
  <c r="G239" i="21"/>
  <c r="G247" i="21"/>
  <c r="G258" i="21"/>
  <c r="G266" i="21"/>
  <c r="G38" i="21"/>
  <c r="G48" i="21"/>
  <c r="G51" i="21"/>
  <c r="G58" i="21"/>
  <c r="G62" i="21"/>
  <c r="G65" i="21"/>
  <c r="G68" i="21"/>
  <c r="G71" i="21"/>
  <c r="G74" i="21"/>
  <c r="G81" i="21"/>
  <c r="G84" i="21"/>
  <c r="G87" i="21"/>
  <c r="G103" i="21"/>
  <c r="G105" i="21"/>
  <c r="G110" i="21"/>
  <c r="G112" i="21"/>
  <c r="G119" i="21"/>
  <c r="G121" i="21"/>
  <c r="G126" i="21"/>
  <c r="G134" i="21"/>
  <c r="G139" i="21"/>
  <c r="G141" i="21"/>
  <c r="G144" i="21"/>
  <c r="G148" i="21"/>
  <c r="G151" i="21"/>
  <c r="G154" i="21"/>
  <c r="G157" i="21"/>
  <c r="G163" i="21"/>
  <c r="G166" i="21"/>
  <c r="G169" i="21"/>
  <c r="G175" i="21"/>
  <c r="G178" i="21"/>
  <c r="G181" i="21"/>
  <c r="G189" i="21"/>
  <c r="G192" i="21"/>
  <c r="G194" i="21"/>
  <c r="G197" i="21"/>
  <c r="G200" i="21"/>
  <c r="G202" i="21"/>
  <c r="G206" i="21"/>
  <c r="G209" i="21"/>
  <c r="G212" i="21"/>
  <c r="G215" i="21"/>
  <c r="G218" i="21"/>
  <c r="G226" i="21"/>
  <c r="G232" i="21"/>
  <c r="G237" i="21"/>
  <c r="G240" i="21"/>
  <c r="G242" i="21"/>
  <c r="G245" i="21"/>
  <c r="G248" i="21"/>
  <c r="G250" i="21"/>
  <c r="G253" i="21"/>
  <c r="G255" i="21"/>
  <c r="G259" i="21"/>
  <c r="G261" i="21"/>
  <c r="G263" i="21"/>
  <c r="G29" i="21"/>
  <c r="G49" i="21"/>
  <c r="G59" i="21"/>
  <c r="G75" i="21"/>
  <c r="G85" i="21"/>
  <c r="G88" i="21"/>
  <c r="G91" i="21"/>
  <c r="G94" i="21"/>
  <c r="G97" i="21"/>
  <c r="G99" i="21"/>
  <c r="G101" i="21"/>
  <c r="G106" i="21"/>
  <c r="G108" i="21"/>
  <c r="G115" i="21"/>
  <c r="G117" i="21"/>
  <c r="G122" i="21"/>
  <c r="G124" i="21"/>
  <c r="G127" i="21"/>
  <c r="G129" i="21"/>
  <c r="G132" i="21"/>
  <c r="G135" i="21"/>
  <c r="G137" i="21"/>
  <c r="G145" i="21"/>
  <c r="G152" i="21"/>
  <c r="G155" i="21"/>
  <c r="G158" i="21"/>
  <c r="G161" i="21"/>
  <c r="G164" i="21"/>
  <c r="G170" i="21"/>
  <c r="G173" i="21"/>
  <c r="G176" i="21"/>
  <c r="G182" i="21"/>
  <c r="G184" i="21"/>
  <c r="G186" i="21"/>
  <c r="G190" i="21"/>
  <c r="G195" i="21"/>
  <c r="G198" i="21"/>
  <c r="G203" i="21"/>
  <c r="G207" i="21"/>
  <c r="G216" i="21"/>
  <c r="G219" i="21"/>
  <c r="G221" i="21"/>
  <c r="G223" i="21"/>
  <c r="G227" i="21"/>
  <c r="G229" i="21"/>
  <c r="G233" i="21"/>
  <c r="G235" i="21"/>
  <c r="G243" i="21"/>
  <c r="G251" i="21"/>
  <c r="G256" i="21"/>
  <c r="G264" i="21"/>
  <c r="H4" i="22"/>
  <c r="T6" i="21"/>
  <c r="T10" i="21"/>
  <c r="T7" i="21"/>
  <c r="T4" i="21"/>
  <c r="T3" i="21"/>
  <c r="T5" i="21"/>
  <c r="T8" i="21"/>
  <c r="T9" i="21"/>
  <c r="R4" i="19"/>
  <c r="U18" i="18"/>
  <c r="Z24" i="18"/>
  <c r="E24" i="18"/>
  <c r="U7" i="18"/>
  <c r="U10" i="18"/>
  <c r="U8" i="18"/>
  <c r="U11" i="18"/>
  <c r="U9" i="18"/>
  <c r="H3" i="14"/>
  <c r="R24" i="4"/>
  <c r="M18" i="4"/>
  <c r="Q6" i="4"/>
  <c r="Q4" i="4"/>
  <c r="T11" i="21"/>
  <c r="G24" i="21"/>
  <c r="J235" i="21"/>
  <c r="J159" i="21"/>
  <c r="J148" i="21"/>
  <c r="P73" i="21"/>
  <c r="J215" i="21"/>
  <c r="J151" i="21"/>
  <c r="J135" i="21"/>
  <c r="J24" i="21"/>
  <c r="P39" i="21"/>
  <c r="F4" i="1"/>
  <c r="G4" i="1"/>
  <c r="F3" i="14"/>
  <c r="E3" i="14"/>
  <c r="P151" i="21"/>
  <c r="P159" i="21"/>
  <c r="P148" i="21"/>
  <c r="P235" i="21"/>
  <c r="G3" i="14"/>
  <c r="I3" i="14"/>
  <c r="P249" i="21"/>
  <c r="P215" i="21"/>
  <c r="H15" i="21"/>
  <c r="U6" i="18"/>
  <c r="U4" i="18"/>
  <c r="U3" i="18"/>
  <c r="U5" i="18"/>
  <c r="E17" i="21"/>
  <c r="P135" i="21"/>
  <c r="P24" i="21"/>
  <c r="H4" i="1"/>
  <c r="Q9" i="19"/>
  <c r="Q6" i="19"/>
  <c r="Q50" i="19"/>
  <c r="N239" i="22"/>
  <c r="N231" i="22"/>
  <c r="N223" i="22"/>
  <c r="N244" i="22"/>
  <c r="N236" i="22"/>
  <c r="N228" i="22"/>
  <c r="N242" i="22"/>
  <c r="N234" i="22"/>
  <c r="N226" i="22"/>
  <c r="N219" i="22"/>
  <c r="N211" i="22"/>
  <c r="N203" i="22"/>
  <c r="N195" i="22"/>
  <c r="N216" i="22"/>
  <c r="N208" i="22"/>
  <c r="N200" i="22"/>
  <c r="N206" i="22"/>
  <c r="N198" i="22"/>
  <c r="N190" i="22"/>
  <c r="N182" i="22"/>
  <c r="N174" i="22"/>
  <c r="N166" i="22"/>
  <c r="N160" i="22"/>
  <c r="N152" i="22"/>
  <c r="N144" i="22"/>
  <c r="N103" i="22"/>
  <c r="N95" i="22"/>
  <c r="N155" i="22"/>
  <c r="N143" i="22"/>
  <c r="N84" i="22"/>
  <c r="N76" i="22"/>
  <c r="N68" i="22"/>
  <c r="N60" i="22"/>
  <c r="N52" i="22"/>
  <c r="N44" i="22"/>
  <c r="N94" i="22"/>
  <c r="N37" i="22"/>
  <c r="N82" i="22"/>
  <c r="N74" i="22"/>
  <c r="N66" i="22"/>
  <c r="N29" i="22"/>
  <c r="N21" i="22"/>
  <c r="N13" i="22"/>
  <c r="N22" i="22"/>
  <c r="N245" i="22"/>
  <c r="N237" i="22"/>
  <c r="N229" i="22"/>
  <c r="N221" i="22"/>
  <c r="N209" i="22"/>
  <c r="N201" i="22"/>
  <c r="N218" i="22"/>
  <c r="N187" i="22"/>
  <c r="N179" i="22"/>
  <c r="N171" i="22"/>
  <c r="N192" i="22"/>
  <c r="N184" i="22"/>
  <c r="N176" i="22"/>
  <c r="N189" i="22"/>
  <c r="N181" i="22"/>
  <c r="N173" i="22"/>
  <c r="N157" i="22"/>
  <c r="N149" i="22"/>
  <c r="N162" i="22"/>
  <c r="N154" i="22"/>
  <c r="N146" i="22"/>
  <c r="N163" i="22"/>
  <c r="N131" i="22"/>
  <c r="N123" i="22"/>
  <c r="N115" i="22"/>
  <c r="N107" i="22"/>
  <c r="N132" i="22"/>
  <c r="N124" i="22"/>
  <c r="N116" i="22"/>
  <c r="N108" i="22"/>
  <c r="N100" i="22"/>
  <c r="N92" i="22"/>
  <c r="N137" i="22"/>
  <c r="N129" i="22"/>
  <c r="N121" i="22"/>
  <c r="N113" i="22"/>
  <c r="N97" i="22"/>
  <c r="N147" i="22"/>
  <c r="N134" i="22"/>
  <c r="N126" i="22"/>
  <c r="N235" i="22"/>
  <c r="N227" i="22"/>
  <c r="N240" i="22"/>
  <c r="N232" i="22"/>
  <c r="N224" i="22"/>
  <c r="N246" i="22"/>
  <c r="N238" i="22"/>
  <c r="N230" i="22"/>
  <c r="N222" i="22"/>
  <c r="N215" i="22"/>
  <c r="N207" i="22"/>
  <c r="N199" i="22"/>
  <c r="N220" i="22"/>
  <c r="N212" i="22"/>
  <c r="N204" i="22"/>
  <c r="N196" i="22"/>
  <c r="N210" i="22"/>
  <c r="N202" i="22"/>
  <c r="N194" i="22"/>
  <c r="N186" i="22"/>
  <c r="N178" i="22"/>
  <c r="N170" i="22"/>
  <c r="N164" i="22"/>
  <c r="N156" i="22"/>
  <c r="N148" i="22"/>
  <c r="N99" i="22"/>
  <c r="N91" i="22"/>
  <c r="N139" i="22"/>
  <c r="N141" i="22"/>
  <c r="N88" i="22"/>
  <c r="N80" i="22"/>
  <c r="N72" i="22"/>
  <c r="N64" i="22"/>
  <c r="N56" i="22"/>
  <c r="N48" i="22"/>
  <c r="N86" i="22"/>
  <c r="N78" i="22"/>
  <c r="N70" i="22"/>
  <c r="N62" i="22"/>
  <c r="N33" i="22"/>
  <c r="N17" i="22"/>
  <c r="N10" i="22"/>
  <c r="N11" i="22"/>
  <c r="N243" i="22"/>
  <c r="N241" i="22"/>
  <c r="N233" i="22"/>
  <c r="N225" i="22"/>
  <c r="N213" i="22"/>
  <c r="N205" i="22"/>
  <c r="N197" i="22"/>
  <c r="N191" i="22"/>
  <c r="N183" i="22"/>
  <c r="N175" i="22"/>
  <c r="N167" i="22"/>
  <c r="N188" i="22"/>
  <c r="N180" i="22"/>
  <c r="N172" i="22"/>
  <c r="N193" i="22"/>
  <c r="N185" i="22"/>
  <c r="N177" i="22"/>
  <c r="N169" i="22"/>
  <c r="N161" i="22"/>
  <c r="N153" i="22"/>
  <c r="N145" i="22"/>
  <c r="N158" i="22"/>
  <c r="N150" i="22"/>
  <c r="N142" i="22"/>
  <c r="N159" i="22"/>
  <c r="N135" i="22"/>
  <c r="N127" i="22"/>
  <c r="N119" i="22"/>
  <c r="N111" i="22"/>
  <c r="N136" i="22"/>
  <c r="N128" i="22"/>
  <c r="N120" i="22"/>
  <c r="N112" i="22"/>
  <c r="N104" i="22"/>
  <c r="N96" i="22"/>
  <c r="N151" i="22"/>
  <c r="N140" i="22"/>
  <c r="N133" i="22"/>
  <c r="N125" i="22"/>
  <c r="N117" i="22"/>
  <c r="N109" i="22"/>
  <c r="N101" i="22"/>
  <c r="N93" i="22"/>
  <c r="N138" i="22"/>
  <c r="N130" i="22"/>
  <c r="N122" i="22"/>
  <c r="N114" i="22"/>
  <c r="N98" i="22"/>
  <c r="N85" i="22"/>
  <c r="N77" i="22"/>
  <c r="N69" i="22"/>
  <c r="N53" i="22"/>
  <c r="N110" i="22"/>
  <c r="N65" i="22"/>
  <c r="N41" i="22"/>
  <c r="N50" i="22"/>
  <c r="N75" i="22"/>
  <c r="N59" i="22"/>
  <c r="N43" i="22"/>
  <c r="N28" i="22"/>
  <c r="N26" i="22"/>
  <c r="N14" i="22"/>
  <c r="N35" i="22"/>
  <c r="N23" i="22"/>
  <c r="N15" i="22"/>
  <c r="N102" i="22"/>
  <c r="N89" i="22"/>
  <c r="N57" i="22"/>
  <c r="N46" i="22"/>
  <c r="N87" i="22"/>
  <c r="N71" i="22"/>
  <c r="N55" i="22"/>
  <c r="N39" i="22"/>
  <c r="N24" i="22"/>
  <c r="N8" i="22"/>
  <c r="N9" i="22"/>
  <c r="N31" i="22"/>
  <c r="N90" i="22"/>
  <c r="N81" i="22"/>
  <c r="N49" i="22"/>
  <c r="N58" i="22"/>
  <c r="N42" i="22"/>
  <c r="N83" i="22"/>
  <c r="N67" i="22"/>
  <c r="N51" i="22"/>
  <c r="N36" i="22"/>
  <c r="N20" i="22"/>
  <c r="N34" i="22"/>
  <c r="N19" i="22"/>
  <c r="N118" i="22"/>
  <c r="N63" i="22"/>
  <c r="N73" i="22"/>
  <c r="N54" i="22"/>
  <c r="N47" i="22"/>
  <c r="N27" i="22"/>
  <c r="N45" i="22"/>
  <c r="N38" i="22"/>
  <c r="N32" i="22"/>
  <c r="N30" i="22"/>
  <c r="N79" i="22"/>
  <c r="N16" i="22"/>
  <c r="N7" i="22"/>
  <c r="V24" i="21"/>
  <c r="Q68" i="19"/>
  <c r="Q75" i="19"/>
  <c r="S68" i="19"/>
  <c r="Q47" i="19"/>
  <c r="Q141" i="19"/>
  <c r="Q202" i="19"/>
  <c r="Q159" i="19"/>
  <c r="Q214" i="19"/>
  <c r="Q10" i="19"/>
  <c r="Q39" i="19"/>
  <c r="Q64" i="19"/>
  <c r="Q136" i="19"/>
  <c r="Q34" i="19"/>
  <c r="Q66" i="19"/>
  <c r="Q239" i="19"/>
  <c r="Q244" i="19"/>
  <c r="Q185" i="19"/>
  <c r="Q97" i="19"/>
  <c r="Q170" i="19"/>
  <c r="Q105" i="19"/>
  <c r="Q23" i="19"/>
  <c r="Q119" i="19"/>
  <c r="Q91" i="19"/>
  <c r="Q118" i="19"/>
  <c r="Q161" i="19"/>
  <c r="Q21" i="19"/>
  <c r="Q229" i="19"/>
  <c r="Q199" i="19"/>
  <c r="Q179" i="19"/>
  <c r="Q238" i="19"/>
  <c r="Q237" i="19"/>
  <c r="Q166" i="19"/>
  <c r="Q174" i="19"/>
  <c r="Q210" i="19"/>
  <c r="Q216" i="19"/>
  <c r="Q234" i="19"/>
  <c r="Q235" i="19"/>
  <c r="Q90" i="19"/>
  <c r="Q117" i="19"/>
  <c r="Q147" i="19"/>
  <c r="Q151" i="19"/>
  <c r="Q204" i="19"/>
  <c r="Q180" i="19"/>
  <c r="Q110" i="19"/>
  <c r="Q171" i="19"/>
  <c r="Q218" i="19"/>
  <c r="Q139" i="19"/>
  <c r="Q20" i="19"/>
  <c r="Q113" i="19"/>
  <c r="Q208" i="19"/>
  <c r="Q77" i="19"/>
  <c r="Q140" i="19"/>
  <c r="Q194" i="19"/>
  <c r="Q129" i="19"/>
  <c r="Q116" i="19"/>
  <c r="Q143" i="19"/>
  <c r="Q86" i="19"/>
  <c r="Q58" i="19"/>
  <c r="Q155" i="19"/>
  <c r="Q121" i="19"/>
  <c r="Q80" i="19"/>
  <c r="Q52" i="19"/>
  <c r="U6" i="21"/>
  <c r="U10" i="21"/>
  <c r="Q43" i="19"/>
  <c r="Q48" i="19"/>
  <c r="Q36" i="19"/>
  <c r="Q38" i="19"/>
  <c r="S6" i="19"/>
  <c r="Q100" i="19"/>
  <c r="Q108" i="19"/>
  <c r="Q79" i="19"/>
  <c r="Q8" i="19"/>
  <c r="Q184" i="19"/>
  <c r="Q83" i="19"/>
  <c r="Q165" i="19"/>
  <c r="Q187" i="19"/>
  <c r="Q124" i="19"/>
  <c r="Q212" i="19"/>
  <c r="Q104" i="19"/>
  <c r="Q130" i="19"/>
  <c r="Q37" i="19"/>
  <c r="Q26" i="19"/>
  <c r="Q149" i="19"/>
  <c r="Q156" i="19"/>
  <c r="Q73" i="19"/>
  <c r="Q175" i="19"/>
  <c r="Q29" i="19"/>
  <c r="Q144" i="19"/>
  <c r="Q224" i="19"/>
  <c r="Q11" i="19"/>
  <c r="Q233" i="19"/>
  <c r="Q14" i="19"/>
  <c r="Q27" i="19"/>
  <c r="Q173" i="19"/>
  <c r="Q153" i="19"/>
  <c r="Q19" i="19"/>
  <c r="Q226" i="19"/>
  <c r="Q195" i="19"/>
  <c r="Q93" i="19"/>
  <c r="Q207" i="19"/>
  <c r="Q13" i="19"/>
  <c r="Q51" i="19"/>
  <c r="Q85" i="19"/>
  <c r="Q242" i="19"/>
  <c r="Q131" i="19"/>
  <c r="Q198" i="19"/>
  <c r="Q209" i="19"/>
  <c r="Q211" i="19"/>
  <c r="Q167" i="19"/>
  <c r="Q102" i="19"/>
  <c r="Q193" i="19"/>
  <c r="Q133" i="19"/>
  <c r="Q81" i="19"/>
  <c r="Q191" i="19"/>
  <c r="Q230" i="19"/>
  <c r="Q154" i="19"/>
  <c r="Q25" i="19"/>
  <c r="Q44" i="19"/>
  <c r="Q160" i="19"/>
  <c r="Q88" i="19"/>
  <c r="Q84" i="19"/>
  <c r="Q22" i="19"/>
  <c r="U8" i="21"/>
  <c r="U4" i="21"/>
  <c r="Q31" i="19"/>
  <c r="Q96" i="19"/>
  <c r="Q15" i="19"/>
  <c r="Q60" i="19"/>
  <c r="Q59" i="19"/>
  <c r="Q74" i="19"/>
  <c r="Q228" i="19"/>
  <c r="Q78" i="19"/>
  <c r="Q18" i="19"/>
  <c r="Q7" i="19"/>
  <c r="Q132" i="19"/>
  <c r="Q71" i="19"/>
  <c r="Q16" i="19"/>
  <c r="Q223" i="19"/>
  <c r="Q125" i="19"/>
  <c r="Q182" i="19"/>
  <c r="Q99" i="19"/>
  <c r="Q138" i="19"/>
  <c r="Q89" i="19"/>
  <c r="Q123" i="19"/>
  <c r="Q200" i="19"/>
  <c r="Q168" i="19"/>
  <c r="Q41" i="19"/>
  <c r="Q122" i="19"/>
  <c r="Q186" i="19"/>
  <c r="Q205" i="19"/>
  <c r="Q54" i="19"/>
  <c r="Q145" i="19"/>
  <c r="Q232" i="19"/>
  <c r="Q32" i="19"/>
  <c r="Q28" i="19"/>
  <c r="Q176" i="19"/>
  <c r="Q98" i="19"/>
  <c r="Q163" i="19"/>
  <c r="Q162" i="19"/>
  <c r="Q148" i="19"/>
  <c r="Q126" i="19"/>
  <c r="Q236" i="19"/>
  <c r="Q188" i="19"/>
  <c r="Q177" i="19"/>
  <c r="Q134" i="19"/>
  <c r="Q87" i="19"/>
  <c r="Q65" i="19"/>
  <c r="Q114" i="19"/>
  <c r="Q213" i="19"/>
  <c r="Q150" i="19"/>
  <c r="Q183" i="19"/>
  <c r="Q103" i="19"/>
  <c r="Q142" i="19"/>
  <c r="Q178" i="19"/>
  <c r="Q107" i="19"/>
  <c r="Q76" i="19"/>
  <c r="Q94" i="19"/>
  <c r="Q172" i="19"/>
  <c r="Q69" i="19"/>
  <c r="Q219" i="19"/>
  <c r="Q57" i="19"/>
  <c r="Q190" i="19"/>
  <c r="Q111" i="19"/>
  <c r="Q109" i="19"/>
  <c r="Q181" i="19"/>
  <c r="Q70" i="19"/>
  <c r="Q35" i="19"/>
  <c r="Q67" i="19"/>
  <c r="Q63" i="19"/>
  <c r="Q24" i="19"/>
  <c r="Q128" i="19"/>
  <c r="S50" i="19"/>
  <c r="S9" i="19"/>
  <c r="Q55" i="19"/>
  <c r="Q62" i="19"/>
  <c r="Q92" i="19"/>
  <c r="Q101" i="19"/>
  <c r="Q137" i="19"/>
  <c r="Q169" i="19"/>
  <c r="Q152" i="19"/>
  <c r="Q217" i="19"/>
  <c r="Q61" i="19"/>
  <c r="Q157" i="19"/>
  <c r="Q106" i="19"/>
  <c r="Q203" i="19"/>
  <c r="Q241" i="19"/>
  <c r="Q189" i="19"/>
  <c r="Q227" i="19"/>
  <c r="Q17" i="19"/>
  <c r="Q158" i="19"/>
  <c r="Q201" i="19"/>
  <c r="Q243" i="19"/>
  <c r="Q196" i="19"/>
  <c r="Q135" i="19"/>
  <c r="Q46" i="19"/>
  <c r="Q72" i="19"/>
  <c r="Q231" i="19"/>
  <c r="Q192" i="19"/>
  <c r="Q45" i="19"/>
  <c r="Q246" i="19"/>
  <c r="Q164" i="19"/>
  <c r="Q245" i="19"/>
  <c r="Q220" i="19"/>
  <c r="Q53" i="19"/>
  <c r="Q225" i="19"/>
  <c r="Q206" i="19"/>
  <c r="Q222" i="19"/>
  <c r="Q127" i="19"/>
  <c r="Q56" i="19"/>
  <c r="Q95" i="19"/>
  <c r="Q197" i="19"/>
  <c r="Q33" i="19"/>
  <c r="Q12" i="19"/>
  <c r="Q49" i="19"/>
  <c r="Q221" i="19"/>
  <c r="Q240" i="19"/>
  <c r="Q146" i="19"/>
  <c r="Q115" i="19"/>
  <c r="Q215" i="19"/>
  <c r="Q82" i="19"/>
  <c r="Q40" i="19"/>
  <c r="Q112" i="19"/>
  <c r="U3" i="21"/>
  <c r="P30" i="22"/>
  <c r="U5" i="21"/>
  <c r="U7" i="21"/>
  <c r="U9" i="21"/>
  <c r="U11" i="21"/>
  <c r="P129" i="22"/>
  <c r="P160" i="22"/>
  <c r="Q160" i="22"/>
  <c r="P198" i="22"/>
  <c r="R198" i="22"/>
  <c r="P208" i="22"/>
  <c r="Q208" i="22"/>
  <c r="Q42" i="19"/>
  <c r="Q120" i="19"/>
  <c r="Q30" i="19"/>
  <c r="N7" i="1"/>
  <c r="N11" i="1"/>
  <c r="N15" i="1"/>
  <c r="N19" i="1"/>
  <c r="N23" i="1"/>
  <c r="N27" i="1"/>
  <c r="N31" i="1"/>
  <c r="N35" i="1"/>
  <c r="N39" i="1"/>
  <c r="N16" i="1"/>
  <c r="N17" i="1"/>
  <c r="N32" i="1"/>
  <c r="N33" i="1"/>
  <c r="N34" i="1"/>
  <c r="N45" i="1"/>
  <c r="N49" i="1"/>
  <c r="N53" i="1"/>
  <c r="N57" i="1"/>
  <c r="N61" i="1"/>
  <c r="N65" i="1"/>
  <c r="N69" i="1"/>
  <c r="N73" i="1"/>
  <c r="N78" i="1"/>
  <c r="N82" i="1"/>
  <c r="N87" i="1"/>
  <c r="N91" i="1"/>
  <c r="N13" i="1"/>
  <c r="N14" i="1"/>
  <c r="N8" i="1"/>
  <c r="N10" i="1"/>
  <c r="N24" i="1"/>
  <c r="N26" i="1"/>
  <c r="N41" i="1"/>
  <c r="N42" i="1"/>
  <c r="N43" i="1"/>
  <c r="N47" i="1"/>
  <c r="N51" i="1"/>
  <c r="N55" i="1"/>
  <c r="N59" i="1"/>
  <c r="N63" i="1"/>
  <c r="N67" i="1"/>
  <c r="N71" i="1"/>
  <c r="N75" i="1"/>
  <c r="N80" i="1"/>
  <c r="N84" i="1"/>
  <c r="N89" i="1"/>
  <c r="N93" i="1"/>
  <c r="N98" i="1"/>
  <c r="N102" i="1"/>
  <c r="N20" i="1"/>
  <c r="N21" i="1"/>
  <c r="N22" i="1"/>
  <c r="N36" i="1"/>
  <c r="N37" i="1"/>
  <c r="N38" i="1"/>
  <c r="N44" i="1"/>
  <c r="N48" i="1"/>
  <c r="N52" i="1"/>
  <c r="N29" i="1"/>
  <c r="N56" i="1"/>
  <c r="N64" i="1"/>
  <c r="N72" i="1"/>
  <c r="N81" i="1"/>
  <c r="N90" i="1"/>
  <c r="N99" i="1"/>
  <c r="N100" i="1"/>
  <c r="N101" i="1"/>
  <c r="N106" i="1"/>
  <c r="N110" i="1"/>
  <c r="N115" i="1"/>
  <c r="N119" i="1"/>
  <c r="N124" i="1"/>
  <c r="N128" i="1"/>
  <c r="N132" i="1"/>
  <c r="N136" i="1"/>
  <c r="N140" i="1"/>
  <c r="N145" i="1"/>
  <c r="N149" i="1"/>
  <c r="N153" i="1"/>
  <c r="N157" i="1"/>
  <c r="N161" i="1"/>
  <c r="N165" i="1"/>
  <c r="N169" i="1"/>
  <c r="N173" i="1"/>
  <c r="N177" i="1"/>
  <c r="N181" i="1"/>
  <c r="N185" i="1"/>
  <c r="N189" i="1"/>
  <c r="N76" i="1"/>
  <c r="N196" i="1"/>
  <c r="N200" i="1"/>
  <c r="N203" i="1"/>
  <c r="N207" i="1"/>
  <c r="N30" i="1"/>
  <c r="N46" i="1"/>
  <c r="N58" i="1"/>
  <c r="N66" i="1"/>
  <c r="N74" i="1"/>
  <c r="N83" i="1"/>
  <c r="N94" i="1"/>
  <c r="N95" i="1"/>
  <c r="N97" i="1"/>
  <c r="N107" i="1"/>
  <c r="N112" i="1"/>
  <c r="N116" i="1"/>
  <c r="N121" i="1"/>
  <c r="N125" i="1"/>
  <c r="N129" i="1"/>
  <c r="N133" i="1"/>
  <c r="N137" i="1"/>
  <c r="N141" i="1"/>
  <c r="N146" i="1"/>
  <c r="N150" i="1"/>
  <c r="N154" i="1"/>
  <c r="N158" i="1"/>
  <c r="N162" i="1"/>
  <c r="N166" i="1"/>
  <c r="N170" i="1"/>
  <c r="N174" i="1"/>
  <c r="N178" i="1"/>
  <c r="N182" i="1"/>
  <c r="N186" i="1"/>
  <c r="N190" i="1"/>
  <c r="N193" i="1"/>
  <c r="N197" i="1"/>
  <c r="N201" i="1"/>
  <c r="N204" i="1"/>
  <c r="N208" i="1"/>
  <c r="N212" i="1"/>
  <c r="N215" i="1"/>
  <c r="N219" i="1"/>
  <c r="N50" i="1"/>
  <c r="N68" i="1"/>
  <c r="N77" i="1"/>
  <c r="N85" i="1"/>
  <c r="N92" i="1"/>
  <c r="N108" i="1"/>
  <c r="N113" i="1"/>
  <c r="N117" i="1"/>
  <c r="N122" i="1"/>
  <c r="N126" i="1"/>
  <c r="N130" i="1"/>
  <c r="N134" i="1"/>
  <c r="N138" i="1"/>
  <c r="N143" i="1"/>
  <c r="N147" i="1"/>
  <c r="N151" i="1"/>
  <c r="N155" i="1"/>
  <c r="N159" i="1"/>
  <c r="N163" i="1"/>
  <c r="N167" i="1"/>
  <c r="N171" i="1"/>
  <c r="N179" i="1"/>
  <c r="N183" i="1"/>
  <c r="N187" i="1"/>
  <c r="N191" i="1"/>
  <c r="N194" i="1"/>
  <c r="N198" i="1"/>
  <c r="N28" i="1"/>
  <c r="N54" i="1"/>
  <c r="N62" i="1"/>
  <c r="N70" i="1"/>
  <c r="N79" i="1"/>
  <c r="N88" i="1"/>
  <c r="N103" i="1"/>
  <c r="N105" i="1"/>
  <c r="N114" i="1"/>
  <c r="N118" i="1"/>
  <c r="N123" i="1"/>
  <c r="N127" i="1"/>
  <c r="N131" i="1"/>
  <c r="N135" i="1"/>
  <c r="N139" i="1"/>
  <c r="N144" i="1"/>
  <c r="N148" i="1"/>
  <c r="N152" i="1"/>
  <c r="N156" i="1"/>
  <c r="N160" i="1"/>
  <c r="N164" i="1"/>
  <c r="N168" i="1"/>
  <c r="N172" i="1"/>
  <c r="N176" i="1"/>
  <c r="N180" i="1"/>
  <c r="N184" i="1"/>
  <c r="N188" i="1"/>
  <c r="N192" i="1"/>
  <c r="N195" i="1"/>
  <c r="N86" i="1"/>
  <c r="N223" i="1"/>
  <c r="N228" i="1"/>
  <c r="N232" i="1"/>
  <c r="N235" i="1"/>
  <c r="N239" i="1"/>
  <c r="N243" i="1"/>
  <c r="N247" i="1"/>
  <c r="N202" i="1"/>
  <c r="N216" i="1"/>
  <c r="N217" i="1"/>
  <c r="N218" i="1"/>
  <c r="N220" i="1"/>
  <c r="N104" i="1"/>
  <c r="N226" i="1"/>
  <c r="N229" i="1"/>
  <c r="N233" i="1"/>
  <c r="N236" i="1"/>
  <c r="N240" i="1"/>
  <c r="N244" i="1"/>
  <c r="N248" i="1"/>
  <c r="N199" i="1"/>
  <c r="N206" i="1"/>
  <c r="N213" i="1"/>
  <c r="N214" i="1"/>
  <c r="N96" i="1"/>
  <c r="N221" i="1"/>
  <c r="N224" i="1"/>
  <c r="N227" i="1"/>
  <c r="N230" i="1"/>
  <c r="N142" i="1"/>
  <c r="N237" i="1"/>
  <c r="N241" i="1"/>
  <c r="N245" i="1"/>
  <c r="N249" i="1"/>
  <c r="N205" i="1"/>
  <c r="N209" i="1"/>
  <c r="N210" i="1"/>
  <c r="N211" i="1"/>
  <c r="N222" i="1"/>
  <c r="N120" i="1"/>
  <c r="N231" i="1"/>
  <c r="N234" i="1"/>
  <c r="N238" i="1"/>
  <c r="N242" i="1"/>
  <c r="N246" i="1"/>
  <c r="R30" i="22"/>
  <c r="Q30" i="22"/>
  <c r="Q12" i="22"/>
  <c r="Q18" i="22"/>
  <c r="R129" i="22"/>
  <c r="Q129" i="22"/>
  <c r="J198" i="22"/>
  <c r="K198" i="22"/>
  <c r="P201" i="22"/>
  <c r="P192" i="22"/>
  <c r="P162" i="22"/>
  <c r="P107" i="22"/>
  <c r="P97" i="22"/>
  <c r="P240" i="22"/>
  <c r="P230" i="22"/>
  <c r="P178" i="22"/>
  <c r="P48" i="22"/>
  <c r="P62" i="22"/>
  <c r="P191" i="22"/>
  <c r="P128" i="22"/>
  <c r="P114" i="22"/>
  <c r="P14" i="22"/>
  <c r="P20" i="22"/>
  <c r="P54" i="22"/>
  <c r="S82" i="19"/>
  <c r="S33" i="19"/>
  <c r="S95" i="19"/>
  <c r="S127" i="19"/>
  <c r="S206" i="19"/>
  <c r="S192" i="19"/>
  <c r="S72" i="19"/>
  <c r="S243" i="19"/>
  <c r="S106" i="19"/>
  <c r="S61" i="19"/>
  <c r="S152" i="19"/>
  <c r="S55" i="19"/>
  <c r="P244" i="22"/>
  <c r="P234" i="22"/>
  <c r="P152" i="22"/>
  <c r="P22" i="22"/>
  <c r="P237" i="22"/>
  <c r="P184" i="22"/>
  <c r="P154" i="22"/>
  <c r="P147" i="22"/>
  <c r="P86" i="22"/>
  <c r="P177" i="22"/>
  <c r="P135" i="22"/>
  <c r="P120" i="22"/>
  <c r="P8" i="22"/>
  <c r="P67" i="22"/>
  <c r="P38" i="22"/>
  <c r="P7" i="22"/>
  <c r="S181" i="19"/>
  <c r="S69" i="19"/>
  <c r="S94" i="19"/>
  <c r="S142" i="19"/>
  <c r="S188" i="19"/>
  <c r="S98" i="19"/>
  <c r="S232" i="19"/>
  <c r="S54" i="19"/>
  <c r="S200" i="19"/>
  <c r="S99" i="19"/>
  <c r="S16" i="19"/>
  <c r="S132" i="19"/>
  <c r="S228" i="19"/>
  <c r="S59" i="19"/>
  <c r="P146" i="22"/>
  <c r="P224" i="22"/>
  <c r="R208" i="22"/>
  <c r="P169" i="22"/>
  <c r="P161" i="22"/>
  <c r="P109" i="22"/>
  <c r="P65" i="22"/>
  <c r="P51" i="22"/>
  <c r="S22" i="19"/>
  <c r="S88" i="19"/>
  <c r="S154" i="19"/>
  <c r="S133" i="19"/>
  <c r="S198" i="19"/>
  <c r="S242" i="19"/>
  <c r="S51" i="19"/>
  <c r="S195" i="19"/>
  <c r="S19" i="19"/>
  <c r="S173" i="19"/>
  <c r="S11" i="19"/>
  <c r="S144" i="19"/>
  <c r="S175" i="19"/>
  <c r="S156" i="19"/>
  <c r="S212" i="19"/>
  <c r="S187" i="19"/>
  <c r="S83" i="19"/>
  <c r="S108" i="19"/>
  <c r="S36" i="19"/>
  <c r="S43" i="19"/>
  <c r="P216" i="22"/>
  <c r="P206" i="22"/>
  <c r="R160" i="22"/>
  <c r="P94" i="22"/>
  <c r="P82" i="22"/>
  <c r="P137" i="22"/>
  <c r="P207" i="22"/>
  <c r="P186" i="22"/>
  <c r="P88" i="22"/>
  <c r="P70" i="22"/>
  <c r="P225" i="22"/>
  <c r="P193" i="22"/>
  <c r="P142" i="22"/>
  <c r="P133" i="22"/>
  <c r="P26" i="22"/>
  <c r="P39" i="22"/>
  <c r="P34" i="22"/>
  <c r="P16" i="22"/>
  <c r="S80" i="19"/>
  <c r="S86" i="19"/>
  <c r="S116" i="19"/>
  <c r="S194" i="19"/>
  <c r="S113" i="19"/>
  <c r="S171" i="19"/>
  <c r="S151" i="19"/>
  <c r="S117" i="19"/>
  <c r="S174" i="19"/>
  <c r="S161" i="19"/>
  <c r="S91" i="19"/>
  <c r="S23" i="19"/>
  <c r="S239" i="19"/>
  <c r="S34" i="19"/>
  <c r="S64" i="19"/>
  <c r="S30" i="19"/>
  <c r="S42" i="19"/>
  <c r="P74" i="22"/>
  <c r="P189" i="22"/>
  <c r="P132" i="22"/>
  <c r="P199" i="22"/>
  <c r="P148" i="22"/>
  <c r="P188" i="22"/>
  <c r="P145" i="22"/>
  <c r="P96" i="22"/>
  <c r="P57" i="22"/>
  <c r="P45" i="22"/>
  <c r="S112" i="19"/>
  <c r="S115" i="19"/>
  <c r="S240" i="19"/>
  <c r="S49" i="19"/>
  <c r="S53" i="19"/>
  <c r="S245" i="19"/>
  <c r="S246" i="19"/>
  <c r="S135" i="19"/>
  <c r="S158" i="19"/>
  <c r="S227" i="19"/>
  <c r="S241" i="19"/>
  <c r="S137" i="19"/>
  <c r="S92" i="19"/>
  <c r="S24" i="19"/>
  <c r="P203" i="22"/>
  <c r="P84" i="22"/>
  <c r="P66" i="22"/>
  <c r="P181" i="22"/>
  <c r="P131" i="22"/>
  <c r="P124" i="22"/>
  <c r="P235" i="22"/>
  <c r="P170" i="22"/>
  <c r="P17" i="22"/>
  <c r="P197" i="22"/>
  <c r="P151" i="22"/>
  <c r="P31" i="22"/>
  <c r="S70" i="19"/>
  <c r="S190" i="19"/>
  <c r="S172" i="19"/>
  <c r="S178" i="19"/>
  <c r="S150" i="19"/>
  <c r="S114" i="19"/>
  <c r="S87" i="19"/>
  <c r="S177" i="19"/>
  <c r="S236" i="19"/>
  <c r="S163" i="19"/>
  <c r="S176" i="19"/>
  <c r="S145" i="19"/>
  <c r="S205" i="19"/>
  <c r="S122" i="19"/>
  <c r="S123" i="19"/>
  <c r="S138" i="19"/>
  <c r="S71" i="19"/>
  <c r="P239" i="22"/>
  <c r="P174" i="22"/>
  <c r="P103" i="22"/>
  <c r="P76" i="22"/>
  <c r="P179" i="22"/>
  <c r="P123" i="22"/>
  <c r="P116" i="22"/>
  <c r="P113" i="22"/>
  <c r="P246" i="22"/>
  <c r="P91" i="22"/>
  <c r="P141" i="22"/>
  <c r="P243" i="22"/>
  <c r="P233" i="22"/>
  <c r="Q198" i="22"/>
  <c r="S198" i="22"/>
  <c r="P150" i="22"/>
  <c r="P130" i="22"/>
  <c r="P50" i="22"/>
  <c r="S84" i="19"/>
  <c r="S25" i="19"/>
  <c r="S230" i="19"/>
  <c r="S81" i="19"/>
  <c r="S193" i="19"/>
  <c r="S209" i="19"/>
  <c r="S131" i="19"/>
  <c r="S85" i="19"/>
  <c r="S13" i="19"/>
  <c r="S93" i="19"/>
  <c r="S226" i="19"/>
  <c r="S153" i="19"/>
  <c r="S27" i="19"/>
  <c r="S149" i="19"/>
  <c r="S104" i="19"/>
  <c r="S165" i="19"/>
  <c r="P95" i="22"/>
  <c r="P143" i="22"/>
  <c r="P209" i="22"/>
  <c r="P171" i="22"/>
  <c r="P149" i="22"/>
  <c r="P204" i="22"/>
  <c r="P194" i="22"/>
  <c r="P156" i="22"/>
  <c r="P56" i="22"/>
  <c r="P119" i="22"/>
  <c r="P101" i="22"/>
  <c r="P77" i="22"/>
  <c r="P15" i="22"/>
  <c r="P9" i="22"/>
  <c r="P49" i="22"/>
  <c r="P19" i="22"/>
  <c r="P73" i="22"/>
  <c r="S155" i="19"/>
  <c r="S77" i="19"/>
  <c r="S139" i="19"/>
  <c r="S180" i="19"/>
  <c r="S235" i="19"/>
  <c r="S216" i="19"/>
  <c r="S237" i="19"/>
  <c r="S179" i="19"/>
  <c r="S229" i="19"/>
  <c r="S170" i="19"/>
  <c r="S185" i="19"/>
  <c r="S10" i="19"/>
  <c r="S159" i="19"/>
  <c r="S141" i="19"/>
  <c r="S120" i="19"/>
  <c r="P223" i="22"/>
  <c r="P242" i="22"/>
  <c r="P155" i="22"/>
  <c r="P60" i="22"/>
  <c r="P245" i="22"/>
  <c r="P100" i="22"/>
  <c r="P196" i="22"/>
  <c r="P185" i="22"/>
  <c r="P159" i="22"/>
  <c r="P125" i="22"/>
  <c r="P75" i="22"/>
  <c r="P87" i="22"/>
  <c r="S146" i="19"/>
  <c r="S221" i="19"/>
  <c r="S56" i="19"/>
  <c r="S222" i="19"/>
  <c r="S225" i="19"/>
  <c r="S220" i="19"/>
  <c r="S164" i="19"/>
  <c r="S231" i="19"/>
  <c r="S196" i="19"/>
  <c r="S201" i="19"/>
  <c r="S17" i="19"/>
  <c r="S203" i="19"/>
  <c r="S157" i="19"/>
  <c r="S128" i="19"/>
  <c r="S63" i="19"/>
  <c r="P200" i="22"/>
  <c r="P52" i="22"/>
  <c r="P218" i="22"/>
  <c r="P92" i="22"/>
  <c r="P232" i="22"/>
  <c r="P222" i="22"/>
  <c r="P10" i="22"/>
  <c r="P183" i="22"/>
  <c r="P117" i="22"/>
  <c r="P59" i="22"/>
  <c r="P35" i="22"/>
  <c r="S67" i="19"/>
  <c r="S109" i="19"/>
  <c r="S219" i="19"/>
  <c r="S76" i="19"/>
  <c r="S103" i="19"/>
  <c r="S148" i="19"/>
  <c r="S32" i="19"/>
  <c r="S168" i="19"/>
  <c r="S182" i="19"/>
  <c r="S223" i="19"/>
  <c r="S7" i="19"/>
  <c r="S78" i="19"/>
  <c r="S74" i="19"/>
  <c r="S60" i="19"/>
  <c r="S96" i="19"/>
  <c r="P236" i="22"/>
  <c r="P226" i="22"/>
  <c r="P144" i="22"/>
  <c r="P44" i="22"/>
  <c r="P37" i="22"/>
  <c r="P229" i="22"/>
  <c r="P176" i="22"/>
  <c r="P134" i="22"/>
  <c r="P215" i="22"/>
  <c r="P78" i="22"/>
  <c r="P175" i="22"/>
  <c r="P127" i="22"/>
  <c r="P112" i="22"/>
  <c r="P98" i="22"/>
  <c r="P85" i="22"/>
  <c r="P43" i="22"/>
  <c r="P81" i="22"/>
  <c r="P32" i="22"/>
  <c r="S160" i="19"/>
  <c r="S167" i="19"/>
  <c r="S233" i="19"/>
  <c r="S224" i="19"/>
  <c r="S29" i="19"/>
  <c r="S73" i="19"/>
  <c r="S37" i="19"/>
  <c r="S124" i="19"/>
  <c r="S184" i="19"/>
  <c r="S79" i="19"/>
  <c r="S100" i="19"/>
  <c r="S38" i="19"/>
  <c r="S48" i="19"/>
  <c r="P231" i="22"/>
  <c r="P221" i="22"/>
  <c r="P163" i="22"/>
  <c r="P126" i="22"/>
  <c r="P33" i="22"/>
  <c r="P136" i="22"/>
  <c r="P122" i="22"/>
  <c r="P110" i="22"/>
  <c r="P89" i="22"/>
  <c r="P42" i="22"/>
  <c r="P27" i="22"/>
  <c r="S52" i="19"/>
  <c r="S143" i="19"/>
  <c r="S218" i="19"/>
  <c r="S90" i="19"/>
  <c r="S234" i="19"/>
  <c r="S210" i="19"/>
  <c r="S166" i="19"/>
  <c r="S238" i="19"/>
  <c r="S199" i="19"/>
  <c r="S21" i="19"/>
  <c r="S118" i="19"/>
  <c r="S97" i="19"/>
  <c r="S244" i="19"/>
  <c r="S66" i="19"/>
  <c r="S214" i="19"/>
  <c r="S202" i="19"/>
  <c r="S47" i="19"/>
  <c r="S75" i="19"/>
  <c r="P211" i="22"/>
  <c r="P190" i="22"/>
  <c r="P29" i="22"/>
  <c r="P80" i="22"/>
  <c r="P205" i="22"/>
  <c r="P111" i="22"/>
  <c r="P93" i="22"/>
  <c r="P69" i="22"/>
  <c r="P24" i="22"/>
  <c r="P90" i="22"/>
  <c r="P83" i="22"/>
  <c r="P63" i="22"/>
  <c r="S40" i="19"/>
  <c r="S215" i="19"/>
  <c r="S12" i="19"/>
  <c r="S197" i="19"/>
  <c r="S45" i="19"/>
  <c r="S46" i="19"/>
  <c r="S189" i="19"/>
  <c r="S217" i="19"/>
  <c r="S169" i="19"/>
  <c r="S101" i="19"/>
  <c r="S62" i="19"/>
  <c r="P182" i="22"/>
  <c r="P21" i="22"/>
  <c r="P187" i="22"/>
  <c r="P121" i="22"/>
  <c r="P220" i="22"/>
  <c r="P210" i="22"/>
  <c r="P99" i="22"/>
  <c r="P72" i="22"/>
  <c r="P11" i="22"/>
  <c r="P241" i="22"/>
  <c r="P180" i="22"/>
  <c r="P158" i="22"/>
  <c r="P138" i="22"/>
  <c r="P102" i="22"/>
  <c r="P71" i="22"/>
  <c r="P118" i="22"/>
  <c r="P47" i="22"/>
  <c r="S35" i="19"/>
  <c r="S111" i="19"/>
  <c r="S57" i="19"/>
  <c r="S107" i="19"/>
  <c r="S183" i="19"/>
  <c r="S213" i="19"/>
  <c r="S65" i="19"/>
  <c r="S134" i="19"/>
  <c r="S126" i="19"/>
  <c r="S162" i="19"/>
  <c r="S28" i="19"/>
  <c r="S186" i="19"/>
  <c r="S41" i="19"/>
  <c r="S89" i="19"/>
  <c r="S125" i="19"/>
  <c r="S18" i="19"/>
  <c r="S15" i="19"/>
  <c r="S31" i="19"/>
  <c r="P195" i="22"/>
  <c r="P13" i="22"/>
  <c r="P173" i="22"/>
  <c r="P157" i="22"/>
  <c r="P227" i="22"/>
  <c r="P212" i="22"/>
  <c r="P202" i="22"/>
  <c r="P164" i="22"/>
  <c r="P64" i="22"/>
  <c r="P172" i="22"/>
  <c r="P140" i="22"/>
  <c r="P53" i="22"/>
  <c r="P23" i="22"/>
  <c r="P55" i="22"/>
  <c r="P58" i="22"/>
  <c r="P79" i="22"/>
  <c r="S44" i="19"/>
  <c r="S191" i="19"/>
  <c r="S102" i="19"/>
  <c r="S211" i="19"/>
  <c r="S207" i="19"/>
  <c r="S14" i="19"/>
  <c r="S26" i="19"/>
  <c r="S130" i="19"/>
  <c r="K5" i="19"/>
  <c r="S8" i="19"/>
  <c r="P228" i="22"/>
  <c r="P219" i="22"/>
  <c r="P166" i="22"/>
  <c r="P68" i="22"/>
  <c r="P115" i="22"/>
  <c r="P108" i="22"/>
  <c r="P238" i="22"/>
  <c r="P139" i="22"/>
  <c r="P213" i="22"/>
  <c r="P167" i="22"/>
  <c r="P153" i="22"/>
  <c r="P104" i="22"/>
  <c r="P41" i="22"/>
  <c r="P28" i="22"/>
  <c r="P46" i="22"/>
  <c r="P36" i="22"/>
  <c r="S121" i="19"/>
  <c r="S58" i="19"/>
  <c r="S129" i="19"/>
  <c r="S140" i="19"/>
  <c r="S208" i="19"/>
  <c r="S20" i="19"/>
  <c r="S110" i="19"/>
  <c r="S204" i="19"/>
  <c r="S147" i="19"/>
  <c r="S119" i="19"/>
  <c r="S105" i="19"/>
  <c r="S136" i="19"/>
  <c r="S39" i="19"/>
  <c r="Q139" i="22"/>
  <c r="R139" i="22"/>
  <c r="Q58" i="22"/>
  <c r="R58" i="22"/>
  <c r="R173" i="22"/>
  <c r="Q173" i="22"/>
  <c r="Q102" i="22"/>
  <c r="R102" i="22"/>
  <c r="Q180" i="22"/>
  <c r="R180" i="22"/>
  <c r="Q99" i="22"/>
  <c r="R99" i="22"/>
  <c r="Q187" i="22"/>
  <c r="R187" i="22"/>
  <c r="Q83" i="22"/>
  <c r="R83" i="22"/>
  <c r="R93" i="22"/>
  <c r="Q93" i="22"/>
  <c r="R29" i="22"/>
  <c r="Q29" i="22"/>
  <c r="R27" i="22"/>
  <c r="Q27" i="22"/>
  <c r="Q122" i="22"/>
  <c r="R122" i="22"/>
  <c r="R163" i="22"/>
  <c r="Q163" i="22"/>
  <c r="Q81" i="22"/>
  <c r="R81" i="22"/>
  <c r="R112" i="22"/>
  <c r="Q112" i="22"/>
  <c r="Q165" i="22"/>
  <c r="Q229" i="22"/>
  <c r="R229" i="22"/>
  <c r="Q226" i="22"/>
  <c r="R226" i="22"/>
  <c r="Q35" i="22"/>
  <c r="R35" i="22"/>
  <c r="Q10" i="22"/>
  <c r="R10" i="22"/>
  <c r="R218" i="22"/>
  <c r="Q218" i="22"/>
  <c r="R159" i="22"/>
  <c r="Q159" i="22"/>
  <c r="Q100" i="22"/>
  <c r="R100" i="22"/>
  <c r="Q242" i="22"/>
  <c r="R242" i="22"/>
  <c r="R9" i="22"/>
  <c r="Q9" i="22"/>
  <c r="Q119" i="22"/>
  <c r="R119" i="22"/>
  <c r="Q204" i="22"/>
  <c r="R204" i="22"/>
  <c r="R209" i="22"/>
  <c r="Q209" i="22"/>
  <c r="Q130" i="22"/>
  <c r="R130" i="22"/>
  <c r="R243" i="22"/>
  <c r="Q243" i="22"/>
  <c r="R113" i="22"/>
  <c r="Q113" i="22"/>
  <c r="Q217" i="22"/>
  <c r="Q239" i="22"/>
  <c r="R239" i="22"/>
  <c r="R151" i="22"/>
  <c r="Q151" i="22"/>
  <c r="Q235" i="22"/>
  <c r="R235" i="22"/>
  <c r="R66" i="22"/>
  <c r="Q66" i="22"/>
  <c r="R57" i="22"/>
  <c r="Q57" i="22"/>
  <c r="R148" i="22"/>
  <c r="Q148" i="22"/>
  <c r="Q74" i="22"/>
  <c r="R74" i="22"/>
  <c r="R34" i="22"/>
  <c r="Q34" i="22"/>
  <c r="Q142" i="22"/>
  <c r="R142" i="22"/>
  <c r="R88" i="22"/>
  <c r="Q88" i="22"/>
  <c r="R82" i="22"/>
  <c r="Q82" i="22"/>
  <c r="R216" i="22"/>
  <c r="Q216" i="22"/>
  <c r="R65" i="22"/>
  <c r="Q65" i="22"/>
  <c r="S208" i="22"/>
  <c r="J208" i="22"/>
  <c r="K208" i="22"/>
  <c r="Q38" i="22"/>
  <c r="R38" i="22"/>
  <c r="Q120" i="22"/>
  <c r="R120" i="22"/>
  <c r="Q40" i="22"/>
  <c r="Q237" i="22"/>
  <c r="R237" i="22"/>
  <c r="Q244" i="22"/>
  <c r="R244" i="22"/>
  <c r="Q14" i="22"/>
  <c r="R14" i="22"/>
  <c r="R62" i="22"/>
  <c r="Q62" i="22"/>
  <c r="Q240" i="22"/>
  <c r="R240" i="22"/>
  <c r="Q192" i="22"/>
  <c r="R192" i="22"/>
  <c r="Q36" i="22"/>
  <c r="R36" i="22"/>
  <c r="Q228" i="22"/>
  <c r="R228" i="22"/>
  <c r="Q46" i="22"/>
  <c r="R46" i="22"/>
  <c r="R68" i="22"/>
  <c r="Q68" i="22"/>
  <c r="R55" i="22"/>
  <c r="Q55" i="22"/>
  <c r="Q172" i="22"/>
  <c r="R172" i="22"/>
  <c r="R212" i="22"/>
  <c r="Q212" i="22"/>
  <c r="Q13" i="22"/>
  <c r="R13" i="22"/>
  <c r="R47" i="22"/>
  <c r="Q47" i="22"/>
  <c r="Q61" i="22"/>
  <c r="Q241" i="22"/>
  <c r="R241" i="22"/>
  <c r="R210" i="22"/>
  <c r="Q210" i="22"/>
  <c r="Q21" i="22"/>
  <c r="R21" i="22"/>
  <c r="Q90" i="22"/>
  <c r="R90" i="22"/>
  <c r="R111" i="22"/>
  <c r="Q111" i="22"/>
  <c r="Q190" i="22"/>
  <c r="R190" i="22"/>
  <c r="R42" i="22"/>
  <c r="Q42" i="22"/>
  <c r="R136" i="22"/>
  <c r="Q136" i="22"/>
  <c r="Q168" i="22"/>
  <c r="R43" i="22"/>
  <c r="Q43" i="22"/>
  <c r="Q127" i="22"/>
  <c r="R127" i="22"/>
  <c r="Q215" i="22"/>
  <c r="R215" i="22"/>
  <c r="Q37" i="22"/>
  <c r="R37" i="22"/>
  <c r="Q236" i="22"/>
  <c r="R236" i="22"/>
  <c r="Q59" i="22"/>
  <c r="R59" i="22"/>
  <c r="R222" i="22"/>
  <c r="Q222" i="22"/>
  <c r="R52" i="22"/>
  <c r="Q52" i="22"/>
  <c r="R87" i="22"/>
  <c r="Q87" i="22"/>
  <c r="R185" i="22"/>
  <c r="Q185" i="22"/>
  <c r="R245" i="22"/>
  <c r="Q245" i="22"/>
  <c r="R223" i="22"/>
  <c r="Q223" i="22"/>
  <c r="R73" i="22"/>
  <c r="Q73" i="22"/>
  <c r="Q15" i="22"/>
  <c r="R15" i="22"/>
  <c r="Q56" i="22"/>
  <c r="R56" i="22"/>
  <c r="Q105" i="22"/>
  <c r="Q143" i="22"/>
  <c r="R143" i="22"/>
  <c r="Q150" i="22"/>
  <c r="R150" i="22"/>
  <c r="Q141" i="22"/>
  <c r="R141" i="22"/>
  <c r="R116" i="22"/>
  <c r="Q116" i="22"/>
  <c r="Q76" i="22"/>
  <c r="R76" i="22"/>
  <c r="R197" i="22"/>
  <c r="Q197" i="22"/>
  <c r="Q124" i="22"/>
  <c r="R124" i="22"/>
  <c r="R84" i="22"/>
  <c r="Q84" i="22"/>
  <c r="R96" i="22"/>
  <c r="Q96" i="22"/>
  <c r="R199" i="22"/>
  <c r="Q199" i="22"/>
  <c r="Q39" i="22"/>
  <c r="R39" i="22"/>
  <c r="R193" i="22"/>
  <c r="Q193" i="22"/>
  <c r="R186" i="22"/>
  <c r="Q186" i="22"/>
  <c r="Q94" i="22"/>
  <c r="R94" i="22"/>
  <c r="R109" i="22"/>
  <c r="Q109" i="22"/>
  <c r="R224" i="22"/>
  <c r="Q224" i="22"/>
  <c r="R67" i="22"/>
  <c r="Q67" i="22"/>
  <c r="Q135" i="22"/>
  <c r="R135" i="22"/>
  <c r="Q147" i="22"/>
  <c r="R147" i="22"/>
  <c r="Q22" i="22"/>
  <c r="R22" i="22"/>
  <c r="R114" i="22"/>
  <c r="Q114" i="22"/>
  <c r="R48" i="22"/>
  <c r="Q48" i="22"/>
  <c r="R97" i="22"/>
  <c r="Q97" i="22"/>
  <c r="Q201" i="22"/>
  <c r="R201" i="22"/>
  <c r="S129" i="22"/>
  <c r="J129" i="22"/>
  <c r="K129" i="22"/>
  <c r="S12" i="22"/>
  <c r="J12" i="22"/>
  <c r="K12" i="22"/>
  <c r="Q115" i="22"/>
  <c r="R115" i="22"/>
  <c r="R202" i="22"/>
  <c r="Q202" i="22"/>
  <c r="Q238" i="22"/>
  <c r="R238" i="22"/>
  <c r="Q167" i="22"/>
  <c r="R167" i="22"/>
  <c r="R166" i="22"/>
  <c r="Q166" i="22"/>
  <c r="Q64" i="22"/>
  <c r="R64" i="22"/>
  <c r="R227" i="22"/>
  <c r="Q227" i="22"/>
  <c r="Q214" i="22"/>
  <c r="R118" i="22"/>
  <c r="Q118" i="22"/>
  <c r="R138" i="22"/>
  <c r="Q138" i="22"/>
  <c r="Q11" i="22"/>
  <c r="R11" i="22"/>
  <c r="Q220" i="22"/>
  <c r="R220" i="22"/>
  <c r="R182" i="22"/>
  <c r="Q182" i="22"/>
  <c r="R24" i="22"/>
  <c r="Q24" i="22"/>
  <c r="R205" i="22"/>
  <c r="Q205" i="22"/>
  <c r="Q211" i="22"/>
  <c r="R211" i="22"/>
  <c r="Q89" i="22"/>
  <c r="R89" i="22"/>
  <c r="Q33" i="22"/>
  <c r="R33" i="22"/>
  <c r="R221" i="22"/>
  <c r="Q221" i="22"/>
  <c r="Q32" i="22"/>
  <c r="R32" i="22"/>
  <c r="R85" i="22"/>
  <c r="Q85" i="22"/>
  <c r="R175" i="22"/>
  <c r="Q175" i="22"/>
  <c r="Q134" i="22"/>
  <c r="R134" i="22"/>
  <c r="Q44" i="22"/>
  <c r="R44" i="22"/>
  <c r="Q117" i="22"/>
  <c r="R117" i="22"/>
  <c r="R232" i="22"/>
  <c r="Q232" i="22"/>
  <c r="Q200" i="22"/>
  <c r="R200" i="22"/>
  <c r="Q75" i="22"/>
  <c r="R75" i="22"/>
  <c r="Q25" i="22"/>
  <c r="Q60" i="22"/>
  <c r="R60" i="22"/>
  <c r="Q19" i="22"/>
  <c r="R19" i="22"/>
  <c r="Q77" i="22"/>
  <c r="R77" i="22"/>
  <c r="R156" i="22"/>
  <c r="Q156" i="22"/>
  <c r="R149" i="22"/>
  <c r="Q149" i="22"/>
  <c r="Q95" i="22"/>
  <c r="R95" i="22"/>
  <c r="R91" i="22"/>
  <c r="Q91" i="22"/>
  <c r="R123" i="22"/>
  <c r="Q123" i="22"/>
  <c r="R103" i="22"/>
  <c r="Q103" i="22"/>
  <c r="Q17" i="22"/>
  <c r="R17" i="22"/>
  <c r="Q131" i="22"/>
  <c r="R131" i="22"/>
  <c r="R203" i="22"/>
  <c r="Q203" i="22"/>
  <c r="R145" i="22"/>
  <c r="Q145" i="22"/>
  <c r="R132" i="22"/>
  <c r="Q132" i="22"/>
  <c r="Q26" i="22"/>
  <c r="R26" i="22"/>
  <c r="R225" i="22"/>
  <c r="Q225" i="22"/>
  <c r="Q207" i="22"/>
  <c r="R207" i="22"/>
  <c r="J160" i="22"/>
  <c r="K160" i="22"/>
  <c r="S160" i="22"/>
  <c r="R161" i="22"/>
  <c r="Q161" i="22"/>
  <c r="Q146" i="22"/>
  <c r="R146" i="22"/>
  <c r="R8" i="22"/>
  <c r="Q8" i="22"/>
  <c r="Q177" i="22"/>
  <c r="R177" i="22"/>
  <c r="Q154" i="22"/>
  <c r="R154" i="22"/>
  <c r="Q152" i="22"/>
  <c r="R152" i="22"/>
  <c r="R54" i="22"/>
  <c r="Q54" i="22"/>
  <c r="Q128" i="22"/>
  <c r="R128" i="22"/>
  <c r="Q178" i="22"/>
  <c r="R178" i="22"/>
  <c r="Q107" i="22"/>
  <c r="R107" i="22"/>
  <c r="J18" i="22"/>
  <c r="K18" i="22"/>
  <c r="S18" i="22"/>
  <c r="Q104" i="22"/>
  <c r="R104" i="22"/>
  <c r="Q140" i="22"/>
  <c r="R140" i="22"/>
  <c r="Q153" i="22"/>
  <c r="R153" i="22"/>
  <c r="R28" i="22"/>
  <c r="Q28" i="22"/>
  <c r="R23" i="22"/>
  <c r="Q23" i="22"/>
  <c r="R41" i="22"/>
  <c r="Q41" i="22"/>
  <c r="Q213" i="22"/>
  <c r="R213" i="22"/>
  <c r="R108" i="22"/>
  <c r="Q108" i="22"/>
  <c r="Q219" i="22"/>
  <c r="R219" i="22"/>
  <c r="Q79" i="22"/>
  <c r="R79" i="22"/>
  <c r="Q53" i="22"/>
  <c r="R53" i="22"/>
  <c r="Q164" i="22"/>
  <c r="R164" i="22"/>
  <c r="Q157" i="22"/>
  <c r="R157" i="22"/>
  <c r="Q195" i="22"/>
  <c r="R195" i="22"/>
  <c r="Q71" i="22"/>
  <c r="R71" i="22"/>
  <c r="R158" i="22"/>
  <c r="Q158" i="22"/>
  <c r="Q72" i="22"/>
  <c r="R72" i="22"/>
  <c r="Q121" i="22"/>
  <c r="R121" i="22"/>
  <c r="Q63" i="22"/>
  <c r="R63" i="22"/>
  <c r="Q69" i="22"/>
  <c r="R69" i="22"/>
  <c r="Q80" i="22"/>
  <c r="R80" i="22"/>
  <c r="Q110" i="22"/>
  <c r="R110" i="22"/>
  <c r="Q126" i="22"/>
  <c r="R126" i="22"/>
  <c r="Q231" i="22"/>
  <c r="R231" i="22"/>
  <c r="Q6" i="22"/>
  <c r="R98" i="22"/>
  <c r="Q98" i="22"/>
  <c r="Q78" i="22"/>
  <c r="R78" i="22"/>
  <c r="R176" i="22"/>
  <c r="Q176" i="22"/>
  <c r="R144" i="22"/>
  <c r="Q144" i="22"/>
  <c r="Q183" i="22"/>
  <c r="R183" i="22"/>
  <c r="R92" i="22"/>
  <c r="Q92" i="22"/>
  <c r="Q125" i="22"/>
  <c r="R125" i="22"/>
  <c r="Q196" i="22"/>
  <c r="R196" i="22"/>
  <c r="R155" i="22"/>
  <c r="Q155" i="22"/>
  <c r="Q49" i="22"/>
  <c r="R49" i="22"/>
  <c r="R101" i="22"/>
  <c r="Q101" i="22"/>
  <c r="R194" i="22"/>
  <c r="Q194" i="22"/>
  <c r="Q171" i="22"/>
  <c r="R171" i="22"/>
  <c r="Q50" i="22"/>
  <c r="R50" i="22"/>
  <c r="R233" i="22"/>
  <c r="Q233" i="22"/>
  <c r="R246" i="22"/>
  <c r="Q246" i="22"/>
  <c r="Q179" i="22"/>
  <c r="R179" i="22"/>
  <c r="R174" i="22"/>
  <c r="Q174" i="22"/>
  <c r="R31" i="22"/>
  <c r="Q31" i="22"/>
  <c r="R170" i="22"/>
  <c r="Q170" i="22"/>
  <c r="Q181" i="22"/>
  <c r="R181" i="22"/>
  <c r="R45" i="22"/>
  <c r="Q45" i="22"/>
  <c r="Q188" i="22"/>
  <c r="R188" i="22"/>
  <c r="Q189" i="22"/>
  <c r="R189" i="22"/>
  <c r="R16" i="22"/>
  <c r="Q16" i="22"/>
  <c r="Q133" i="22"/>
  <c r="R133" i="22"/>
  <c r="R70" i="22"/>
  <c r="Q70" i="22"/>
  <c r="Q137" i="22"/>
  <c r="R137" i="22"/>
  <c r="Q206" i="22"/>
  <c r="R206" i="22"/>
  <c r="R51" i="22"/>
  <c r="Q51" i="22"/>
  <c r="R169" i="22"/>
  <c r="Q169" i="22"/>
  <c r="Q7" i="22"/>
  <c r="R7" i="22"/>
  <c r="Q106" i="22"/>
  <c r="R86" i="22"/>
  <c r="Q86" i="22"/>
  <c r="Q184" i="22"/>
  <c r="R184" i="22"/>
  <c r="R234" i="22"/>
  <c r="Q234" i="22"/>
  <c r="R20" i="22"/>
  <c r="Q20" i="22"/>
  <c r="R191" i="22"/>
  <c r="Q191" i="22"/>
  <c r="R230" i="22"/>
  <c r="Q230" i="22"/>
  <c r="Q162" i="22"/>
  <c r="R162" i="22"/>
  <c r="J30" i="22"/>
  <c r="K30" i="22"/>
  <c r="S30" i="22"/>
  <c r="S191" i="22"/>
  <c r="J191" i="22"/>
  <c r="K191" i="22"/>
  <c r="J234" i="22"/>
  <c r="K234" i="22"/>
  <c r="S234" i="22"/>
  <c r="S86" i="22"/>
  <c r="J86" i="22"/>
  <c r="K86" i="22"/>
  <c r="S51" i="22"/>
  <c r="J51" i="22"/>
  <c r="K51" i="22"/>
  <c r="J70" i="22"/>
  <c r="K70" i="22"/>
  <c r="S70" i="22"/>
  <c r="J16" i="22"/>
  <c r="K16" i="22"/>
  <c r="S16" i="22"/>
  <c r="S31" i="22"/>
  <c r="J31" i="22"/>
  <c r="K31" i="22"/>
  <c r="S233" i="22"/>
  <c r="J233" i="22"/>
  <c r="K233" i="22"/>
  <c r="S101" i="22"/>
  <c r="J101" i="22"/>
  <c r="K101" i="22"/>
  <c r="J155" i="22"/>
  <c r="K155" i="22"/>
  <c r="S155" i="22"/>
  <c r="S176" i="22"/>
  <c r="J176" i="22"/>
  <c r="K176" i="22"/>
  <c r="J98" i="22"/>
  <c r="K98" i="22"/>
  <c r="S98" i="22"/>
  <c r="J69" i="22"/>
  <c r="K69" i="22"/>
  <c r="S69" i="22"/>
  <c r="S72" i="22"/>
  <c r="J72" i="22"/>
  <c r="K72" i="22"/>
  <c r="S71" i="22"/>
  <c r="J71" i="22"/>
  <c r="K71" i="22"/>
  <c r="J157" i="22"/>
  <c r="K157" i="22"/>
  <c r="S157" i="22"/>
  <c r="S53" i="22"/>
  <c r="J53" i="22"/>
  <c r="K53" i="22"/>
  <c r="J219" i="22"/>
  <c r="K219" i="22"/>
  <c r="S219" i="22"/>
  <c r="S213" i="22"/>
  <c r="J213" i="22"/>
  <c r="K213" i="22"/>
  <c r="J140" i="22"/>
  <c r="K140" i="22"/>
  <c r="S140" i="22"/>
  <c r="S225" i="22"/>
  <c r="J225" i="22"/>
  <c r="K225" i="22"/>
  <c r="J132" i="22"/>
  <c r="K132" i="22"/>
  <c r="S132" i="22"/>
  <c r="J203" i="22"/>
  <c r="K203" i="22"/>
  <c r="S203" i="22"/>
  <c r="J123" i="22"/>
  <c r="K123" i="22"/>
  <c r="S123" i="22"/>
  <c r="J156" i="22"/>
  <c r="K156" i="22"/>
  <c r="S156" i="22"/>
  <c r="S85" i="22"/>
  <c r="J85" i="22"/>
  <c r="K85" i="22"/>
  <c r="S221" i="22"/>
  <c r="J221" i="22"/>
  <c r="K221" i="22"/>
  <c r="J205" i="22"/>
  <c r="K205" i="22"/>
  <c r="S205" i="22"/>
  <c r="J11" i="22"/>
  <c r="K11" i="22"/>
  <c r="S11" i="22"/>
  <c r="S227" i="22"/>
  <c r="J227" i="22"/>
  <c r="K227" i="22"/>
  <c r="S166" i="22"/>
  <c r="J166" i="22"/>
  <c r="K166" i="22"/>
  <c r="J147" i="22"/>
  <c r="K147" i="22"/>
  <c r="S147" i="22"/>
  <c r="J94" i="22"/>
  <c r="K94" i="22"/>
  <c r="S94" i="22"/>
  <c r="S150" i="22"/>
  <c r="J150" i="22"/>
  <c r="K150" i="22"/>
  <c r="J105" i="22"/>
  <c r="K105" i="22"/>
  <c r="S105" i="22"/>
  <c r="J15" i="22"/>
  <c r="K15" i="22"/>
  <c r="S15" i="22"/>
  <c r="S59" i="22"/>
  <c r="J59" i="22"/>
  <c r="K59" i="22"/>
  <c r="S37" i="22"/>
  <c r="J37" i="22"/>
  <c r="K37" i="22"/>
  <c r="S127" i="22"/>
  <c r="J127" i="22"/>
  <c r="K127" i="22"/>
  <c r="J168" i="22"/>
  <c r="K168" i="22"/>
  <c r="S168" i="22"/>
  <c r="S21" i="22"/>
  <c r="J21" i="22"/>
  <c r="K21" i="22"/>
  <c r="J241" i="22"/>
  <c r="K241" i="22"/>
  <c r="S241" i="22"/>
  <c r="J46" i="22"/>
  <c r="K46" i="22"/>
  <c r="S46" i="22"/>
  <c r="J36" i="22"/>
  <c r="K36" i="22"/>
  <c r="S36" i="22"/>
  <c r="J240" i="22"/>
  <c r="K240" i="22"/>
  <c r="S240" i="22"/>
  <c r="S14" i="22"/>
  <c r="J14" i="22"/>
  <c r="K14" i="22"/>
  <c r="S237" i="22"/>
  <c r="J237" i="22"/>
  <c r="K237" i="22"/>
  <c r="J120" i="22"/>
  <c r="K120" i="22"/>
  <c r="S120" i="22"/>
  <c r="J142" i="22"/>
  <c r="K142" i="22"/>
  <c r="S142" i="22"/>
  <c r="S74" i="22"/>
  <c r="J74" i="22"/>
  <c r="K74" i="22"/>
  <c r="S235" i="22"/>
  <c r="J235" i="22"/>
  <c r="K235" i="22"/>
  <c r="J239" i="22"/>
  <c r="K239" i="22"/>
  <c r="S239" i="22"/>
  <c r="J130" i="22"/>
  <c r="K130" i="22"/>
  <c r="S130" i="22"/>
  <c r="S204" i="22"/>
  <c r="J204" i="22"/>
  <c r="K204" i="22"/>
  <c r="S242" i="22"/>
  <c r="J242" i="22"/>
  <c r="K242" i="22"/>
  <c r="S10" i="22"/>
  <c r="J10" i="22"/>
  <c r="K10" i="22"/>
  <c r="J226" i="22"/>
  <c r="K226" i="22"/>
  <c r="S226" i="22"/>
  <c r="J81" i="22"/>
  <c r="K81" i="22"/>
  <c r="S81" i="22"/>
  <c r="S122" i="22"/>
  <c r="J122" i="22"/>
  <c r="K122" i="22"/>
  <c r="S83" i="22"/>
  <c r="J83" i="22"/>
  <c r="K83" i="22"/>
  <c r="S99" i="22"/>
  <c r="J99" i="22"/>
  <c r="K99" i="22"/>
  <c r="S102" i="22"/>
  <c r="J102" i="22"/>
  <c r="K102" i="22"/>
  <c r="S58" i="22"/>
  <c r="J58" i="22"/>
  <c r="K58" i="22"/>
  <c r="J184" i="22"/>
  <c r="K184" i="22"/>
  <c r="S184" i="22"/>
  <c r="S106" i="22"/>
  <c r="J106" i="22"/>
  <c r="K106" i="22"/>
  <c r="J137" i="22"/>
  <c r="K137" i="22"/>
  <c r="S137" i="22"/>
  <c r="J133" i="22"/>
  <c r="K133" i="22"/>
  <c r="S133" i="22"/>
  <c r="S189" i="22"/>
  <c r="J189" i="22"/>
  <c r="K189" i="22"/>
  <c r="J50" i="22"/>
  <c r="K50" i="22"/>
  <c r="S50" i="22"/>
  <c r="J49" i="22"/>
  <c r="K49" i="22"/>
  <c r="S49" i="22"/>
  <c r="S196" i="22"/>
  <c r="J196" i="22"/>
  <c r="K196" i="22"/>
  <c r="J78" i="22"/>
  <c r="K78" i="22"/>
  <c r="S78" i="22"/>
  <c r="J126" i="22"/>
  <c r="K126" i="22"/>
  <c r="S126" i="22"/>
  <c r="J23" i="22"/>
  <c r="K23" i="22"/>
  <c r="S23" i="22"/>
  <c r="J28" i="22"/>
  <c r="K28" i="22"/>
  <c r="S28" i="22"/>
  <c r="S178" i="22"/>
  <c r="J178" i="22"/>
  <c r="K178" i="22"/>
  <c r="S154" i="22"/>
  <c r="J154" i="22"/>
  <c r="K154" i="22"/>
  <c r="J207" i="22"/>
  <c r="K207" i="22"/>
  <c r="S207" i="22"/>
  <c r="S26" i="22"/>
  <c r="J26" i="22"/>
  <c r="K26" i="22"/>
  <c r="J131" i="22"/>
  <c r="K131" i="22"/>
  <c r="S131" i="22"/>
  <c r="S77" i="22"/>
  <c r="J77" i="22"/>
  <c r="K77" i="22"/>
  <c r="J60" i="22"/>
  <c r="K60" i="22"/>
  <c r="S60" i="22"/>
  <c r="S75" i="22"/>
  <c r="J75" i="22"/>
  <c r="K75" i="22"/>
  <c r="J44" i="22"/>
  <c r="K44" i="22"/>
  <c r="S44" i="22"/>
  <c r="S32" i="22"/>
  <c r="J32" i="22"/>
  <c r="K32" i="22"/>
  <c r="S33" i="22"/>
  <c r="J33" i="22"/>
  <c r="K33" i="22"/>
  <c r="S211" i="22"/>
  <c r="J211" i="22"/>
  <c r="K211" i="22"/>
  <c r="S182" i="22"/>
  <c r="J182" i="22"/>
  <c r="K182" i="22"/>
  <c r="S118" i="22"/>
  <c r="J118" i="22"/>
  <c r="K118" i="22"/>
  <c r="J214" i="22"/>
  <c r="K214" i="22"/>
  <c r="S214" i="22"/>
  <c r="J64" i="22"/>
  <c r="K64" i="22"/>
  <c r="S64" i="22"/>
  <c r="J167" i="22"/>
  <c r="K167" i="22"/>
  <c r="S167" i="22"/>
  <c r="J97" i="22"/>
  <c r="K97" i="22"/>
  <c r="S97" i="22"/>
  <c r="S114" i="22"/>
  <c r="J114" i="22"/>
  <c r="K114" i="22"/>
  <c r="S67" i="22"/>
  <c r="J67" i="22"/>
  <c r="K67" i="22"/>
  <c r="S109" i="22"/>
  <c r="J109" i="22"/>
  <c r="K109" i="22"/>
  <c r="J193" i="22"/>
  <c r="K193" i="22"/>
  <c r="S193" i="22"/>
  <c r="S199" i="22"/>
  <c r="J199" i="22"/>
  <c r="K199" i="22"/>
  <c r="J84" i="22"/>
  <c r="K84" i="22"/>
  <c r="S84" i="22"/>
  <c r="S197" i="22"/>
  <c r="J197" i="22"/>
  <c r="K197" i="22"/>
  <c r="S116" i="22"/>
  <c r="J116" i="22"/>
  <c r="K116" i="22"/>
  <c r="J223" i="22"/>
  <c r="K223" i="22"/>
  <c r="S223" i="22"/>
  <c r="S185" i="22"/>
  <c r="J185" i="22"/>
  <c r="K185" i="22"/>
  <c r="S52" i="22"/>
  <c r="J52" i="22"/>
  <c r="K52" i="22"/>
  <c r="S42" i="22"/>
  <c r="J42" i="22"/>
  <c r="K42" i="22"/>
  <c r="S111" i="22"/>
  <c r="J111" i="22"/>
  <c r="K111" i="22"/>
  <c r="S47" i="22"/>
  <c r="J47" i="22"/>
  <c r="K47" i="22"/>
  <c r="S212" i="22"/>
  <c r="J212" i="22"/>
  <c r="K212" i="22"/>
  <c r="J55" i="22"/>
  <c r="K55" i="22"/>
  <c r="S55" i="22"/>
  <c r="S82" i="22"/>
  <c r="J82" i="22"/>
  <c r="K82" i="22"/>
  <c r="J57" i="22"/>
  <c r="K57" i="22"/>
  <c r="S57" i="22"/>
  <c r="S113" i="22"/>
  <c r="J113" i="22"/>
  <c r="K113" i="22"/>
  <c r="S9" i="22"/>
  <c r="J9" i="22"/>
  <c r="K9" i="22"/>
  <c r="S159" i="22"/>
  <c r="J159" i="22"/>
  <c r="K159" i="22"/>
  <c r="J165" i="22"/>
  <c r="K165" i="22"/>
  <c r="S165" i="22"/>
  <c r="S29" i="22"/>
  <c r="J29" i="22"/>
  <c r="K29" i="22"/>
  <c r="S230" i="22"/>
  <c r="J230" i="22"/>
  <c r="K230" i="22"/>
  <c r="S20" i="22"/>
  <c r="J20" i="22"/>
  <c r="K20" i="22"/>
  <c r="S169" i="22"/>
  <c r="J169" i="22"/>
  <c r="K169" i="22"/>
  <c r="J45" i="22"/>
  <c r="K45" i="22"/>
  <c r="S45" i="22"/>
  <c r="S170" i="22"/>
  <c r="J170" i="22"/>
  <c r="K170" i="22"/>
  <c r="J174" i="22"/>
  <c r="K174" i="22"/>
  <c r="S174" i="22"/>
  <c r="S246" i="22"/>
  <c r="J246" i="22"/>
  <c r="K246" i="22"/>
  <c r="J194" i="22"/>
  <c r="K194" i="22"/>
  <c r="S194" i="22"/>
  <c r="S92" i="22"/>
  <c r="J92" i="22"/>
  <c r="K92" i="22"/>
  <c r="J144" i="22"/>
  <c r="K144" i="22"/>
  <c r="S144" i="22"/>
  <c r="S6" i="22"/>
  <c r="J6" i="22"/>
  <c r="K6" i="22"/>
  <c r="S80" i="22"/>
  <c r="J80" i="22"/>
  <c r="K80" i="22"/>
  <c r="J63" i="22"/>
  <c r="K63" i="22"/>
  <c r="S63" i="22"/>
  <c r="S121" i="22"/>
  <c r="J121" i="22"/>
  <c r="K121" i="22"/>
  <c r="J195" i="22"/>
  <c r="K195" i="22"/>
  <c r="S195" i="22"/>
  <c r="J164" i="22"/>
  <c r="K164" i="22"/>
  <c r="S164" i="22"/>
  <c r="J79" i="22"/>
  <c r="K79" i="22"/>
  <c r="S79" i="22"/>
  <c r="J153" i="22"/>
  <c r="K153" i="22"/>
  <c r="S153" i="22"/>
  <c r="S104" i="22"/>
  <c r="J104" i="22"/>
  <c r="K104" i="22"/>
  <c r="J54" i="22"/>
  <c r="K54" i="22"/>
  <c r="S54" i="22"/>
  <c r="J8" i="22"/>
  <c r="K8" i="22"/>
  <c r="S8" i="22"/>
  <c r="J161" i="22"/>
  <c r="K161" i="22"/>
  <c r="S161" i="22"/>
  <c r="S145" i="22"/>
  <c r="J145" i="22"/>
  <c r="K145" i="22"/>
  <c r="S103" i="22"/>
  <c r="J103" i="22"/>
  <c r="K103" i="22"/>
  <c r="S91" i="22"/>
  <c r="J91" i="22"/>
  <c r="K91" i="22"/>
  <c r="S149" i="22"/>
  <c r="J149" i="22"/>
  <c r="K149" i="22"/>
  <c r="S232" i="22"/>
  <c r="J232" i="22"/>
  <c r="K232" i="22"/>
  <c r="S175" i="22"/>
  <c r="J175" i="22"/>
  <c r="K175" i="22"/>
  <c r="J24" i="22"/>
  <c r="K24" i="22"/>
  <c r="S24" i="22"/>
  <c r="J220" i="22"/>
  <c r="K220" i="22"/>
  <c r="S220" i="22"/>
  <c r="S202" i="22"/>
  <c r="J202" i="22"/>
  <c r="K202" i="22"/>
  <c r="S201" i="22"/>
  <c r="J201" i="22"/>
  <c r="K201" i="22"/>
  <c r="S22" i="22"/>
  <c r="J22" i="22"/>
  <c r="K22" i="22"/>
  <c r="S135" i="22"/>
  <c r="J135" i="22"/>
  <c r="K135" i="22"/>
  <c r="J39" i="22"/>
  <c r="K39" i="22"/>
  <c r="S39" i="22"/>
  <c r="S124" i="22"/>
  <c r="J124" i="22"/>
  <c r="K124" i="22"/>
  <c r="J76" i="22"/>
  <c r="K76" i="22"/>
  <c r="S76" i="22"/>
  <c r="S141" i="22"/>
  <c r="J141" i="22"/>
  <c r="K141" i="22"/>
  <c r="S143" i="22"/>
  <c r="J143" i="22"/>
  <c r="K143" i="22"/>
  <c r="S56" i="22"/>
  <c r="J56" i="22"/>
  <c r="K56" i="22"/>
  <c r="J236" i="22"/>
  <c r="K236" i="22"/>
  <c r="S236" i="22"/>
  <c r="J215" i="22"/>
  <c r="K215" i="22"/>
  <c r="S215" i="22"/>
  <c r="S190" i="22"/>
  <c r="J190" i="22"/>
  <c r="K190" i="22"/>
  <c r="S90" i="22"/>
  <c r="J90" i="22"/>
  <c r="K90" i="22"/>
  <c r="J13" i="22"/>
  <c r="K13" i="22"/>
  <c r="S13" i="22"/>
  <c r="S172" i="22"/>
  <c r="J172" i="22"/>
  <c r="K172" i="22"/>
  <c r="J228" i="22"/>
  <c r="K228" i="22"/>
  <c r="S228" i="22"/>
  <c r="J192" i="22"/>
  <c r="K192" i="22"/>
  <c r="S192" i="22"/>
  <c r="J244" i="22"/>
  <c r="K244" i="22"/>
  <c r="S244" i="22"/>
  <c r="S38" i="22"/>
  <c r="J38" i="22"/>
  <c r="K38" i="22"/>
  <c r="S217" i="22"/>
  <c r="J217" i="22"/>
  <c r="K217" i="22"/>
  <c r="J119" i="22"/>
  <c r="K119" i="22"/>
  <c r="S119" i="22"/>
  <c r="J100" i="22"/>
  <c r="K100" i="22"/>
  <c r="S100" i="22"/>
  <c r="S35" i="22"/>
  <c r="J35" i="22"/>
  <c r="K35" i="22"/>
  <c r="J229" i="22"/>
  <c r="K229" i="22"/>
  <c r="S229" i="22"/>
  <c r="S187" i="22"/>
  <c r="J187" i="22"/>
  <c r="K187" i="22"/>
  <c r="J180" i="22"/>
  <c r="K180" i="22"/>
  <c r="S180" i="22"/>
  <c r="S139" i="22"/>
  <c r="J139" i="22"/>
  <c r="K139" i="22"/>
  <c r="J162" i="22"/>
  <c r="K162" i="22"/>
  <c r="S162" i="22"/>
  <c r="S7" i="22"/>
  <c r="J7" i="22"/>
  <c r="K7" i="22"/>
  <c r="J206" i="22"/>
  <c r="K206" i="22"/>
  <c r="S206" i="22"/>
  <c r="S188" i="22"/>
  <c r="J188" i="22"/>
  <c r="K188" i="22"/>
  <c r="J181" i="22"/>
  <c r="K181" i="22"/>
  <c r="S181" i="22"/>
  <c r="J179" i="22"/>
  <c r="K179" i="22"/>
  <c r="S179" i="22"/>
  <c r="S171" i="22"/>
  <c r="J171" i="22"/>
  <c r="K171" i="22"/>
  <c r="J125" i="22"/>
  <c r="K125" i="22"/>
  <c r="S125" i="22"/>
  <c r="J183" i="22"/>
  <c r="K183" i="22"/>
  <c r="S183" i="22"/>
  <c r="S231" i="22"/>
  <c r="J231" i="22"/>
  <c r="K231" i="22"/>
  <c r="S110" i="22"/>
  <c r="J110" i="22"/>
  <c r="K110" i="22"/>
  <c r="S158" i="22"/>
  <c r="J158" i="22"/>
  <c r="K158" i="22"/>
  <c r="J108" i="22"/>
  <c r="K108" i="22"/>
  <c r="S108" i="22"/>
  <c r="S41" i="22"/>
  <c r="J41" i="22"/>
  <c r="K41" i="22"/>
  <c r="J107" i="22"/>
  <c r="K107" i="22"/>
  <c r="S107" i="22"/>
  <c r="J128" i="22"/>
  <c r="K128" i="22"/>
  <c r="S128" i="22"/>
  <c r="S152" i="22"/>
  <c r="J152" i="22"/>
  <c r="K152" i="22"/>
  <c r="J177" i="22"/>
  <c r="K177" i="22"/>
  <c r="S177" i="22"/>
  <c r="S146" i="22"/>
  <c r="J146" i="22"/>
  <c r="K146" i="22"/>
  <c r="S17" i="22"/>
  <c r="J17" i="22"/>
  <c r="K17" i="22"/>
  <c r="S95" i="22"/>
  <c r="J95" i="22"/>
  <c r="K95" i="22"/>
  <c r="S19" i="22"/>
  <c r="J19" i="22"/>
  <c r="K19" i="22"/>
  <c r="J25" i="22"/>
  <c r="K25" i="22"/>
  <c r="S25" i="22"/>
  <c r="S200" i="22"/>
  <c r="J200" i="22"/>
  <c r="K200" i="22"/>
  <c r="J117" i="22"/>
  <c r="K117" i="22"/>
  <c r="S117" i="22"/>
  <c r="J134" i="22"/>
  <c r="K134" i="22"/>
  <c r="S134" i="22"/>
  <c r="J89" i="22"/>
  <c r="K89" i="22"/>
  <c r="S89" i="22"/>
  <c r="S138" i="22"/>
  <c r="J138" i="22"/>
  <c r="K138" i="22"/>
  <c r="S238" i="22"/>
  <c r="J238" i="22"/>
  <c r="K238" i="22"/>
  <c r="S115" i="22"/>
  <c r="J115" i="22"/>
  <c r="K115" i="22"/>
  <c r="S48" i="22"/>
  <c r="J48" i="22"/>
  <c r="K48" i="22"/>
  <c r="J224" i="22"/>
  <c r="K224" i="22"/>
  <c r="S224" i="22"/>
  <c r="S186" i="22"/>
  <c r="J186" i="22"/>
  <c r="K186" i="22"/>
  <c r="J96" i="22"/>
  <c r="K96" i="22"/>
  <c r="S96" i="22"/>
  <c r="J73" i="22"/>
  <c r="K73" i="22"/>
  <c r="S73" i="22"/>
  <c r="S245" i="22"/>
  <c r="J245" i="22"/>
  <c r="K245" i="22"/>
  <c r="S87" i="22"/>
  <c r="J87" i="22"/>
  <c r="K87" i="22"/>
  <c r="S222" i="22"/>
  <c r="J222" i="22"/>
  <c r="K222" i="22"/>
  <c r="S43" i="22"/>
  <c r="J43" i="22"/>
  <c r="K43" i="22"/>
  <c r="J136" i="22"/>
  <c r="K136" i="22"/>
  <c r="S136" i="22"/>
  <c r="S210" i="22"/>
  <c r="J210" i="22"/>
  <c r="K210" i="22"/>
  <c r="S61" i="22"/>
  <c r="J61" i="22"/>
  <c r="K61" i="22"/>
  <c r="J68" i="22"/>
  <c r="K68" i="22"/>
  <c r="S68" i="22"/>
  <c r="S62" i="22"/>
  <c r="J62" i="22"/>
  <c r="K62" i="22"/>
  <c r="J40" i="22"/>
  <c r="K40" i="22"/>
  <c r="S40" i="22"/>
  <c r="J65" i="22"/>
  <c r="K65" i="22"/>
  <c r="S65" i="22"/>
  <c r="J216" i="22"/>
  <c r="K216" i="22"/>
  <c r="S216" i="22"/>
  <c r="J88" i="22"/>
  <c r="K88" i="22"/>
  <c r="S88" i="22"/>
  <c r="S34" i="22"/>
  <c r="J34" i="22"/>
  <c r="K34" i="22"/>
  <c r="J148" i="22"/>
  <c r="K148" i="22"/>
  <c r="S148" i="22"/>
  <c r="S66" i="22"/>
  <c r="J66" i="22"/>
  <c r="K66" i="22"/>
  <c r="S151" i="22"/>
  <c r="J151" i="22"/>
  <c r="K151" i="22"/>
  <c r="S243" i="22"/>
  <c r="J243" i="22"/>
  <c r="K243" i="22"/>
  <c r="S209" i="22"/>
  <c r="J209" i="22"/>
  <c r="K209" i="22"/>
  <c r="S218" i="22"/>
  <c r="J218" i="22"/>
  <c r="K218" i="22"/>
  <c r="S112" i="22"/>
  <c r="J112" i="22"/>
  <c r="K112" i="22"/>
  <c r="S163" i="22"/>
  <c r="J163" i="22"/>
  <c r="K163" i="22"/>
  <c r="S27" i="22"/>
  <c r="J27" i="22"/>
  <c r="K27" i="22"/>
  <c r="S93" i="22"/>
  <c r="J93" i="22"/>
  <c r="K93" i="22"/>
  <c r="J173" i="22"/>
  <c r="K173" i="22"/>
  <c r="S173" i="22"/>
  <c r="K4" i="22"/>
  <c r="K5" i="22"/>
  <c r="S25" i="21"/>
  <c r="U24" i="21"/>
  <c r="X24" i="21"/>
  <c r="Y25" i="21"/>
  <c r="Y24" i="21"/>
  <c r="AA19" i="21"/>
  <c r="AA22" i="21"/>
  <c r="AD199" i="21"/>
  <c r="AF199" i="21"/>
  <c r="AD73" i="21"/>
  <c r="AF73" i="21"/>
  <c r="AD96" i="21"/>
  <c r="AF96" i="21"/>
  <c r="AD233" i="21"/>
  <c r="AF233" i="21"/>
  <c r="AA23" i="21"/>
  <c r="I246" i="4" l="1"/>
  <c r="I28" i="4"/>
  <c r="I233" i="4"/>
  <c r="I36" i="4"/>
  <c r="I203" i="4"/>
  <c r="O203" i="18"/>
  <c r="O135" i="18"/>
  <c r="O127" i="18"/>
  <c r="O62" i="18"/>
  <c r="O223" i="18"/>
  <c r="P223" i="18" s="1"/>
  <c r="O235" i="18"/>
  <c r="O139" i="18"/>
  <c r="O74" i="18"/>
  <c r="O191" i="18"/>
  <c r="P191" i="18" s="1"/>
  <c r="O123" i="18"/>
  <c r="O108" i="18"/>
  <c r="O46" i="18"/>
  <c r="P46" i="18" s="1"/>
  <c r="O107" i="18"/>
  <c r="Q107" i="18" s="1"/>
  <c r="R107" i="18" s="1"/>
  <c r="S107" i="18" s="1"/>
  <c r="O42" i="18"/>
  <c r="O27" i="18"/>
  <c r="O171" i="18"/>
  <c r="O103" i="18"/>
  <c r="N23" i="18"/>
  <c r="N22" i="18" s="1"/>
  <c r="O267" i="18"/>
  <c r="O159" i="18"/>
  <c r="O94" i="18"/>
  <c r="O255" i="18"/>
  <c r="P255" i="18" s="1"/>
  <c r="O155" i="18"/>
  <c r="O90" i="18"/>
  <c r="O63" i="18"/>
  <c r="T5" i="18"/>
  <c r="P26" i="18"/>
  <c r="Q26" i="18"/>
  <c r="R26" i="18" s="1"/>
  <c r="O239" i="18"/>
  <c r="P239" i="18" s="1"/>
  <c r="O207" i="18"/>
  <c r="P207" i="18" s="1"/>
  <c r="O175" i="18"/>
  <c r="O143" i="18"/>
  <c r="O111" i="18"/>
  <c r="P111" i="18" s="1"/>
  <c r="O78" i="18"/>
  <c r="O50" i="18"/>
  <c r="P50" i="18" s="1"/>
  <c r="G26" i="18"/>
  <c r="O263" i="18"/>
  <c r="P263" i="18" s="1"/>
  <c r="O231" i="18"/>
  <c r="P231" i="18" s="1"/>
  <c r="O199" i="18"/>
  <c r="P199" i="18" s="1"/>
  <c r="O196" i="18"/>
  <c r="O167" i="18"/>
  <c r="P167" i="18" s="1"/>
  <c r="O70" i="18"/>
  <c r="O259" i="18"/>
  <c r="O227" i="18"/>
  <c r="P227" i="18" s="1"/>
  <c r="O195" i="18"/>
  <c r="P195" i="18" s="1"/>
  <c r="O163" i="18"/>
  <c r="P163" i="18" s="1"/>
  <c r="O131" i="18"/>
  <c r="O99" i="18"/>
  <c r="Q99" i="18" s="1"/>
  <c r="R99" i="18" s="1"/>
  <c r="S99" i="18" s="1"/>
  <c r="O66" i="18"/>
  <c r="P66" i="18" s="1"/>
  <c r="O38" i="18"/>
  <c r="O34" i="18"/>
  <c r="J26" i="18"/>
  <c r="O251" i="18"/>
  <c r="Q251" i="18" s="1"/>
  <c r="R251" i="18" s="1"/>
  <c r="S251" i="18" s="1"/>
  <c r="O219" i="18"/>
  <c r="J196" i="18"/>
  <c r="O247" i="18"/>
  <c r="P247" i="18" s="1"/>
  <c r="O215" i="18"/>
  <c r="P215" i="18" s="1"/>
  <c r="O183" i="18"/>
  <c r="O151" i="18"/>
  <c r="O119" i="18"/>
  <c r="P119" i="18" s="1"/>
  <c r="O86" i="18"/>
  <c r="P86" i="18" s="1"/>
  <c r="O58" i="18"/>
  <c r="O243" i="18"/>
  <c r="O211" i="18"/>
  <c r="O179" i="18"/>
  <c r="P179" i="18" s="1"/>
  <c r="O147" i="18"/>
  <c r="O115" i="18"/>
  <c r="P115" i="18" s="1"/>
  <c r="O82" i="18"/>
  <c r="P82" i="18" s="1"/>
  <c r="O54" i="18"/>
  <c r="P54" i="18" s="1"/>
  <c r="H206" i="4"/>
  <c r="I206" i="4" s="1"/>
  <c r="H47" i="4"/>
  <c r="I47" i="4" s="1"/>
  <c r="H236" i="4"/>
  <c r="H266" i="4"/>
  <c r="I266" i="4" s="1"/>
  <c r="P259" i="18"/>
  <c r="Q259" i="18"/>
  <c r="R259" i="18" s="1"/>
  <c r="J249" i="18"/>
  <c r="O249" i="18"/>
  <c r="J217" i="18"/>
  <c r="O217" i="18"/>
  <c r="M206" i="18"/>
  <c r="O206" i="18"/>
  <c r="J185" i="18"/>
  <c r="O185" i="18"/>
  <c r="M174" i="18"/>
  <c r="O174" i="18"/>
  <c r="J153" i="18"/>
  <c r="O153" i="18"/>
  <c r="M142" i="18"/>
  <c r="O142" i="18"/>
  <c r="P131" i="18"/>
  <c r="Q131" i="18"/>
  <c r="R131" i="18" s="1"/>
  <c r="S131" i="18" s="1"/>
  <c r="J121" i="18"/>
  <c r="O121" i="18"/>
  <c r="M110" i="18"/>
  <c r="O110" i="18"/>
  <c r="P99" i="18"/>
  <c r="J88" i="18"/>
  <c r="O88" i="18"/>
  <c r="J56" i="18"/>
  <c r="O56" i="18"/>
  <c r="M45" i="18"/>
  <c r="O45" i="18"/>
  <c r="P34" i="18"/>
  <c r="Q34" i="18"/>
  <c r="R34" i="18" s="1"/>
  <c r="S34" i="18" s="1"/>
  <c r="P27" i="18"/>
  <c r="P251" i="18"/>
  <c r="J241" i="18"/>
  <c r="O241" i="18"/>
  <c r="P219" i="18"/>
  <c r="Q219" i="18"/>
  <c r="R219" i="18" s="1"/>
  <c r="S219" i="18" s="1"/>
  <c r="J209" i="18"/>
  <c r="O209" i="18"/>
  <c r="M198" i="18"/>
  <c r="O198" i="18"/>
  <c r="P187" i="18"/>
  <c r="Q187" i="18"/>
  <c r="R187" i="18" s="1"/>
  <c r="J177" i="18"/>
  <c r="O177" i="18"/>
  <c r="M166" i="18"/>
  <c r="O166" i="18"/>
  <c r="P155" i="18"/>
  <c r="Q155" i="18"/>
  <c r="R155" i="18" s="1"/>
  <c r="J145" i="18"/>
  <c r="O145" i="18"/>
  <c r="M134" i="18"/>
  <c r="O134" i="18"/>
  <c r="P123" i="18"/>
  <c r="Q123" i="18"/>
  <c r="R123" i="18" s="1"/>
  <c r="S123" i="18" s="1"/>
  <c r="J113" i="18"/>
  <c r="O113" i="18"/>
  <c r="M102" i="18"/>
  <c r="O102" i="18"/>
  <c r="P90" i="18"/>
  <c r="Q90" i="18"/>
  <c r="R90" i="18" s="1"/>
  <c r="S90" i="18" s="1"/>
  <c r="J80" i="18"/>
  <c r="O80" i="18"/>
  <c r="M69" i="18"/>
  <c r="O69" i="18"/>
  <c r="Q115" i="18"/>
  <c r="R115" i="18" s="1"/>
  <c r="G268" i="18"/>
  <c r="G252" i="18"/>
  <c r="G236" i="18"/>
  <c r="G228" i="18"/>
  <c r="G220" i="18"/>
  <c r="G212" i="18"/>
  <c r="G204" i="18"/>
  <c r="G196" i="18"/>
  <c r="G188" i="18"/>
  <c r="G180" i="18"/>
  <c r="G172" i="18"/>
  <c r="G164" i="18"/>
  <c r="G156" i="18"/>
  <c r="G148" i="18"/>
  <c r="G140" i="18"/>
  <c r="G132" i="18"/>
  <c r="G124" i="18"/>
  <c r="G116" i="18"/>
  <c r="G108" i="18"/>
  <c r="G100" i="18"/>
  <c r="G91" i="18"/>
  <c r="G83" i="18"/>
  <c r="G75" i="18"/>
  <c r="G67" i="18"/>
  <c r="G59" i="18"/>
  <c r="G51" i="18"/>
  <c r="G43" i="18"/>
  <c r="G35" i="18"/>
  <c r="G27" i="18"/>
  <c r="V91" i="18"/>
  <c r="T11" i="18"/>
  <c r="T10" i="18"/>
  <c r="T4" i="18"/>
  <c r="T6" i="18"/>
  <c r="T9" i="18"/>
  <c r="T7" i="18"/>
  <c r="T8" i="18"/>
  <c r="T3" i="18"/>
  <c r="P58" i="18"/>
  <c r="Q58" i="18"/>
  <c r="R58" i="18" s="1"/>
  <c r="J48" i="18"/>
  <c r="O48" i="18"/>
  <c r="M37" i="18"/>
  <c r="O37" i="18"/>
  <c r="J265" i="18"/>
  <c r="O265" i="18"/>
  <c r="P243" i="18"/>
  <c r="Q243" i="18"/>
  <c r="R243" i="18" s="1"/>
  <c r="J233" i="18"/>
  <c r="O233" i="18"/>
  <c r="M222" i="18"/>
  <c r="O222" i="18"/>
  <c r="P211" i="18"/>
  <c r="Q211" i="18"/>
  <c r="R211" i="18" s="1"/>
  <c r="S211" i="18" s="1"/>
  <c r="J201" i="18"/>
  <c r="O201" i="18"/>
  <c r="M190" i="18"/>
  <c r="O190" i="18"/>
  <c r="J169" i="18"/>
  <c r="O169" i="18"/>
  <c r="M158" i="18"/>
  <c r="O158" i="18"/>
  <c r="P147" i="18"/>
  <c r="Q147" i="18"/>
  <c r="R147" i="18" s="1"/>
  <c r="S147" i="18" s="1"/>
  <c r="J137" i="18"/>
  <c r="O137" i="18"/>
  <c r="M126" i="18"/>
  <c r="O126" i="18"/>
  <c r="J105" i="18"/>
  <c r="O105" i="18"/>
  <c r="M93" i="18"/>
  <c r="O93" i="18"/>
  <c r="J72" i="18"/>
  <c r="O72" i="18"/>
  <c r="M29" i="18"/>
  <c r="O29" i="18"/>
  <c r="P108" i="18"/>
  <c r="Q108" i="18"/>
  <c r="R108" i="18" s="1"/>
  <c r="S108" i="18" s="1"/>
  <c r="M61" i="18"/>
  <c r="O61" i="18"/>
  <c r="J40" i="18"/>
  <c r="O40" i="18"/>
  <c r="Q50" i="18"/>
  <c r="R50" i="18" s="1"/>
  <c r="S50" i="18" s="1"/>
  <c r="P267" i="18"/>
  <c r="Q267" i="18"/>
  <c r="R267" i="18" s="1"/>
  <c r="S267" i="18" s="1"/>
  <c r="J257" i="18"/>
  <c r="O257" i="18"/>
  <c r="P235" i="18"/>
  <c r="Q235" i="18"/>
  <c r="R235" i="18" s="1"/>
  <c r="S235" i="18" s="1"/>
  <c r="J225" i="18"/>
  <c r="O225" i="18"/>
  <c r="M214" i="18"/>
  <c r="O214" i="18"/>
  <c r="P203" i="18"/>
  <c r="Q203" i="18"/>
  <c r="R203" i="18" s="1"/>
  <c r="J193" i="18"/>
  <c r="O193" i="18"/>
  <c r="P171" i="18"/>
  <c r="Q171" i="18"/>
  <c r="R171" i="18" s="1"/>
  <c r="S171" i="18" s="1"/>
  <c r="J161" i="18"/>
  <c r="O161" i="18"/>
  <c r="M150" i="18"/>
  <c r="O150" i="18"/>
  <c r="P139" i="18"/>
  <c r="Q139" i="18"/>
  <c r="R139" i="18" s="1"/>
  <c r="S139" i="18" s="1"/>
  <c r="J129" i="18"/>
  <c r="O129" i="18"/>
  <c r="P107" i="18"/>
  <c r="J96" i="18"/>
  <c r="O96" i="18"/>
  <c r="M85" i="18"/>
  <c r="O85" i="18"/>
  <c r="P74" i="18"/>
  <c r="Q74" i="18"/>
  <c r="R74" i="18" s="1"/>
  <c r="S74" i="18" s="1"/>
  <c r="J64" i="18"/>
  <c r="O64" i="18"/>
  <c r="Q27" i="18"/>
  <c r="L24" i="18"/>
  <c r="P196" i="18"/>
  <c r="Q196" i="18"/>
  <c r="R196" i="18" s="1"/>
  <c r="S196" i="18" s="1"/>
  <c r="M53" i="18"/>
  <c r="O53" i="18"/>
  <c r="P42" i="18"/>
  <c r="Q42" i="18"/>
  <c r="R42" i="18" s="1"/>
  <c r="S42" i="18" s="1"/>
  <c r="J32" i="18"/>
  <c r="O32" i="18"/>
  <c r="I24" i="18"/>
  <c r="Q163" i="18"/>
  <c r="R163" i="18" s="1"/>
  <c r="S163" i="18" s="1"/>
  <c r="G261" i="18"/>
  <c r="G253" i="18"/>
  <c r="G245" i="18"/>
  <c r="G125" i="18"/>
  <c r="G117" i="18"/>
  <c r="G109" i="18"/>
  <c r="G101" i="18"/>
  <c r="G92" i="18"/>
  <c r="G84" i="18"/>
  <c r="G76" i="18"/>
  <c r="G68" i="18"/>
  <c r="G60" i="18"/>
  <c r="G52" i="18"/>
  <c r="G44" i="18"/>
  <c r="G36" i="18"/>
  <c r="G28" i="18"/>
  <c r="O270" i="18"/>
  <c r="O262" i="18"/>
  <c r="O254" i="18"/>
  <c r="O246" i="18"/>
  <c r="O238" i="18"/>
  <c r="O230" i="18"/>
  <c r="O182" i="18"/>
  <c r="O118" i="18"/>
  <c r="O77" i="18"/>
  <c r="G267" i="18"/>
  <c r="G259" i="18"/>
  <c r="S259" i="18"/>
  <c r="G251" i="18"/>
  <c r="G243" i="18"/>
  <c r="S243" i="18"/>
  <c r="G235" i="18"/>
  <c r="G227" i="18"/>
  <c r="G219" i="18"/>
  <c r="G211" i="18"/>
  <c r="G203" i="18"/>
  <c r="S203" i="18"/>
  <c r="G195" i="18"/>
  <c r="G187" i="18"/>
  <c r="S187" i="18"/>
  <c r="G179" i="18"/>
  <c r="G171" i="18"/>
  <c r="G163" i="18"/>
  <c r="G155" i="18"/>
  <c r="S155" i="18"/>
  <c r="G147" i="18"/>
  <c r="G139" i="18"/>
  <c r="G131" i="18"/>
  <c r="G123" i="18"/>
  <c r="G115" i="18"/>
  <c r="S115" i="18"/>
  <c r="G107" i="18"/>
  <c r="G99" i="18"/>
  <c r="G82" i="18"/>
  <c r="G74" i="18"/>
  <c r="G66" i="18"/>
  <c r="S58" i="18"/>
  <c r="G50" i="18"/>
  <c r="G42" i="18"/>
  <c r="G34" i="18"/>
  <c r="O264" i="18"/>
  <c r="O256" i="18"/>
  <c r="O248" i="18"/>
  <c r="O240" i="18"/>
  <c r="O232" i="18"/>
  <c r="O224" i="18"/>
  <c r="O216" i="18"/>
  <c r="O208" i="18"/>
  <c r="O200" i="18"/>
  <c r="O192" i="18"/>
  <c r="O184" i="18"/>
  <c r="O176" i="18"/>
  <c r="O168" i="18"/>
  <c r="O160" i="18"/>
  <c r="O152" i="18"/>
  <c r="O144" i="18"/>
  <c r="O136" i="18"/>
  <c r="O128" i="18"/>
  <c r="O120" i="18"/>
  <c r="O112" i="18"/>
  <c r="O104" i="18"/>
  <c r="O95" i="18"/>
  <c r="O87" i="18"/>
  <c r="O79" i="18"/>
  <c r="O71" i="18"/>
  <c r="P63" i="18"/>
  <c r="Q63" i="18"/>
  <c r="R63" i="18" s="1"/>
  <c r="S63" i="18" s="1"/>
  <c r="O55" i="18"/>
  <c r="O47" i="18"/>
  <c r="O39" i="18"/>
  <c r="O31" i="18"/>
  <c r="O97" i="18"/>
  <c r="Q263" i="18"/>
  <c r="R263" i="18" s="1"/>
  <c r="S263" i="18" s="1"/>
  <c r="Q255" i="18"/>
  <c r="R255" i="18" s="1"/>
  <c r="Q247" i="18"/>
  <c r="R247" i="18" s="1"/>
  <c r="S247" i="18" s="1"/>
  <c r="Q231" i="18"/>
  <c r="R231" i="18" s="1"/>
  <c r="Q223" i="18"/>
  <c r="R223" i="18" s="1"/>
  <c r="S223" i="18" s="1"/>
  <c r="Q207" i="18"/>
  <c r="R207" i="18" s="1"/>
  <c r="Q199" i="18"/>
  <c r="R199" i="18" s="1"/>
  <c r="S199" i="18" s="1"/>
  <c r="Q191" i="18"/>
  <c r="R191" i="18" s="1"/>
  <c r="G217" i="18"/>
  <c r="G266" i="18"/>
  <c r="G258" i="18"/>
  <c r="G242" i="18"/>
  <c r="G234" i="18"/>
  <c r="G226" i="18"/>
  <c r="G210" i="18"/>
  <c r="G202" i="18"/>
  <c r="G194" i="18"/>
  <c r="G178" i="18"/>
  <c r="G170" i="18"/>
  <c r="G162" i="18"/>
  <c r="G146" i="18"/>
  <c r="G138" i="18"/>
  <c r="G130" i="18"/>
  <c r="G98" i="18"/>
  <c r="G81" i="18"/>
  <c r="G73" i="18"/>
  <c r="G65" i="18"/>
  <c r="G49" i="18"/>
  <c r="G41" i="18"/>
  <c r="G33" i="18"/>
  <c r="O269" i="18"/>
  <c r="O261" i="18"/>
  <c r="O253" i="18"/>
  <c r="O245" i="18"/>
  <c r="O237" i="18"/>
  <c r="O229" i="18"/>
  <c r="O221" i="18"/>
  <c r="O213" i="18"/>
  <c r="O205" i="18"/>
  <c r="O197" i="18"/>
  <c r="O189" i="18"/>
  <c r="O181" i="18"/>
  <c r="O173" i="18"/>
  <c r="O165" i="18"/>
  <c r="O157" i="18"/>
  <c r="O149" i="18"/>
  <c r="O141" i="18"/>
  <c r="O133" i="18"/>
  <c r="O125" i="18"/>
  <c r="O117" i="18"/>
  <c r="O109" i="18"/>
  <c r="O101" i="18"/>
  <c r="O92" i="18"/>
  <c r="O84" i="18"/>
  <c r="O76" i="18"/>
  <c r="O68" i="18"/>
  <c r="O60" i="18"/>
  <c r="O52" i="18"/>
  <c r="O44" i="18"/>
  <c r="O36" i="18"/>
  <c r="O28" i="18"/>
  <c r="G186" i="18"/>
  <c r="G58" i="18"/>
  <c r="G265" i="18"/>
  <c r="G257" i="18"/>
  <c r="G241" i="18"/>
  <c r="G113" i="18"/>
  <c r="G105" i="18"/>
  <c r="G80" i="18"/>
  <c r="G72" i="18"/>
  <c r="G64" i="18"/>
  <c r="G56" i="18"/>
  <c r="G48" i="18"/>
  <c r="G40" i="18"/>
  <c r="G32" i="18"/>
  <c r="O266" i="18"/>
  <c r="O258" i="18"/>
  <c r="O250" i="18"/>
  <c r="O242" i="18"/>
  <c r="O234" i="18"/>
  <c r="O226" i="18"/>
  <c r="O218" i="18"/>
  <c r="O210" i="18"/>
  <c r="O202" i="18"/>
  <c r="O194" i="18"/>
  <c r="O186" i="18"/>
  <c r="O178" i="18"/>
  <c r="O170" i="18"/>
  <c r="O162" i="18"/>
  <c r="O154" i="18"/>
  <c r="O146" i="18"/>
  <c r="O138" i="18"/>
  <c r="O130" i="18"/>
  <c r="O122" i="18"/>
  <c r="O114" i="18"/>
  <c r="O106" i="18"/>
  <c r="O98" i="18"/>
  <c r="O89" i="18"/>
  <c r="O81" i="18"/>
  <c r="O73" i="18"/>
  <c r="O65" i="18"/>
  <c r="O57" i="18"/>
  <c r="O49" i="18"/>
  <c r="O41" i="18"/>
  <c r="O33" i="18"/>
  <c r="G57" i="18"/>
  <c r="J108" i="18"/>
  <c r="G232" i="18"/>
  <c r="G224" i="18"/>
  <c r="G216" i="18"/>
  <c r="G208" i="18"/>
  <c r="G200" i="18"/>
  <c r="G192" i="18"/>
  <c r="G184" i="18"/>
  <c r="G176" i="18"/>
  <c r="G168" i="18"/>
  <c r="G160" i="18"/>
  <c r="G152" i="18"/>
  <c r="G144" i="18"/>
  <c r="G136" i="18"/>
  <c r="G128" i="18"/>
  <c r="G120" i="18"/>
  <c r="G112" i="18"/>
  <c r="G104" i="18"/>
  <c r="G95" i="18"/>
  <c r="G87" i="18"/>
  <c r="G71" i="18"/>
  <c r="G55" i="18"/>
  <c r="G47" i="18"/>
  <c r="G39" i="18"/>
  <c r="G31" i="18"/>
  <c r="P183" i="18"/>
  <c r="Q183" i="18"/>
  <c r="R183" i="18" s="1"/>
  <c r="S183" i="18" s="1"/>
  <c r="P175" i="18"/>
  <c r="Q175" i="18"/>
  <c r="R175" i="18" s="1"/>
  <c r="S175" i="18" s="1"/>
  <c r="Q167" i="18"/>
  <c r="R167" i="18" s="1"/>
  <c r="S167" i="18" s="1"/>
  <c r="P159" i="18"/>
  <c r="Q159" i="18"/>
  <c r="R159" i="18" s="1"/>
  <c r="S159" i="18" s="1"/>
  <c r="P151" i="18"/>
  <c r="Q151" i="18"/>
  <c r="R151" i="18" s="1"/>
  <c r="S151" i="18" s="1"/>
  <c r="P143" i="18"/>
  <c r="Q143" i="18"/>
  <c r="R143" i="18" s="1"/>
  <c r="S143" i="18" s="1"/>
  <c r="P135" i="18"/>
  <c r="Q135" i="18"/>
  <c r="R135" i="18" s="1"/>
  <c r="S135" i="18" s="1"/>
  <c r="P127" i="18"/>
  <c r="Q127" i="18"/>
  <c r="R127" i="18" s="1"/>
  <c r="S127" i="18" s="1"/>
  <c r="Q119" i="18"/>
  <c r="R119" i="18" s="1"/>
  <c r="P103" i="18"/>
  <c r="Q103" i="18"/>
  <c r="R103" i="18" s="1"/>
  <c r="S103" i="18" s="1"/>
  <c r="P94" i="18"/>
  <c r="Q94" i="18"/>
  <c r="R94" i="18" s="1"/>
  <c r="S94" i="18" s="1"/>
  <c r="P78" i="18"/>
  <c r="Q78" i="18"/>
  <c r="R78" i="18" s="1"/>
  <c r="S78" i="18" s="1"/>
  <c r="P70" i="18"/>
  <c r="Q70" i="18"/>
  <c r="R70" i="18" s="1"/>
  <c r="S70" i="18" s="1"/>
  <c r="P62" i="18"/>
  <c r="Q62" i="18"/>
  <c r="R62" i="18" s="1"/>
  <c r="S62" i="18" s="1"/>
  <c r="Q46" i="18"/>
  <c r="R46" i="18" s="1"/>
  <c r="S46" i="18" s="1"/>
  <c r="P38" i="18"/>
  <c r="Q38" i="18"/>
  <c r="R38" i="18" s="1"/>
  <c r="S38" i="18" s="1"/>
  <c r="O30" i="18"/>
  <c r="G154" i="18"/>
  <c r="J27" i="18"/>
  <c r="G263" i="18"/>
  <c r="G255" i="18"/>
  <c r="S255" i="18"/>
  <c r="G247" i="18"/>
  <c r="G239" i="18"/>
  <c r="G231" i="18"/>
  <c r="S231" i="18"/>
  <c r="G223" i="18"/>
  <c r="G215" i="18"/>
  <c r="G207" i="18"/>
  <c r="S207" i="18"/>
  <c r="G199" i="18"/>
  <c r="G191" i="18"/>
  <c r="S191" i="18"/>
  <c r="G183" i="18"/>
  <c r="G175" i="18"/>
  <c r="G167" i="18"/>
  <c r="G159" i="18"/>
  <c r="G151" i="18"/>
  <c r="G143" i="18"/>
  <c r="G135" i="18"/>
  <c r="G127" i="18"/>
  <c r="G119" i="18"/>
  <c r="S119" i="18"/>
  <c r="G111" i="18"/>
  <c r="G103" i="18"/>
  <c r="G94" i="18"/>
  <c r="G86" i="18"/>
  <c r="G78" i="18"/>
  <c r="G70" i="18"/>
  <c r="G62" i="18"/>
  <c r="G54" i="18"/>
  <c r="G46" i="18"/>
  <c r="G38" i="18"/>
  <c r="G30" i="18"/>
  <c r="O268" i="18"/>
  <c r="O260" i="18"/>
  <c r="O252" i="18"/>
  <c r="O244" i="18"/>
  <c r="O236" i="18"/>
  <c r="O228" i="18"/>
  <c r="O220" i="18"/>
  <c r="O212" i="18"/>
  <c r="O204" i="18"/>
  <c r="O188" i="18"/>
  <c r="O180" i="18"/>
  <c r="O172" i="18"/>
  <c r="O164" i="18"/>
  <c r="O156" i="18"/>
  <c r="O148" i="18"/>
  <c r="O140" i="18"/>
  <c r="O132" i="18"/>
  <c r="O124" i="18"/>
  <c r="O116" i="18"/>
  <c r="O100" i="18"/>
  <c r="O91" i="18"/>
  <c r="O83" i="18"/>
  <c r="O75" i="18"/>
  <c r="O67" i="18"/>
  <c r="O59" i="18"/>
  <c r="O51" i="18"/>
  <c r="O43" i="18"/>
  <c r="O35" i="18"/>
  <c r="G270" i="18"/>
  <c r="G262" i="18"/>
  <c r="G254" i="18"/>
  <c r="G246" i="18"/>
  <c r="G238" i="18"/>
  <c r="G230" i="18"/>
  <c r="G222" i="18"/>
  <c r="G214" i="18"/>
  <c r="G206" i="18"/>
  <c r="G198" i="18"/>
  <c r="G190" i="18"/>
  <c r="G182" i="18"/>
  <c r="G174" i="18"/>
  <c r="G166" i="18"/>
  <c r="G158" i="18"/>
  <c r="G150" i="18"/>
  <c r="G142" i="18"/>
  <c r="G134" i="18"/>
  <c r="G126" i="18"/>
  <c r="G93" i="18"/>
  <c r="G85" i="18"/>
  <c r="G77" i="18"/>
  <c r="G69" i="18"/>
  <c r="G61" i="18"/>
  <c r="G53" i="18"/>
  <c r="G45" i="18"/>
  <c r="G37" i="18"/>
  <c r="G29" i="18"/>
  <c r="G97" i="18"/>
  <c r="G250" i="18"/>
  <c r="S26" i="18"/>
  <c r="E14" i="18"/>
  <c r="E16" i="18"/>
  <c r="V168" i="18"/>
  <c r="V181" i="18"/>
  <c r="L4" i="4"/>
  <c r="H249" i="4"/>
  <c r="I249" i="4" s="1"/>
  <c r="H229" i="4"/>
  <c r="I229" i="4" s="1"/>
  <c r="H199" i="4"/>
  <c r="I199" i="4" s="1"/>
  <c r="H56" i="4"/>
  <c r="I56" i="4" s="1"/>
  <c r="I268" i="4"/>
  <c r="I218" i="4"/>
  <c r="I187" i="4"/>
  <c r="I171" i="4"/>
  <c r="I154" i="4"/>
  <c r="I137" i="4"/>
  <c r="I119" i="4"/>
  <c r="I101" i="4"/>
  <c r="I84" i="4"/>
  <c r="I68" i="4"/>
  <c r="I52" i="4"/>
  <c r="I162" i="4"/>
  <c r="I53" i="4"/>
  <c r="I45" i="4"/>
  <c r="I29" i="4"/>
  <c r="H270" i="4"/>
  <c r="I270" i="4" s="1"/>
  <c r="H262" i="4"/>
  <c r="I262" i="4" s="1"/>
  <c r="H254" i="4"/>
  <c r="I254" i="4" s="1"/>
  <c r="H140" i="4"/>
  <c r="I140" i="4" s="1"/>
  <c r="H242" i="4"/>
  <c r="I242" i="4" s="1"/>
  <c r="H116" i="4"/>
  <c r="I116" i="4" s="1"/>
  <c r="H227" i="4"/>
  <c r="I227" i="4" s="1"/>
  <c r="H220" i="4"/>
  <c r="H96" i="4"/>
  <c r="I96" i="4" s="1"/>
  <c r="H205" i="4"/>
  <c r="I205" i="4" s="1"/>
  <c r="H197" i="4"/>
  <c r="I197" i="4" s="1"/>
  <c r="H189" i="4"/>
  <c r="I189" i="4" s="1"/>
  <c r="H181" i="4"/>
  <c r="H173" i="4"/>
  <c r="I173" i="4" s="1"/>
  <c r="H165" i="4"/>
  <c r="I165" i="4" s="1"/>
  <c r="H156" i="4"/>
  <c r="H148" i="4"/>
  <c r="I148" i="4" s="1"/>
  <c r="H139" i="4"/>
  <c r="I139" i="4" s="1"/>
  <c r="H130" i="4"/>
  <c r="I130" i="4" s="1"/>
  <c r="H121" i="4"/>
  <c r="I121" i="4" s="1"/>
  <c r="H112" i="4"/>
  <c r="I112" i="4" s="1"/>
  <c r="H103" i="4"/>
  <c r="I103" i="4" s="1"/>
  <c r="H94" i="4"/>
  <c r="H86" i="4"/>
  <c r="H78" i="4"/>
  <c r="I78" i="4" s="1"/>
  <c r="H70" i="4"/>
  <c r="I70" i="4" s="1"/>
  <c r="H62" i="4"/>
  <c r="I62" i="4" s="1"/>
  <c r="H54" i="4"/>
  <c r="I54" i="4" s="1"/>
  <c r="H46" i="4"/>
  <c r="I46" i="4" s="1"/>
  <c r="H38" i="4"/>
  <c r="I38" i="4" s="1"/>
  <c r="I260" i="4"/>
  <c r="I211" i="4"/>
  <c r="I225" i="4"/>
  <c r="I179" i="4"/>
  <c r="I163" i="4"/>
  <c r="I146" i="4"/>
  <c r="I128" i="4"/>
  <c r="I110" i="4"/>
  <c r="I92" i="4"/>
  <c r="I76" i="4"/>
  <c r="I60" i="4"/>
  <c r="I44" i="4"/>
  <c r="I253" i="4"/>
  <c r="I240" i="4"/>
  <c r="I273" i="4"/>
  <c r="I265" i="4"/>
  <c r="I257" i="4"/>
  <c r="I250" i="4"/>
  <c r="I244" i="4"/>
  <c r="I237" i="4"/>
  <c r="I230" i="4"/>
  <c r="I215" i="4"/>
  <c r="I208" i="4"/>
  <c r="I200" i="4"/>
  <c r="I192" i="4"/>
  <c r="I184" i="4"/>
  <c r="I176" i="4"/>
  <c r="I168" i="4"/>
  <c r="I159" i="4"/>
  <c r="I151" i="4"/>
  <c r="I143" i="4"/>
  <c r="I134" i="4"/>
  <c r="I125" i="4"/>
  <c r="I115" i="4"/>
  <c r="I107" i="4"/>
  <c r="I98" i="4"/>
  <c r="I89" i="4"/>
  <c r="I81" i="4"/>
  <c r="I73" i="4"/>
  <c r="I65" i="4"/>
  <c r="I57" i="4"/>
  <c r="I49" i="4"/>
  <c r="I41" i="4"/>
  <c r="I33" i="4"/>
  <c r="I86" i="4"/>
  <c r="H255" i="4"/>
  <c r="I255" i="4" s="1"/>
  <c r="H235" i="4"/>
  <c r="I235" i="4" s="1"/>
  <c r="H198" i="4"/>
  <c r="I198" i="4" s="1"/>
  <c r="H166" i="4"/>
  <c r="I166" i="4" s="1"/>
  <c r="H132" i="4"/>
  <c r="I132" i="4" s="1"/>
  <c r="H95" i="4"/>
  <c r="I95" i="4" s="1"/>
  <c r="H63" i="4"/>
  <c r="I63" i="4" s="1"/>
  <c r="I259" i="4"/>
  <c r="I26" i="4"/>
  <c r="I181" i="4"/>
  <c r="H248" i="4"/>
  <c r="I248" i="4" s="1"/>
  <c r="H228" i="4"/>
  <c r="I228" i="4" s="1"/>
  <c r="H182" i="4"/>
  <c r="I182" i="4" s="1"/>
  <c r="H149" i="4"/>
  <c r="I149" i="4" s="1"/>
  <c r="H113" i="4"/>
  <c r="I113" i="4" s="1"/>
  <c r="H79" i="4"/>
  <c r="I79" i="4" s="1"/>
  <c r="H31" i="4"/>
  <c r="I31" i="4" s="1"/>
  <c r="I241" i="4"/>
  <c r="I220" i="4"/>
  <c r="I156" i="4"/>
  <c r="H263" i="4"/>
  <c r="I263" i="4" s="1"/>
  <c r="H174" i="4"/>
  <c r="I174" i="4" s="1"/>
  <c r="H141" i="4"/>
  <c r="I141" i="4" s="1"/>
  <c r="H104" i="4"/>
  <c r="I104" i="4" s="1"/>
  <c r="H71" i="4"/>
  <c r="I71" i="4" s="1"/>
  <c r="H39" i="4"/>
  <c r="I39" i="4" s="1"/>
  <c r="I212" i="4"/>
  <c r="I219" i="4"/>
  <c r="I94" i="4"/>
  <c r="H271" i="4"/>
  <c r="I271" i="4" s="1"/>
  <c r="H243" i="4"/>
  <c r="I243" i="4" s="1"/>
  <c r="H213" i="4"/>
  <c r="I213" i="4" s="1"/>
  <c r="H190" i="4"/>
  <c r="I190" i="4" s="1"/>
  <c r="H157" i="4"/>
  <c r="I157" i="4" s="1"/>
  <c r="H122" i="4"/>
  <c r="I122" i="4" s="1"/>
  <c r="H87" i="4"/>
  <c r="I87" i="4" s="1"/>
  <c r="H55" i="4"/>
  <c r="I55" i="4" s="1"/>
  <c r="I251" i="4"/>
  <c r="H274" i="4"/>
  <c r="I274" i="4" s="1"/>
  <c r="I258" i="4"/>
  <c r="I231" i="4"/>
  <c r="I223" i="4"/>
  <c r="I216" i="4"/>
  <c r="I209" i="4"/>
  <c r="I201" i="4"/>
  <c r="I58" i="4"/>
  <c r="I34" i="4"/>
  <c r="H245" i="4"/>
  <c r="I245" i="4" s="1"/>
  <c r="L6" i="4"/>
  <c r="H131" i="4"/>
  <c r="I131" i="4" s="1"/>
  <c r="H238" i="4"/>
  <c r="I238" i="4" s="1"/>
  <c r="H193" i="4"/>
  <c r="I193" i="4" s="1"/>
  <c r="H185" i="4"/>
  <c r="I185" i="4" s="1"/>
  <c r="H177" i="4"/>
  <c r="I177" i="4" s="1"/>
  <c r="H169" i="4"/>
  <c r="I169" i="4" s="1"/>
  <c r="H160" i="4"/>
  <c r="I160" i="4" s="1"/>
  <c r="H152" i="4"/>
  <c r="I152" i="4" s="1"/>
  <c r="H144" i="4"/>
  <c r="I144" i="4" s="1"/>
  <c r="H135" i="4"/>
  <c r="I135" i="4" s="1"/>
  <c r="H126" i="4"/>
  <c r="I126" i="4" s="1"/>
  <c r="H117" i="4"/>
  <c r="I117" i="4" s="1"/>
  <c r="H108" i="4"/>
  <c r="I108" i="4" s="1"/>
  <c r="H99" i="4"/>
  <c r="I99" i="4" s="1"/>
  <c r="H90" i="4"/>
  <c r="I90" i="4" s="1"/>
  <c r="H82" i="4"/>
  <c r="I82" i="4" s="1"/>
  <c r="H74" i="4"/>
  <c r="I74" i="4" s="1"/>
  <c r="H66" i="4"/>
  <c r="I66" i="4" s="1"/>
  <c r="H50" i="4"/>
  <c r="I50" i="4" s="1"/>
  <c r="H42" i="4"/>
  <c r="I42" i="4" s="1"/>
  <c r="I267" i="4"/>
  <c r="I247" i="4"/>
  <c r="H272" i="4"/>
  <c r="I272" i="4" s="1"/>
  <c r="H264" i="4"/>
  <c r="I264" i="4" s="1"/>
  <c r="H256" i="4"/>
  <c r="I256" i="4" s="1"/>
  <c r="H124" i="4"/>
  <c r="I124" i="4" s="1"/>
  <c r="H222" i="4"/>
  <c r="I222" i="4" s="1"/>
  <c r="H214" i="4"/>
  <c r="I214" i="4" s="1"/>
  <c r="H207" i="4"/>
  <c r="I207" i="4" s="1"/>
  <c r="H191" i="4"/>
  <c r="I191" i="4" s="1"/>
  <c r="H183" i="4"/>
  <c r="I183" i="4" s="1"/>
  <c r="H175" i="4"/>
  <c r="I175" i="4" s="1"/>
  <c r="H167" i="4"/>
  <c r="I167" i="4" s="1"/>
  <c r="H158" i="4"/>
  <c r="I158" i="4" s="1"/>
  <c r="H150" i="4"/>
  <c r="I150" i="4" s="1"/>
  <c r="H142" i="4"/>
  <c r="I142" i="4" s="1"/>
  <c r="H133" i="4"/>
  <c r="I133" i="4" s="1"/>
  <c r="H123" i="4"/>
  <c r="I123" i="4" s="1"/>
  <c r="H114" i="4"/>
  <c r="I114" i="4" s="1"/>
  <c r="H105" i="4"/>
  <c r="I105" i="4" s="1"/>
  <c r="H97" i="4"/>
  <c r="I97" i="4" s="1"/>
  <c r="H88" i="4"/>
  <c r="I88" i="4" s="1"/>
  <c r="H80" i="4"/>
  <c r="I80" i="4" s="1"/>
  <c r="H72" i="4"/>
  <c r="I72" i="4" s="1"/>
  <c r="H64" i="4"/>
  <c r="I64" i="4" s="1"/>
  <c r="H48" i="4"/>
  <c r="I48" i="4" s="1"/>
  <c r="H40" i="4"/>
  <c r="I40" i="4" s="1"/>
  <c r="H32" i="4"/>
  <c r="I32" i="4" s="1"/>
  <c r="I236" i="4"/>
  <c r="I37" i="4"/>
  <c r="H30" i="4"/>
  <c r="I30" i="4" s="1"/>
  <c r="L8" i="4"/>
  <c r="V23" i="4"/>
  <c r="I234" i="4"/>
  <c r="I226" i="4"/>
  <c r="I204" i="4"/>
  <c r="G24" i="4"/>
  <c r="I196" i="4"/>
  <c r="F24" i="4"/>
  <c r="L5" i="4"/>
  <c r="I269" i="4"/>
  <c r="I261" i="4"/>
  <c r="I188" i="4"/>
  <c r="I180" i="4"/>
  <c r="I172" i="4"/>
  <c r="I164" i="4"/>
  <c r="I155" i="4"/>
  <c r="I147" i="4"/>
  <c r="I138" i="4"/>
  <c r="I129" i="4"/>
  <c r="I120" i="4"/>
  <c r="I111" i="4"/>
  <c r="I102" i="4"/>
  <c r="I93" i="4"/>
  <c r="I85" i="4"/>
  <c r="I77" i="4"/>
  <c r="I69" i="4"/>
  <c r="I61" i="4"/>
  <c r="L3" i="4"/>
  <c r="E14" i="4"/>
  <c r="E15" i="4"/>
  <c r="E16" i="4"/>
  <c r="E24" i="4"/>
  <c r="E19" i="4" s="1"/>
  <c r="L11" i="4"/>
  <c r="L10" i="4"/>
  <c r="L7" i="4"/>
  <c r="M4" i="4"/>
  <c r="P253" i="1"/>
  <c r="P252" i="1"/>
  <c r="P251" i="1"/>
  <c r="P250" i="1"/>
  <c r="P225" i="1"/>
  <c r="P60" i="1"/>
  <c r="O109" i="1"/>
  <c r="V204" i="18" l="1"/>
  <c r="Q195" i="18"/>
  <c r="R195" i="18" s="1"/>
  <c r="S195" i="18" s="1"/>
  <c r="V217" i="18"/>
  <c r="V229" i="18"/>
  <c r="Q82" i="18"/>
  <c r="R82" i="18" s="1"/>
  <c r="S82" i="18" s="1"/>
  <c r="V216" i="18"/>
  <c r="Q239" i="18"/>
  <c r="R239" i="18" s="1"/>
  <c r="S239" i="18" s="1"/>
  <c r="V76" i="18"/>
  <c r="V41" i="18"/>
  <c r="Q54" i="18"/>
  <c r="R54" i="18" s="1"/>
  <c r="S54" i="18" s="1"/>
  <c r="Q86" i="18"/>
  <c r="R86" i="18" s="1"/>
  <c r="S86" i="18" s="1"/>
  <c r="V223" i="18"/>
  <c r="V236" i="18"/>
  <c r="V142" i="18"/>
  <c r="V260" i="18"/>
  <c r="V266" i="18"/>
  <c r="V254" i="18"/>
  <c r="V268" i="18"/>
  <c r="V207" i="18"/>
  <c r="V232" i="18"/>
  <c r="V242" i="18"/>
  <c r="V237" i="18"/>
  <c r="V248" i="18"/>
  <c r="V243" i="18"/>
  <c r="V89" i="18"/>
  <c r="V97" i="18"/>
  <c r="V63" i="18"/>
  <c r="V84" i="18"/>
  <c r="Q66" i="18"/>
  <c r="R66" i="18" s="1"/>
  <c r="S66" i="18" s="1"/>
  <c r="V175" i="18"/>
  <c r="V257" i="18"/>
  <c r="V215" i="18"/>
  <c r="V189" i="18"/>
  <c r="V193" i="18"/>
  <c r="V227" i="18"/>
  <c r="V199" i="18"/>
  <c r="V214" i="18"/>
  <c r="V140" i="18"/>
  <c r="V112" i="18"/>
  <c r="V95" i="18"/>
  <c r="V43" i="18"/>
  <c r="Q111" i="18"/>
  <c r="R111" i="18" s="1"/>
  <c r="S111" i="18" s="1"/>
  <c r="Q179" i="18"/>
  <c r="R179" i="18" s="1"/>
  <c r="S179" i="18" s="1"/>
  <c r="Q227" i="18"/>
  <c r="R227" i="18" s="1"/>
  <c r="S227" i="18" s="1"/>
  <c r="V82" i="18"/>
  <c r="V183" i="18"/>
  <c r="V191" i="18"/>
  <c r="V159" i="18"/>
  <c r="V90" i="18"/>
  <c r="V209" i="18"/>
  <c r="V213" i="18"/>
  <c r="V161" i="18"/>
  <c r="V135" i="18"/>
  <c r="V156" i="18"/>
  <c r="V180" i="18"/>
  <c r="V109" i="18"/>
  <c r="V134" i="18"/>
  <c r="V210" i="18"/>
  <c r="V80" i="18"/>
  <c r="V54" i="18"/>
  <c r="V141" i="18"/>
  <c r="V165" i="18"/>
  <c r="V195" i="18"/>
  <c r="V164" i="18"/>
  <c r="V104" i="18"/>
  <c r="V192" i="18"/>
  <c r="V179" i="18"/>
  <c r="V93" i="18"/>
  <c r="V105" i="18"/>
  <c r="V98" i="18"/>
  <c r="V143" i="18"/>
  <c r="V262" i="18"/>
  <c r="V130" i="18"/>
  <c r="V194" i="18"/>
  <c r="V131" i="18"/>
  <c r="V60" i="18"/>
  <c r="Q215" i="18"/>
  <c r="R215" i="18" s="1"/>
  <c r="S215" i="18" s="1"/>
  <c r="V66" i="18"/>
  <c r="V178" i="18"/>
  <c r="V249" i="18"/>
  <c r="V263" i="18"/>
  <c r="V269" i="18"/>
  <c r="V117" i="18"/>
  <c r="V149" i="18"/>
  <c r="V115" i="18"/>
  <c r="V124" i="18"/>
  <c r="V224" i="18"/>
  <c r="V247" i="18"/>
  <c r="V250" i="18"/>
  <c r="V253" i="18"/>
  <c r="V256" i="18"/>
  <c r="V259" i="18"/>
  <c r="V220" i="18"/>
  <c r="V121" i="18"/>
  <c r="V70" i="18"/>
  <c r="I23" i="4"/>
  <c r="H15" i="18"/>
  <c r="V47" i="18"/>
  <c r="V38" i="18"/>
  <c r="V32" i="18"/>
  <c r="V79" i="18"/>
  <c r="V55" i="18"/>
  <c r="V46" i="18"/>
  <c r="V40" i="18"/>
  <c r="V87" i="18"/>
  <c r="V100" i="18"/>
  <c r="V107" i="18"/>
  <c r="V171" i="18"/>
  <c r="V120" i="18"/>
  <c r="V59" i="18"/>
  <c r="V150" i="18"/>
  <c r="V234" i="18"/>
  <c r="V170" i="18"/>
  <c r="V119" i="18"/>
  <c r="V110" i="18"/>
  <c r="V190" i="18"/>
  <c r="V133" i="18"/>
  <c r="V246" i="18"/>
  <c r="V129" i="18"/>
  <c r="V235" i="18"/>
  <c r="V173" i="18"/>
  <c r="V240" i="18"/>
  <c r="V126" i="18"/>
  <c r="V245" i="18"/>
  <c r="V169" i="18"/>
  <c r="V258" i="18"/>
  <c r="V200" i="18"/>
  <c r="V145" i="18"/>
  <c r="V252" i="18"/>
  <c r="V154" i="18"/>
  <c r="V228" i="18"/>
  <c r="V42" i="18"/>
  <c r="V36" i="18"/>
  <c r="V62" i="18"/>
  <c r="V56" i="18"/>
  <c r="V103" i="18"/>
  <c r="V116" i="18"/>
  <c r="V123" i="18"/>
  <c r="V72" i="18"/>
  <c r="V50" i="18"/>
  <c r="V44" i="18"/>
  <c r="V29" i="18"/>
  <c r="V58" i="18"/>
  <c r="V52" i="18"/>
  <c r="V35" i="18"/>
  <c r="V37" i="18"/>
  <c r="V68" i="18"/>
  <c r="V75" i="18"/>
  <c r="V139" i="18"/>
  <c r="V88" i="18"/>
  <c r="V152" i="18"/>
  <c r="V102" i="18"/>
  <c r="V202" i="18"/>
  <c r="V106" i="18"/>
  <c r="V65" i="18"/>
  <c r="V153" i="18"/>
  <c r="V162" i="18"/>
  <c r="V222" i="18"/>
  <c r="V203" i="18"/>
  <c r="V64" i="18"/>
  <c r="V201" i="18"/>
  <c r="V267" i="18"/>
  <c r="V197" i="18"/>
  <c r="V57" i="18"/>
  <c r="V208" i="18"/>
  <c r="V73" i="18"/>
  <c r="V219" i="18"/>
  <c r="V157" i="18"/>
  <c r="V239" i="18"/>
  <c r="V244" i="18"/>
  <c r="V265" i="18"/>
  <c r="V101" i="18"/>
  <c r="V158" i="18"/>
  <c r="P248" i="18"/>
  <c r="Q248" i="18"/>
  <c r="R248" i="18" s="1"/>
  <c r="S248" i="18" s="1"/>
  <c r="P126" i="18"/>
  <c r="Q126" i="18"/>
  <c r="R126" i="18" s="1"/>
  <c r="S126" i="18" s="1"/>
  <c r="P49" i="18"/>
  <c r="Q49" i="18"/>
  <c r="R49" i="18" s="1"/>
  <c r="S49" i="18" s="1"/>
  <c r="P193" i="18"/>
  <c r="Q193" i="18"/>
  <c r="R193" i="18" s="1"/>
  <c r="S193" i="18" s="1"/>
  <c r="V85" i="18"/>
  <c r="V184" i="18"/>
  <c r="V238" i="18"/>
  <c r="V230" i="18"/>
  <c r="V132" i="18"/>
  <c r="V113" i="18"/>
  <c r="V138" i="18"/>
  <c r="V186" i="18"/>
  <c r="V176" i="18"/>
  <c r="V96" i="18"/>
  <c r="V99" i="18"/>
  <c r="V111" i="18"/>
  <c r="V30" i="18"/>
  <c r="P133" i="18"/>
  <c r="Q133" i="18"/>
  <c r="R133" i="18" s="1"/>
  <c r="S133" i="18" s="1"/>
  <c r="P72" i="18"/>
  <c r="Q72" i="18"/>
  <c r="R72" i="18" s="1"/>
  <c r="S72" i="18" s="1"/>
  <c r="P91" i="18"/>
  <c r="Q91" i="18"/>
  <c r="R91" i="18" s="1"/>
  <c r="S91" i="18" s="1"/>
  <c r="P164" i="18"/>
  <c r="Q164" i="18"/>
  <c r="R164" i="18" s="1"/>
  <c r="S164" i="18" s="1"/>
  <c r="P236" i="18"/>
  <c r="Q236" i="18"/>
  <c r="R236" i="18" s="1"/>
  <c r="S236" i="18" s="1"/>
  <c r="P28" i="18"/>
  <c r="Q28" i="18"/>
  <c r="R28" i="18" s="1"/>
  <c r="S28" i="18" s="1"/>
  <c r="O24" i="18"/>
  <c r="O22" i="18" s="1"/>
  <c r="P92" i="18"/>
  <c r="Q92" i="18"/>
  <c r="R92" i="18" s="1"/>
  <c r="S92" i="18" s="1"/>
  <c r="P157" i="18"/>
  <c r="Q157" i="18"/>
  <c r="R157" i="18" s="1"/>
  <c r="S157" i="18" s="1"/>
  <c r="P221" i="18"/>
  <c r="Q221" i="18"/>
  <c r="R221" i="18" s="1"/>
  <c r="S221" i="18" s="1"/>
  <c r="P77" i="18"/>
  <c r="Q77" i="18"/>
  <c r="R77" i="18" s="1"/>
  <c r="S77" i="18" s="1"/>
  <c r="P270" i="18"/>
  <c r="Q270" i="18"/>
  <c r="R270" i="18" s="1"/>
  <c r="S270" i="18" s="1"/>
  <c r="P134" i="18"/>
  <c r="Q134" i="18"/>
  <c r="R134" i="18" s="1"/>
  <c r="S134" i="18" s="1"/>
  <c r="P177" i="18"/>
  <c r="Q177" i="18"/>
  <c r="R177" i="18" s="1"/>
  <c r="S177" i="18" s="1"/>
  <c r="P68" i="18"/>
  <c r="Q68" i="18"/>
  <c r="R68" i="18" s="1"/>
  <c r="S68" i="18" s="1"/>
  <c r="P197" i="18"/>
  <c r="Q197" i="18"/>
  <c r="R197" i="18" s="1"/>
  <c r="S197" i="18" s="1"/>
  <c r="P184" i="18"/>
  <c r="Q184" i="18"/>
  <c r="R184" i="18" s="1"/>
  <c r="S184" i="18" s="1"/>
  <c r="P169" i="18"/>
  <c r="Q169" i="18"/>
  <c r="R169" i="18" s="1"/>
  <c r="S169" i="18" s="1"/>
  <c r="P114" i="18"/>
  <c r="Q114" i="18"/>
  <c r="R114" i="18" s="1"/>
  <c r="S114" i="18" s="1"/>
  <c r="V211" i="18"/>
  <c r="V69" i="18"/>
  <c r="V196" i="18"/>
  <c r="V185" i="18"/>
  <c r="V221" i="18"/>
  <c r="V261" i="18"/>
  <c r="V122" i="18"/>
  <c r="V212" i="18"/>
  <c r="V251" i="18"/>
  <c r="V125" i="18"/>
  <c r="V205" i="18"/>
  <c r="V206" i="18"/>
  <c r="V94" i="18"/>
  <c r="V81" i="18"/>
  <c r="V74" i="18"/>
  <c r="V148" i="18"/>
  <c r="V160" i="18"/>
  <c r="V33" i="18"/>
  <c r="V83" i="18"/>
  <c r="V71" i="18"/>
  <c r="V28" i="18"/>
  <c r="P73" i="18"/>
  <c r="Q73" i="18"/>
  <c r="R73" i="18" s="1"/>
  <c r="S73" i="18" s="1"/>
  <c r="P138" i="18"/>
  <c r="Q138" i="18"/>
  <c r="R138" i="18" s="1"/>
  <c r="S138" i="18" s="1"/>
  <c r="P202" i="18"/>
  <c r="Q202" i="18"/>
  <c r="R202" i="18" s="1"/>
  <c r="S202" i="18" s="1"/>
  <c r="P266" i="18"/>
  <c r="Q266" i="18"/>
  <c r="R266" i="18" s="1"/>
  <c r="S266" i="18" s="1"/>
  <c r="P36" i="18"/>
  <c r="Q36" i="18"/>
  <c r="R36" i="18" s="1"/>
  <c r="S36" i="18" s="1"/>
  <c r="P101" i="18"/>
  <c r="Q101" i="18"/>
  <c r="R101" i="18" s="1"/>
  <c r="S101" i="18" s="1"/>
  <c r="P165" i="18"/>
  <c r="Q165" i="18"/>
  <c r="R165" i="18" s="1"/>
  <c r="S165" i="18" s="1"/>
  <c r="P229" i="18"/>
  <c r="Q229" i="18"/>
  <c r="R229" i="18" s="1"/>
  <c r="S229" i="18" s="1"/>
  <c r="P118" i="18"/>
  <c r="Q118" i="18"/>
  <c r="R118" i="18" s="1"/>
  <c r="S118" i="18" s="1"/>
  <c r="P40" i="18"/>
  <c r="Q40" i="18"/>
  <c r="R40" i="18" s="1"/>
  <c r="S40" i="18" s="1"/>
  <c r="P30" i="18"/>
  <c r="Q30" i="18"/>
  <c r="R30" i="18" s="1"/>
  <c r="S30" i="18" s="1"/>
  <c r="V188" i="18"/>
  <c r="V198" i="18"/>
  <c r="V78" i="18"/>
  <c r="V53" i="18"/>
  <c r="V49" i="18"/>
  <c r="V146" i="18"/>
  <c r="V144" i="18"/>
  <c r="V163" i="18"/>
  <c r="V67" i="18"/>
  <c r="V45" i="18"/>
  <c r="V39" i="18"/>
  <c r="P81" i="18"/>
  <c r="Q81" i="18"/>
  <c r="R81" i="18" s="1"/>
  <c r="S81" i="18" s="1"/>
  <c r="P146" i="18"/>
  <c r="Q146" i="18"/>
  <c r="R146" i="18" s="1"/>
  <c r="S146" i="18" s="1"/>
  <c r="P210" i="18"/>
  <c r="Q210" i="18"/>
  <c r="R210" i="18" s="1"/>
  <c r="S210" i="18" s="1"/>
  <c r="P261" i="18"/>
  <c r="Q261" i="18"/>
  <c r="R261" i="18" s="1"/>
  <c r="S261" i="18" s="1"/>
  <c r="P120" i="18"/>
  <c r="Q120" i="18"/>
  <c r="R120" i="18" s="1"/>
  <c r="S120" i="18" s="1"/>
  <c r="P242" i="18"/>
  <c r="Q242" i="18"/>
  <c r="R242" i="18" s="1"/>
  <c r="S242" i="18" s="1"/>
  <c r="P85" i="18"/>
  <c r="Q85" i="18"/>
  <c r="R85" i="18" s="1"/>
  <c r="S85" i="18" s="1"/>
  <c r="V233" i="18"/>
  <c r="V77" i="18"/>
  <c r="V167" i="18"/>
  <c r="V182" i="18"/>
  <c r="V61" i="18"/>
  <c r="V174" i="18"/>
  <c r="V226" i="18"/>
  <c r="V118" i="18"/>
  <c r="V136" i="18"/>
  <c r="V155" i="18"/>
  <c r="V108" i="18"/>
  <c r="V48" i="18"/>
  <c r="V31" i="18"/>
  <c r="P51" i="18"/>
  <c r="Q51" i="18"/>
  <c r="R51" i="18" s="1"/>
  <c r="S51" i="18" s="1"/>
  <c r="P124" i="18"/>
  <c r="Q124" i="18"/>
  <c r="R124" i="18" s="1"/>
  <c r="S124" i="18" s="1"/>
  <c r="P188" i="18"/>
  <c r="Q188" i="18"/>
  <c r="R188" i="18" s="1"/>
  <c r="S188" i="18" s="1"/>
  <c r="P260" i="18"/>
  <c r="Q260" i="18"/>
  <c r="R260" i="18" s="1"/>
  <c r="S260" i="18" s="1"/>
  <c r="P265" i="18"/>
  <c r="Q265" i="18"/>
  <c r="R265" i="18" s="1"/>
  <c r="S265" i="18" s="1"/>
  <c r="P178" i="18"/>
  <c r="Q178" i="18"/>
  <c r="R178" i="18" s="1"/>
  <c r="S178" i="18" s="1"/>
  <c r="V241" i="18"/>
  <c r="V114" i="18"/>
  <c r="V255" i="18"/>
  <c r="V127" i="18"/>
  <c r="V187" i="18"/>
  <c r="V225" i="18"/>
  <c r="V264" i="18"/>
  <c r="V177" i="18"/>
  <c r="V231" i="18"/>
  <c r="V270" i="18"/>
  <c r="V137" i="18"/>
  <c r="V166" i="18"/>
  <c r="V151" i="18"/>
  <c r="V172" i="18"/>
  <c r="V218" i="18"/>
  <c r="V86" i="18"/>
  <c r="V128" i="18"/>
  <c r="V147" i="18"/>
  <c r="V92" i="18"/>
  <c r="V51" i="18"/>
  <c r="V34" i="18"/>
  <c r="P59" i="18"/>
  <c r="Q59" i="18"/>
  <c r="R59" i="18" s="1"/>
  <c r="S59" i="18" s="1"/>
  <c r="P132" i="18"/>
  <c r="Q132" i="18"/>
  <c r="R132" i="18" s="1"/>
  <c r="S132" i="18" s="1"/>
  <c r="P204" i="18"/>
  <c r="Q204" i="18"/>
  <c r="R204" i="18" s="1"/>
  <c r="S204" i="18" s="1"/>
  <c r="P268" i="18"/>
  <c r="Q268" i="18"/>
  <c r="R268" i="18" s="1"/>
  <c r="S268" i="18" s="1"/>
  <c r="P55" i="18"/>
  <c r="Q55" i="18"/>
  <c r="R55" i="18" s="1"/>
  <c r="S55" i="18" s="1"/>
  <c r="P112" i="18"/>
  <c r="Q112" i="18"/>
  <c r="R112" i="18" s="1"/>
  <c r="S112" i="18" s="1"/>
  <c r="P176" i="18"/>
  <c r="Q176" i="18"/>
  <c r="R176" i="18" s="1"/>
  <c r="S176" i="18" s="1"/>
  <c r="P240" i="18"/>
  <c r="Q240" i="18"/>
  <c r="R240" i="18" s="1"/>
  <c r="S240" i="18" s="1"/>
  <c r="M24" i="18"/>
  <c r="P121" i="18"/>
  <c r="Q121" i="18"/>
  <c r="R121" i="18" s="1"/>
  <c r="S121" i="18" s="1"/>
  <c r="P174" i="18"/>
  <c r="Q174" i="18"/>
  <c r="R174" i="18" s="1"/>
  <c r="S174" i="18" s="1"/>
  <c r="P217" i="18"/>
  <c r="Q217" i="18"/>
  <c r="R217" i="18" s="1"/>
  <c r="S217" i="18" s="1"/>
  <c r="P67" i="18"/>
  <c r="Q67" i="18"/>
  <c r="R67" i="18" s="1"/>
  <c r="S67" i="18" s="1"/>
  <c r="P140" i="18"/>
  <c r="Q140" i="18"/>
  <c r="R140" i="18" s="1"/>
  <c r="S140" i="18" s="1"/>
  <c r="P212" i="18"/>
  <c r="Q212" i="18"/>
  <c r="R212" i="18" s="1"/>
  <c r="S212" i="18" s="1"/>
  <c r="P89" i="18"/>
  <c r="Q89" i="18"/>
  <c r="R89" i="18" s="1"/>
  <c r="S89" i="18" s="1"/>
  <c r="P154" i="18"/>
  <c r="Q154" i="18"/>
  <c r="R154" i="18" s="1"/>
  <c r="S154" i="18" s="1"/>
  <c r="P218" i="18"/>
  <c r="Q218" i="18"/>
  <c r="R218" i="18" s="1"/>
  <c r="S218" i="18" s="1"/>
  <c r="P44" i="18"/>
  <c r="Q44" i="18"/>
  <c r="R44" i="18" s="1"/>
  <c r="S44" i="18" s="1"/>
  <c r="P109" i="18"/>
  <c r="Q109" i="18"/>
  <c r="R109" i="18" s="1"/>
  <c r="S109" i="18" s="1"/>
  <c r="P173" i="18"/>
  <c r="Q173" i="18"/>
  <c r="R173" i="18" s="1"/>
  <c r="S173" i="18" s="1"/>
  <c r="P237" i="18"/>
  <c r="Q237" i="18"/>
  <c r="R237" i="18" s="1"/>
  <c r="S237" i="18" s="1"/>
  <c r="P128" i="18"/>
  <c r="Q128" i="18"/>
  <c r="R128" i="18" s="1"/>
  <c r="S128" i="18" s="1"/>
  <c r="P192" i="18"/>
  <c r="Q192" i="18"/>
  <c r="R192" i="18" s="1"/>
  <c r="S192" i="18" s="1"/>
  <c r="P256" i="18"/>
  <c r="Q256" i="18"/>
  <c r="R256" i="18" s="1"/>
  <c r="S256" i="18" s="1"/>
  <c r="P182" i="18"/>
  <c r="Q182" i="18"/>
  <c r="R182" i="18" s="1"/>
  <c r="S182" i="18" s="1"/>
  <c r="P88" i="18"/>
  <c r="Q88" i="18"/>
  <c r="R88" i="18" s="1"/>
  <c r="S88" i="18" s="1"/>
  <c r="P185" i="18"/>
  <c r="Q185" i="18"/>
  <c r="R185" i="18" s="1"/>
  <c r="S185" i="18" s="1"/>
  <c r="P75" i="18"/>
  <c r="Q75" i="18"/>
  <c r="R75" i="18" s="1"/>
  <c r="S75" i="18" s="1"/>
  <c r="P148" i="18"/>
  <c r="Q148" i="18"/>
  <c r="R148" i="18" s="1"/>
  <c r="S148" i="18" s="1"/>
  <c r="P220" i="18"/>
  <c r="Q220" i="18"/>
  <c r="R220" i="18" s="1"/>
  <c r="S220" i="18" s="1"/>
  <c r="P33" i="18"/>
  <c r="Q33" i="18"/>
  <c r="R33" i="18" s="1"/>
  <c r="S33" i="18" s="1"/>
  <c r="P98" i="18"/>
  <c r="Q98" i="18"/>
  <c r="R98" i="18" s="1"/>
  <c r="S98" i="18" s="1"/>
  <c r="P162" i="18"/>
  <c r="Q162" i="18"/>
  <c r="R162" i="18" s="1"/>
  <c r="S162" i="18" s="1"/>
  <c r="P226" i="18"/>
  <c r="Q226" i="18"/>
  <c r="R226" i="18" s="1"/>
  <c r="S226" i="18" s="1"/>
  <c r="P52" i="18"/>
  <c r="Q52" i="18"/>
  <c r="R52" i="18" s="1"/>
  <c r="S52" i="18" s="1"/>
  <c r="P117" i="18"/>
  <c r="Q117" i="18"/>
  <c r="R117" i="18" s="1"/>
  <c r="S117" i="18" s="1"/>
  <c r="P181" i="18"/>
  <c r="Q181" i="18"/>
  <c r="R181" i="18" s="1"/>
  <c r="S181" i="18" s="1"/>
  <c r="P245" i="18"/>
  <c r="Q245" i="18"/>
  <c r="R245" i="18" s="1"/>
  <c r="S245" i="18" s="1"/>
  <c r="P71" i="18"/>
  <c r="Q71" i="18"/>
  <c r="R71" i="18" s="1"/>
  <c r="S71" i="18" s="1"/>
  <c r="P136" i="18"/>
  <c r="Q136" i="18"/>
  <c r="R136" i="18" s="1"/>
  <c r="S136" i="18" s="1"/>
  <c r="P200" i="18"/>
  <c r="Q200" i="18"/>
  <c r="R200" i="18" s="1"/>
  <c r="S200" i="18" s="1"/>
  <c r="P264" i="18"/>
  <c r="Q264" i="18"/>
  <c r="R264" i="18" s="1"/>
  <c r="S264" i="18" s="1"/>
  <c r="P230" i="18"/>
  <c r="Q230" i="18"/>
  <c r="R230" i="18" s="1"/>
  <c r="S230" i="18" s="1"/>
  <c r="P32" i="18"/>
  <c r="Q32" i="18"/>
  <c r="R32" i="18" s="1"/>
  <c r="S32" i="18" s="1"/>
  <c r="P96" i="18"/>
  <c r="Q96" i="18"/>
  <c r="R96" i="18" s="1"/>
  <c r="S96" i="18" s="1"/>
  <c r="P150" i="18"/>
  <c r="Q150" i="18"/>
  <c r="R150" i="18" s="1"/>
  <c r="S150" i="18" s="1"/>
  <c r="P257" i="18"/>
  <c r="Q257" i="18"/>
  <c r="R257" i="18" s="1"/>
  <c r="S257" i="18" s="1"/>
  <c r="P61" i="18"/>
  <c r="Q61" i="18"/>
  <c r="R61" i="18" s="1"/>
  <c r="S61" i="18" s="1"/>
  <c r="P137" i="18"/>
  <c r="Q137" i="18"/>
  <c r="R137" i="18" s="1"/>
  <c r="S137" i="18" s="1"/>
  <c r="P222" i="18"/>
  <c r="Q222" i="18"/>
  <c r="R222" i="18" s="1"/>
  <c r="S222" i="18" s="1"/>
  <c r="P37" i="18"/>
  <c r="Q37" i="18"/>
  <c r="R37" i="18" s="1"/>
  <c r="S37" i="18" s="1"/>
  <c r="G24" i="18"/>
  <c r="P102" i="18"/>
  <c r="Q102" i="18"/>
  <c r="R102" i="18" s="1"/>
  <c r="S102" i="18" s="1"/>
  <c r="P145" i="18"/>
  <c r="Q145" i="18"/>
  <c r="R145" i="18" s="1"/>
  <c r="S145" i="18" s="1"/>
  <c r="P241" i="18"/>
  <c r="Q241" i="18"/>
  <c r="R241" i="18" s="1"/>
  <c r="S241" i="18" s="1"/>
  <c r="P45" i="18"/>
  <c r="Q45" i="18"/>
  <c r="R45" i="18" s="1"/>
  <c r="S45" i="18" s="1"/>
  <c r="P83" i="18"/>
  <c r="Q83" i="18"/>
  <c r="R83" i="18" s="1"/>
  <c r="S83" i="18" s="1"/>
  <c r="P156" i="18"/>
  <c r="Q156" i="18"/>
  <c r="R156" i="18" s="1"/>
  <c r="S156" i="18" s="1"/>
  <c r="P228" i="18"/>
  <c r="Q228" i="18"/>
  <c r="R228" i="18" s="1"/>
  <c r="S228" i="18" s="1"/>
  <c r="P41" i="18"/>
  <c r="Q41" i="18"/>
  <c r="R41" i="18" s="1"/>
  <c r="S41" i="18" s="1"/>
  <c r="P106" i="18"/>
  <c r="Q106" i="18"/>
  <c r="R106" i="18" s="1"/>
  <c r="S106" i="18" s="1"/>
  <c r="P170" i="18"/>
  <c r="Q170" i="18"/>
  <c r="R170" i="18" s="1"/>
  <c r="S170" i="18" s="1"/>
  <c r="P234" i="18"/>
  <c r="Q234" i="18"/>
  <c r="R234" i="18" s="1"/>
  <c r="S234" i="18" s="1"/>
  <c r="P60" i="18"/>
  <c r="Q60" i="18"/>
  <c r="R60" i="18" s="1"/>
  <c r="S60" i="18" s="1"/>
  <c r="P125" i="18"/>
  <c r="Q125" i="18"/>
  <c r="R125" i="18" s="1"/>
  <c r="S125" i="18" s="1"/>
  <c r="P189" i="18"/>
  <c r="Q189" i="18"/>
  <c r="R189" i="18" s="1"/>
  <c r="S189" i="18" s="1"/>
  <c r="P253" i="18"/>
  <c r="Q253" i="18"/>
  <c r="R253" i="18" s="1"/>
  <c r="S253" i="18" s="1"/>
  <c r="P97" i="18"/>
  <c r="Q97" i="18"/>
  <c r="R97" i="18" s="1"/>
  <c r="S97" i="18" s="1"/>
  <c r="P79" i="18"/>
  <c r="Q79" i="18"/>
  <c r="R79" i="18" s="1"/>
  <c r="S79" i="18" s="1"/>
  <c r="P144" i="18"/>
  <c r="Q144" i="18"/>
  <c r="R144" i="18" s="1"/>
  <c r="S144" i="18" s="1"/>
  <c r="P208" i="18"/>
  <c r="Q208" i="18"/>
  <c r="R208" i="18" s="1"/>
  <c r="S208" i="18" s="1"/>
  <c r="P238" i="18"/>
  <c r="Q238" i="18"/>
  <c r="R238" i="18" s="1"/>
  <c r="S238" i="18" s="1"/>
  <c r="R27" i="18"/>
  <c r="S27" i="18" s="1"/>
  <c r="P142" i="18"/>
  <c r="Q142" i="18"/>
  <c r="R142" i="18" s="1"/>
  <c r="S142" i="18" s="1"/>
  <c r="P249" i="18"/>
  <c r="Q249" i="18"/>
  <c r="R249" i="18" s="1"/>
  <c r="S249" i="18" s="1"/>
  <c r="P31" i="18"/>
  <c r="Q31" i="18"/>
  <c r="R31" i="18" s="1"/>
  <c r="S31" i="18" s="1"/>
  <c r="P87" i="18"/>
  <c r="Q87" i="18"/>
  <c r="R87" i="18" s="1"/>
  <c r="S87" i="18" s="1"/>
  <c r="P152" i="18"/>
  <c r="Q152" i="18"/>
  <c r="R152" i="18" s="1"/>
  <c r="S152" i="18" s="1"/>
  <c r="P216" i="18"/>
  <c r="Q216" i="18"/>
  <c r="R216" i="18" s="1"/>
  <c r="S216" i="18" s="1"/>
  <c r="P246" i="18"/>
  <c r="Q246" i="18"/>
  <c r="R246" i="18" s="1"/>
  <c r="S246" i="18" s="1"/>
  <c r="P64" i="18"/>
  <c r="Q64" i="18"/>
  <c r="R64" i="18" s="1"/>
  <c r="S64" i="18" s="1"/>
  <c r="P161" i="18"/>
  <c r="Q161" i="18"/>
  <c r="R161" i="18" s="1"/>
  <c r="S161" i="18" s="1"/>
  <c r="P214" i="18"/>
  <c r="Q214" i="18"/>
  <c r="R214" i="18" s="1"/>
  <c r="S214" i="18" s="1"/>
  <c r="P93" i="18"/>
  <c r="Q93" i="18"/>
  <c r="R93" i="18" s="1"/>
  <c r="S93" i="18" s="1"/>
  <c r="P190" i="18"/>
  <c r="Q190" i="18"/>
  <c r="R190" i="18" s="1"/>
  <c r="S190" i="18" s="1"/>
  <c r="P233" i="18"/>
  <c r="Q233" i="18"/>
  <c r="R233" i="18" s="1"/>
  <c r="S233" i="18" s="1"/>
  <c r="P48" i="18"/>
  <c r="Q48" i="18"/>
  <c r="R48" i="18" s="1"/>
  <c r="S48" i="18" s="1"/>
  <c r="P69" i="18"/>
  <c r="Q69" i="18"/>
  <c r="R69" i="18" s="1"/>
  <c r="S69" i="18" s="1"/>
  <c r="P113" i="18"/>
  <c r="Q113" i="18"/>
  <c r="R113" i="18" s="1"/>
  <c r="S113" i="18" s="1"/>
  <c r="P198" i="18"/>
  <c r="Q198" i="18"/>
  <c r="R198" i="18" s="1"/>
  <c r="S198" i="18" s="1"/>
  <c r="P56" i="18"/>
  <c r="Q56" i="18"/>
  <c r="R56" i="18" s="1"/>
  <c r="S56" i="18" s="1"/>
  <c r="P35" i="18"/>
  <c r="Q35" i="18"/>
  <c r="R35" i="18" s="1"/>
  <c r="S35" i="18" s="1"/>
  <c r="P100" i="18"/>
  <c r="Q100" i="18"/>
  <c r="R100" i="18" s="1"/>
  <c r="S100" i="18" s="1"/>
  <c r="P172" i="18"/>
  <c r="Q172" i="18"/>
  <c r="R172" i="18" s="1"/>
  <c r="S172" i="18" s="1"/>
  <c r="P244" i="18"/>
  <c r="Q244" i="18"/>
  <c r="R244" i="18" s="1"/>
  <c r="S244" i="18" s="1"/>
  <c r="J24" i="18"/>
  <c r="P57" i="18"/>
  <c r="Q57" i="18"/>
  <c r="R57" i="18" s="1"/>
  <c r="S57" i="18" s="1"/>
  <c r="P122" i="18"/>
  <c r="Q122" i="18"/>
  <c r="R122" i="18" s="1"/>
  <c r="S122" i="18" s="1"/>
  <c r="P186" i="18"/>
  <c r="Q186" i="18"/>
  <c r="R186" i="18" s="1"/>
  <c r="S186" i="18" s="1"/>
  <c r="P250" i="18"/>
  <c r="Q250" i="18"/>
  <c r="R250" i="18" s="1"/>
  <c r="S250" i="18" s="1"/>
  <c r="P76" i="18"/>
  <c r="Q76" i="18"/>
  <c r="R76" i="18" s="1"/>
  <c r="S76" i="18" s="1"/>
  <c r="P141" i="18"/>
  <c r="Q141" i="18"/>
  <c r="R141" i="18" s="1"/>
  <c r="S141" i="18" s="1"/>
  <c r="P205" i="18"/>
  <c r="Q205" i="18"/>
  <c r="R205" i="18" s="1"/>
  <c r="S205" i="18" s="1"/>
  <c r="P269" i="18"/>
  <c r="Q269" i="18"/>
  <c r="R269" i="18" s="1"/>
  <c r="S269" i="18" s="1"/>
  <c r="P39" i="18"/>
  <c r="Q39" i="18"/>
  <c r="R39" i="18" s="1"/>
  <c r="S39" i="18" s="1"/>
  <c r="P95" i="18"/>
  <c r="Q95" i="18"/>
  <c r="R95" i="18" s="1"/>
  <c r="S95" i="18" s="1"/>
  <c r="P160" i="18"/>
  <c r="Q160" i="18"/>
  <c r="R160" i="18" s="1"/>
  <c r="S160" i="18" s="1"/>
  <c r="P224" i="18"/>
  <c r="Q224" i="18"/>
  <c r="R224" i="18" s="1"/>
  <c r="S224" i="18" s="1"/>
  <c r="P254" i="18"/>
  <c r="Q254" i="18"/>
  <c r="R254" i="18" s="1"/>
  <c r="S254" i="18" s="1"/>
  <c r="P110" i="18"/>
  <c r="Q110" i="18"/>
  <c r="R110" i="18" s="1"/>
  <c r="S110" i="18" s="1"/>
  <c r="P153" i="18"/>
  <c r="Q153" i="18"/>
  <c r="R153" i="18" s="1"/>
  <c r="S153" i="18" s="1"/>
  <c r="P206" i="18"/>
  <c r="Q206" i="18"/>
  <c r="R206" i="18" s="1"/>
  <c r="S206" i="18" s="1"/>
  <c r="P43" i="18"/>
  <c r="Q43" i="18"/>
  <c r="R43" i="18" s="1"/>
  <c r="S43" i="18" s="1"/>
  <c r="P116" i="18"/>
  <c r="Q116" i="18"/>
  <c r="R116" i="18" s="1"/>
  <c r="S116" i="18" s="1"/>
  <c r="P180" i="18"/>
  <c r="Q180" i="18"/>
  <c r="R180" i="18" s="1"/>
  <c r="S180" i="18" s="1"/>
  <c r="P252" i="18"/>
  <c r="Q252" i="18"/>
  <c r="R252" i="18" s="1"/>
  <c r="S252" i="18" s="1"/>
  <c r="P65" i="18"/>
  <c r="Q65" i="18"/>
  <c r="R65" i="18" s="1"/>
  <c r="S65" i="18" s="1"/>
  <c r="P130" i="18"/>
  <c r="Q130" i="18"/>
  <c r="R130" i="18" s="1"/>
  <c r="S130" i="18" s="1"/>
  <c r="P194" i="18"/>
  <c r="Q194" i="18"/>
  <c r="R194" i="18" s="1"/>
  <c r="S194" i="18" s="1"/>
  <c r="P258" i="18"/>
  <c r="Q258" i="18"/>
  <c r="R258" i="18" s="1"/>
  <c r="S258" i="18" s="1"/>
  <c r="P84" i="18"/>
  <c r="Q84" i="18"/>
  <c r="R84" i="18" s="1"/>
  <c r="S84" i="18" s="1"/>
  <c r="P149" i="18"/>
  <c r="Q149" i="18"/>
  <c r="R149" i="18" s="1"/>
  <c r="S149" i="18" s="1"/>
  <c r="P213" i="18"/>
  <c r="Q213" i="18"/>
  <c r="R213" i="18" s="1"/>
  <c r="S213" i="18" s="1"/>
  <c r="P47" i="18"/>
  <c r="Q47" i="18"/>
  <c r="R47" i="18" s="1"/>
  <c r="S47" i="18" s="1"/>
  <c r="P104" i="18"/>
  <c r="Q104" i="18"/>
  <c r="R104" i="18" s="1"/>
  <c r="S104" i="18" s="1"/>
  <c r="P168" i="18"/>
  <c r="Q168" i="18"/>
  <c r="R168" i="18" s="1"/>
  <c r="S168" i="18" s="1"/>
  <c r="P232" i="18"/>
  <c r="Q232" i="18"/>
  <c r="R232" i="18" s="1"/>
  <c r="S232" i="18" s="1"/>
  <c r="P262" i="18"/>
  <c r="Q262" i="18"/>
  <c r="R262" i="18" s="1"/>
  <c r="S262" i="18" s="1"/>
  <c r="P53" i="18"/>
  <c r="Q53" i="18"/>
  <c r="R53" i="18" s="1"/>
  <c r="S53" i="18" s="1"/>
  <c r="P129" i="18"/>
  <c r="Q129" i="18"/>
  <c r="R129" i="18" s="1"/>
  <c r="S129" i="18" s="1"/>
  <c r="P225" i="18"/>
  <c r="Q225" i="18"/>
  <c r="R225" i="18" s="1"/>
  <c r="S225" i="18" s="1"/>
  <c r="P29" i="18"/>
  <c r="Q29" i="18"/>
  <c r="R29" i="18" s="1"/>
  <c r="S29" i="18" s="1"/>
  <c r="P105" i="18"/>
  <c r="Q105" i="18"/>
  <c r="R105" i="18" s="1"/>
  <c r="S105" i="18" s="1"/>
  <c r="P158" i="18"/>
  <c r="Q158" i="18"/>
  <c r="R158" i="18" s="1"/>
  <c r="S158" i="18" s="1"/>
  <c r="P201" i="18"/>
  <c r="Q201" i="18"/>
  <c r="R201" i="18" s="1"/>
  <c r="S201" i="18" s="1"/>
  <c r="P80" i="18"/>
  <c r="Q80" i="18"/>
  <c r="R80" i="18" s="1"/>
  <c r="S80" i="18" s="1"/>
  <c r="P166" i="18"/>
  <c r="Q166" i="18"/>
  <c r="R166" i="18" s="1"/>
  <c r="S166" i="18" s="1"/>
  <c r="P209" i="18"/>
  <c r="Q209" i="18"/>
  <c r="R209" i="18" s="1"/>
  <c r="S209" i="18" s="1"/>
  <c r="E17" i="18"/>
  <c r="AC23" i="18" s="1"/>
  <c r="AC22" i="18" s="1"/>
  <c r="I22" i="4"/>
  <c r="H24" i="4"/>
  <c r="E17" i="4"/>
  <c r="N26" i="4"/>
  <c r="N34" i="4"/>
  <c r="N42" i="4"/>
  <c r="N50" i="4"/>
  <c r="N58" i="4"/>
  <c r="N66" i="4"/>
  <c r="N74" i="4"/>
  <c r="N82" i="4"/>
  <c r="N90" i="4"/>
  <c r="N100" i="4"/>
  <c r="N109" i="4"/>
  <c r="N118" i="4"/>
  <c r="N127" i="4"/>
  <c r="N136" i="4"/>
  <c r="N145" i="4"/>
  <c r="N153" i="4"/>
  <c r="N161" i="4"/>
  <c r="N170" i="4"/>
  <c r="N178" i="4"/>
  <c r="N186" i="4"/>
  <c r="N194" i="4"/>
  <c r="N202" i="4"/>
  <c r="N210" i="4"/>
  <c r="N217" i="4"/>
  <c r="N224" i="4"/>
  <c r="N232" i="4"/>
  <c r="N239" i="4"/>
  <c r="N245" i="4"/>
  <c r="N252" i="4"/>
  <c r="N259" i="4"/>
  <c r="N267" i="4"/>
  <c r="N27" i="4"/>
  <c r="N35" i="4"/>
  <c r="N43" i="4"/>
  <c r="N51" i="4"/>
  <c r="N59" i="4"/>
  <c r="N67" i="4"/>
  <c r="N75" i="4"/>
  <c r="N83" i="4"/>
  <c r="N91" i="4"/>
  <c r="N101" i="4"/>
  <c r="N110" i="4"/>
  <c r="N119" i="4"/>
  <c r="N128" i="4"/>
  <c r="N137" i="4"/>
  <c r="N146" i="4"/>
  <c r="N154" i="4"/>
  <c r="N163" i="4"/>
  <c r="N171" i="4"/>
  <c r="N179" i="4"/>
  <c r="N187" i="4"/>
  <c r="N195" i="4"/>
  <c r="N203" i="4"/>
  <c r="N211" i="4"/>
  <c r="N218" i="4"/>
  <c r="N225" i="4"/>
  <c r="N233" i="4"/>
  <c r="N240" i="4"/>
  <c r="N246" i="4"/>
  <c r="N253" i="4"/>
  <c r="N260" i="4"/>
  <c r="N268" i="4"/>
  <c r="N28" i="4"/>
  <c r="N36" i="4"/>
  <c r="N44" i="4"/>
  <c r="N52" i="4"/>
  <c r="N60" i="4"/>
  <c r="N68" i="4"/>
  <c r="N76" i="4"/>
  <c r="N84" i="4"/>
  <c r="N92" i="4"/>
  <c r="N102" i="4"/>
  <c r="N111" i="4"/>
  <c r="N120" i="4"/>
  <c r="N129" i="4"/>
  <c r="N138" i="4"/>
  <c r="N147" i="4"/>
  <c r="N155" i="4"/>
  <c r="N164" i="4"/>
  <c r="N172" i="4"/>
  <c r="N180" i="4"/>
  <c r="N188" i="4"/>
  <c r="N196" i="4"/>
  <c r="N204" i="4"/>
  <c r="N212" i="4"/>
  <c r="N219" i="4"/>
  <c r="N226" i="4"/>
  <c r="N234" i="4"/>
  <c r="N241" i="4"/>
  <c r="N247" i="4"/>
  <c r="N162" i="4"/>
  <c r="N261" i="4"/>
  <c r="N269" i="4"/>
  <c r="N29" i="4"/>
  <c r="N37" i="4"/>
  <c r="N45" i="4"/>
  <c r="N53" i="4"/>
  <c r="N61" i="4"/>
  <c r="N69" i="4"/>
  <c r="N77" i="4"/>
  <c r="N85" i="4"/>
  <c r="N93" i="4"/>
  <c r="N103" i="4"/>
  <c r="N112" i="4"/>
  <c r="N121" i="4"/>
  <c r="N130" i="4"/>
  <c r="N139" i="4"/>
  <c r="N148" i="4"/>
  <c r="N156" i="4"/>
  <c r="N165" i="4"/>
  <c r="N173" i="4"/>
  <c r="N181" i="4"/>
  <c r="N189" i="4"/>
  <c r="N197" i="4"/>
  <c r="N205" i="4"/>
  <c r="N96" i="4"/>
  <c r="N220" i="4"/>
  <c r="N227" i="4"/>
  <c r="N116" i="4"/>
  <c r="N242" i="4"/>
  <c r="N140" i="4"/>
  <c r="N254" i="4"/>
  <c r="N262" i="4"/>
  <c r="N270" i="4"/>
  <c r="N30" i="4"/>
  <c r="N38" i="4"/>
  <c r="N46" i="4"/>
  <c r="N54" i="4"/>
  <c r="N62" i="4"/>
  <c r="N70" i="4"/>
  <c r="N78" i="4"/>
  <c r="N86" i="4"/>
  <c r="N94" i="4"/>
  <c r="N104" i="4"/>
  <c r="N113" i="4"/>
  <c r="N122" i="4"/>
  <c r="N132" i="4"/>
  <c r="N141" i="4"/>
  <c r="N149" i="4"/>
  <c r="N157" i="4"/>
  <c r="N166" i="4"/>
  <c r="N174" i="4"/>
  <c r="N182" i="4"/>
  <c r="N190" i="4"/>
  <c r="N198" i="4"/>
  <c r="N206" i="4"/>
  <c r="N213" i="4"/>
  <c r="N221" i="4"/>
  <c r="N228" i="4"/>
  <c r="N235" i="4"/>
  <c r="N243" i="4"/>
  <c r="N248" i="4"/>
  <c r="N255" i="4"/>
  <c r="N263" i="4"/>
  <c r="N271" i="4"/>
  <c r="F15" i="4"/>
  <c r="N31" i="4"/>
  <c r="N39" i="4"/>
  <c r="N47" i="4"/>
  <c r="N55" i="4"/>
  <c r="N63" i="4"/>
  <c r="N71" i="4"/>
  <c r="N79" i="4"/>
  <c r="N87" i="4"/>
  <c r="N95" i="4"/>
  <c r="N105" i="4"/>
  <c r="N114" i="4"/>
  <c r="N123" i="4"/>
  <c r="N133" i="4"/>
  <c r="N142" i="4"/>
  <c r="N150" i="4"/>
  <c r="N158" i="4"/>
  <c r="N167" i="4"/>
  <c r="N175" i="4"/>
  <c r="N183" i="4"/>
  <c r="N191" i="4"/>
  <c r="N199" i="4"/>
  <c r="N207" i="4"/>
  <c r="N214" i="4"/>
  <c r="N222" i="4"/>
  <c r="N229" i="4"/>
  <c r="N236" i="4"/>
  <c r="N124" i="4"/>
  <c r="N249" i="4"/>
  <c r="N256" i="4"/>
  <c r="N264" i="4"/>
  <c r="N272" i="4"/>
  <c r="N98" i="4"/>
  <c r="N32" i="4"/>
  <c r="N40" i="4"/>
  <c r="N48" i="4"/>
  <c r="N56" i="4"/>
  <c r="N64" i="4"/>
  <c r="N72" i="4"/>
  <c r="N80" i="4"/>
  <c r="N88" i="4"/>
  <c r="N97" i="4"/>
  <c r="N107" i="4"/>
  <c r="N115" i="4"/>
  <c r="N125" i="4"/>
  <c r="N134" i="4"/>
  <c r="N143" i="4"/>
  <c r="N151" i="4"/>
  <c r="N159" i="4"/>
  <c r="N168" i="4"/>
  <c r="N176" i="4"/>
  <c r="N184" i="4"/>
  <c r="N192" i="4"/>
  <c r="N200" i="4"/>
  <c r="N208" i="4"/>
  <c r="N215" i="4"/>
  <c r="N106" i="4"/>
  <c r="N230" i="4"/>
  <c r="N237" i="4"/>
  <c r="N244" i="4"/>
  <c r="N250" i="4"/>
  <c r="N257" i="4"/>
  <c r="N265" i="4"/>
  <c r="N273" i="4"/>
  <c r="N33" i="4"/>
  <c r="N41" i="4"/>
  <c r="N49" i="4"/>
  <c r="N57" i="4"/>
  <c r="N65" i="4"/>
  <c r="N73" i="4"/>
  <c r="N81" i="4"/>
  <c r="N89" i="4"/>
  <c r="N99" i="4"/>
  <c r="N108" i="4"/>
  <c r="N117" i="4"/>
  <c r="N126" i="4"/>
  <c r="N135" i="4"/>
  <c r="N144" i="4"/>
  <c r="N152" i="4"/>
  <c r="N160" i="4"/>
  <c r="N169" i="4"/>
  <c r="N177" i="4"/>
  <c r="N185" i="4"/>
  <c r="N193" i="4"/>
  <c r="N201" i="4"/>
  <c r="N209" i="4"/>
  <c r="N216" i="4"/>
  <c r="N223" i="4"/>
  <c r="N231" i="4"/>
  <c r="N238" i="4"/>
  <c r="N131" i="4"/>
  <c r="N251" i="4"/>
  <c r="N258" i="4"/>
  <c r="N266" i="4"/>
  <c r="N274" i="4"/>
  <c r="Q252" i="1"/>
  <c r="R252" i="1"/>
  <c r="P6" i="1"/>
  <c r="P18" i="1"/>
  <c r="P175" i="1"/>
  <c r="P25" i="1"/>
  <c r="P40" i="1"/>
  <c r="P12" i="1"/>
  <c r="P109" i="1"/>
  <c r="P111" i="1"/>
  <c r="P9" i="1"/>
  <c r="P61" i="1"/>
  <c r="P135" i="1"/>
  <c r="P174" i="1"/>
  <c r="P104" i="1"/>
  <c r="P50" i="1"/>
  <c r="P16" i="1"/>
  <c r="P166" i="1"/>
  <c r="P80" i="1"/>
  <c r="P54" i="1"/>
  <c r="P86" i="1"/>
  <c r="P45" i="1"/>
  <c r="P179" i="1"/>
  <c r="P8" i="1"/>
  <c r="P167" i="1"/>
  <c r="P48" i="1"/>
  <c r="P199" i="1"/>
  <c r="P97" i="1"/>
  <c r="P211" i="1"/>
  <c r="P32" i="1"/>
  <c r="P183" i="1"/>
  <c r="P59" i="1"/>
  <c r="P127" i="1"/>
  <c r="P121" i="1"/>
  <c r="P96" i="1"/>
  <c r="P232" i="1"/>
  <c r="P157" i="1"/>
  <c r="P233" i="1"/>
  <c r="P212" i="1"/>
  <c r="P15" i="1"/>
  <c r="P77" i="1"/>
  <c r="P65" i="1"/>
  <c r="P151" i="1"/>
  <c r="P87" i="1"/>
  <c r="P155" i="1"/>
  <c r="P20" i="1"/>
  <c r="P148" i="1"/>
  <c r="P78" i="1"/>
  <c r="P51" i="1"/>
  <c r="P118" i="1"/>
  <c r="P71" i="1"/>
  <c r="P105" i="1"/>
  <c r="P128" i="1"/>
  <c r="P27" i="1"/>
  <c r="P170" i="1"/>
  <c r="P216" i="1"/>
  <c r="P89" i="1"/>
  <c r="P123" i="1"/>
  <c r="P64" i="1"/>
  <c r="P192" i="1"/>
  <c r="P186" i="1"/>
  <c r="P67" i="1"/>
  <c r="P244" i="1"/>
  <c r="P58" i="1"/>
  <c r="P23" i="1"/>
  <c r="P138" i="1"/>
  <c r="P230" i="1"/>
  <c r="P84" i="1"/>
  <c r="P163" i="1"/>
  <c r="P55" i="1"/>
  <c r="P70" i="1"/>
  <c r="P26" i="1"/>
  <c r="P79" i="1"/>
  <c r="P100" i="1"/>
  <c r="P228" i="1"/>
  <c r="P21" i="1"/>
  <c r="P29" i="1"/>
  <c r="P184" i="1"/>
  <c r="P44" i="1"/>
  <c r="P172" i="1"/>
  <c r="P76" i="1"/>
  <c r="P17" i="1"/>
  <c r="P68" i="1"/>
  <c r="P46" i="1"/>
  <c r="P56" i="1"/>
  <c r="P188" i="1"/>
  <c r="P145" i="1"/>
  <c r="P245" i="1"/>
  <c r="P108" i="1"/>
  <c r="P141" i="1"/>
  <c r="P205" i="1"/>
  <c r="P146" i="1"/>
  <c r="P69" i="1"/>
  <c r="P28" i="1"/>
  <c r="P30" i="1"/>
  <c r="P254" i="1"/>
  <c r="P169" i="1"/>
  <c r="P103" i="1"/>
  <c r="P22" i="1"/>
  <c r="P156" i="1"/>
  <c r="P93" i="1"/>
  <c r="P160" i="1"/>
  <c r="P165" i="1"/>
  <c r="P240" i="1"/>
  <c r="P83" i="1"/>
  <c r="P136" i="1"/>
  <c r="P218" i="1"/>
  <c r="P124" i="1"/>
  <c r="P202" i="1"/>
  <c r="P116" i="1"/>
  <c r="P91" i="1"/>
  <c r="P159" i="1"/>
  <c r="P194" i="1"/>
  <c r="P140" i="1"/>
  <c r="P220" i="1"/>
  <c r="P207" i="1"/>
  <c r="P34" i="1"/>
  <c r="P114" i="1"/>
  <c r="P101" i="1"/>
  <c r="P238" i="1"/>
  <c r="P208" i="1"/>
  <c r="P75" i="1"/>
  <c r="P24" i="1"/>
  <c r="P219" i="1"/>
  <c r="P168" i="1"/>
  <c r="P106" i="1"/>
  <c r="P235" i="1"/>
  <c r="P36" i="1"/>
  <c r="P239" i="1"/>
  <c r="P74" i="1"/>
  <c r="P249" i="1"/>
  <c r="P31" i="1"/>
  <c r="P200" i="1"/>
  <c r="P224" i="1"/>
  <c r="P189" i="1"/>
  <c r="P214" i="1"/>
  <c r="P182" i="1"/>
  <c r="P98" i="1"/>
  <c r="P88" i="1"/>
  <c r="P229" i="1"/>
  <c r="P203" i="1"/>
  <c r="P227" i="1"/>
  <c r="P133" i="1"/>
  <c r="P47" i="1"/>
  <c r="P180" i="1"/>
  <c r="P158" i="1"/>
  <c r="P35" i="1"/>
  <c r="P134" i="1"/>
  <c r="P99" i="1"/>
  <c r="P242" i="1"/>
  <c r="P201" i="1"/>
  <c r="P102" i="1"/>
  <c r="P247" i="1"/>
  <c r="P173" i="1"/>
  <c r="P248" i="1"/>
  <c r="P110" i="1"/>
  <c r="P11" i="1"/>
  <c r="P154" i="1"/>
  <c r="P209" i="1"/>
  <c r="P41" i="1"/>
  <c r="P125" i="1"/>
  <c r="P234" i="1"/>
  <c r="P112" i="1"/>
  <c r="P120" i="1"/>
  <c r="P92" i="1"/>
  <c r="P37" i="1"/>
  <c r="P164" i="1"/>
  <c r="P237" i="1"/>
  <c r="P129" i="1"/>
  <c r="P7" i="1"/>
  <c r="P197" i="1"/>
  <c r="P52" i="1"/>
  <c r="P217" i="1"/>
  <c r="P147" i="1"/>
  <c r="P49" i="1"/>
  <c r="P198" i="1"/>
  <c r="P161" i="1"/>
  <c r="P153" i="1"/>
  <c r="P185" i="1"/>
  <c r="P213" i="1"/>
  <c r="P94" i="1"/>
  <c r="P236" i="1"/>
  <c r="P177" i="1"/>
  <c r="P73" i="1"/>
  <c r="P215" i="1"/>
  <c r="P81" i="1"/>
  <c r="P38" i="1"/>
  <c r="P190" i="1"/>
  <c r="P210" i="1"/>
  <c r="P178" i="1"/>
  <c r="P33" i="1"/>
  <c r="P171" i="1"/>
  <c r="P115" i="1"/>
  <c r="P243" i="1"/>
  <c r="P241" i="1"/>
  <c r="P193" i="1"/>
  <c r="P53" i="1"/>
  <c r="P122" i="1"/>
  <c r="P132" i="1"/>
  <c r="P221" i="1"/>
  <c r="P62" i="1"/>
  <c r="P42" i="1"/>
  <c r="P139" i="1"/>
  <c r="P66" i="1"/>
  <c r="P14" i="1"/>
  <c r="P191" i="1"/>
  <c r="P130" i="1"/>
  <c r="P107" i="1"/>
  <c r="P222" i="1"/>
  <c r="P162" i="1"/>
  <c r="P39" i="1"/>
  <c r="P95" i="1"/>
  <c r="P10" i="1"/>
  <c r="P143" i="1"/>
  <c r="P204" i="1"/>
  <c r="P119" i="1"/>
  <c r="P113" i="1"/>
  <c r="P82" i="1"/>
  <c r="P85" i="1"/>
  <c r="P43" i="1"/>
  <c r="P176" i="1"/>
  <c r="P181" i="1"/>
  <c r="P206" i="1"/>
  <c r="P19" i="1"/>
  <c r="P117" i="1"/>
  <c r="P13" i="1"/>
  <c r="P187" i="1"/>
  <c r="P196" i="1"/>
  <c r="P231" i="1"/>
  <c r="P152" i="1"/>
  <c r="P90" i="1"/>
  <c r="P223" i="1"/>
  <c r="P150" i="1"/>
  <c r="P72" i="1"/>
  <c r="P246" i="1"/>
  <c r="P149" i="1"/>
  <c r="P137" i="1"/>
  <c r="P126" i="1"/>
  <c r="P131" i="1"/>
  <c r="P57" i="1"/>
  <c r="P63" i="1"/>
  <c r="P142" i="1"/>
  <c r="P144" i="1"/>
  <c r="P195" i="1"/>
  <c r="P226" i="1"/>
  <c r="R60" i="1"/>
  <c r="Q60" i="1"/>
  <c r="R225" i="1"/>
  <c r="Q225" i="1"/>
  <c r="Q250" i="1"/>
  <c r="R250" i="1"/>
  <c r="Q251" i="1"/>
  <c r="R251" i="1"/>
  <c r="R253" i="1"/>
  <c r="Q253" i="1"/>
  <c r="V24" i="18" l="1"/>
  <c r="S24" i="18"/>
  <c r="W104" i="18" s="1"/>
  <c r="P24" i="18"/>
  <c r="W261" i="18"/>
  <c r="U115" i="18"/>
  <c r="U94" i="18"/>
  <c r="W84" i="18"/>
  <c r="W106" i="18"/>
  <c r="W186" i="18"/>
  <c r="W146" i="18"/>
  <c r="U199" i="18"/>
  <c r="U38" i="18"/>
  <c r="W179" i="18"/>
  <c r="W197" i="18"/>
  <c r="U253" i="18"/>
  <c r="U220" i="18"/>
  <c r="W140" i="18"/>
  <c r="U178" i="18"/>
  <c r="W235" i="18"/>
  <c r="W253" i="18"/>
  <c r="W221" i="18"/>
  <c r="W170" i="18"/>
  <c r="W36" i="18"/>
  <c r="W268" i="18"/>
  <c r="U155" i="18"/>
  <c r="U255" i="18"/>
  <c r="U133" i="18"/>
  <c r="W39" i="18"/>
  <c r="W165" i="18"/>
  <c r="W214" i="18"/>
  <c r="U240" i="18"/>
  <c r="W77" i="18"/>
  <c r="W137" i="18"/>
  <c r="U150" i="18"/>
  <c r="U141" i="18"/>
  <c r="U62" i="18"/>
  <c r="W95" i="18"/>
  <c r="W220" i="18"/>
  <c r="W150" i="18"/>
  <c r="W78" i="18"/>
  <c r="W130" i="18"/>
  <c r="W207" i="18"/>
  <c r="W241" i="18"/>
  <c r="W167" i="18"/>
  <c r="W201" i="18"/>
  <c r="W111" i="18"/>
  <c r="W218" i="18"/>
  <c r="W31" i="18"/>
  <c r="W193" i="18"/>
  <c r="U203" i="18"/>
  <c r="U99" i="18"/>
  <c r="U207" i="18"/>
  <c r="U214" i="18"/>
  <c r="U111" i="18"/>
  <c r="U89" i="18"/>
  <c r="W176" i="18"/>
  <c r="W92" i="18"/>
  <c r="W124" i="18"/>
  <c r="W70" i="18"/>
  <c r="U114" i="18"/>
  <c r="U223" i="18"/>
  <c r="W163" i="18"/>
  <c r="W63" i="18"/>
  <c r="W263" i="18"/>
  <c r="W50" i="18"/>
  <c r="W252" i="18"/>
  <c r="W32" i="18"/>
  <c r="W194" i="18"/>
  <c r="W212" i="18"/>
  <c r="W265" i="18"/>
  <c r="W175" i="18"/>
  <c r="W142" i="18"/>
  <c r="W109" i="18"/>
  <c r="W234" i="18"/>
  <c r="U243" i="18"/>
  <c r="U235" i="18"/>
  <c r="U78" i="18"/>
  <c r="U246" i="18"/>
  <c r="U225" i="18"/>
  <c r="U32" i="18"/>
  <c r="W135" i="18"/>
  <c r="U262" i="18"/>
  <c r="W76" i="18"/>
  <c r="W81" i="18"/>
  <c r="W114" i="18"/>
  <c r="W102" i="18"/>
  <c r="U129" i="18"/>
  <c r="W198" i="18"/>
  <c r="U198" i="18"/>
  <c r="U161" i="18"/>
  <c r="W161" i="18"/>
  <c r="U245" i="18"/>
  <c r="W245" i="18"/>
  <c r="U88" i="18"/>
  <c r="U128" i="18"/>
  <c r="W30" i="18"/>
  <c r="U30" i="18"/>
  <c r="U84" i="18"/>
  <c r="U113" i="18"/>
  <c r="U110" i="18"/>
  <c r="U122" i="18"/>
  <c r="U170" i="18"/>
  <c r="U156" i="18"/>
  <c r="U134" i="18"/>
  <c r="U157" i="18"/>
  <c r="U248" i="18"/>
  <c r="U148" i="18"/>
  <c r="U121" i="18"/>
  <c r="W112" i="18"/>
  <c r="U138" i="18"/>
  <c r="W138" i="18"/>
  <c r="U105" i="18"/>
  <c r="U65" i="18"/>
  <c r="Q23" i="18"/>
  <c r="W113" i="18"/>
  <c r="U57" i="18"/>
  <c r="U53" i="18"/>
  <c r="W65" i="18"/>
  <c r="W110" i="18"/>
  <c r="U80" i="18"/>
  <c r="U258" i="18"/>
  <c r="U31" i="18"/>
  <c r="U61" i="18"/>
  <c r="U117" i="18"/>
  <c r="W98" i="18"/>
  <c r="U98" i="18"/>
  <c r="U55" i="18"/>
  <c r="U118" i="18"/>
  <c r="U73" i="18"/>
  <c r="S25" i="18"/>
  <c r="U43" i="18"/>
  <c r="Q22" i="18"/>
  <c r="U106" i="18"/>
  <c r="U81" i="18"/>
  <c r="U68" i="18"/>
  <c r="U181" i="18"/>
  <c r="U206" i="18"/>
  <c r="U224" i="18"/>
  <c r="U269" i="18"/>
  <c r="U250" i="18"/>
  <c r="U238" i="18"/>
  <c r="U59" i="18"/>
  <c r="U85" i="18"/>
  <c r="W85" i="18"/>
  <c r="U169" i="18"/>
  <c r="W91" i="18"/>
  <c r="W68" i="18"/>
  <c r="W125" i="18"/>
  <c r="U201" i="18"/>
  <c r="U213" i="18"/>
  <c r="W213" i="18"/>
  <c r="U48" i="18"/>
  <c r="U216" i="18"/>
  <c r="U249" i="18"/>
  <c r="U37" i="18"/>
  <c r="U257" i="18"/>
  <c r="W33" i="18"/>
  <c r="U192" i="18"/>
  <c r="U109" i="18"/>
  <c r="U217" i="18"/>
  <c r="W217" i="18"/>
  <c r="U229" i="18"/>
  <c r="W266" i="18"/>
  <c r="U28" i="18"/>
  <c r="W166" i="18"/>
  <c r="U166" i="18"/>
  <c r="U79" i="18"/>
  <c r="U261" i="18"/>
  <c r="U270" i="18"/>
  <c r="U76" i="18"/>
  <c r="U64" i="18"/>
  <c r="W61" i="18"/>
  <c r="W43" i="18"/>
  <c r="W149" i="18"/>
  <c r="W270" i="18"/>
  <c r="W134" i="18"/>
  <c r="U234" i="18"/>
  <c r="U228" i="18"/>
  <c r="U268" i="18"/>
  <c r="U210" i="18"/>
  <c r="U184" i="18"/>
  <c r="U126" i="18"/>
  <c r="N24" i="4"/>
  <c r="R72" i="1"/>
  <c r="Q72" i="1"/>
  <c r="R150" i="1"/>
  <c r="Q150" i="1"/>
  <c r="Q115" i="1"/>
  <c r="R115" i="1"/>
  <c r="Q223" i="1"/>
  <c r="R223" i="1"/>
  <c r="Q19" i="1"/>
  <c r="R19" i="1"/>
  <c r="R119" i="1"/>
  <c r="Q119" i="1"/>
  <c r="Q107" i="1"/>
  <c r="R107" i="1"/>
  <c r="R221" i="1"/>
  <c r="Q221" i="1"/>
  <c r="Q171" i="1"/>
  <c r="R171" i="1"/>
  <c r="Q73" i="1"/>
  <c r="R73" i="1"/>
  <c r="R198" i="1"/>
  <c r="Q198" i="1"/>
  <c r="R237" i="1"/>
  <c r="Q237" i="1"/>
  <c r="Q41" i="1"/>
  <c r="R41" i="1"/>
  <c r="Q102" i="1"/>
  <c r="R102" i="1"/>
  <c r="Q47" i="1"/>
  <c r="R47" i="1"/>
  <c r="Q214" i="1"/>
  <c r="R214" i="1"/>
  <c r="R36" i="1"/>
  <c r="Q36" i="1"/>
  <c r="R238" i="1"/>
  <c r="Q238" i="1"/>
  <c r="R159" i="1"/>
  <c r="Q159" i="1"/>
  <c r="Q240" i="1"/>
  <c r="R240" i="1"/>
  <c r="Q254" i="1"/>
  <c r="R254" i="1"/>
  <c r="R245" i="1"/>
  <c r="Q245" i="1"/>
  <c r="R172" i="1"/>
  <c r="Q172" i="1"/>
  <c r="Q26" i="1"/>
  <c r="R26" i="1"/>
  <c r="Q58" i="1"/>
  <c r="R58" i="1"/>
  <c r="Q216" i="1"/>
  <c r="R216" i="1"/>
  <c r="Q78" i="1"/>
  <c r="R78" i="1"/>
  <c r="Q15" i="1"/>
  <c r="R15" i="1"/>
  <c r="Q59" i="1"/>
  <c r="R59" i="1"/>
  <c r="R8" i="1"/>
  <c r="Q8" i="1"/>
  <c r="R50" i="1"/>
  <c r="Q50" i="1"/>
  <c r="R12" i="1"/>
  <c r="Q12" i="1"/>
  <c r="Q162" i="1"/>
  <c r="R162" i="1"/>
  <c r="R117" i="1"/>
  <c r="Q117" i="1"/>
  <c r="R215" i="1"/>
  <c r="Q215" i="1"/>
  <c r="R131" i="1"/>
  <c r="Q131" i="1"/>
  <c r="R206" i="1"/>
  <c r="Q206" i="1"/>
  <c r="Q204" i="1"/>
  <c r="R204" i="1"/>
  <c r="R130" i="1"/>
  <c r="Q130" i="1"/>
  <c r="R132" i="1"/>
  <c r="Q132" i="1"/>
  <c r="R33" i="1"/>
  <c r="Q33" i="1"/>
  <c r="Q177" i="1"/>
  <c r="R177" i="1"/>
  <c r="Q49" i="1"/>
  <c r="R49" i="1"/>
  <c r="R164" i="1"/>
  <c r="Q164" i="1"/>
  <c r="Q209" i="1"/>
  <c r="R209" i="1"/>
  <c r="R201" i="1"/>
  <c r="Q201" i="1"/>
  <c r="R133" i="1"/>
  <c r="Q133" i="1"/>
  <c r="R189" i="1"/>
  <c r="Q189" i="1"/>
  <c r="R235" i="1"/>
  <c r="Q235" i="1"/>
  <c r="Q101" i="1"/>
  <c r="R101" i="1"/>
  <c r="R91" i="1"/>
  <c r="Q91" i="1"/>
  <c r="Q165" i="1"/>
  <c r="R165" i="1"/>
  <c r="Q30" i="1"/>
  <c r="R30" i="1"/>
  <c r="Q145" i="1"/>
  <c r="R145" i="1"/>
  <c r="Q44" i="1"/>
  <c r="R44" i="1"/>
  <c r="R70" i="1"/>
  <c r="Q70" i="1"/>
  <c r="R244" i="1"/>
  <c r="Q244" i="1"/>
  <c r="R170" i="1"/>
  <c r="Q170" i="1"/>
  <c r="R148" i="1"/>
  <c r="Q148" i="1"/>
  <c r="R212" i="1"/>
  <c r="Q212" i="1"/>
  <c r="Q183" i="1"/>
  <c r="R183" i="1"/>
  <c r="R179" i="1"/>
  <c r="Q179" i="1"/>
  <c r="R104" i="1"/>
  <c r="Q104" i="1"/>
  <c r="R40" i="1"/>
  <c r="Q40" i="1"/>
  <c r="Q42" i="1"/>
  <c r="R42" i="1"/>
  <c r="Q113" i="1"/>
  <c r="R113" i="1"/>
  <c r="R161" i="1"/>
  <c r="Q161" i="1"/>
  <c r="N11" i="4"/>
  <c r="S225" i="1"/>
  <c r="J225" i="1"/>
  <c r="K225" i="1" s="1"/>
  <c r="Q90" i="1"/>
  <c r="R90" i="1"/>
  <c r="S253" i="1"/>
  <c r="J253" i="1"/>
  <c r="K253" i="1" s="1"/>
  <c r="N8" i="4"/>
  <c r="J60" i="1"/>
  <c r="K60" i="1" s="1"/>
  <c r="S60" i="1"/>
  <c r="R126" i="1"/>
  <c r="Q126" i="1"/>
  <c r="R152" i="1"/>
  <c r="Q152" i="1"/>
  <c r="R181" i="1"/>
  <c r="Q181" i="1"/>
  <c r="Q143" i="1"/>
  <c r="R143" i="1"/>
  <c r="Q191" i="1"/>
  <c r="R191" i="1"/>
  <c r="Q122" i="1"/>
  <c r="R122" i="1"/>
  <c r="Q178" i="1"/>
  <c r="R178" i="1"/>
  <c r="Q236" i="1"/>
  <c r="R236" i="1"/>
  <c r="R147" i="1"/>
  <c r="Q147" i="1"/>
  <c r="Q37" i="1"/>
  <c r="R37" i="1"/>
  <c r="Q154" i="1"/>
  <c r="R154" i="1"/>
  <c r="R242" i="1"/>
  <c r="Q242" i="1"/>
  <c r="R227" i="1"/>
  <c r="Q227" i="1"/>
  <c r="R224" i="1"/>
  <c r="Q224" i="1"/>
  <c r="R106" i="1"/>
  <c r="Q106" i="1"/>
  <c r="R114" i="1"/>
  <c r="Q114" i="1"/>
  <c r="R116" i="1"/>
  <c r="Q116" i="1"/>
  <c r="R160" i="1"/>
  <c r="Q160" i="1"/>
  <c r="R28" i="1"/>
  <c r="Q28" i="1"/>
  <c r="Q188" i="1"/>
  <c r="R188" i="1"/>
  <c r="R184" i="1"/>
  <c r="Q184" i="1"/>
  <c r="R55" i="1"/>
  <c r="Q55" i="1"/>
  <c r="R67" i="1"/>
  <c r="Q67" i="1"/>
  <c r="R27" i="1"/>
  <c r="Q27" i="1"/>
  <c r="R20" i="1"/>
  <c r="Q20" i="1"/>
  <c r="R233" i="1"/>
  <c r="Q233" i="1"/>
  <c r="Q32" i="1"/>
  <c r="R32" i="1"/>
  <c r="R45" i="1"/>
  <c r="Q45" i="1"/>
  <c r="Q174" i="1"/>
  <c r="R174" i="1"/>
  <c r="R25" i="1"/>
  <c r="Q25" i="1"/>
  <c r="Q142" i="1"/>
  <c r="R142" i="1"/>
  <c r="R81" i="1"/>
  <c r="Q81" i="1"/>
  <c r="Q222" i="1"/>
  <c r="R222" i="1"/>
  <c r="Q57" i="1"/>
  <c r="R57" i="1"/>
  <c r="J251" i="1"/>
  <c r="K251" i="1" s="1"/>
  <c r="S251" i="1"/>
  <c r="Q226" i="1"/>
  <c r="R226" i="1"/>
  <c r="Q137" i="1"/>
  <c r="R137" i="1"/>
  <c r="Q231" i="1"/>
  <c r="R231" i="1"/>
  <c r="Q176" i="1"/>
  <c r="R176" i="1"/>
  <c r="Q10" i="1"/>
  <c r="R10" i="1"/>
  <c r="Q14" i="1"/>
  <c r="R14" i="1"/>
  <c r="R53" i="1"/>
  <c r="Q53" i="1"/>
  <c r="Q210" i="1"/>
  <c r="R210" i="1"/>
  <c r="Q94" i="1"/>
  <c r="R94" i="1"/>
  <c r="R217" i="1"/>
  <c r="Q217" i="1"/>
  <c r="Q92" i="1"/>
  <c r="R92" i="1"/>
  <c r="R11" i="1"/>
  <c r="Q11" i="1"/>
  <c r="Q99" i="1"/>
  <c r="R99" i="1"/>
  <c r="Q203" i="1"/>
  <c r="R203" i="1"/>
  <c r="R200" i="1"/>
  <c r="Q200" i="1"/>
  <c r="Q168" i="1"/>
  <c r="R168" i="1"/>
  <c r="R34" i="1"/>
  <c r="Q34" i="1"/>
  <c r="Q202" i="1"/>
  <c r="R202" i="1"/>
  <c r="R93" i="1"/>
  <c r="Q93" i="1"/>
  <c r="R69" i="1"/>
  <c r="Q69" i="1"/>
  <c r="R56" i="1"/>
  <c r="Q56" i="1"/>
  <c r="R29" i="1"/>
  <c r="Q29" i="1"/>
  <c r="R163" i="1"/>
  <c r="Q163" i="1"/>
  <c r="Q186" i="1"/>
  <c r="R186" i="1"/>
  <c r="R128" i="1"/>
  <c r="Q128" i="1"/>
  <c r="Q155" i="1"/>
  <c r="R155" i="1"/>
  <c r="R157" i="1"/>
  <c r="Q157" i="1"/>
  <c r="R211" i="1"/>
  <c r="Q211" i="1"/>
  <c r="R86" i="1"/>
  <c r="Q86" i="1"/>
  <c r="R135" i="1"/>
  <c r="Q135" i="1"/>
  <c r="R175" i="1"/>
  <c r="Q175" i="1"/>
  <c r="Q13" i="1"/>
  <c r="R13" i="1"/>
  <c r="Q195" i="1"/>
  <c r="R195" i="1"/>
  <c r="R149" i="1"/>
  <c r="Q149" i="1"/>
  <c r="R196" i="1"/>
  <c r="Q196" i="1"/>
  <c r="Q43" i="1"/>
  <c r="R43" i="1"/>
  <c r="Q95" i="1"/>
  <c r="R95" i="1"/>
  <c r="R66" i="1"/>
  <c r="Q66" i="1"/>
  <c r="Q193" i="1"/>
  <c r="R193" i="1"/>
  <c r="R190" i="1"/>
  <c r="Q190" i="1"/>
  <c r="R213" i="1"/>
  <c r="Q213" i="1"/>
  <c r="R52" i="1"/>
  <c r="Q52" i="1"/>
  <c r="R120" i="1"/>
  <c r="Q120" i="1"/>
  <c r="Q110" i="1"/>
  <c r="R110" i="1"/>
  <c r="R134" i="1"/>
  <c r="Q134" i="1"/>
  <c r="R229" i="1"/>
  <c r="Q229" i="1"/>
  <c r="R31" i="1"/>
  <c r="Q31" i="1"/>
  <c r="Q219" i="1"/>
  <c r="R219" i="1"/>
  <c r="R207" i="1"/>
  <c r="Q207" i="1"/>
  <c r="R124" i="1"/>
  <c r="Q124" i="1"/>
  <c r="Q156" i="1"/>
  <c r="R156" i="1"/>
  <c r="Q146" i="1"/>
  <c r="R146" i="1"/>
  <c r="R46" i="1"/>
  <c r="Q46" i="1"/>
  <c r="R21" i="1"/>
  <c r="Q21" i="1"/>
  <c r="Q84" i="1"/>
  <c r="R84" i="1"/>
  <c r="R192" i="1"/>
  <c r="Q192" i="1"/>
  <c r="R105" i="1"/>
  <c r="Q105" i="1"/>
  <c r="R87" i="1"/>
  <c r="Q87" i="1"/>
  <c r="Q232" i="1"/>
  <c r="R232" i="1"/>
  <c r="R97" i="1"/>
  <c r="Q97" i="1"/>
  <c r="R54" i="1"/>
  <c r="Q54" i="1"/>
  <c r="Q61" i="1"/>
  <c r="R61" i="1"/>
  <c r="R18" i="1"/>
  <c r="Q18" i="1"/>
  <c r="R82" i="1"/>
  <c r="Q82" i="1"/>
  <c r="S250" i="1"/>
  <c r="J250" i="1"/>
  <c r="K250" i="1" s="1"/>
  <c r="R144" i="1"/>
  <c r="Q144" i="1"/>
  <c r="R246" i="1"/>
  <c r="Q246" i="1"/>
  <c r="Q187" i="1"/>
  <c r="R187" i="1"/>
  <c r="Q85" i="1"/>
  <c r="R85" i="1"/>
  <c r="R39" i="1"/>
  <c r="Q39" i="1"/>
  <c r="R139" i="1"/>
  <c r="Q139" i="1"/>
  <c r="Q241" i="1"/>
  <c r="R241" i="1"/>
  <c r="Q38" i="1"/>
  <c r="R38" i="1"/>
  <c r="Q185" i="1"/>
  <c r="R185" i="1"/>
  <c r="R197" i="1"/>
  <c r="Q197" i="1"/>
  <c r="R112" i="1"/>
  <c r="Q112" i="1"/>
  <c r="R248" i="1"/>
  <c r="Q248" i="1"/>
  <c r="R35" i="1"/>
  <c r="Q35" i="1"/>
  <c r="R88" i="1"/>
  <c r="Q88" i="1"/>
  <c r="R249" i="1"/>
  <c r="Q249" i="1"/>
  <c r="R24" i="1"/>
  <c r="Q24" i="1"/>
  <c r="Q220" i="1"/>
  <c r="R220" i="1"/>
  <c r="Q218" i="1"/>
  <c r="R218" i="1"/>
  <c r="R22" i="1"/>
  <c r="Q22" i="1"/>
  <c r="R205" i="1"/>
  <c r="Q205" i="1"/>
  <c r="R68" i="1"/>
  <c r="Q68" i="1"/>
  <c r="Q228" i="1"/>
  <c r="R228" i="1"/>
  <c r="R230" i="1"/>
  <c r="Q230" i="1"/>
  <c r="R64" i="1"/>
  <c r="Q64" i="1"/>
  <c r="Q71" i="1"/>
  <c r="R71" i="1"/>
  <c r="Q151" i="1"/>
  <c r="R151" i="1"/>
  <c r="R96" i="1"/>
  <c r="Q96" i="1"/>
  <c r="R199" i="1"/>
  <c r="Q199" i="1"/>
  <c r="R80" i="1"/>
  <c r="Q80" i="1"/>
  <c r="R9" i="1"/>
  <c r="Q9" i="1"/>
  <c r="R6" i="1"/>
  <c r="Q6" i="1"/>
  <c r="Q243" i="1"/>
  <c r="R243" i="1"/>
  <c r="R153" i="1"/>
  <c r="Q153" i="1"/>
  <c r="Q7" i="1"/>
  <c r="R7" i="1"/>
  <c r="Q234" i="1"/>
  <c r="R234" i="1"/>
  <c r="Q173" i="1"/>
  <c r="R173" i="1"/>
  <c r="R158" i="1"/>
  <c r="Q158" i="1"/>
  <c r="Q98" i="1"/>
  <c r="R98" i="1"/>
  <c r="Q74" i="1"/>
  <c r="R74" i="1"/>
  <c r="R75" i="1"/>
  <c r="Q75" i="1"/>
  <c r="R140" i="1"/>
  <c r="Q140" i="1"/>
  <c r="R136" i="1"/>
  <c r="Q136" i="1"/>
  <c r="R103" i="1"/>
  <c r="Q103" i="1"/>
  <c r="R141" i="1"/>
  <c r="Q141" i="1"/>
  <c r="Q17" i="1"/>
  <c r="R17" i="1"/>
  <c r="Q100" i="1"/>
  <c r="R100" i="1"/>
  <c r="Q138" i="1"/>
  <c r="R138" i="1"/>
  <c r="Q123" i="1"/>
  <c r="R123" i="1"/>
  <c r="R118" i="1"/>
  <c r="Q118" i="1"/>
  <c r="Q65" i="1"/>
  <c r="R65" i="1"/>
  <c r="R121" i="1"/>
  <c r="Q121" i="1"/>
  <c r="R48" i="1"/>
  <c r="Q48" i="1"/>
  <c r="Q166" i="1"/>
  <c r="R166" i="1"/>
  <c r="R111" i="1"/>
  <c r="Q111" i="1"/>
  <c r="J252" i="1"/>
  <c r="K252" i="1" s="1"/>
  <c r="S252" i="1"/>
  <c r="R63" i="1"/>
  <c r="Q63" i="1"/>
  <c r="R62" i="1"/>
  <c r="Q62" i="1"/>
  <c r="R129" i="1"/>
  <c r="Q129" i="1"/>
  <c r="Q125" i="1"/>
  <c r="R125" i="1"/>
  <c r="Q247" i="1"/>
  <c r="R247" i="1"/>
  <c r="Q180" i="1"/>
  <c r="R180" i="1"/>
  <c r="R182" i="1"/>
  <c r="Q182" i="1"/>
  <c r="R239" i="1"/>
  <c r="Q239" i="1"/>
  <c r="Q208" i="1"/>
  <c r="R208" i="1"/>
  <c r="Q194" i="1"/>
  <c r="R194" i="1"/>
  <c r="Q83" i="1"/>
  <c r="R83" i="1"/>
  <c r="Q169" i="1"/>
  <c r="R169" i="1"/>
  <c r="R108" i="1"/>
  <c r="Q108" i="1"/>
  <c r="R76" i="1"/>
  <c r="Q76" i="1"/>
  <c r="Q79" i="1"/>
  <c r="R79" i="1"/>
  <c r="Q23" i="1"/>
  <c r="R23" i="1"/>
  <c r="Q89" i="1"/>
  <c r="R89" i="1"/>
  <c r="R51" i="1"/>
  <c r="Q51" i="1"/>
  <c r="Q77" i="1"/>
  <c r="R77" i="1"/>
  <c r="Q127" i="1"/>
  <c r="R127" i="1"/>
  <c r="Q167" i="1"/>
  <c r="R167" i="1"/>
  <c r="R16" i="1"/>
  <c r="Q16" i="1"/>
  <c r="Q109" i="1"/>
  <c r="R109" i="1"/>
  <c r="W168" i="18" l="1"/>
  <c r="W191" i="18"/>
  <c r="U36" i="18"/>
  <c r="W187" i="18"/>
  <c r="W202" i="18"/>
  <c r="U136" i="18"/>
  <c r="W239" i="18"/>
  <c r="W211" i="18"/>
  <c r="U231" i="18"/>
  <c r="U140" i="18"/>
  <c r="W196" i="18"/>
  <c r="W229" i="18"/>
  <c r="U82" i="18"/>
  <c r="W256" i="18"/>
  <c r="U86" i="18"/>
  <c r="W119" i="18"/>
  <c r="W62" i="18"/>
  <c r="U97" i="18"/>
  <c r="U195" i="18"/>
  <c r="W232" i="18"/>
  <c r="W90" i="18"/>
  <c r="U46" i="18"/>
  <c r="W139" i="18"/>
  <c r="W129" i="18"/>
  <c r="W74" i="18"/>
  <c r="W153" i="18"/>
  <c r="U186" i="18"/>
  <c r="W94" i="18"/>
  <c r="U185" i="18"/>
  <c r="U72" i="18"/>
  <c r="W250" i="18"/>
  <c r="W174" i="18"/>
  <c r="W28" i="18"/>
  <c r="U29" i="18"/>
  <c r="W38" i="18"/>
  <c r="W42" i="18"/>
  <c r="W248" i="18"/>
  <c r="U70" i="18"/>
  <c r="W121" i="18"/>
  <c r="W225" i="18"/>
  <c r="W171" i="18"/>
  <c r="U58" i="18"/>
  <c r="W133" i="18"/>
  <c r="W136" i="18"/>
  <c r="U163" i="18"/>
  <c r="U227" i="18"/>
  <c r="W209" i="18"/>
  <c r="W204" i="18"/>
  <c r="W128" i="18"/>
  <c r="U103" i="18"/>
  <c r="W115" i="18"/>
  <c r="W71" i="18"/>
  <c r="U167" i="18"/>
  <c r="W72" i="18"/>
  <c r="U208" i="18"/>
  <c r="W96" i="18"/>
  <c r="W190" i="18"/>
  <c r="U51" i="18"/>
  <c r="U33" i="18"/>
  <c r="U56" i="18"/>
  <c r="W162" i="18"/>
  <c r="U45" i="18"/>
  <c r="W189" i="18"/>
  <c r="U39" i="18"/>
  <c r="U67" i="18"/>
  <c r="U93" i="18"/>
  <c r="U92" i="18"/>
  <c r="U193" i="18"/>
  <c r="U218" i="18"/>
  <c r="U197" i="18"/>
  <c r="U100" i="18"/>
  <c r="U176" i="18"/>
  <c r="U264" i="18"/>
  <c r="U130" i="18"/>
  <c r="W47" i="18"/>
  <c r="W60" i="18"/>
  <c r="U101" i="18"/>
  <c r="W223" i="18"/>
  <c r="W269" i="18"/>
  <c r="W244" i="18"/>
  <c r="W219" i="18"/>
  <c r="W200" i="18"/>
  <c r="U77" i="18"/>
  <c r="W236" i="18"/>
  <c r="W66" i="18"/>
  <c r="W233" i="18"/>
  <c r="U34" i="18"/>
  <c r="W169" i="18"/>
  <c r="W57" i="18"/>
  <c r="U242" i="18"/>
  <c r="W145" i="18"/>
  <c r="W158" i="18"/>
  <c r="W34" i="18"/>
  <c r="W185" i="18"/>
  <c r="W257" i="18"/>
  <c r="U232" i="18"/>
  <c r="U251" i="18"/>
  <c r="W210" i="18"/>
  <c r="W40" i="18"/>
  <c r="U127" i="18"/>
  <c r="U252" i="18"/>
  <c r="W159" i="18"/>
  <c r="W120" i="18"/>
  <c r="W151" i="18"/>
  <c r="U239" i="18"/>
  <c r="W143" i="18"/>
  <c r="U172" i="18"/>
  <c r="W147" i="18"/>
  <c r="U175" i="18"/>
  <c r="U259" i="18"/>
  <c r="W172" i="18"/>
  <c r="U145" i="18"/>
  <c r="W64" i="18"/>
  <c r="U221" i="18"/>
  <c r="U205" i="18"/>
  <c r="W122" i="18"/>
  <c r="U96" i="18"/>
  <c r="U265" i="18"/>
  <c r="U52" i="18"/>
  <c r="U244" i="18"/>
  <c r="W105" i="18"/>
  <c r="W45" i="18"/>
  <c r="W132" i="18"/>
  <c r="U137" i="18"/>
  <c r="U173" i="18"/>
  <c r="U35" i="18"/>
  <c r="U132" i="18"/>
  <c r="U164" i="18"/>
  <c r="U237" i="18"/>
  <c r="U120" i="18"/>
  <c r="U87" i="18"/>
  <c r="U174" i="18"/>
  <c r="U142" i="18"/>
  <c r="U149" i="18"/>
  <c r="W29" i="18"/>
  <c r="U50" i="18"/>
  <c r="U124" i="18"/>
  <c r="W173" i="18"/>
  <c r="W123" i="18"/>
  <c r="W230" i="18"/>
  <c r="W89" i="18"/>
  <c r="U179" i="18"/>
  <c r="U95" i="18"/>
  <c r="W144" i="18"/>
  <c r="W141" i="18"/>
  <c r="W199" i="18"/>
  <c r="U139" i="18"/>
  <c r="U69" i="18"/>
  <c r="W126" i="18"/>
  <c r="U44" i="18"/>
  <c r="W37" i="18"/>
  <c r="W49" i="18"/>
  <c r="W155" i="18"/>
  <c r="W177" i="18"/>
  <c r="W73" i="18"/>
  <c r="U116" i="18"/>
  <c r="W237" i="18"/>
  <c r="W184" i="18"/>
  <c r="W242" i="18"/>
  <c r="U63" i="18"/>
  <c r="U91" i="18"/>
  <c r="W259" i="18"/>
  <c r="W93" i="18"/>
  <c r="W178" i="18"/>
  <c r="U107" i="18"/>
  <c r="U90" i="18"/>
  <c r="U146" i="18"/>
  <c r="W82" i="18"/>
  <c r="U147" i="18"/>
  <c r="W195" i="18"/>
  <c r="U189" i="18"/>
  <c r="U177" i="18"/>
  <c r="U153" i="18"/>
  <c r="W80" i="18"/>
  <c r="U104" i="18"/>
  <c r="W240" i="18"/>
  <c r="U230" i="18"/>
  <c r="U180" i="18"/>
  <c r="U49" i="18"/>
  <c r="U60" i="18"/>
  <c r="W156" i="18"/>
  <c r="U190" i="18"/>
  <c r="U256" i="18"/>
  <c r="W35" i="18"/>
  <c r="U125" i="18"/>
  <c r="W164" i="18"/>
  <c r="U182" i="18"/>
  <c r="U204" i="18"/>
  <c r="U162" i="18"/>
  <c r="U212" i="18"/>
  <c r="U152" i="18"/>
  <c r="U168" i="18"/>
  <c r="W69" i="18"/>
  <c r="U188" i="18"/>
  <c r="U219" i="18"/>
  <c r="W182" i="18"/>
  <c r="W58" i="18"/>
  <c r="W101" i="18"/>
  <c r="W103" i="18"/>
  <c r="W97" i="18"/>
  <c r="U165" i="18"/>
  <c r="W255" i="18"/>
  <c r="W59" i="18"/>
  <c r="W180" i="18"/>
  <c r="U75" i="18"/>
  <c r="U254" i="18"/>
  <c r="W52" i="18"/>
  <c r="U196" i="18"/>
  <c r="W86" i="18"/>
  <c r="W243" i="18"/>
  <c r="U211" i="18"/>
  <c r="W249" i="18"/>
  <c r="W260" i="18"/>
  <c r="U187" i="18"/>
  <c r="W99" i="18"/>
  <c r="W157" i="18"/>
  <c r="W216" i="18"/>
  <c r="U41" i="18"/>
  <c r="U183" i="18"/>
  <c r="W117" i="18"/>
  <c r="W75" i="18"/>
  <c r="W152" i="18"/>
  <c r="W127" i="18"/>
  <c r="U154" i="18"/>
  <c r="U112" i="18"/>
  <c r="W222" i="18"/>
  <c r="W108" i="18"/>
  <c r="W83" i="18"/>
  <c r="W238" i="18"/>
  <c r="W215" i="18"/>
  <c r="W107" i="18"/>
  <c r="U247" i="18"/>
  <c r="W27" i="18"/>
  <c r="U260" i="18"/>
  <c r="W88" i="18"/>
  <c r="W227" i="18"/>
  <c r="W148" i="18"/>
  <c r="U40" i="18"/>
  <c r="U236" i="18"/>
  <c r="U144" i="18"/>
  <c r="U202" i="18"/>
  <c r="U226" i="18"/>
  <c r="U233" i="18"/>
  <c r="U83" i="18"/>
  <c r="W262" i="18"/>
  <c r="U209" i="18"/>
  <c r="W264" i="18"/>
  <c r="W231" i="18"/>
  <c r="W258" i="18"/>
  <c r="U54" i="18"/>
  <c r="W116" i="18"/>
  <c r="U222" i="18"/>
  <c r="W67" i="18"/>
  <c r="W206" i="18"/>
  <c r="W188" i="18"/>
  <c r="W247" i="18"/>
  <c r="W208" i="18"/>
  <c r="W226" i="18"/>
  <c r="U158" i="18"/>
  <c r="W46" i="18"/>
  <c r="W203" i="18"/>
  <c r="W41" i="18"/>
  <c r="U215" i="18"/>
  <c r="U135" i="18"/>
  <c r="U241" i="18"/>
  <c r="U47" i="18"/>
  <c r="W246" i="18"/>
  <c r="W224" i="18"/>
  <c r="W44" i="18"/>
  <c r="W131" i="18"/>
  <c r="U27" i="18"/>
  <c r="W192" i="18"/>
  <c r="W160" i="18"/>
  <c r="W228" i="18"/>
  <c r="U159" i="18"/>
  <c r="W26" i="18"/>
  <c r="U263" i="18"/>
  <c r="U191" i="18"/>
  <c r="U123" i="18"/>
  <c r="W254" i="18"/>
  <c r="U266" i="18"/>
  <c r="W56" i="18"/>
  <c r="U151" i="18"/>
  <c r="U42" i="18"/>
  <c r="U131" i="18"/>
  <c r="U102" i="18"/>
  <c r="W154" i="18"/>
  <c r="W118" i="18"/>
  <c r="U71" i="18"/>
  <c r="W48" i="18"/>
  <c r="W251" i="18"/>
  <c r="U66" i="18"/>
  <c r="U143" i="18"/>
  <c r="U108" i="18"/>
  <c r="W87" i="18"/>
  <c r="W181" i="18"/>
  <c r="W267" i="18"/>
  <c r="U194" i="18"/>
  <c r="W54" i="18"/>
  <c r="W51" i="18"/>
  <c r="U171" i="18"/>
  <c r="U26" i="18"/>
  <c r="U119" i="18"/>
  <c r="W53" i="18"/>
  <c r="W100" i="18"/>
  <c r="W79" i="18"/>
  <c r="U160" i="18"/>
  <c r="W55" i="18"/>
  <c r="W205" i="18"/>
  <c r="U74" i="18"/>
  <c r="U267" i="18"/>
  <c r="W183" i="18"/>
  <c r="U200" i="18"/>
  <c r="S23" i="1"/>
  <c r="J23" i="1"/>
  <c r="K23" i="1" s="1"/>
  <c r="J166" i="1"/>
  <c r="K166" i="1" s="1"/>
  <c r="S166" i="1"/>
  <c r="J61" i="1"/>
  <c r="K61" i="1" s="1"/>
  <c r="S61" i="1"/>
  <c r="S202" i="1"/>
  <c r="J202" i="1"/>
  <c r="K202" i="1" s="1"/>
  <c r="J14" i="1"/>
  <c r="K14" i="1" s="1"/>
  <c r="S14" i="1"/>
  <c r="J51" i="1"/>
  <c r="K51" i="1" s="1"/>
  <c r="S51" i="1"/>
  <c r="J118" i="1"/>
  <c r="K118" i="1" s="1"/>
  <c r="S118" i="1"/>
  <c r="S158" i="1"/>
  <c r="J158" i="1"/>
  <c r="K158" i="1" s="1"/>
  <c r="S35" i="1"/>
  <c r="J35" i="1"/>
  <c r="K35" i="1" s="1"/>
  <c r="S144" i="1"/>
  <c r="J144" i="1"/>
  <c r="K144" i="1" s="1"/>
  <c r="S87" i="1"/>
  <c r="J87" i="1"/>
  <c r="K87" i="1" s="1"/>
  <c r="S229" i="1"/>
  <c r="J229" i="1"/>
  <c r="K229" i="1" s="1"/>
  <c r="J52" i="1"/>
  <c r="K52" i="1" s="1"/>
  <c r="S52" i="1"/>
  <c r="S149" i="1"/>
  <c r="J149" i="1"/>
  <c r="K149" i="1" s="1"/>
  <c r="S217" i="1"/>
  <c r="J217" i="1"/>
  <c r="K217" i="1" s="1"/>
  <c r="J167" i="1"/>
  <c r="K167" i="1" s="1"/>
  <c r="S167" i="1"/>
  <c r="J89" i="1"/>
  <c r="K89" i="1" s="1"/>
  <c r="S89" i="1"/>
  <c r="S208" i="1"/>
  <c r="J208" i="1"/>
  <c r="K208" i="1" s="1"/>
  <c r="S247" i="1"/>
  <c r="J247" i="1"/>
  <c r="K247" i="1" s="1"/>
  <c r="S123" i="1"/>
  <c r="J123" i="1"/>
  <c r="K123" i="1" s="1"/>
  <c r="J173" i="1"/>
  <c r="K173" i="1" s="1"/>
  <c r="S173" i="1"/>
  <c r="J243" i="1"/>
  <c r="K243" i="1" s="1"/>
  <c r="S243" i="1"/>
  <c r="J38" i="1"/>
  <c r="K38" i="1" s="1"/>
  <c r="S38" i="1"/>
  <c r="S85" i="1"/>
  <c r="J85" i="1"/>
  <c r="K85" i="1" s="1"/>
  <c r="J95" i="1"/>
  <c r="K95" i="1" s="1"/>
  <c r="S95" i="1"/>
  <c r="S195" i="1"/>
  <c r="J195" i="1"/>
  <c r="K195" i="1" s="1"/>
  <c r="J99" i="1"/>
  <c r="K99" i="1" s="1"/>
  <c r="S99" i="1"/>
  <c r="J94" i="1"/>
  <c r="K94" i="1" s="1"/>
  <c r="S94" i="1"/>
  <c r="S10" i="1"/>
  <c r="J10" i="1"/>
  <c r="K10" i="1" s="1"/>
  <c r="S226" i="1"/>
  <c r="J226" i="1"/>
  <c r="K226" i="1" s="1"/>
  <c r="S188" i="1"/>
  <c r="J188" i="1"/>
  <c r="K188" i="1" s="1"/>
  <c r="S236" i="1"/>
  <c r="J236" i="1"/>
  <c r="K236" i="1" s="1"/>
  <c r="J143" i="1"/>
  <c r="K143" i="1" s="1"/>
  <c r="S143" i="1"/>
  <c r="S165" i="1"/>
  <c r="J165" i="1"/>
  <c r="K165" i="1" s="1"/>
  <c r="J15" i="1"/>
  <c r="K15" i="1" s="1"/>
  <c r="S15" i="1"/>
  <c r="S26" i="1"/>
  <c r="J26" i="1"/>
  <c r="K26" i="1" s="1"/>
  <c r="J240" i="1"/>
  <c r="K240" i="1" s="1"/>
  <c r="S240" i="1"/>
  <c r="J214" i="1"/>
  <c r="K214" i="1" s="1"/>
  <c r="S214" i="1"/>
  <c r="J223" i="1"/>
  <c r="K223" i="1" s="1"/>
  <c r="S223" i="1"/>
  <c r="S71" i="1"/>
  <c r="J71" i="1"/>
  <c r="K71" i="1" s="1"/>
  <c r="J185" i="1"/>
  <c r="K185" i="1" s="1"/>
  <c r="S185" i="1"/>
  <c r="S137" i="1"/>
  <c r="J137" i="1"/>
  <c r="K137" i="1" s="1"/>
  <c r="J191" i="1"/>
  <c r="K191" i="1" s="1"/>
  <c r="S191" i="1"/>
  <c r="S76" i="1"/>
  <c r="J76" i="1"/>
  <c r="K76" i="1" s="1"/>
  <c r="S62" i="1"/>
  <c r="J62" i="1"/>
  <c r="K62" i="1" s="1"/>
  <c r="S153" i="1"/>
  <c r="J153" i="1"/>
  <c r="K153" i="1" s="1"/>
  <c r="J68" i="1"/>
  <c r="K68" i="1" s="1"/>
  <c r="S68" i="1"/>
  <c r="S39" i="1"/>
  <c r="J39" i="1"/>
  <c r="K39" i="1" s="1"/>
  <c r="J21" i="1"/>
  <c r="K21" i="1" s="1"/>
  <c r="S21" i="1"/>
  <c r="J108" i="1"/>
  <c r="K108" i="1" s="1"/>
  <c r="S108" i="1"/>
  <c r="S63" i="1"/>
  <c r="J63" i="1"/>
  <c r="K63" i="1" s="1"/>
  <c r="S48" i="1"/>
  <c r="J48" i="1"/>
  <c r="K48" i="1" s="1"/>
  <c r="S141" i="1"/>
  <c r="J141" i="1"/>
  <c r="K141" i="1" s="1"/>
  <c r="S75" i="1"/>
  <c r="J75" i="1"/>
  <c r="K75" i="1" s="1"/>
  <c r="S199" i="1"/>
  <c r="J199" i="1"/>
  <c r="K199" i="1" s="1"/>
  <c r="S64" i="1"/>
  <c r="J64" i="1"/>
  <c r="K64" i="1" s="1"/>
  <c r="S205" i="1"/>
  <c r="J205" i="1"/>
  <c r="K205" i="1" s="1"/>
  <c r="S24" i="1"/>
  <c r="J24" i="1"/>
  <c r="K24" i="1" s="1"/>
  <c r="J248" i="1"/>
  <c r="K248" i="1" s="1"/>
  <c r="S248" i="1"/>
  <c r="S54" i="1"/>
  <c r="J54" i="1"/>
  <c r="K54" i="1" s="1"/>
  <c r="S105" i="1"/>
  <c r="J105" i="1"/>
  <c r="K105" i="1" s="1"/>
  <c r="S46" i="1"/>
  <c r="J46" i="1"/>
  <c r="K46" i="1" s="1"/>
  <c r="S207" i="1"/>
  <c r="J207" i="1"/>
  <c r="K207" i="1" s="1"/>
  <c r="S134" i="1"/>
  <c r="J134" i="1"/>
  <c r="K134" i="1" s="1"/>
  <c r="S213" i="1"/>
  <c r="J213" i="1"/>
  <c r="K213" i="1" s="1"/>
  <c r="J86" i="1"/>
  <c r="K86" i="1" s="1"/>
  <c r="S86" i="1"/>
  <c r="J128" i="1"/>
  <c r="K128" i="1" s="1"/>
  <c r="S128" i="1"/>
  <c r="S56" i="1"/>
  <c r="J56" i="1"/>
  <c r="K56" i="1" s="1"/>
  <c r="J34" i="1"/>
  <c r="K34" i="1" s="1"/>
  <c r="S34" i="1"/>
  <c r="J81" i="1"/>
  <c r="K81" i="1" s="1"/>
  <c r="S81" i="1"/>
  <c r="S45" i="1"/>
  <c r="J45" i="1"/>
  <c r="K45" i="1" s="1"/>
  <c r="S27" i="1"/>
  <c r="J27" i="1"/>
  <c r="K27" i="1" s="1"/>
  <c r="S114" i="1"/>
  <c r="J114" i="1"/>
  <c r="K114" i="1" s="1"/>
  <c r="S242" i="1"/>
  <c r="J242" i="1"/>
  <c r="K242" i="1" s="1"/>
  <c r="J245" i="4"/>
  <c r="K245" i="4" s="1"/>
  <c r="J247" i="4"/>
  <c r="K247" i="4" s="1"/>
  <c r="J249" i="4"/>
  <c r="K249" i="4" s="1"/>
  <c r="J251" i="4"/>
  <c r="K251" i="4" s="1"/>
  <c r="J253" i="4"/>
  <c r="K253" i="4" s="1"/>
  <c r="J255" i="4"/>
  <c r="K255" i="4" s="1"/>
  <c r="J257" i="4"/>
  <c r="K257" i="4" s="1"/>
  <c r="J259" i="4"/>
  <c r="K259" i="4" s="1"/>
  <c r="J261" i="4"/>
  <c r="K261" i="4" s="1"/>
  <c r="J263" i="4"/>
  <c r="K263" i="4" s="1"/>
  <c r="J265" i="4"/>
  <c r="K265" i="4" s="1"/>
  <c r="J267" i="4"/>
  <c r="K267" i="4" s="1"/>
  <c r="J269" i="4"/>
  <c r="K269" i="4" s="1"/>
  <c r="J271" i="4"/>
  <c r="K271" i="4" s="1"/>
  <c r="J273" i="4"/>
  <c r="K273" i="4" s="1"/>
  <c r="J258" i="4"/>
  <c r="K258" i="4" s="1"/>
  <c r="J274" i="4"/>
  <c r="K274" i="4" s="1"/>
  <c r="J252" i="4"/>
  <c r="K252" i="4" s="1"/>
  <c r="J260" i="4"/>
  <c r="K260" i="4" s="1"/>
  <c r="J248" i="4"/>
  <c r="K248" i="4" s="1"/>
  <c r="J264" i="4"/>
  <c r="K264" i="4" s="1"/>
  <c r="J256" i="4"/>
  <c r="K256" i="4" s="1"/>
  <c r="J270" i="4"/>
  <c r="K270" i="4" s="1"/>
  <c r="J246" i="4"/>
  <c r="K246" i="4" s="1"/>
  <c r="J250" i="4"/>
  <c r="K250" i="4" s="1"/>
  <c r="J254" i="4"/>
  <c r="K254" i="4" s="1"/>
  <c r="J268" i="4"/>
  <c r="K268" i="4" s="1"/>
  <c r="J262" i="4"/>
  <c r="K262" i="4" s="1"/>
  <c r="J272" i="4"/>
  <c r="K272" i="4" s="1"/>
  <c r="J266" i="4"/>
  <c r="K266" i="4" s="1"/>
  <c r="N7" i="4"/>
  <c r="S40" i="1"/>
  <c r="J40" i="1"/>
  <c r="K40" i="1" s="1"/>
  <c r="S212" i="1"/>
  <c r="J212" i="1"/>
  <c r="K212" i="1" s="1"/>
  <c r="S70" i="1"/>
  <c r="J70" i="1"/>
  <c r="K70" i="1" s="1"/>
  <c r="S189" i="1"/>
  <c r="J189" i="1"/>
  <c r="K189" i="1" s="1"/>
  <c r="S164" i="1"/>
  <c r="J164" i="1"/>
  <c r="K164" i="1" s="1"/>
  <c r="J132" i="1"/>
  <c r="K132" i="1" s="1"/>
  <c r="S132" i="1"/>
  <c r="S131" i="1"/>
  <c r="J131" i="1"/>
  <c r="K131" i="1" s="1"/>
  <c r="N4" i="4"/>
  <c r="S12" i="1"/>
  <c r="J12" i="1"/>
  <c r="K12" i="1" s="1"/>
  <c r="J237" i="1"/>
  <c r="K237" i="1" s="1"/>
  <c r="S237" i="1"/>
  <c r="J221" i="1"/>
  <c r="K221" i="1" s="1"/>
  <c r="S221" i="1"/>
  <c r="J74" i="1"/>
  <c r="K74" i="1" s="1"/>
  <c r="S74" i="1"/>
  <c r="S241" i="1"/>
  <c r="J241" i="1"/>
  <c r="K241" i="1" s="1"/>
  <c r="S146" i="1"/>
  <c r="J146" i="1"/>
  <c r="K146" i="1" s="1"/>
  <c r="J210" i="1"/>
  <c r="K210" i="1" s="1"/>
  <c r="S210" i="1"/>
  <c r="J106" i="4"/>
  <c r="K106" i="4" s="1"/>
  <c r="J116" i="4"/>
  <c r="K116" i="4" s="1"/>
  <c r="J83" i="4"/>
  <c r="K83" i="4" s="1"/>
  <c r="J90" i="4"/>
  <c r="K90" i="4" s="1"/>
  <c r="J100" i="4"/>
  <c r="K100" i="4" s="1"/>
  <c r="J108" i="4"/>
  <c r="K108" i="4" s="1"/>
  <c r="J118" i="4"/>
  <c r="K118" i="4" s="1"/>
  <c r="J126" i="4"/>
  <c r="K126" i="4" s="1"/>
  <c r="J96" i="4"/>
  <c r="K96" i="4" s="1"/>
  <c r="J80" i="4"/>
  <c r="K80" i="4" s="1"/>
  <c r="J89" i="4"/>
  <c r="K89" i="4" s="1"/>
  <c r="J97" i="4"/>
  <c r="K97" i="4" s="1"/>
  <c r="J107" i="4"/>
  <c r="K107" i="4" s="1"/>
  <c r="J114" i="4"/>
  <c r="K114" i="4" s="1"/>
  <c r="J125" i="4"/>
  <c r="K125" i="4" s="1"/>
  <c r="J92" i="4"/>
  <c r="K92" i="4" s="1"/>
  <c r="J98" i="4"/>
  <c r="K98" i="4" s="1"/>
  <c r="J101" i="4"/>
  <c r="K101" i="4" s="1"/>
  <c r="J112" i="4"/>
  <c r="K112" i="4" s="1"/>
  <c r="J123" i="4"/>
  <c r="K123" i="4" s="1"/>
  <c r="J85" i="4"/>
  <c r="K85" i="4" s="1"/>
  <c r="J95" i="4"/>
  <c r="K95" i="4" s="1"/>
  <c r="J110" i="4"/>
  <c r="K110" i="4" s="1"/>
  <c r="J115" i="4"/>
  <c r="K115" i="4" s="1"/>
  <c r="J119" i="4"/>
  <c r="K119" i="4" s="1"/>
  <c r="J93" i="4"/>
  <c r="K93" i="4" s="1"/>
  <c r="J99" i="4"/>
  <c r="K99" i="4" s="1"/>
  <c r="J104" i="4"/>
  <c r="K104" i="4" s="1"/>
  <c r="J124" i="4"/>
  <c r="K124" i="4" s="1"/>
  <c r="J88" i="4"/>
  <c r="K88" i="4" s="1"/>
  <c r="J102" i="4"/>
  <c r="K102" i="4" s="1"/>
  <c r="J113" i="4"/>
  <c r="K113" i="4" s="1"/>
  <c r="J128" i="4"/>
  <c r="K128" i="4" s="1"/>
  <c r="J86" i="4"/>
  <c r="K86" i="4" s="1"/>
  <c r="J91" i="4"/>
  <c r="K91" i="4" s="1"/>
  <c r="J111" i="4"/>
  <c r="K111" i="4" s="1"/>
  <c r="J117" i="4"/>
  <c r="K117" i="4" s="1"/>
  <c r="J122" i="4"/>
  <c r="K122" i="4" s="1"/>
  <c r="J81" i="4"/>
  <c r="K81" i="4" s="1"/>
  <c r="J84" i="4"/>
  <c r="K84" i="4" s="1"/>
  <c r="J94" i="4"/>
  <c r="K94" i="4" s="1"/>
  <c r="J105" i="4"/>
  <c r="K105" i="4" s="1"/>
  <c r="J120" i="4"/>
  <c r="K120" i="4" s="1"/>
  <c r="J121" i="4"/>
  <c r="K121" i="4" s="1"/>
  <c r="J103" i="4"/>
  <c r="K103" i="4" s="1"/>
  <c r="J127" i="4"/>
  <c r="K127" i="4" s="1"/>
  <c r="J109" i="4"/>
  <c r="K109" i="4" s="1"/>
  <c r="J87" i="4"/>
  <c r="K87" i="4" s="1"/>
  <c r="J82" i="4"/>
  <c r="K82" i="4" s="1"/>
  <c r="J44" i="1"/>
  <c r="K44" i="1" s="1"/>
  <c r="S44" i="1"/>
  <c r="J49" i="1"/>
  <c r="K49" i="1" s="1"/>
  <c r="S49" i="1"/>
  <c r="J78" i="1"/>
  <c r="K78" i="1" s="1"/>
  <c r="S78" i="1"/>
  <c r="J47" i="1"/>
  <c r="K47" i="1" s="1"/>
  <c r="S47" i="1"/>
  <c r="S107" i="1"/>
  <c r="J107" i="1"/>
  <c r="K107" i="1" s="1"/>
  <c r="J115" i="1"/>
  <c r="K115" i="1" s="1"/>
  <c r="S115" i="1"/>
  <c r="J138" i="1"/>
  <c r="K138" i="1" s="1"/>
  <c r="S138" i="1"/>
  <c r="S187" i="1"/>
  <c r="J187" i="1"/>
  <c r="K187" i="1" s="1"/>
  <c r="S43" i="1"/>
  <c r="J43" i="1"/>
  <c r="K43" i="1" s="1"/>
  <c r="J176" i="1"/>
  <c r="K176" i="1" s="1"/>
  <c r="S176" i="1"/>
  <c r="S32" i="1"/>
  <c r="J32" i="1"/>
  <c r="K32" i="1" s="1"/>
  <c r="S178" i="1"/>
  <c r="J178" i="1"/>
  <c r="K178" i="1" s="1"/>
  <c r="J239" i="1"/>
  <c r="K239" i="1" s="1"/>
  <c r="S239" i="1"/>
  <c r="J121" i="1"/>
  <c r="K121" i="1" s="1"/>
  <c r="S121" i="1"/>
  <c r="J96" i="1"/>
  <c r="K96" i="1" s="1"/>
  <c r="S96" i="1"/>
  <c r="J249" i="1"/>
  <c r="K249" i="1" s="1"/>
  <c r="S249" i="1"/>
  <c r="J192" i="1"/>
  <c r="K192" i="1" s="1"/>
  <c r="S192" i="1"/>
  <c r="S211" i="1"/>
  <c r="J211" i="1"/>
  <c r="K211" i="1" s="1"/>
  <c r="J106" i="1"/>
  <c r="K106" i="1" s="1"/>
  <c r="S106" i="1"/>
  <c r="S181" i="1"/>
  <c r="J181" i="1"/>
  <c r="K181" i="1" s="1"/>
  <c r="S104" i="1"/>
  <c r="J104" i="1"/>
  <c r="K104" i="1" s="1"/>
  <c r="S148" i="1"/>
  <c r="J148" i="1"/>
  <c r="K148" i="1" s="1"/>
  <c r="J91" i="1"/>
  <c r="K91" i="1" s="1"/>
  <c r="S91" i="1"/>
  <c r="S133" i="1"/>
  <c r="J133" i="1"/>
  <c r="K133" i="1" s="1"/>
  <c r="J130" i="1"/>
  <c r="K130" i="1" s="1"/>
  <c r="S130" i="1"/>
  <c r="J215" i="1"/>
  <c r="K215" i="1" s="1"/>
  <c r="S215" i="1"/>
  <c r="J50" i="1"/>
  <c r="K50" i="1" s="1"/>
  <c r="S50" i="1"/>
  <c r="S172" i="1"/>
  <c r="J172" i="1"/>
  <c r="K172" i="1" s="1"/>
  <c r="S159" i="1"/>
  <c r="J159" i="1"/>
  <c r="K159" i="1" s="1"/>
  <c r="S198" i="1"/>
  <c r="J198" i="1"/>
  <c r="K198" i="1" s="1"/>
  <c r="J127" i="1"/>
  <c r="K127" i="1" s="1"/>
  <c r="S127" i="1"/>
  <c r="J125" i="1"/>
  <c r="K125" i="1" s="1"/>
  <c r="S125" i="1"/>
  <c r="J219" i="1"/>
  <c r="K219" i="1" s="1"/>
  <c r="S219" i="1"/>
  <c r="J186" i="1"/>
  <c r="K186" i="1" s="1"/>
  <c r="S186" i="1"/>
  <c r="J142" i="1"/>
  <c r="K142" i="1" s="1"/>
  <c r="S142" i="1"/>
  <c r="J154" i="1"/>
  <c r="K154" i="1" s="1"/>
  <c r="S154" i="1"/>
  <c r="J103" i="1"/>
  <c r="K103" i="1" s="1"/>
  <c r="S103" i="1"/>
  <c r="N3" i="4"/>
  <c r="S6" i="1"/>
  <c r="J6" i="1"/>
  <c r="K6" i="1" s="1"/>
  <c r="J22" i="1"/>
  <c r="K22" i="1" s="1"/>
  <c r="S22" i="1"/>
  <c r="S97" i="1"/>
  <c r="J97" i="1"/>
  <c r="K97" i="1" s="1"/>
  <c r="J190" i="1"/>
  <c r="K190" i="1" s="1"/>
  <c r="S190" i="1"/>
  <c r="S69" i="1"/>
  <c r="J69" i="1"/>
  <c r="K69" i="1" s="1"/>
  <c r="S28" i="1"/>
  <c r="J28" i="1"/>
  <c r="K28" i="1" s="1"/>
  <c r="J161" i="1"/>
  <c r="K161" i="1" s="1"/>
  <c r="S161" i="1"/>
  <c r="N9" i="4"/>
  <c r="J109" i="1"/>
  <c r="K109" i="1" s="1"/>
  <c r="S109" i="1"/>
  <c r="S77" i="1"/>
  <c r="J77" i="1"/>
  <c r="K77" i="1" s="1"/>
  <c r="S79" i="1"/>
  <c r="J79" i="1"/>
  <c r="K79" i="1" s="1"/>
  <c r="S83" i="1"/>
  <c r="J83" i="1"/>
  <c r="K83" i="1" s="1"/>
  <c r="S65" i="1"/>
  <c r="J65" i="1"/>
  <c r="K65" i="1" s="1"/>
  <c r="J100" i="1"/>
  <c r="K100" i="1" s="1"/>
  <c r="S100" i="1"/>
  <c r="J98" i="1"/>
  <c r="K98" i="1" s="1"/>
  <c r="S98" i="1"/>
  <c r="S7" i="1"/>
  <c r="J7" i="1"/>
  <c r="K7" i="1" s="1"/>
  <c r="J151" i="1"/>
  <c r="K151" i="1" s="1"/>
  <c r="S151" i="1"/>
  <c r="J228" i="1"/>
  <c r="K228" i="1" s="1"/>
  <c r="S228" i="1"/>
  <c r="S218" i="1"/>
  <c r="J218" i="1"/>
  <c r="K218" i="1" s="1"/>
  <c r="S232" i="1"/>
  <c r="J232" i="1"/>
  <c r="K232" i="1" s="1"/>
  <c r="S84" i="1"/>
  <c r="J84" i="1"/>
  <c r="K84" i="1" s="1"/>
  <c r="S156" i="1"/>
  <c r="J156" i="1"/>
  <c r="K156" i="1" s="1"/>
  <c r="S193" i="1"/>
  <c r="J193" i="1"/>
  <c r="K193" i="1" s="1"/>
  <c r="J92" i="1"/>
  <c r="K92" i="1" s="1"/>
  <c r="S92" i="1"/>
  <c r="J231" i="1"/>
  <c r="K231" i="1" s="1"/>
  <c r="S231" i="1"/>
  <c r="J57" i="1"/>
  <c r="K57" i="1" s="1"/>
  <c r="S57" i="1"/>
  <c r="J37" i="1"/>
  <c r="K37" i="1" s="1"/>
  <c r="S37" i="1"/>
  <c r="S122" i="1"/>
  <c r="J122" i="1"/>
  <c r="K122" i="1" s="1"/>
  <c r="S113" i="1"/>
  <c r="J113" i="1"/>
  <c r="K113" i="1" s="1"/>
  <c r="J145" i="1"/>
  <c r="K145" i="1" s="1"/>
  <c r="S145" i="1"/>
  <c r="J101" i="1"/>
  <c r="K101" i="1" s="1"/>
  <c r="S101" i="1"/>
  <c r="S177" i="1"/>
  <c r="J177" i="1"/>
  <c r="K177" i="1" s="1"/>
  <c r="S204" i="1"/>
  <c r="J204" i="1"/>
  <c r="K204" i="1" s="1"/>
  <c r="S216" i="1"/>
  <c r="J216" i="1"/>
  <c r="K216" i="1" s="1"/>
  <c r="S102" i="1"/>
  <c r="J102" i="1"/>
  <c r="K102" i="1" s="1"/>
  <c r="S73" i="1"/>
  <c r="J73" i="1"/>
  <c r="K73" i="1" s="1"/>
  <c r="S169" i="1"/>
  <c r="J169" i="1"/>
  <c r="K169" i="1" s="1"/>
  <c r="S234" i="1"/>
  <c r="J234" i="1"/>
  <c r="K234" i="1" s="1"/>
  <c r="J110" i="1"/>
  <c r="K110" i="1" s="1"/>
  <c r="S110" i="1"/>
  <c r="S13" i="1"/>
  <c r="J13" i="1"/>
  <c r="K13" i="1" s="1"/>
  <c r="S168" i="1"/>
  <c r="J168" i="1"/>
  <c r="K168" i="1" s="1"/>
  <c r="J230" i="1"/>
  <c r="K230" i="1" s="1"/>
  <c r="S230" i="1"/>
  <c r="S112" i="1"/>
  <c r="J112" i="1"/>
  <c r="K112" i="1" s="1"/>
  <c r="S82" i="1"/>
  <c r="J82" i="1"/>
  <c r="K82" i="1" s="1"/>
  <c r="S11" i="1"/>
  <c r="J11" i="1"/>
  <c r="K11" i="1" s="1"/>
  <c r="S67" i="1"/>
  <c r="J67" i="1"/>
  <c r="K67" i="1" s="1"/>
  <c r="S182" i="1"/>
  <c r="J182" i="1"/>
  <c r="K182" i="1" s="1"/>
  <c r="J129" i="1"/>
  <c r="K129" i="1" s="1"/>
  <c r="S129" i="1"/>
  <c r="J111" i="1"/>
  <c r="K111" i="1" s="1"/>
  <c r="S111" i="1"/>
  <c r="J136" i="1"/>
  <c r="K136" i="1" s="1"/>
  <c r="S136" i="1"/>
  <c r="J9" i="1"/>
  <c r="K9" i="1" s="1"/>
  <c r="S9" i="1"/>
  <c r="S88" i="1"/>
  <c r="J88" i="1"/>
  <c r="K88" i="1" s="1"/>
  <c r="S197" i="1"/>
  <c r="J197" i="1"/>
  <c r="K197" i="1" s="1"/>
  <c r="S139" i="1"/>
  <c r="J139" i="1"/>
  <c r="K139" i="1" s="1"/>
  <c r="J246" i="1"/>
  <c r="K246" i="1" s="1"/>
  <c r="S246" i="1"/>
  <c r="N5" i="4"/>
  <c r="S18" i="1"/>
  <c r="J18" i="1"/>
  <c r="K18" i="1" s="1"/>
  <c r="S31" i="1"/>
  <c r="J31" i="1"/>
  <c r="K31" i="1" s="1"/>
  <c r="J120" i="1"/>
  <c r="K120" i="1" s="1"/>
  <c r="S120" i="1"/>
  <c r="S196" i="1"/>
  <c r="J196" i="1"/>
  <c r="K196" i="1" s="1"/>
  <c r="N10" i="4"/>
  <c r="S175" i="1"/>
  <c r="J175" i="1"/>
  <c r="K175" i="1" s="1"/>
  <c r="S157" i="1"/>
  <c r="J157" i="1"/>
  <c r="K157" i="1" s="1"/>
  <c r="J163" i="1"/>
  <c r="K163" i="1" s="1"/>
  <c r="S163" i="1"/>
  <c r="S93" i="1"/>
  <c r="J93" i="1"/>
  <c r="K93" i="1" s="1"/>
  <c r="S200" i="1"/>
  <c r="J200" i="1"/>
  <c r="K200" i="1" s="1"/>
  <c r="S53" i="1"/>
  <c r="J53" i="1"/>
  <c r="K53" i="1" s="1"/>
  <c r="N6" i="4"/>
  <c r="J25" i="1"/>
  <c r="K25" i="1" s="1"/>
  <c r="S25" i="1"/>
  <c r="S233" i="1"/>
  <c r="J233" i="1"/>
  <c r="K233" i="1" s="1"/>
  <c r="S55" i="1"/>
  <c r="J55" i="1"/>
  <c r="K55" i="1" s="1"/>
  <c r="S160" i="1"/>
  <c r="J160" i="1"/>
  <c r="K160" i="1" s="1"/>
  <c r="J224" i="1"/>
  <c r="K224" i="1" s="1"/>
  <c r="S224" i="1"/>
  <c r="S152" i="1"/>
  <c r="J152" i="1"/>
  <c r="K152" i="1" s="1"/>
  <c r="S90" i="1"/>
  <c r="J90" i="1"/>
  <c r="K90" i="1" s="1"/>
  <c r="S179" i="1"/>
  <c r="J179" i="1"/>
  <c r="K179" i="1" s="1"/>
  <c r="J170" i="1"/>
  <c r="K170" i="1" s="1"/>
  <c r="S170" i="1"/>
  <c r="J201" i="1"/>
  <c r="K201" i="1" s="1"/>
  <c r="S201" i="1"/>
  <c r="J117" i="1"/>
  <c r="K117" i="1" s="1"/>
  <c r="S117" i="1"/>
  <c r="S8" i="1"/>
  <c r="J8" i="1"/>
  <c r="K8" i="1" s="1"/>
  <c r="J245" i="1"/>
  <c r="K245" i="1" s="1"/>
  <c r="S245" i="1"/>
  <c r="J238" i="1"/>
  <c r="K238" i="1" s="1"/>
  <c r="S238" i="1"/>
  <c r="S119" i="1"/>
  <c r="J119" i="1"/>
  <c r="K119" i="1" s="1"/>
  <c r="S150" i="1"/>
  <c r="J150" i="1"/>
  <c r="K150" i="1" s="1"/>
  <c r="S194" i="1"/>
  <c r="J194" i="1"/>
  <c r="K194" i="1" s="1"/>
  <c r="S17" i="1"/>
  <c r="J17" i="1"/>
  <c r="K17" i="1" s="1"/>
  <c r="J174" i="1"/>
  <c r="K174" i="1" s="1"/>
  <c r="S174" i="1"/>
  <c r="J42" i="1"/>
  <c r="K42" i="1" s="1"/>
  <c r="S42" i="1"/>
  <c r="J183" i="1"/>
  <c r="K183" i="1" s="1"/>
  <c r="S183" i="1"/>
  <c r="J30" i="1"/>
  <c r="K30" i="1" s="1"/>
  <c r="S30" i="1"/>
  <c r="S209" i="1"/>
  <c r="J209" i="1"/>
  <c r="K209" i="1" s="1"/>
  <c r="S162" i="1"/>
  <c r="J162" i="1"/>
  <c r="K162" i="1" s="1"/>
  <c r="J59" i="1"/>
  <c r="K59" i="1" s="1"/>
  <c r="S59" i="1"/>
  <c r="S58" i="1"/>
  <c r="J58" i="1"/>
  <c r="K58" i="1" s="1"/>
  <c r="S254" i="1"/>
  <c r="J254" i="1"/>
  <c r="K254" i="1" s="1"/>
  <c r="J41" i="1"/>
  <c r="K41" i="1" s="1"/>
  <c r="S41" i="1"/>
  <c r="J171" i="1"/>
  <c r="K171" i="1" s="1"/>
  <c r="S171" i="1"/>
  <c r="S19" i="1"/>
  <c r="J19" i="1"/>
  <c r="K19" i="1" s="1"/>
  <c r="J180" i="1"/>
  <c r="K180" i="1" s="1"/>
  <c r="S180" i="1"/>
  <c r="S220" i="1"/>
  <c r="J220" i="1"/>
  <c r="K220" i="1" s="1"/>
  <c r="J155" i="1"/>
  <c r="K155" i="1" s="1"/>
  <c r="S155" i="1"/>
  <c r="J203" i="1"/>
  <c r="K203" i="1" s="1"/>
  <c r="S203" i="1"/>
  <c r="J222" i="1"/>
  <c r="K222" i="1" s="1"/>
  <c r="S222" i="1"/>
  <c r="J16" i="1"/>
  <c r="K16" i="1" s="1"/>
  <c r="S16" i="1"/>
  <c r="S140" i="1"/>
  <c r="J140" i="1"/>
  <c r="K140" i="1" s="1"/>
  <c r="J80" i="1"/>
  <c r="K80" i="1" s="1"/>
  <c r="S80" i="1"/>
  <c r="J124" i="1"/>
  <c r="K124" i="1" s="1"/>
  <c r="S124" i="1"/>
  <c r="S66" i="1"/>
  <c r="J66" i="1"/>
  <c r="K66" i="1" s="1"/>
  <c r="J135" i="1"/>
  <c r="K135" i="1" s="1"/>
  <c r="S135" i="1"/>
  <c r="J29" i="1"/>
  <c r="K29" i="1" s="1"/>
  <c r="S29" i="1"/>
  <c r="S20" i="1"/>
  <c r="J20" i="1"/>
  <c r="K20" i="1" s="1"/>
  <c r="S184" i="1"/>
  <c r="J184" i="1"/>
  <c r="K184" i="1" s="1"/>
  <c r="J116" i="1"/>
  <c r="K116" i="1" s="1"/>
  <c r="S116" i="1"/>
  <c r="S227" i="1"/>
  <c r="J227" i="1"/>
  <c r="K227" i="1" s="1"/>
  <c r="S147" i="1"/>
  <c r="J147" i="1"/>
  <c r="K147" i="1" s="1"/>
  <c r="S126" i="1"/>
  <c r="J126" i="1"/>
  <c r="K126" i="1" s="1"/>
  <c r="S244" i="1"/>
  <c r="J244" i="1"/>
  <c r="K244" i="1" s="1"/>
  <c r="J235" i="1"/>
  <c r="K235" i="1" s="1"/>
  <c r="S235" i="1"/>
  <c r="J33" i="1"/>
  <c r="K33" i="1" s="1"/>
  <c r="S33" i="1"/>
  <c r="J206" i="1"/>
  <c r="K206" i="1" s="1"/>
  <c r="S206" i="1"/>
  <c r="S36" i="1"/>
  <c r="J36" i="1"/>
  <c r="K36" i="1" s="1"/>
  <c r="J72" i="1"/>
  <c r="K72" i="1" s="1"/>
  <c r="S72" i="1"/>
  <c r="W24" i="18" l="1"/>
  <c r="W23" i="18" s="1"/>
  <c r="X38" i="18" s="1"/>
  <c r="Y38" i="18" s="1"/>
  <c r="Z38" i="18" s="1"/>
  <c r="X228" i="18"/>
  <c r="Y228" i="18" s="1"/>
  <c r="Z228" i="18" s="1"/>
  <c r="X212" i="18"/>
  <c r="Y212" i="18" s="1"/>
  <c r="Z212" i="18" s="1"/>
  <c r="X37" i="18"/>
  <c r="Y37" i="18" s="1"/>
  <c r="Z37" i="18" s="1"/>
  <c r="AA37" i="18" s="1"/>
  <c r="X269" i="18"/>
  <c r="Y269" i="18" s="1"/>
  <c r="Z269" i="18" s="1"/>
  <c r="X187" i="18"/>
  <c r="Y187" i="18" s="1"/>
  <c r="Z187" i="18" s="1"/>
  <c r="X108" i="18"/>
  <c r="Y108" i="18" s="1"/>
  <c r="Z108" i="18" s="1"/>
  <c r="X157" i="18"/>
  <c r="Y157" i="18" s="1"/>
  <c r="Z157" i="18" s="1"/>
  <c r="X118" i="18"/>
  <c r="Y118" i="18" s="1"/>
  <c r="Z118" i="18" s="1"/>
  <c r="X193" i="18"/>
  <c r="Y193" i="18" s="1"/>
  <c r="Z193" i="18" s="1"/>
  <c r="X64" i="18"/>
  <c r="Y64" i="18" s="1"/>
  <c r="Z64" i="18" s="1"/>
  <c r="X210" i="18"/>
  <c r="Y210" i="18" s="1"/>
  <c r="Z210" i="18" s="1"/>
  <c r="X154" i="18"/>
  <c r="Y154" i="18" s="1"/>
  <c r="Z154" i="18" s="1"/>
  <c r="X195" i="18"/>
  <c r="Y195" i="18" s="1"/>
  <c r="Z195" i="18" s="1"/>
  <c r="X120" i="18"/>
  <c r="Y120" i="18" s="1"/>
  <c r="Z120" i="18" s="1"/>
  <c r="X89" i="18"/>
  <c r="Y89" i="18" s="1"/>
  <c r="Z89" i="18" s="1"/>
  <c r="X267" i="18"/>
  <c r="Y267" i="18" s="1"/>
  <c r="Z267" i="18" s="1"/>
  <c r="X139" i="18"/>
  <c r="Y139" i="18" s="1"/>
  <c r="Z139" i="18" s="1"/>
  <c r="X55" i="18"/>
  <c r="Y55" i="18" s="1"/>
  <c r="Z55" i="18" s="1"/>
  <c r="X253" i="18"/>
  <c r="Y253" i="18" s="1"/>
  <c r="Z253" i="18" s="1"/>
  <c r="X46" i="18"/>
  <c r="Y46" i="18" s="1"/>
  <c r="Z46" i="18" s="1"/>
  <c r="X216" i="18"/>
  <c r="Y216" i="18" s="1"/>
  <c r="Z216" i="18" s="1"/>
  <c r="X48" i="18"/>
  <c r="Y48" i="18" s="1"/>
  <c r="Z48" i="18" s="1"/>
  <c r="X49" i="18"/>
  <c r="Y49" i="18" s="1"/>
  <c r="Z49" i="18" s="1"/>
  <c r="X123" i="18"/>
  <c r="Y123" i="18" s="1"/>
  <c r="Z123" i="18" s="1"/>
  <c r="X167" i="18"/>
  <c r="Y167" i="18" s="1"/>
  <c r="Z167" i="18" s="1"/>
  <c r="X174" i="18"/>
  <c r="Y174" i="18" s="1"/>
  <c r="Z174" i="18" s="1"/>
  <c r="X213" i="18"/>
  <c r="Y213" i="18" s="1"/>
  <c r="Z213" i="18" s="1"/>
  <c r="X233" i="18"/>
  <c r="Y233" i="18" s="1"/>
  <c r="Z233" i="18" s="1"/>
  <c r="X259" i="18"/>
  <c r="Y259" i="18" s="1"/>
  <c r="Z259" i="18" s="1"/>
  <c r="X230" i="18"/>
  <c r="Y230" i="18" s="1"/>
  <c r="Z230" i="18" s="1"/>
  <c r="X176" i="18"/>
  <c r="Y176" i="18" s="1"/>
  <c r="Z176" i="18" s="1"/>
  <c r="X186" i="18"/>
  <c r="Y186" i="18" s="1"/>
  <c r="Z186" i="18" s="1"/>
  <c r="X170" i="18"/>
  <c r="Y170" i="18" s="1"/>
  <c r="Z170" i="18" s="1"/>
  <c r="X162" i="18"/>
  <c r="Y162" i="18" s="1"/>
  <c r="Z162" i="18" s="1"/>
  <c r="X262" i="18"/>
  <c r="Y262" i="18" s="1"/>
  <c r="Z262" i="18" s="1"/>
  <c r="X159" i="18"/>
  <c r="Y159" i="18" s="1"/>
  <c r="Z159" i="18" s="1"/>
  <c r="X248" i="18"/>
  <c r="Y248" i="18" s="1"/>
  <c r="Z248" i="18" s="1"/>
  <c r="X238" i="18"/>
  <c r="Y238" i="18" s="1"/>
  <c r="Z238" i="18" s="1"/>
  <c r="X182" i="18"/>
  <c r="Y182" i="18" s="1"/>
  <c r="Z182" i="18" s="1"/>
  <c r="X121" i="18"/>
  <c r="Y121" i="18" s="1"/>
  <c r="Z121" i="18" s="1"/>
  <c r="X26" i="18"/>
  <c r="Y26" i="18" s="1"/>
  <c r="Z26" i="18" s="1"/>
  <c r="X242" i="18"/>
  <c r="Y242" i="18" s="1"/>
  <c r="Z242" i="18" s="1"/>
  <c r="X53" i="18"/>
  <c r="Y53" i="18" s="1"/>
  <c r="Z53" i="18" s="1"/>
  <c r="X114" i="18"/>
  <c r="Y114" i="18" s="1"/>
  <c r="Z114" i="18" s="1"/>
  <c r="X169" i="18"/>
  <c r="Y169" i="18" s="1"/>
  <c r="Z169" i="18" s="1"/>
  <c r="X173" i="18"/>
  <c r="Y173" i="18" s="1"/>
  <c r="Z173" i="18" s="1"/>
  <c r="X180" i="18"/>
  <c r="Y180" i="18" s="1"/>
  <c r="Z180" i="18" s="1"/>
  <c r="X268" i="18"/>
  <c r="Y268" i="18" s="1"/>
  <c r="Z268" i="18" s="1"/>
  <c r="X50" i="18"/>
  <c r="Y50" i="18" s="1"/>
  <c r="Z50" i="18" s="1"/>
  <c r="X215" i="18"/>
  <c r="Y215" i="18" s="1"/>
  <c r="Z215" i="18" s="1"/>
  <c r="X45" i="18"/>
  <c r="Y45" i="18" s="1"/>
  <c r="Z45" i="18" s="1"/>
  <c r="X227" i="18"/>
  <c r="Y227" i="18" s="1"/>
  <c r="Z227" i="18" s="1"/>
  <c r="X93" i="18"/>
  <c r="Y93" i="18" s="1"/>
  <c r="Z93" i="18" s="1"/>
  <c r="X265" i="18"/>
  <c r="Y265" i="18" s="1"/>
  <c r="Z265" i="18" s="1"/>
  <c r="X229" i="18"/>
  <c r="Y229" i="18" s="1"/>
  <c r="Z229" i="18" s="1"/>
  <c r="X80" i="18"/>
  <c r="Y80" i="18" s="1"/>
  <c r="Z80" i="18" s="1"/>
  <c r="X239" i="18"/>
  <c r="Y239" i="18" s="1"/>
  <c r="Z239" i="18" s="1"/>
  <c r="X79" i="18"/>
  <c r="Y79" i="18" s="1"/>
  <c r="Z79" i="18" s="1"/>
  <c r="X202" i="18"/>
  <c r="Y202" i="18" s="1"/>
  <c r="Z202" i="18" s="1"/>
  <c r="X112" i="18"/>
  <c r="Y112" i="18" s="1"/>
  <c r="Z112" i="18" s="1"/>
  <c r="X255" i="18"/>
  <c r="Y255" i="18" s="1"/>
  <c r="Z255" i="18" s="1"/>
  <c r="X42" i="18"/>
  <c r="Y42" i="18" s="1"/>
  <c r="Z42" i="18" s="1"/>
  <c r="X87" i="18"/>
  <c r="Y87" i="18" s="1"/>
  <c r="Z87" i="18" s="1"/>
  <c r="X192" i="18"/>
  <c r="Y192" i="18" s="1"/>
  <c r="Z192" i="18" s="1"/>
  <c r="X27" i="18"/>
  <c r="Y27" i="18" s="1"/>
  <c r="Z27" i="18" s="1"/>
  <c r="X41" i="18"/>
  <c r="Y41" i="18" s="1"/>
  <c r="Z41" i="18" s="1"/>
  <c r="X96" i="18"/>
  <c r="Y96" i="18" s="1"/>
  <c r="Z96" i="18" s="1"/>
  <c r="X81" i="18"/>
  <c r="Y81" i="18" s="1"/>
  <c r="Z81" i="18" s="1"/>
  <c r="X99" i="18"/>
  <c r="Y99" i="18" s="1"/>
  <c r="Z99" i="18" s="1"/>
  <c r="X214" i="18"/>
  <c r="Y214" i="18" s="1"/>
  <c r="Z214" i="18" s="1"/>
  <c r="X188" i="18"/>
  <c r="Y188" i="18" s="1"/>
  <c r="Z188" i="18" s="1"/>
  <c r="X125" i="18"/>
  <c r="Y125" i="18" s="1"/>
  <c r="Z125" i="18" s="1"/>
  <c r="X90" i="18"/>
  <c r="Y90" i="18" s="1"/>
  <c r="Z90" i="18" s="1"/>
  <c r="X236" i="18"/>
  <c r="Y236" i="18" s="1"/>
  <c r="Z236" i="18" s="1"/>
  <c r="X84" i="18"/>
  <c r="Y84" i="18" s="1"/>
  <c r="Z84" i="18" s="1"/>
  <c r="X145" i="18"/>
  <c r="Y145" i="18" s="1"/>
  <c r="Z145" i="18" s="1"/>
  <c r="X148" i="18"/>
  <c r="Y148" i="18" s="1"/>
  <c r="Z148" i="18" s="1"/>
  <c r="X245" i="18"/>
  <c r="Y245" i="18" s="1"/>
  <c r="Z245" i="18" s="1"/>
  <c r="X60" i="18"/>
  <c r="Y60" i="18" s="1"/>
  <c r="Z60" i="18" s="1"/>
  <c r="X208" i="18"/>
  <c r="Y208" i="18" s="1"/>
  <c r="Z208" i="18" s="1"/>
  <c r="X246" i="18"/>
  <c r="Y246" i="18" s="1"/>
  <c r="Z246" i="18" s="1"/>
  <c r="X237" i="18"/>
  <c r="Y237" i="18" s="1"/>
  <c r="Z237" i="18" s="1"/>
  <c r="X91" i="18"/>
  <c r="Y91" i="18" s="1"/>
  <c r="Z91" i="18" s="1"/>
  <c r="X100" i="18"/>
  <c r="Y100" i="18" s="1"/>
  <c r="Z100" i="18" s="1"/>
  <c r="X177" i="18"/>
  <c r="Y177" i="18" s="1"/>
  <c r="Z177" i="18" s="1"/>
  <c r="X185" i="18"/>
  <c r="Y185" i="18" s="1"/>
  <c r="Z185" i="18" s="1"/>
  <c r="X85" i="18"/>
  <c r="Y85" i="18" s="1"/>
  <c r="Z85" i="18" s="1"/>
  <c r="X158" i="18"/>
  <c r="Y158" i="18" s="1"/>
  <c r="Z158" i="18" s="1"/>
  <c r="X106" i="18"/>
  <c r="Y106" i="18" s="1"/>
  <c r="Z106" i="18" s="1"/>
  <c r="X163" i="18"/>
  <c r="Y163" i="18" s="1"/>
  <c r="Z163" i="18" s="1"/>
  <c r="X264" i="18"/>
  <c r="Y264" i="18" s="1"/>
  <c r="Z264" i="18" s="1"/>
  <c r="X62" i="18"/>
  <c r="Y62" i="18" s="1"/>
  <c r="Z62" i="18" s="1"/>
  <c r="X83" i="18"/>
  <c r="Y83" i="18" s="1"/>
  <c r="Z83" i="18" s="1"/>
  <c r="X56" i="18"/>
  <c r="Y56" i="18" s="1"/>
  <c r="Z56" i="18" s="1"/>
  <c r="X131" i="18"/>
  <c r="Y131" i="18" s="1"/>
  <c r="Z131" i="18" s="1"/>
  <c r="X59" i="18"/>
  <c r="Y59" i="18" s="1"/>
  <c r="Z59" i="18" s="1"/>
  <c r="X175" i="18"/>
  <c r="Y175" i="18" s="1"/>
  <c r="Z175" i="18" s="1"/>
  <c r="X160" i="18"/>
  <c r="Y160" i="18" s="1"/>
  <c r="Z160" i="18" s="1"/>
  <c r="X199" i="18"/>
  <c r="Y199" i="18" s="1"/>
  <c r="Z199" i="18" s="1"/>
  <c r="X126" i="18"/>
  <c r="Y126" i="18" s="1"/>
  <c r="Z126" i="18" s="1"/>
  <c r="X115" i="18"/>
  <c r="Y115" i="18" s="1"/>
  <c r="Z115" i="18" s="1"/>
  <c r="X205" i="18"/>
  <c r="Y205" i="18" s="1"/>
  <c r="Z205" i="18" s="1"/>
  <c r="X219" i="18"/>
  <c r="Y219" i="18" s="1"/>
  <c r="Z219" i="18" s="1"/>
  <c r="X28" i="18"/>
  <c r="Y28" i="18" s="1"/>
  <c r="Z28" i="18" s="1"/>
  <c r="X171" i="18"/>
  <c r="Y171" i="18" s="1"/>
  <c r="Z171" i="18" s="1"/>
  <c r="X251" i="18"/>
  <c r="Y251" i="18" s="1"/>
  <c r="Z251" i="18" s="1"/>
  <c r="X70" i="18"/>
  <c r="Y70" i="18" s="1"/>
  <c r="Z70" i="18" s="1"/>
  <c r="X183" i="18"/>
  <c r="Y183" i="18" s="1"/>
  <c r="Z183" i="18" s="1"/>
  <c r="X257" i="18"/>
  <c r="Y257" i="18" s="1"/>
  <c r="Z257" i="18" s="1"/>
  <c r="X225" i="18"/>
  <c r="Y225" i="18" s="1"/>
  <c r="Z225" i="18" s="1"/>
  <c r="X150" i="18"/>
  <c r="Y150" i="18" s="1"/>
  <c r="Z150" i="18" s="1"/>
  <c r="X165" i="18"/>
  <c r="Y165" i="18" s="1"/>
  <c r="Z165" i="18" s="1"/>
  <c r="X30" i="18"/>
  <c r="Y30" i="18" s="1"/>
  <c r="Z30" i="18" s="1"/>
  <c r="X164" i="18"/>
  <c r="Y164" i="18" s="1"/>
  <c r="Z164" i="18" s="1"/>
  <c r="X52" i="18"/>
  <c r="Y52" i="18" s="1"/>
  <c r="Z52" i="18" s="1"/>
  <c r="X36" i="18"/>
  <c r="Y36" i="18" s="1"/>
  <c r="Z36" i="18" s="1"/>
  <c r="X155" i="18"/>
  <c r="Y155" i="18" s="1"/>
  <c r="Z155" i="18" s="1"/>
  <c r="X241" i="18"/>
  <c r="Y241" i="18" s="1"/>
  <c r="Z241" i="18" s="1"/>
  <c r="X69" i="18"/>
  <c r="Y69" i="18" s="1"/>
  <c r="Z69" i="18" s="1"/>
  <c r="X94" i="18"/>
  <c r="Y94" i="18" s="1"/>
  <c r="Z94" i="18" s="1"/>
  <c r="X35" i="18"/>
  <c r="Y35" i="18" s="1"/>
  <c r="Z35" i="18" s="1"/>
  <c r="X132" i="18"/>
  <c r="Y132" i="18" s="1"/>
  <c r="Z132" i="18" s="1"/>
  <c r="X189" i="18"/>
  <c r="Y189" i="18" s="1"/>
  <c r="Z189" i="18" s="1"/>
  <c r="X249" i="18"/>
  <c r="Y249" i="18" s="1"/>
  <c r="Z249" i="18" s="1"/>
  <c r="X151" i="18"/>
  <c r="Y151" i="18" s="1"/>
  <c r="Z151" i="18" s="1"/>
  <c r="X261" i="18"/>
  <c r="Y261" i="18" s="1"/>
  <c r="Z261" i="18" s="1"/>
  <c r="X95" i="18"/>
  <c r="Y95" i="18" s="1"/>
  <c r="Z95" i="18" s="1"/>
  <c r="X133" i="18"/>
  <c r="Y133" i="18" s="1"/>
  <c r="Z133" i="18" s="1"/>
  <c r="X138" i="18"/>
  <c r="Y138" i="18" s="1"/>
  <c r="Z138" i="18" s="1"/>
  <c r="X244" i="18"/>
  <c r="Y244" i="18" s="1"/>
  <c r="Z244" i="18" s="1"/>
  <c r="X92" i="18"/>
  <c r="Y92" i="18" s="1"/>
  <c r="Z92" i="18" s="1"/>
  <c r="X147" i="18"/>
  <c r="Y147" i="18" s="1"/>
  <c r="Z147" i="18" s="1"/>
  <c r="X178" i="18"/>
  <c r="Y178" i="18" s="1"/>
  <c r="Z178" i="18" s="1"/>
  <c r="X73" i="18"/>
  <c r="Y73" i="18" s="1"/>
  <c r="Z73" i="18" s="1"/>
  <c r="X209" i="18"/>
  <c r="Y209" i="18" s="1"/>
  <c r="Z209" i="18" s="1"/>
  <c r="X217" i="18"/>
  <c r="Y217" i="18" s="1"/>
  <c r="Z217" i="18" s="1"/>
  <c r="X149" i="18"/>
  <c r="Y149" i="18" s="1"/>
  <c r="Z149" i="18" s="1"/>
  <c r="X172" i="18"/>
  <c r="Y172" i="18" s="1"/>
  <c r="Z172" i="18" s="1"/>
  <c r="X260" i="18"/>
  <c r="Y260" i="18" s="1"/>
  <c r="Z260" i="18" s="1"/>
  <c r="X146" i="18"/>
  <c r="Y146" i="18" s="1"/>
  <c r="Z146" i="18" s="1"/>
  <c r="X191" i="18"/>
  <c r="Y191" i="18" s="1"/>
  <c r="Z191" i="18" s="1"/>
  <c r="X29" i="18"/>
  <c r="Y29" i="18" s="1"/>
  <c r="Z29" i="18" s="1"/>
  <c r="X54" i="18"/>
  <c r="Y54" i="18" s="1"/>
  <c r="Z54" i="18" s="1"/>
  <c r="X250" i="18"/>
  <c r="Y250" i="18" s="1"/>
  <c r="Z250" i="18" s="1"/>
  <c r="X128" i="18"/>
  <c r="Y128" i="18" s="1"/>
  <c r="Z128" i="18" s="1"/>
  <c r="X224" i="18"/>
  <c r="Y224" i="18" s="1"/>
  <c r="Z224" i="18" s="1"/>
  <c r="X34" i="18"/>
  <c r="Y34" i="18" s="1"/>
  <c r="Z34" i="18" s="1"/>
  <c r="X168" i="18"/>
  <c r="Y168" i="18" s="1"/>
  <c r="Z168" i="18" s="1"/>
  <c r="X98" i="18"/>
  <c r="Y98" i="18" s="1"/>
  <c r="Z98" i="18" s="1"/>
  <c r="X119" i="18"/>
  <c r="Y119" i="18" s="1"/>
  <c r="Z119" i="18" s="1"/>
  <c r="X68" i="18"/>
  <c r="Y68" i="18" s="1"/>
  <c r="Z68" i="18" s="1"/>
  <c r="X221" i="18"/>
  <c r="Y221" i="18" s="1"/>
  <c r="Z221" i="18" s="1"/>
  <c r="U24" i="18"/>
  <c r="J52" i="4"/>
  <c r="K52" i="4" s="1"/>
  <c r="J59" i="4"/>
  <c r="K59" i="4" s="1"/>
  <c r="J46" i="4"/>
  <c r="K46" i="4" s="1"/>
  <c r="J53" i="4"/>
  <c r="K53" i="4" s="1"/>
  <c r="J49" i="4"/>
  <c r="K49" i="4" s="1"/>
  <c r="J58" i="4"/>
  <c r="K58" i="4" s="1"/>
  <c r="J45" i="4"/>
  <c r="K45" i="4" s="1"/>
  <c r="J54" i="4"/>
  <c r="K54" i="4" s="1"/>
  <c r="J50" i="4"/>
  <c r="K50" i="4" s="1"/>
  <c r="J56" i="4"/>
  <c r="K56" i="4" s="1"/>
  <c r="J48" i="4"/>
  <c r="K48" i="4" s="1"/>
  <c r="J51" i="4"/>
  <c r="K51" i="4" s="1"/>
  <c r="J57" i="4"/>
  <c r="K57" i="4" s="1"/>
  <c r="J47" i="4"/>
  <c r="K47" i="4" s="1"/>
  <c r="J55" i="4"/>
  <c r="K55" i="4" s="1"/>
  <c r="K4" i="1"/>
  <c r="J26" i="4"/>
  <c r="K26" i="4" s="1"/>
  <c r="J31" i="4"/>
  <c r="K31" i="4" s="1"/>
  <c r="J27" i="4"/>
  <c r="K27" i="4" s="1"/>
  <c r="J28" i="4"/>
  <c r="K28" i="4" s="1"/>
  <c r="J29" i="4"/>
  <c r="K29" i="4" s="1"/>
  <c r="J30" i="4"/>
  <c r="K30" i="4" s="1"/>
  <c r="J195" i="4"/>
  <c r="K195" i="4" s="1"/>
  <c r="J197" i="4"/>
  <c r="K197" i="4" s="1"/>
  <c r="J199" i="4"/>
  <c r="K199" i="4" s="1"/>
  <c r="J201" i="4"/>
  <c r="K201" i="4" s="1"/>
  <c r="J203" i="4"/>
  <c r="K203" i="4" s="1"/>
  <c r="J205" i="4"/>
  <c r="K205" i="4" s="1"/>
  <c r="J207" i="4"/>
  <c r="K207" i="4" s="1"/>
  <c r="J209" i="4"/>
  <c r="K209" i="4" s="1"/>
  <c r="J211" i="4"/>
  <c r="K211" i="4" s="1"/>
  <c r="J213" i="4"/>
  <c r="K213" i="4" s="1"/>
  <c r="J215" i="4"/>
  <c r="K215" i="4" s="1"/>
  <c r="J217" i="4"/>
  <c r="K217" i="4" s="1"/>
  <c r="J219" i="4"/>
  <c r="K219" i="4" s="1"/>
  <c r="J221" i="4"/>
  <c r="K221" i="4" s="1"/>
  <c r="J223" i="4"/>
  <c r="K223" i="4" s="1"/>
  <c r="J225" i="4"/>
  <c r="K225" i="4" s="1"/>
  <c r="J227" i="4"/>
  <c r="K227" i="4" s="1"/>
  <c r="J229" i="4"/>
  <c r="K229" i="4" s="1"/>
  <c r="J231" i="4"/>
  <c r="K231" i="4" s="1"/>
  <c r="J233" i="4"/>
  <c r="K233" i="4" s="1"/>
  <c r="J235" i="4"/>
  <c r="K235" i="4" s="1"/>
  <c r="J237" i="4"/>
  <c r="K237" i="4" s="1"/>
  <c r="J239" i="4"/>
  <c r="K239" i="4" s="1"/>
  <c r="J241" i="4"/>
  <c r="K241" i="4" s="1"/>
  <c r="J243" i="4"/>
  <c r="K243" i="4" s="1"/>
  <c r="J200" i="4"/>
  <c r="K200" i="4" s="1"/>
  <c r="J216" i="4"/>
  <c r="K216" i="4" s="1"/>
  <c r="J232" i="4"/>
  <c r="K232" i="4" s="1"/>
  <c r="J198" i="4"/>
  <c r="K198" i="4" s="1"/>
  <c r="J214" i="4"/>
  <c r="K214" i="4" s="1"/>
  <c r="J230" i="4"/>
  <c r="K230" i="4" s="1"/>
  <c r="J196" i="4"/>
  <c r="K196" i="4" s="1"/>
  <c r="J212" i="4"/>
  <c r="K212" i="4" s="1"/>
  <c r="J228" i="4"/>
  <c r="K228" i="4" s="1"/>
  <c r="J244" i="4"/>
  <c r="K244" i="4" s="1"/>
  <c r="J210" i="4"/>
  <c r="K210" i="4" s="1"/>
  <c r="J226" i="4"/>
  <c r="K226" i="4" s="1"/>
  <c r="J242" i="4"/>
  <c r="K242" i="4" s="1"/>
  <c r="J208" i="4"/>
  <c r="K208" i="4" s="1"/>
  <c r="J224" i="4"/>
  <c r="K224" i="4" s="1"/>
  <c r="J240" i="4"/>
  <c r="K240" i="4" s="1"/>
  <c r="J206" i="4"/>
  <c r="K206" i="4" s="1"/>
  <c r="J222" i="4"/>
  <c r="K222" i="4" s="1"/>
  <c r="J220" i="4"/>
  <c r="K220" i="4" s="1"/>
  <c r="J236" i="4"/>
  <c r="K236" i="4" s="1"/>
  <c r="J202" i="4"/>
  <c r="K202" i="4" s="1"/>
  <c r="J234" i="4"/>
  <c r="K234" i="4" s="1"/>
  <c r="J218" i="4"/>
  <c r="K218" i="4" s="1"/>
  <c r="J204" i="4"/>
  <c r="K204" i="4" s="1"/>
  <c r="J238" i="4"/>
  <c r="K238" i="4" s="1"/>
  <c r="J162" i="4"/>
  <c r="K162" i="4" s="1"/>
  <c r="J136" i="4"/>
  <c r="K136" i="4" s="1"/>
  <c r="J144" i="4"/>
  <c r="K144" i="4" s="1"/>
  <c r="J153" i="4"/>
  <c r="K153" i="4" s="1"/>
  <c r="J160" i="4"/>
  <c r="K160" i="4" s="1"/>
  <c r="J170" i="4"/>
  <c r="K170" i="4" s="1"/>
  <c r="J177" i="4"/>
  <c r="K177" i="4" s="1"/>
  <c r="J186" i="4"/>
  <c r="K186" i="4" s="1"/>
  <c r="J140" i="4"/>
  <c r="K140" i="4" s="1"/>
  <c r="J133" i="4"/>
  <c r="K133" i="4" s="1"/>
  <c r="J143" i="4"/>
  <c r="K143" i="4" s="1"/>
  <c r="J150" i="4"/>
  <c r="K150" i="4" s="1"/>
  <c r="J159" i="4"/>
  <c r="K159" i="4" s="1"/>
  <c r="J167" i="4"/>
  <c r="K167" i="4" s="1"/>
  <c r="J176" i="4"/>
  <c r="K176" i="4" s="1"/>
  <c r="J183" i="4"/>
  <c r="K183" i="4" s="1"/>
  <c r="J192" i="4"/>
  <c r="K192" i="4" s="1"/>
  <c r="J194" i="4"/>
  <c r="K194" i="4" s="1"/>
  <c r="J138" i="4"/>
  <c r="K138" i="4" s="1"/>
  <c r="J149" i="4"/>
  <c r="K149" i="4" s="1"/>
  <c r="J163" i="4"/>
  <c r="K163" i="4" s="1"/>
  <c r="J168" i="4"/>
  <c r="K168" i="4" s="1"/>
  <c r="J171" i="4"/>
  <c r="K171" i="4" s="1"/>
  <c r="J181" i="4"/>
  <c r="K181" i="4" s="1"/>
  <c r="J130" i="4"/>
  <c r="K130" i="4" s="1"/>
  <c r="J142" i="4"/>
  <c r="K142" i="4" s="1"/>
  <c r="J155" i="4"/>
  <c r="K155" i="4" s="1"/>
  <c r="J166" i="4"/>
  <c r="K166" i="4" s="1"/>
  <c r="J179" i="4"/>
  <c r="K179" i="4" s="1"/>
  <c r="J184" i="4"/>
  <c r="K184" i="4" s="1"/>
  <c r="J187" i="4"/>
  <c r="K187" i="4" s="1"/>
  <c r="J139" i="4"/>
  <c r="K139" i="4" s="1"/>
  <c r="J145" i="4"/>
  <c r="K145" i="4" s="1"/>
  <c r="J164" i="4"/>
  <c r="K164" i="4" s="1"/>
  <c r="J169" i="4"/>
  <c r="K169" i="4" s="1"/>
  <c r="J174" i="4"/>
  <c r="K174" i="4" s="1"/>
  <c r="J134" i="4"/>
  <c r="K134" i="4" s="1"/>
  <c r="J137" i="4"/>
  <c r="K137" i="4" s="1"/>
  <c r="J148" i="4"/>
  <c r="K148" i="4" s="1"/>
  <c r="J158" i="4"/>
  <c r="K158" i="4" s="1"/>
  <c r="J172" i="4"/>
  <c r="K172" i="4" s="1"/>
  <c r="J182" i="4"/>
  <c r="K182" i="4" s="1"/>
  <c r="J156" i="4"/>
  <c r="K156" i="4" s="1"/>
  <c r="J161" i="4"/>
  <c r="K161" i="4" s="1"/>
  <c r="J180" i="4"/>
  <c r="K180" i="4" s="1"/>
  <c r="J185" i="4"/>
  <c r="K185" i="4" s="1"/>
  <c r="J190" i="4"/>
  <c r="K190" i="4" s="1"/>
  <c r="J132" i="4"/>
  <c r="K132" i="4" s="1"/>
  <c r="J146" i="4"/>
  <c r="K146" i="4" s="1"/>
  <c r="J151" i="4"/>
  <c r="K151" i="4" s="1"/>
  <c r="J154" i="4"/>
  <c r="K154" i="4" s="1"/>
  <c r="J165" i="4"/>
  <c r="K165" i="4" s="1"/>
  <c r="J175" i="4"/>
  <c r="K175" i="4" s="1"/>
  <c r="J188" i="4"/>
  <c r="K188" i="4" s="1"/>
  <c r="J141" i="4"/>
  <c r="K141" i="4" s="1"/>
  <c r="J152" i="4"/>
  <c r="K152" i="4" s="1"/>
  <c r="J129" i="4"/>
  <c r="K129" i="4" s="1"/>
  <c r="J178" i="4"/>
  <c r="K178" i="4" s="1"/>
  <c r="J157" i="4"/>
  <c r="K157" i="4" s="1"/>
  <c r="J135" i="4"/>
  <c r="K135" i="4" s="1"/>
  <c r="J147" i="4"/>
  <c r="K147" i="4" s="1"/>
  <c r="J173" i="4"/>
  <c r="K173" i="4" s="1"/>
  <c r="J193" i="4"/>
  <c r="K193" i="4" s="1"/>
  <c r="J131" i="4"/>
  <c r="K131" i="4" s="1"/>
  <c r="J191" i="4"/>
  <c r="K191" i="4" s="1"/>
  <c r="J189" i="4"/>
  <c r="K189" i="4" s="1"/>
  <c r="J67" i="4"/>
  <c r="K67" i="4" s="1"/>
  <c r="J74" i="4"/>
  <c r="K74" i="4" s="1"/>
  <c r="J64" i="4"/>
  <c r="K64" i="4" s="1"/>
  <c r="J73" i="4"/>
  <c r="K73" i="4" s="1"/>
  <c r="J60" i="4"/>
  <c r="K60" i="4" s="1"/>
  <c r="J69" i="4"/>
  <c r="K69" i="4" s="1"/>
  <c r="J76" i="4"/>
  <c r="K76" i="4" s="1"/>
  <c r="J63" i="4"/>
  <c r="K63" i="4" s="1"/>
  <c r="J71" i="4"/>
  <c r="K71" i="4" s="1"/>
  <c r="J79" i="4"/>
  <c r="K79" i="4" s="1"/>
  <c r="J61" i="4"/>
  <c r="K61" i="4" s="1"/>
  <c r="J72" i="4"/>
  <c r="K72" i="4" s="1"/>
  <c r="J70" i="4"/>
  <c r="K70" i="4" s="1"/>
  <c r="J75" i="4"/>
  <c r="K75" i="4" s="1"/>
  <c r="J78" i="4"/>
  <c r="K78" i="4" s="1"/>
  <c r="J62" i="4"/>
  <c r="K62" i="4" s="1"/>
  <c r="J65" i="4"/>
  <c r="K65" i="4" s="1"/>
  <c r="J68" i="4"/>
  <c r="K68" i="4" s="1"/>
  <c r="J77" i="4"/>
  <c r="K77" i="4" s="1"/>
  <c r="J66" i="4"/>
  <c r="K66" i="4" s="1"/>
  <c r="J44" i="4"/>
  <c r="K44" i="4" s="1"/>
  <c r="J38" i="4"/>
  <c r="K38" i="4" s="1"/>
  <c r="J43" i="4"/>
  <c r="K43" i="4" s="1"/>
  <c r="J39" i="4"/>
  <c r="K39" i="4" s="1"/>
  <c r="J42" i="4"/>
  <c r="K42" i="4" s="1"/>
  <c r="J40" i="4"/>
  <c r="K40" i="4" s="1"/>
  <c r="J41" i="4"/>
  <c r="K41" i="4" s="1"/>
  <c r="J34" i="4"/>
  <c r="K34" i="4" s="1"/>
  <c r="J37" i="4"/>
  <c r="K37" i="4" s="1"/>
  <c r="J33" i="4"/>
  <c r="K33" i="4" s="1"/>
  <c r="J36" i="4"/>
  <c r="K36" i="4" s="1"/>
  <c r="J35" i="4"/>
  <c r="K35" i="4" s="1"/>
  <c r="J32" i="4"/>
  <c r="K32" i="4" s="1"/>
  <c r="AD37" i="18" l="1"/>
  <c r="U37" i="4" s="1"/>
  <c r="AF37" i="18"/>
  <c r="AC37" i="4" s="1"/>
  <c r="X129" i="18"/>
  <c r="Y129" i="18" s="1"/>
  <c r="Z129" i="18" s="1"/>
  <c r="X258" i="18"/>
  <c r="Y258" i="18" s="1"/>
  <c r="Z258" i="18" s="1"/>
  <c r="X190" i="18"/>
  <c r="Y190" i="18" s="1"/>
  <c r="Z190" i="18" s="1"/>
  <c r="X76" i="18"/>
  <c r="Y76" i="18" s="1"/>
  <c r="Z76" i="18" s="1"/>
  <c r="X252" i="18"/>
  <c r="Y252" i="18" s="1"/>
  <c r="Z252" i="18" s="1"/>
  <c r="X207" i="18"/>
  <c r="Y207" i="18" s="1"/>
  <c r="Z207" i="18" s="1"/>
  <c r="X65" i="18"/>
  <c r="Y65" i="18" s="1"/>
  <c r="Z65" i="18" s="1"/>
  <c r="X67" i="18"/>
  <c r="Y67" i="18" s="1"/>
  <c r="Z67" i="18" s="1"/>
  <c r="X198" i="18"/>
  <c r="Y198" i="18" s="1"/>
  <c r="Z198" i="18" s="1"/>
  <c r="X153" i="18"/>
  <c r="Y153" i="18" s="1"/>
  <c r="Z153" i="18" s="1"/>
  <c r="X104" i="18"/>
  <c r="Y104" i="18" s="1"/>
  <c r="Z104" i="18" s="1"/>
  <c r="X247" i="18"/>
  <c r="Y247" i="18" s="1"/>
  <c r="Z247" i="18" s="1"/>
  <c r="X82" i="18"/>
  <c r="Y82" i="18" s="1"/>
  <c r="Z82" i="18" s="1"/>
  <c r="X166" i="18"/>
  <c r="Y166" i="18" s="1"/>
  <c r="Z166" i="18" s="1"/>
  <c r="X206" i="18"/>
  <c r="Y206" i="18" s="1"/>
  <c r="Z206" i="18" s="1"/>
  <c r="X117" i="18"/>
  <c r="Y117" i="18" s="1"/>
  <c r="Z117" i="18" s="1"/>
  <c r="X74" i="18"/>
  <c r="Y74" i="18" s="1"/>
  <c r="Z74" i="18" s="1"/>
  <c r="X31" i="18"/>
  <c r="Y31" i="18" s="1"/>
  <c r="Z31" i="18" s="1"/>
  <c r="AA22" i="18" s="1"/>
  <c r="X57" i="18"/>
  <c r="Y57" i="18" s="1"/>
  <c r="Z57" i="18" s="1"/>
  <c r="X71" i="18"/>
  <c r="Y71" i="18" s="1"/>
  <c r="Z71" i="18" s="1"/>
  <c r="X143" i="18"/>
  <c r="Y143" i="18" s="1"/>
  <c r="Z143" i="18" s="1"/>
  <c r="X235" i="18"/>
  <c r="Y235" i="18" s="1"/>
  <c r="Z235" i="18" s="1"/>
  <c r="X47" i="18"/>
  <c r="Y47" i="18" s="1"/>
  <c r="Z47" i="18" s="1"/>
  <c r="X200" i="18"/>
  <c r="Y200" i="18" s="1"/>
  <c r="Z200" i="18" s="1"/>
  <c r="X127" i="18"/>
  <c r="Y127" i="18" s="1"/>
  <c r="Z127" i="18" s="1"/>
  <c r="X39" i="18"/>
  <c r="Y39" i="18" s="1"/>
  <c r="Z39" i="18" s="1"/>
  <c r="X196" i="18"/>
  <c r="Y196" i="18" s="1"/>
  <c r="Z196" i="18" s="1"/>
  <c r="X33" i="18"/>
  <c r="Y33" i="18" s="1"/>
  <c r="Z33" i="18" s="1"/>
  <c r="X72" i="18"/>
  <c r="Y72" i="18" s="1"/>
  <c r="Z72" i="18" s="1"/>
  <c r="X103" i="18"/>
  <c r="Y103" i="18" s="1"/>
  <c r="Z103" i="18" s="1"/>
  <c r="X58" i="18"/>
  <c r="Y58" i="18" s="1"/>
  <c r="Z58" i="18" s="1"/>
  <c r="AA58" i="18" s="1"/>
  <c r="X61" i="18"/>
  <c r="Y61" i="18" s="1"/>
  <c r="Z61" i="18" s="1"/>
  <c r="X234" i="18"/>
  <c r="Y234" i="18" s="1"/>
  <c r="Z234" i="18" s="1"/>
  <c r="X179" i="18"/>
  <c r="Y179" i="18" s="1"/>
  <c r="Z179" i="18" s="1"/>
  <c r="X220" i="18"/>
  <c r="Y220" i="18" s="1"/>
  <c r="Z220" i="18" s="1"/>
  <c r="X32" i="18"/>
  <c r="Y32" i="18" s="1"/>
  <c r="Z32" i="18" s="1"/>
  <c r="X124" i="18"/>
  <c r="Y124" i="18" s="1"/>
  <c r="Z124" i="18" s="1"/>
  <c r="X122" i="18"/>
  <c r="Y122" i="18" s="1"/>
  <c r="Z122" i="18" s="1"/>
  <c r="X201" i="18"/>
  <c r="Y201" i="18" s="1"/>
  <c r="Z201" i="18" s="1"/>
  <c r="X243" i="18"/>
  <c r="Y243" i="18" s="1"/>
  <c r="Z243" i="18" s="1"/>
  <c r="X181" i="18"/>
  <c r="Y181" i="18" s="1"/>
  <c r="Z181" i="18" s="1"/>
  <c r="X232" i="18"/>
  <c r="Y232" i="18" s="1"/>
  <c r="Z232" i="18" s="1"/>
  <c r="X44" i="18"/>
  <c r="Y44" i="18" s="1"/>
  <c r="Z44" i="18" s="1"/>
  <c r="AA44" i="18" s="1"/>
  <c r="X211" i="18"/>
  <c r="Y211" i="18" s="1"/>
  <c r="Z211" i="18" s="1"/>
  <c r="X116" i="18"/>
  <c r="Y116" i="18" s="1"/>
  <c r="Z116" i="18" s="1"/>
  <c r="X204" i="18"/>
  <c r="Y204" i="18" s="1"/>
  <c r="Z204" i="18" s="1"/>
  <c r="X218" i="18"/>
  <c r="Y218" i="18" s="1"/>
  <c r="Z218" i="18" s="1"/>
  <c r="X203" i="18"/>
  <c r="Y203" i="18" s="1"/>
  <c r="Z203" i="18" s="1"/>
  <c r="X109" i="18"/>
  <c r="Y109" i="18" s="1"/>
  <c r="Z109" i="18" s="1"/>
  <c r="X152" i="18"/>
  <c r="Y152" i="18" s="1"/>
  <c r="Z152" i="18" s="1"/>
  <c r="X130" i="18"/>
  <c r="Y130" i="18" s="1"/>
  <c r="Z130" i="18" s="1"/>
  <c r="X134" i="18"/>
  <c r="Y134" i="18" s="1"/>
  <c r="Z134" i="18" s="1"/>
  <c r="X66" i="18"/>
  <c r="Y66" i="18" s="1"/>
  <c r="Z66" i="18" s="1"/>
  <c r="X63" i="18"/>
  <c r="Y63" i="18" s="1"/>
  <c r="Z63" i="18" s="1"/>
  <c r="X43" i="18"/>
  <c r="Y43" i="18" s="1"/>
  <c r="Z43" i="18" s="1"/>
  <c r="X105" i="18"/>
  <c r="Y105" i="18" s="1"/>
  <c r="Z105" i="18" s="1"/>
  <c r="X77" i="18"/>
  <c r="Y77" i="18" s="1"/>
  <c r="Z77" i="18" s="1"/>
  <c r="X142" i="18"/>
  <c r="Y142" i="18" s="1"/>
  <c r="Z142" i="18" s="1"/>
  <c r="X113" i="18"/>
  <c r="Y113" i="18" s="1"/>
  <c r="Z113" i="18" s="1"/>
  <c r="X40" i="18"/>
  <c r="Y40" i="18" s="1"/>
  <c r="Z40" i="18" s="1"/>
  <c r="X270" i="18"/>
  <c r="Y270" i="18" s="1"/>
  <c r="Z270" i="18" s="1"/>
  <c r="X88" i="18"/>
  <c r="Y88" i="18" s="1"/>
  <c r="Z88" i="18" s="1"/>
  <c r="X86" i="18"/>
  <c r="Y86" i="18" s="1"/>
  <c r="Z86" i="18" s="1"/>
  <c r="X135" i="18"/>
  <c r="Y135" i="18" s="1"/>
  <c r="Z135" i="18" s="1"/>
  <c r="X266" i="18"/>
  <c r="Y266" i="18" s="1"/>
  <c r="Z266" i="18" s="1"/>
  <c r="X156" i="18"/>
  <c r="Y156" i="18" s="1"/>
  <c r="Z156" i="18" s="1"/>
  <c r="X111" i="18"/>
  <c r="Y111" i="18" s="1"/>
  <c r="Z111" i="18" s="1"/>
  <c r="X263" i="18"/>
  <c r="Y263" i="18" s="1"/>
  <c r="Z263" i="18" s="1"/>
  <c r="X194" i="18"/>
  <c r="Y194" i="18" s="1"/>
  <c r="Z194" i="18" s="1"/>
  <c r="X231" i="18"/>
  <c r="Y231" i="18" s="1"/>
  <c r="Z231" i="18" s="1"/>
  <c r="X101" i="18"/>
  <c r="Y101" i="18" s="1"/>
  <c r="Z101" i="18" s="1"/>
  <c r="X197" i="18"/>
  <c r="Y197" i="18" s="1"/>
  <c r="Z197" i="18" s="1"/>
  <c r="X141" i="18"/>
  <c r="Y141" i="18" s="1"/>
  <c r="Z141" i="18" s="1"/>
  <c r="X140" i="18"/>
  <c r="Y140" i="18" s="1"/>
  <c r="Z140" i="18" s="1"/>
  <c r="X136" i="18"/>
  <c r="Y136" i="18" s="1"/>
  <c r="Z136" i="18" s="1"/>
  <c r="X256" i="18"/>
  <c r="Y256" i="18" s="1"/>
  <c r="Z256" i="18" s="1"/>
  <c r="X222" i="18"/>
  <c r="Y222" i="18" s="1"/>
  <c r="Z222" i="18" s="1"/>
  <c r="X107" i="18"/>
  <c r="Y107" i="18" s="1"/>
  <c r="Z107" i="18" s="1"/>
  <c r="X144" i="18"/>
  <c r="Y144" i="18" s="1"/>
  <c r="Z144" i="18" s="1"/>
  <c r="X78" i="18"/>
  <c r="Y78" i="18" s="1"/>
  <c r="Z78" i="18" s="1"/>
  <c r="X223" i="18"/>
  <c r="Y223" i="18" s="1"/>
  <c r="Z223" i="18" s="1"/>
  <c r="X51" i="18"/>
  <c r="Y51" i="18" s="1"/>
  <c r="Z51" i="18" s="1"/>
  <c r="AA19" i="18" s="1"/>
  <c r="X102" i="18"/>
  <c r="Y102" i="18" s="1"/>
  <c r="Z102" i="18" s="1"/>
  <c r="X97" i="18"/>
  <c r="Y97" i="18" s="1"/>
  <c r="Z97" i="18" s="1"/>
  <c r="X226" i="18"/>
  <c r="Y226" i="18" s="1"/>
  <c r="Z226" i="18" s="1"/>
  <c r="X75" i="18"/>
  <c r="Y75" i="18" s="1"/>
  <c r="Z75" i="18" s="1"/>
  <c r="X254" i="18"/>
  <c r="Y254" i="18" s="1"/>
  <c r="Z254" i="18" s="1"/>
  <c r="X137" i="18"/>
  <c r="Y137" i="18" s="1"/>
  <c r="Z137" i="18" s="1"/>
  <c r="X184" i="18"/>
  <c r="Y184" i="18" s="1"/>
  <c r="Z184" i="18" s="1"/>
  <c r="X110" i="18"/>
  <c r="Y110" i="18" s="1"/>
  <c r="Z110" i="18" s="1"/>
  <c r="X161" i="18"/>
  <c r="Y161" i="18" s="1"/>
  <c r="Z161" i="18" s="1"/>
  <c r="X240" i="18"/>
  <c r="Y240" i="18" s="1"/>
  <c r="Z240" i="18" s="1"/>
  <c r="K24" i="4"/>
  <c r="O65" i="4" s="1"/>
  <c r="K25" i="4"/>
  <c r="AD58" i="18" l="1"/>
  <c r="U58" i="4" s="1"/>
  <c r="AF58" i="18"/>
  <c r="AC58" i="4" s="1"/>
  <c r="AD44" i="18"/>
  <c r="U44" i="4" s="1"/>
  <c r="AF44" i="18"/>
  <c r="AC44" i="4" s="1"/>
  <c r="Z22" i="18" a="1"/>
  <c r="Z22" i="18" s="1"/>
  <c r="Y25" i="18"/>
  <c r="Z23" i="18" a="1"/>
  <c r="Z23" i="18" s="1"/>
  <c r="AA170" i="18" s="1"/>
  <c r="X24" i="18"/>
  <c r="Y24" i="18"/>
  <c r="M209" i="4"/>
  <c r="O41" i="4"/>
  <c r="O195" i="4"/>
  <c r="O196" i="4"/>
  <c r="O54" i="4"/>
  <c r="M224" i="4"/>
  <c r="M171" i="4"/>
  <c r="O177" i="4"/>
  <c r="O209" i="4"/>
  <c r="O224" i="4"/>
  <c r="M173" i="4"/>
  <c r="O171" i="4"/>
  <c r="O50" i="4"/>
  <c r="M176" i="4"/>
  <c r="O197" i="4"/>
  <c r="O206" i="4"/>
  <c r="M158" i="4"/>
  <c r="O79" i="4"/>
  <c r="O27" i="4"/>
  <c r="M222" i="4"/>
  <c r="O145" i="4"/>
  <c r="O64" i="4"/>
  <c r="M182" i="4"/>
  <c r="M144" i="4"/>
  <c r="O138" i="4"/>
  <c r="M201" i="4"/>
  <c r="O220" i="4"/>
  <c r="M38" i="4"/>
  <c r="M29" i="4"/>
  <c r="M205" i="4"/>
  <c r="M149" i="4"/>
  <c r="O39" i="4"/>
  <c r="M208" i="4"/>
  <c r="M175" i="4"/>
  <c r="M137" i="4"/>
  <c r="O176" i="4"/>
  <c r="M213" i="4"/>
  <c r="O238" i="4"/>
  <c r="O158" i="4"/>
  <c r="M68" i="4"/>
  <c r="M199" i="4"/>
  <c r="O222" i="4"/>
  <c r="M172" i="4"/>
  <c r="O61" i="4"/>
  <c r="O182" i="4"/>
  <c r="M155" i="4"/>
  <c r="O154" i="4"/>
  <c r="O201" i="4"/>
  <c r="M136" i="4"/>
  <c r="O38" i="4"/>
  <c r="O29" i="4"/>
  <c r="O205" i="4"/>
  <c r="O149" i="4"/>
  <c r="M39" i="4"/>
  <c r="O208" i="4"/>
  <c r="O175" i="4"/>
  <c r="O137" i="4"/>
  <c r="M218" i="4"/>
  <c r="O148" i="4"/>
  <c r="M225" i="4"/>
  <c r="O218" i="4"/>
  <c r="M62" i="4"/>
  <c r="O71" i="4"/>
  <c r="M26" i="4"/>
  <c r="O193" i="4"/>
  <c r="O213" i="4"/>
  <c r="M186" i="4"/>
  <c r="O132" i="4"/>
  <c r="O68" i="4"/>
  <c r="M215" i="4"/>
  <c r="O162" i="4"/>
  <c r="O172" i="4"/>
  <c r="M77" i="4"/>
  <c r="M178" i="4"/>
  <c r="O155" i="4"/>
  <c r="M70" i="4"/>
  <c r="M217" i="4"/>
  <c r="O136" i="4"/>
  <c r="M226" i="4"/>
  <c r="M236" i="4"/>
  <c r="M237" i="4"/>
  <c r="M174" i="4"/>
  <c r="O45" i="4"/>
  <c r="M160" i="4"/>
  <c r="O76" i="4"/>
  <c r="M63" i="4"/>
  <c r="M59" i="4"/>
  <c r="O229" i="4"/>
  <c r="O186" i="4"/>
  <c r="M152" i="4"/>
  <c r="M35" i="4"/>
  <c r="O215" i="4"/>
  <c r="M140" i="4"/>
  <c r="O146" i="4"/>
  <c r="O77" i="4"/>
  <c r="M73" i="4"/>
  <c r="O157" i="4"/>
  <c r="O70" i="4"/>
  <c r="M233" i="4"/>
  <c r="O194" i="4"/>
  <c r="O226" i="4"/>
  <c r="O236" i="4"/>
  <c r="O237" i="4"/>
  <c r="O174" i="4"/>
  <c r="M45" i="4"/>
  <c r="O160" i="4"/>
  <c r="M76" i="4"/>
  <c r="M227" i="4"/>
  <c r="O190" i="4"/>
  <c r="M67" i="4"/>
  <c r="O225" i="4"/>
  <c r="O167" i="4"/>
  <c r="M243" i="4"/>
  <c r="M71" i="4"/>
  <c r="M40" i="4"/>
  <c r="O67" i="4"/>
  <c r="O241" i="4"/>
  <c r="M184" i="4"/>
  <c r="O243" i="4"/>
  <c r="M36" i="4"/>
  <c r="O26" i="4"/>
  <c r="O59" i="4"/>
  <c r="M200" i="4"/>
  <c r="O183" i="4"/>
  <c r="O152" i="4"/>
  <c r="M46" i="4"/>
  <c r="O231" i="4"/>
  <c r="O140" i="4"/>
  <c r="M129" i="4"/>
  <c r="O32" i="4"/>
  <c r="O73" i="4"/>
  <c r="O44" i="4"/>
  <c r="M53" i="4"/>
  <c r="O233" i="4"/>
  <c r="M164" i="4"/>
  <c r="M156" i="4"/>
  <c r="O60" i="4"/>
  <c r="M242" i="4"/>
  <c r="O165" i="4"/>
  <c r="O207" i="4"/>
  <c r="M163" i="4"/>
  <c r="M42" i="4"/>
  <c r="O227" i="4"/>
  <c r="O40" i="4"/>
  <c r="O184" i="4"/>
  <c r="M204" i="4"/>
  <c r="O36" i="4"/>
  <c r="M211" i="4"/>
  <c r="O56" i="4"/>
  <c r="O200" i="4"/>
  <c r="M181" i="4"/>
  <c r="O131" i="4"/>
  <c r="O46" i="4"/>
  <c r="M216" i="4"/>
  <c r="O192" i="4"/>
  <c r="O129" i="4"/>
  <c r="O133" i="4"/>
  <c r="M66" i="4"/>
  <c r="M44" i="4"/>
  <c r="O51" i="4"/>
  <c r="O232" i="4"/>
  <c r="O164" i="4"/>
  <c r="O156" i="4"/>
  <c r="M60" i="4"/>
  <c r="O242" i="4"/>
  <c r="M165" i="4"/>
  <c r="M207" i="4"/>
  <c r="O163" i="4"/>
  <c r="O42" i="4"/>
  <c r="M187" i="4"/>
  <c r="O173" i="4"/>
  <c r="M54" i="4"/>
  <c r="M185" i="4"/>
  <c r="O204" i="4"/>
  <c r="M52" i="4"/>
  <c r="O211" i="4"/>
  <c r="O31" i="4"/>
  <c r="O228" i="4"/>
  <c r="O181" i="4"/>
  <c r="O74" i="4"/>
  <c r="O48" i="4"/>
  <c r="O216" i="4"/>
  <c r="M130" i="4"/>
  <c r="O191" i="4"/>
  <c r="M133" i="4"/>
  <c r="M235" i="4"/>
  <c r="O198" i="4"/>
  <c r="M51" i="4"/>
  <c r="M210" i="4"/>
  <c r="M189" i="4"/>
  <c r="O49" i="4"/>
  <c r="O47" i="4"/>
  <c r="M153" i="4"/>
  <c r="M69" i="4"/>
  <c r="M239" i="4"/>
  <c r="M134" i="4"/>
  <c r="M170" i="4"/>
  <c r="M65" i="4"/>
  <c r="M148" i="4"/>
  <c r="M196" i="4"/>
  <c r="M177" i="4"/>
  <c r="O185" i="4"/>
  <c r="O52" i="4"/>
  <c r="O212" i="4"/>
  <c r="M31" i="4"/>
  <c r="M206" i="4"/>
  <c r="O139" i="4"/>
  <c r="M74" i="4"/>
  <c r="M27" i="4"/>
  <c r="O244" i="4"/>
  <c r="O130" i="4"/>
  <c r="M64" i="4"/>
  <c r="O142" i="4"/>
  <c r="O235" i="4"/>
  <c r="M138" i="4"/>
  <c r="O28" i="4"/>
  <c r="O210" i="4"/>
  <c r="O189" i="4"/>
  <c r="M49" i="4"/>
  <c r="M47" i="4"/>
  <c r="O153" i="4"/>
  <c r="O69" i="4"/>
  <c r="O239" i="4"/>
  <c r="O134" i="4"/>
  <c r="O170" i="4"/>
  <c r="M93" i="4"/>
  <c r="O83" i="4"/>
  <c r="M273" i="4"/>
  <c r="M99" i="4"/>
  <c r="M82" i="4"/>
  <c r="M269" i="4"/>
  <c r="O87" i="4"/>
  <c r="O92" i="4"/>
  <c r="O267" i="4"/>
  <c r="O102" i="4"/>
  <c r="O268" i="4"/>
  <c r="M95" i="4"/>
  <c r="M252" i="4"/>
  <c r="M107" i="4"/>
  <c r="M117" i="4"/>
  <c r="M261" i="4"/>
  <c r="M121" i="4"/>
  <c r="M97" i="4"/>
  <c r="M259" i="4"/>
  <c r="O271" i="4"/>
  <c r="O90" i="4"/>
  <c r="O128" i="4"/>
  <c r="M87" i="4"/>
  <c r="M92" i="4"/>
  <c r="M267" i="4"/>
  <c r="M102" i="4"/>
  <c r="M268" i="4"/>
  <c r="O127" i="4"/>
  <c r="O114" i="4"/>
  <c r="O263" i="4"/>
  <c r="O274" i="4"/>
  <c r="O85" i="4"/>
  <c r="O257" i="4"/>
  <c r="M101" i="4"/>
  <c r="M96" i="4"/>
  <c r="M128" i="4"/>
  <c r="O84" i="4"/>
  <c r="O126" i="4"/>
  <c r="O251" i="4"/>
  <c r="M110" i="4"/>
  <c r="O260" i="4"/>
  <c r="M127" i="4"/>
  <c r="M114" i="4"/>
  <c r="M263" i="4"/>
  <c r="M274" i="4"/>
  <c r="M85" i="4"/>
  <c r="M111" i="4"/>
  <c r="M90" i="4"/>
  <c r="O99" i="4"/>
  <c r="M257" i="4"/>
  <c r="O105" i="4"/>
  <c r="O80" i="4"/>
  <c r="O255" i="4"/>
  <c r="O272" i="4"/>
  <c r="M98" i="4"/>
  <c r="M84" i="4"/>
  <c r="M126" i="4"/>
  <c r="M251" i="4"/>
  <c r="O110" i="4"/>
  <c r="M260" i="4"/>
  <c r="O122" i="4"/>
  <c r="O108" i="4"/>
  <c r="O247" i="4"/>
  <c r="O245" i="4"/>
  <c r="O100" i="4"/>
  <c r="O104" i="4"/>
  <c r="M246" i="4"/>
  <c r="O112" i="4"/>
  <c r="M105" i="4"/>
  <c r="M80" i="4"/>
  <c r="M255" i="4"/>
  <c r="M272" i="4"/>
  <c r="M112" i="4"/>
  <c r="O86" i="4"/>
  <c r="O116" i="4"/>
  <c r="O266" i="4"/>
  <c r="O94" i="4"/>
  <c r="O123" i="4"/>
  <c r="O270" i="4"/>
  <c r="M86" i="4"/>
  <c r="M116" i="4"/>
  <c r="M266" i="4"/>
  <c r="M264" i="4"/>
  <c r="O258" i="4"/>
  <c r="O98" i="4"/>
  <c r="O113" i="4"/>
  <c r="O262" i="4"/>
  <c r="O109" i="4"/>
  <c r="O125" i="4"/>
  <c r="O265" i="4"/>
  <c r="M122" i="4"/>
  <c r="M108" i="4"/>
  <c r="M247" i="4"/>
  <c r="M245" i="4"/>
  <c r="M100" i="4"/>
  <c r="M104" i="4"/>
  <c r="O246" i="4"/>
  <c r="O264" i="4"/>
  <c r="O89" i="4"/>
  <c r="O106" i="4"/>
  <c r="M113" i="4"/>
  <c r="M262" i="4"/>
  <c r="M109" i="4"/>
  <c r="M125" i="4"/>
  <c r="M265" i="4"/>
  <c r="O88" i="4"/>
  <c r="O254" i="4"/>
  <c r="O124" i="4"/>
  <c r="O103" i="4"/>
  <c r="O250" i="4"/>
  <c r="M120" i="4"/>
  <c r="M94" i="4"/>
  <c r="M106" i="4"/>
  <c r="O115" i="4"/>
  <c r="O248" i="4"/>
  <c r="O81" i="4"/>
  <c r="O118" i="4"/>
  <c r="O249" i="4"/>
  <c r="M88" i="4"/>
  <c r="M254" i="4"/>
  <c r="M124" i="4"/>
  <c r="M103" i="4"/>
  <c r="M250" i="4"/>
  <c r="M123" i="4"/>
  <c r="M258" i="4"/>
  <c r="O120" i="4"/>
  <c r="M89" i="4"/>
  <c r="M270" i="4"/>
  <c r="O93" i="4"/>
  <c r="O256" i="4"/>
  <c r="O119" i="4"/>
  <c r="O253" i="4"/>
  <c r="O82" i="4"/>
  <c r="O269" i="4"/>
  <c r="M115" i="4"/>
  <c r="M248" i="4"/>
  <c r="M81" i="4"/>
  <c r="M118" i="4"/>
  <c r="M249" i="4"/>
  <c r="O95" i="4"/>
  <c r="O252" i="4"/>
  <c r="O107" i="4"/>
  <c r="O117" i="4"/>
  <c r="O261" i="4"/>
  <c r="O121" i="4"/>
  <c r="O97" i="4"/>
  <c r="O259" i="4"/>
  <c r="O91" i="4"/>
  <c r="M83" i="4"/>
  <c r="O273" i="4"/>
  <c r="M256" i="4"/>
  <c r="M119" i="4"/>
  <c r="M253" i="4"/>
  <c r="M91" i="4"/>
  <c r="O101" i="4"/>
  <c r="O96" i="4"/>
  <c r="O111" i="4"/>
  <c r="M271" i="4"/>
  <c r="M193" i="4"/>
  <c r="M197" i="4"/>
  <c r="M228" i="4"/>
  <c r="M183" i="4"/>
  <c r="M132" i="4"/>
  <c r="M79" i="4"/>
  <c r="M48" i="4"/>
  <c r="M231" i="4"/>
  <c r="M162" i="4"/>
  <c r="M145" i="4"/>
  <c r="M191" i="4"/>
  <c r="M32" i="4"/>
  <c r="O178" i="4"/>
  <c r="O144" i="4"/>
  <c r="M198" i="4"/>
  <c r="O53" i="4"/>
  <c r="O217" i="4"/>
  <c r="M220" i="4"/>
  <c r="M151" i="4"/>
  <c r="M203" i="4"/>
  <c r="O43" i="4"/>
  <c r="M219" i="4"/>
  <c r="M58" i="4"/>
  <c r="M221" i="4"/>
  <c r="M202" i="4"/>
  <c r="M166" i="4"/>
  <c r="M135" i="4"/>
  <c r="O34" i="4"/>
  <c r="M223" i="4"/>
  <c r="M234" i="4"/>
  <c r="M179" i="4"/>
  <c r="M147" i="4"/>
  <c r="O37" i="4"/>
  <c r="M188" i="4"/>
  <c r="M240" i="4"/>
  <c r="O151" i="4"/>
  <c r="O203" i="4"/>
  <c r="M43" i="4"/>
  <c r="O219" i="4"/>
  <c r="O58" i="4"/>
  <c r="O221" i="4"/>
  <c r="O202" i="4"/>
  <c r="O166" i="4"/>
  <c r="O135" i="4"/>
  <c r="M34" i="4"/>
  <c r="O223" i="4"/>
  <c r="O234" i="4"/>
  <c r="O179" i="4"/>
  <c r="O147" i="4"/>
  <c r="M37" i="4"/>
  <c r="O188" i="4"/>
  <c r="O240" i="4"/>
  <c r="O63" i="4"/>
  <c r="O187" i="4"/>
  <c r="M195" i="4"/>
  <c r="M41" i="4"/>
  <c r="M241" i="4"/>
  <c r="M167" i="4"/>
  <c r="O62" i="4"/>
  <c r="M190" i="4"/>
  <c r="M50" i="4"/>
  <c r="M212" i="4"/>
  <c r="M56" i="4"/>
  <c r="M229" i="4"/>
  <c r="M238" i="4"/>
  <c r="M139" i="4"/>
  <c r="M131" i="4"/>
  <c r="O35" i="4"/>
  <c r="O199" i="4"/>
  <c r="M244" i="4"/>
  <c r="M192" i="4"/>
  <c r="M146" i="4"/>
  <c r="M61" i="4"/>
  <c r="M142" i="4"/>
  <c r="O66" i="4"/>
  <c r="M157" i="4"/>
  <c r="M154" i="4"/>
  <c r="M28" i="4"/>
  <c r="M232" i="4"/>
  <c r="M194" i="4"/>
  <c r="M72" i="4"/>
  <c r="M143" i="4"/>
  <c r="M57" i="4"/>
  <c r="M169" i="4"/>
  <c r="O30" i="4"/>
  <c r="M214" i="4"/>
  <c r="M150" i="4"/>
  <c r="M161" i="4"/>
  <c r="M75" i="4"/>
  <c r="O55" i="4"/>
  <c r="M230" i="4"/>
  <c r="M159" i="4"/>
  <c r="M180" i="4"/>
  <c r="M78" i="4"/>
  <c r="M168" i="4"/>
  <c r="O33" i="4"/>
  <c r="M141" i="4"/>
  <c r="O72" i="4"/>
  <c r="O143" i="4"/>
  <c r="O57" i="4"/>
  <c r="O169" i="4"/>
  <c r="M30" i="4"/>
  <c r="O214" i="4"/>
  <c r="O150" i="4"/>
  <c r="O161" i="4"/>
  <c r="O75" i="4"/>
  <c r="M55" i="4"/>
  <c r="O230" i="4"/>
  <c r="O159" i="4"/>
  <c r="O180" i="4"/>
  <c r="O78" i="4"/>
  <c r="O168" i="4"/>
  <c r="M33" i="4"/>
  <c r="O141" i="4"/>
  <c r="AD170" i="18" l="1"/>
  <c r="U178" i="4" s="1"/>
  <c r="AF170" i="18"/>
  <c r="AC178" i="4" s="1"/>
  <c r="AA32" i="18"/>
  <c r="AA80" i="18"/>
  <c r="AA90" i="18"/>
  <c r="AA68" i="18"/>
  <c r="AA122" i="18"/>
  <c r="AA221" i="18"/>
  <c r="AA139" i="18"/>
  <c r="AA206" i="18"/>
  <c r="AA85" i="18"/>
  <c r="AA54" i="18"/>
  <c r="AA40" i="18"/>
  <c r="AA114" i="18"/>
  <c r="AA232" i="18"/>
  <c r="AA270" i="18"/>
  <c r="AA267" i="18"/>
  <c r="AA138" i="18"/>
  <c r="AA111" i="18"/>
  <c r="AA51" i="18"/>
  <c r="AA53" i="18"/>
  <c r="AA144" i="18"/>
  <c r="AA81" i="18"/>
  <c r="AA97" i="18"/>
  <c r="AA141" i="18"/>
  <c r="AA89" i="18"/>
  <c r="AA204" i="18"/>
  <c r="AA43" i="18"/>
  <c r="AA185" i="18"/>
  <c r="AA268" i="18"/>
  <c r="AA191" i="18"/>
  <c r="AA265" i="18"/>
  <c r="AA168" i="18"/>
  <c r="AA133" i="18"/>
  <c r="AA259" i="18"/>
  <c r="AA199" i="18"/>
  <c r="AA174" i="18"/>
  <c r="AA213" i="18"/>
  <c r="AA230" i="18"/>
  <c r="AA244" i="18"/>
  <c r="AA254" i="18"/>
  <c r="AA151" i="18"/>
  <c r="AA207" i="18"/>
  <c r="AA223" i="18"/>
  <c r="AA60" i="18"/>
  <c r="AA145" i="18"/>
  <c r="AA98" i="18"/>
  <c r="AA94" i="18"/>
  <c r="AA130" i="18"/>
  <c r="AA134" i="18"/>
  <c r="AA184" i="18"/>
  <c r="AA153" i="18"/>
  <c r="AA110" i="18"/>
  <c r="AA57" i="18"/>
  <c r="AA143" i="18"/>
  <c r="AA119" i="18"/>
  <c r="AA160" i="18"/>
  <c r="AA176" i="18"/>
  <c r="AA64" i="18"/>
  <c r="AA182" i="18"/>
  <c r="AA100" i="18"/>
  <c r="AA177" i="18"/>
  <c r="AA34" i="18"/>
  <c r="AA150" i="18"/>
  <c r="AA66" i="18"/>
  <c r="AA36" i="18"/>
  <c r="AA56" i="18"/>
  <c r="AA212" i="18"/>
  <c r="AA237" i="18"/>
  <c r="AA269" i="18"/>
  <c r="AA245" i="18"/>
  <c r="AA215" i="18"/>
  <c r="AA179" i="18"/>
  <c r="AA195" i="18"/>
  <c r="AA155" i="18"/>
  <c r="AA266" i="18"/>
  <c r="AA181" i="18"/>
  <c r="AA208" i="18"/>
  <c r="AA102" i="18"/>
  <c r="AA248" i="18"/>
  <c r="AA260" i="18"/>
  <c r="AA167" i="18"/>
  <c r="AA31" i="18"/>
  <c r="AA41" i="18"/>
  <c r="AA235" i="18"/>
  <c r="AA242" i="18"/>
  <c r="AA255" i="18"/>
  <c r="AA231" i="18"/>
  <c r="AA165" i="18"/>
  <c r="AA225" i="18"/>
  <c r="AA188" i="18"/>
  <c r="AA73" i="18"/>
  <c r="AA241" i="18"/>
  <c r="AA152" i="18"/>
  <c r="AA226" i="18"/>
  <c r="AA123" i="18"/>
  <c r="AA26" i="18"/>
  <c r="AA63" i="18"/>
  <c r="AA210" i="18"/>
  <c r="AA216" i="18"/>
  <c r="AA105" i="18"/>
  <c r="AA180" i="18"/>
  <c r="AA157" i="18"/>
  <c r="AA238" i="18"/>
  <c r="AA59" i="18"/>
  <c r="AA142" i="18"/>
  <c r="AA50" i="18"/>
  <c r="AA78" i="18"/>
  <c r="AA118" i="18"/>
  <c r="AA76" i="18"/>
  <c r="AA261" i="18"/>
  <c r="AA72" i="18"/>
  <c r="AA147" i="18"/>
  <c r="AA96" i="18"/>
  <c r="AA112" i="18"/>
  <c r="AA128" i="18"/>
  <c r="AA251" i="18"/>
  <c r="AA198" i="18"/>
  <c r="AA194" i="18"/>
  <c r="AA132" i="18"/>
  <c r="AA252" i="18"/>
  <c r="AA186" i="18"/>
  <c r="AA93" i="18"/>
  <c r="AA109" i="18"/>
  <c r="AA125" i="18"/>
  <c r="AA87" i="18"/>
  <c r="AA173" i="18"/>
  <c r="AA243" i="18"/>
  <c r="AA103" i="18"/>
  <c r="AA229" i="18"/>
  <c r="AA214" i="18"/>
  <c r="AA253" i="18"/>
  <c r="AA108" i="18"/>
  <c r="AA67" i="18"/>
  <c r="AA178" i="18"/>
  <c r="AA175" i="18"/>
  <c r="AA201" i="18"/>
  <c r="AA74" i="18"/>
  <c r="AA116" i="18"/>
  <c r="AA183" i="18"/>
  <c r="AA27" i="18"/>
  <c r="AA82" i="18"/>
  <c r="AA222" i="18"/>
  <c r="AA126" i="18"/>
  <c r="AA209" i="18"/>
  <c r="AA137" i="18"/>
  <c r="AA263" i="18"/>
  <c r="AA95" i="18"/>
  <c r="AA115" i="18"/>
  <c r="AA258" i="18"/>
  <c r="AA86" i="18"/>
  <c r="AA148" i="18"/>
  <c r="AA149" i="18"/>
  <c r="AA166" i="18"/>
  <c r="AA47" i="18"/>
  <c r="AA28" i="18"/>
  <c r="AA38" i="18"/>
  <c r="AA101" i="18"/>
  <c r="AA49" i="18"/>
  <c r="AA124" i="18"/>
  <c r="AA106" i="18"/>
  <c r="AA233" i="18"/>
  <c r="AA246" i="18"/>
  <c r="AA39" i="18"/>
  <c r="AA61" i="18"/>
  <c r="AA131" i="18"/>
  <c r="AA220" i="18"/>
  <c r="AA71" i="18"/>
  <c r="AA135" i="18"/>
  <c r="AA190" i="18"/>
  <c r="AA121" i="18"/>
  <c r="AA55" i="18"/>
  <c r="AA162" i="18"/>
  <c r="AA52" i="18"/>
  <c r="AA30" i="18"/>
  <c r="AA75" i="18"/>
  <c r="AA107" i="18"/>
  <c r="AA196" i="18"/>
  <c r="AA193" i="18"/>
  <c r="AA104" i="18"/>
  <c r="AA234" i="18"/>
  <c r="AA69" i="18"/>
  <c r="AA29" i="18"/>
  <c r="AA227" i="18"/>
  <c r="AA70" i="18"/>
  <c r="AA146" i="18"/>
  <c r="AA264" i="18"/>
  <c r="AA205" i="18"/>
  <c r="AA33" i="18"/>
  <c r="AA217" i="18"/>
  <c r="AA120" i="18"/>
  <c r="AA62" i="18"/>
  <c r="AA45" i="18"/>
  <c r="AA189" i="18"/>
  <c r="AA79" i="18"/>
  <c r="AA203" i="18"/>
  <c r="AA202" i="18"/>
  <c r="AA65" i="18"/>
  <c r="AA92" i="18"/>
  <c r="AA129" i="18"/>
  <c r="AA159" i="18"/>
  <c r="AA163" i="18"/>
  <c r="AA164" i="18"/>
  <c r="AA218" i="18"/>
  <c r="AA197" i="18"/>
  <c r="AA228" i="18"/>
  <c r="AA156" i="18"/>
  <c r="AA171" i="18"/>
  <c r="AA46" i="18"/>
  <c r="AA88" i="18"/>
  <c r="AA224" i="18"/>
  <c r="AA236" i="18"/>
  <c r="AA35" i="18"/>
  <c r="AA257" i="18"/>
  <c r="AA158" i="18"/>
  <c r="AA249" i="18"/>
  <c r="AA262" i="18"/>
  <c r="AA219" i="18"/>
  <c r="AA77" i="18"/>
  <c r="AA169" i="18"/>
  <c r="AA161" i="18"/>
  <c r="AA247" i="18"/>
  <c r="AA84" i="18"/>
  <c r="AA250" i="18"/>
  <c r="AA91" i="18"/>
  <c r="AA200" i="18"/>
  <c r="AA127" i="18"/>
  <c r="AA99" i="18"/>
  <c r="AA140" i="18"/>
  <c r="AA48" i="18"/>
  <c r="AA154" i="18"/>
  <c r="AA256" i="18"/>
  <c r="AA117" i="18"/>
  <c r="AA239" i="18"/>
  <c r="AA83" i="18"/>
  <c r="AA172" i="18"/>
  <c r="AA187" i="18"/>
  <c r="AA42" i="18"/>
  <c r="AA211" i="18"/>
  <c r="AA113" i="18"/>
  <c r="AA240" i="18"/>
  <c r="AA136" i="18"/>
  <c r="AA192" i="18"/>
  <c r="O24" i="4"/>
  <c r="M24" i="4"/>
  <c r="AD240" i="18" l="1"/>
  <c r="U245" i="4" s="1"/>
  <c r="AF240" i="18"/>
  <c r="AC245" i="4" s="1"/>
  <c r="AD262" i="18"/>
  <c r="U265" i="4" s="1"/>
  <c r="AF262" i="18"/>
  <c r="AC265" i="4" s="1"/>
  <c r="AD45" i="18"/>
  <c r="U45" i="4" s="1"/>
  <c r="AF45" i="18"/>
  <c r="AC45" i="4" s="1"/>
  <c r="AD135" i="18"/>
  <c r="U139" i="4" s="1"/>
  <c r="AF135" i="18"/>
  <c r="AC139" i="4" s="1"/>
  <c r="AD209" i="18"/>
  <c r="U218" i="4" s="1"/>
  <c r="AF209" i="18"/>
  <c r="AC218" i="4" s="1"/>
  <c r="AD211" i="18"/>
  <c r="U220" i="4" s="1"/>
  <c r="AF211" i="18"/>
  <c r="AC220" i="4" s="1"/>
  <c r="AD84" i="18"/>
  <c r="U83" i="4" s="1"/>
  <c r="AF84" i="18"/>
  <c r="AC83" i="4" s="1"/>
  <c r="AD156" i="18"/>
  <c r="U163" i="4" s="1"/>
  <c r="AF156" i="18"/>
  <c r="AC163" i="4" s="1"/>
  <c r="AD92" i="18"/>
  <c r="U91" i="4" s="1"/>
  <c r="AF92" i="18"/>
  <c r="AC91" i="4" s="1"/>
  <c r="AD29" i="18"/>
  <c r="U29" i="4" s="1"/>
  <c r="AF29" i="18"/>
  <c r="AC29" i="4" s="1"/>
  <c r="AD220" i="18"/>
  <c r="U229" i="4" s="1"/>
  <c r="AF220" i="18"/>
  <c r="AC229" i="4" s="1"/>
  <c r="AD86" i="18"/>
  <c r="U85" i="4" s="1"/>
  <c r="AF86" i="18"/>
  <c r="AC85" i="4" s="1"/>
  <c r="AD178" i="18"/>
  <c r="U186" i="4" s="1"/>
  <c r="AF178" i="18"/>
  <c r="AC186" i="4" s="1"/>
  <c r="AD194" i="18"/>
  <c r="U202" i="4" s="1"/>
  <c r="AF194" i="18"/>
  <c r="AC202" i="4" s="1"/>
  <c r="AD157" i="18"/>
  <c r="U164" i="4" s="1"/>
  <c r="AF157" i="18"/>
  <c r="AC164" i="4" s="1"/>
  <c r="AD255" i="18"/>
  <c r="U258" i="4" s="1"/>
  <c r="AF255" i="18"/>
  <c r="AC258" i="4" s="1"/>
  <c r="AD245" i="18"/>
  <c r="U249" i="4" s="1"/>
  <c r="AF245" i="18"/>
  <c r="AC249" i="4" s="1"/>
  <c r="AD143" i="18"/>
  <c r="U149" i="4" s="1"/>
  <c r="AF143" i="18"/>
  <c r="AC149" i="4" s="1"/>
  <c r="AD230" i="18"/>
  <c r="U238" i="4" s="1"/>
  <c r="AF230" i="18"/>
  <c r="AC238" i="4" s="1"/>
  <c r="AD191" i="18"/>
  <c r="U199" i="4" s="1"/>
  <c r="AF191" i="18"/>
  <c r="AC199" i="4" s="1"/>
  <c r="AD81" i="18"/>
  <c r="U80" i="4" s="1"/>
  <c r="AF81" i="18"/>
  <c r="AC80" i="4" s="1"/>
  <c r="AD232" i="18"/>
  <c r="U240" i="4" s="1"/>
  <c r="AF232" i="18"/>
  <c r="AC240" i="4" s="1"/>
  <c r="AD122" i="18"/>
  <c r="U125" i="4" s="1"/>
  <c r="AF122" i="18"/>
  <c r="AC125" i="4" s="1"/>
  <c r="AD187" i="18"/>
  <c r="U195" i="4" s="1"/>
  <c r="AF187" i="18"/>
  <c r="AC195" i="4" s="1"/>
  <c r="AD140" i="18"/>
  <c r="U146" i="4" s="1"/>
  <c r="AF140" i="18"/>
  <c r="AC146" i="4" s="1"/>
  <c r="AD161" i="18"/>
  <c r="U168" i="4" s="1"/>
  <c r="AF161" i="18"/>
  <c r="AC168" i="4" s="1"/>
  <c r="AD35" i="18"/>
  <c r="U35" i="4" s="1"/>
  <c r="AF35" i="18"/>
  <c r="AC35" i="4" s="1"/>
  <c r="AD197" i="18"/>
  <c r="U205" i="4" s="1"/>
  <c r="AF197" i="18"/>
  <c r="AC205" i="4" s="1"/>
  <c r="AD202" i="18"/>
  <c r="AF202" i="18"/>
  <c r="AD33" i="18"/>
  <c r="U33" i="4" s="1"/>
  <c r="AF33" i="18"/>
  <c r="AC33" i="4" s="1"/>
  <c r="AD234" i="18"/>
  <c r="U242" i="4" s="1"/>
  <c r="AF234" i="18"/>
  <c r="AC242" i="4" s="1"/>
  <c r="AD162" i="18"/>
  <c r="U169" i="4" s="1"/>
  <c r="AF162" i="18"/>
  <c r="AC169" i="4" s="1"/>
  <c r="AD61" i="18"/>
  <c r="U61" i="4" s="1"/>
  <c r="AF61" i="18"/>
  <c r="AC61" i="4" s="1"/>
  <c r="AD38" i="18"/>
  <c r="U38" i="4" s="1"/>
  <c r="AF38" i="18"/>
  <c r="AC38" i="4" s="1"/>
  <c r="AD115" i="18"/>
  <c r="U117" i="4" s="1"/>
  <c r="AF115" i="18"/>
  <c r="AC117" i="4" s="1"/>
  <c r="AD27" i="18"/>
  <c r="U27" i="4" s="1"/>
  <c r="AF27" i="18"/>
  <c r="AC27" i="4" s="1"/>
  <c r="AD108" i="18"/>
  <c r="U109" i="4" s="1"/>
  <c r="AF108" i="18"/>
  <c r="AC109" i="4" s="1"/>
  <c r="AD125" i="18"/>
  <c r="U128" i="4" s="1"/>
  <c r="AF125" i="18"/>
  <c r="AC128" i="4" s="1"/>
  <c r="AD251" i="18"/>
  <c r="U254" i="4" s="1"/>
  <c r="AF251" i="18"/>
  <c r="AC254" i="4" s="1"/>
  <c r="AD118" i="18"/>
  <c r="U120" i="4" s="1"/>
  <c r="AF118" i="18"/>
  <c r="AC120" i="4" s="1"/>
  <c r="AD105" i="18"/>
  <c r="U105" i="4" s="1"/>
  <c r="AF105" i="18"/>
  <c r="AC105" i="4" s="1"/>
  <c r="AD241" i="18"/>
  <c r="U246" i="4" s="1"/>
  <c r="AF241" i="18"/>
  <c r="AC246" i="4" s="1"/>
  <c r="AD235" i="18"/>
  <c r="U243" i="4" s="1"/>
  <c r="AF235" i="18"/>
  <c r="AC243" i="4" s="1"/>
  <c r="AD181" i="18"/>
  <c r="U189" i="4" s="1"/>
  <c r="AF181" i="18"/>
  <c r="AC189" i="4" s="1"/>
  <c r="AD237" i="18"/>
  <c r="U244" i="4" s="1"/>
  <c r="AF237" i="18"/>
  <c r="AC244" i="4" s="1"/>
  <c r="AD100" i="18"/>
  <c r="U100" i="4" s="1"/>
  <c r="AF100" i="18"/>
  <c r="AC100" i="4" s="1"/>
  <c r="AD110" i="18"/>
  <c r="U111" i="4" s="1"/>
  <c r="AF110" i="18"/>
  <c r="AC111" i="4" s="1"/>
  <c r="AD60" i="18"/>
  <c r="U60" i="4" s="1"/>
  <c r="AF60" i="18"/>
  <c r="AC60" i="4" s="1"/>
  <c r="AD174" i="18"/>
  <c r="U182" i="4" s="1"/>
  <c r="AF174" i="18"/>
  <c r="AC182" i="4" s="1"/>
  <c r="AD185" i="18"/>
  <c r="AF185" i="18"/>
  <c r="AD53" i="18"/>
  <c r="U53" i="4" s="1"/>
  <c r="AF53" i="18"/>
  <c r="AC53" i="4" s="1"/>
  <c r="AD40" i="18"/>
  <c r="U40" i="4" s="1"/>
  <c r="AF40" i="18"/>
  <c r="AC40" i="4" s="1"/>
  <c r="AD90" i="18"/>
  <c r="U89" i="4" s="1"/>
  <c r="AF90" i="18"/>
  <c r="AC89" i="4" s="1"/>
  <c r="AD218" i="18"/>
  <c r="U227" i="4" s="1"/>
  <c r="AF218" i="18"/>
  <c r="AC227" i="4" s="1"/>
  <c r="AD104" i="18"/>
  <c r="U104" i="4" s="1"/>
  <c r="AF104" i="18"/>
  <c r="AC104" i="4" s="1"/>
  <c r="AD39" i="18"/>
  <c r="U39" i="4" s="1"/>
  <c r="AF39" i="18"/>
  <c r="AC39" i="4" s="1"/>
  <c r="AD183" i="18"/>
  <c r="U191" i="4" s="1"/>
  <c r="AF183" i="18"/>
  <c r="AC191" i="4" s="1"/>
  <c r="AD109" i="18"/>
  <c r="U110" i="4" s="1"/>
  <c r="AF109" i="18"/>
  <c r="AC110" i="4" s="1"/>
  <c r="AD216" i="18"/>
  <c r="U225" i="4" s="1"/>
  <c r="AF216" i="18"/>
  <c r="AC225" i="4" s="1"/>
  <c r="AD41" i="18"/>
  <c r="U41" i="4" s="1"/>
  <c r="AF41" i="18"/>
  <c r="AC41" i="4" s="1"/>
  <c r="AD212" i="18"/>
  <c r="U221" i="4" s="1"/>
  <c r="AF212" i="18"/>
  <c r="AC221" i="4" s="1"/>
  <c r="AD223" i="18"/>
  <c r="U232" i="4" s="1"/>
  <c r="AF223" i="18"/>
  <c r="AC232" i="4" s="1"/>
  <c r="AD80" i="18"/>
  <c r="U79" i="4" s="1"/>
  <c r="AF80" i="18"/>
  <c r="AC79" i="4" s="1"/>
  <c r="AD127" i="18"/>
  <c r="U130" i="4" s="1"/>
  <c r="AF127" i="18"/>
  <c r="AC130" i="4" s="1"/>
  <c r="AD79" i="18"/>
  <c r="U78" i="4" s="1"/>
  <c r="AF79" i="18"/>
  <c r="AC78" i="4" s="1"/>
  <c r="AD193" i="18"/>
  <c r="U201" i="4" s="1"/>
  <c r="AF193" i="18"/>
  <c r="AC201" i="4" s="1"/>
  <c r="AD246" i="18"/>
  <c r="U250" i="4" s="1"/>
  <c r="AF246" i="18"/>
  <c r="AC250" i="4" s="1"/>
  <c r="AD47" i="18"/>
  <c r="U47" i="4" s="1"/>
  <c r="AF47" i="18"/>
  <c r="AC47" i="4" s="1"/>
  <c r="AD263" i="18"/>
  <c r="U266" i="4" s="1"/>
  <c r="AF263" i="18"/>
  <c r="AC266" i="4" s="1"/>
  <c r="AD116" i="18"/>
  <c r="U118" i="4" s="1"/>
  <c r="AF116" i="18"/>
  <c r="AC118" i="4" s="1"/>
  <c r="AD214" i="18"/>
  <c r="U223" i="4" s="1"/>
  <c r="AF214" i="18"/>
  <c r="AC223" i="4" s="1"/>
  <c r="AD93" i="18"/>
  <c r="U92" i="4" s="1"/>
  <c r="AF93" i="18"/>
  <c r="AC92" i="4" s="1"/>
  <c r="AD112" i="18"/>
  <c r="U113" i="4" s="1"/>
  <c r="AF112" i="18"/>
  <c r="AC113" i="4" s="1"/>
  <c r="AD50" i="18"/>
  <c r="U50" i="4" s="1"/>
  <c r="AF50" i="18"/>
  <c r="AC50" i="4" s="1"/>
  <c r="AD210" i="18"/>
  <c r="U219" i="4" s="1"/>
  <c r="AF210" i="18"/>
  <c r="AC219" i="4" s="1"/>
  <c r="AD188" i="18"/>
  <c r="U196" i="4" s="1"/>
  <c r="AF188" i="18"/>
  <c r="AC196" i="4" s="1"/>
  <c r="AD31" i="18"/>
  <c r="U31" i="4" s="1"/>
  <c r="AF31" i="18"/>
  <c r="AC31" i="4" s="1"/>
  <c r="AD155" i="18"/>
  <c r="U161" i="4" s="1"/>
  <c r="AF155" i="18"/>
  <c r="AC161" i="4" s="1"/>
  <c r="AD56" i="18"/>
  <c r="U56" i="4" s="1"/>
  <c r="AF56" i="18"/>
  <c r="AC56" i="4" s="1"/>
  <c r="AD64" i="18"/>
  <c r="U64" i="4" s="1"/>
  <c r="AF64" i="18"/>
  <c r="AC64" i="4" s="1"/>
  <c r="AD184" i="18"/>
  <c r="U192" i="4" s="1"/>
  <c r="AF184" i="18"/>
  <c r="AC192" i="4" s="1"/>
  <c r="AD207" i="18"/>
  <c r="U216" i="4" s="1"/>
  <c r="AF207" i="18"/>
  <c r="AC216" i="4" s="1"/>
  <c r="AD259" i="18"/>
  <c r="U262" i="4" s="1"/>
  <c r="AF259" i="18"/>
  <c r="AC262" i="4" s="1"/>
  <c r="AD204" i="18"/>
  <c r="U213" i="4" s="1"/>
  <c r="AF204" i="18"/>
  <c r="AC213" i="4" s="1"/>
  <c r="AD111" i="18"/>
  <c r="U112" i="4" s="1"/>
  <c r="AF111" i="18"/>
  <c r="AC112" i="4" s="1"/>
  <c r="AD85" i="18"/>
  <c r="U84" i="4" s="1"/>
  <c r="AF85" i="18"/>
  <c r="AC84" i="4" s="1"/>
  <c r="AD32" i="18"/>
  <c r="U32" i="4" s="1"/>
  <c r="AF32" i="18"/>
  <c r="AC32" i="4" s="1"/>
  <c r="AD172" i="18"/>
  <c r="U180" i="4" s="1"/>
  <c r="AF172" i="18"/>
  <c r="AC180" i="4" s="1"/>
  <c r="AD236" i="18"/>
  <c r="U124" i="4" s="1"/>
  <c r="AF236" i="18"/>
  <c r="AC124" i="4" s="1"/>
  <c r="AD203" i="18"/>
  <c r="U96" i="4" s="1"/>
  <c r="AF203" i="18"/>
  <c r="AC96" i="4" s="1"/>
  <c r="AD205" i="18"/>
  <c r="U214" i="4" s="1"/>
  <c r="AF205" i="18"/>
  <c r="AC214" i="4" s="1"/>
  <c r="AD55" i="18"/>
  <c r="U55" i="4" s="1"/>
  <c r="AF55" i="18"/>
  <c r="AC55" i="4" s="1"/>
  <c r="AD28" i="18"/>
  <c r="U28" i="4" s="1"/>
  <c r="AF28" i="18"/>
  <c r="AC28" i="4" s="1"/>
  <c r="AD95" i="18"/>
  <c r="U95" i="4" s="1"/>
  <c r="AF95" i="18"/>
  <c r="AC95" i="4" s="1"/>
  <c r="AD253" i="18"/>
  <c r="U256" i="4" s="1"/>
  <c r="AF253" i="18"/>
  <c r="AC256" i="4" s="1"/>
  <c r="AD128" i="18"/>
  <c r="U132" i="4" s="1"/>
  <c r="AF128" i="18"/>
  <c r="AC132" i="4" s="1"/>
  <c r="AD78" i="18"/>
  <c r="U77" i="4" s="1"/>
  <c r="AF78" i="18"/>
  <c r="AC77" i="4" s="1"/>
  <c r="AD73" i="18"/>
  <c r="AF73" i="18"/>
  <c r="AD266" i="18"/>
  <c r="U269" i="4" s="1"/>
  <c r="AF266" i="18"/>
  <c r="AC269" i="4" s="1"/>
  <c r="AD182" i="18"/>
  <c r="U190" i="4" s="1"/>
  <c r="AF182" i="18"/>
  <c r="AC190" i="4" s="1"/>
  <c r="AD153" i="18"/>
  <c r="U159" i="4" s="1"/>
  <c r="AF153" i="18"/>
  <c r="AC159" i="4" s="1"/>
  <c r="AD199" i="18"/>
  <c r="U207" i="4" s="1"/>
  <c r="AF199" i="18"/>
  <c r="AC207" i="4" s="1"/>
  <c r="AD43" i="18"/>
  <c r="U43" i="4" s="1"/>
  <c r="AF43" i="18"/>
  <c r="AC43" i="4" s="1"/>
  <c r="AD51" i="18"/>
  <c r="U51" i="4" s="1"/>
  <c r="AF51" i="18"/>
  <c r="AC51" i="4" s="1"/>
  <c r="AD54" i="18"/>
  <c r="U54" i="4" s="1"/>
  <c r="AF54" i="18"/>
  <c r="AC54" i="4" s="1"/>
  <c r="AD192" i="18"/>
  <c r="U200" i="4" s="1"/>
  <c r="AF192" i="18"/>
  <c r="AC200" i="4" s="1"/>
  <c r="AD83" i="18"/>
  <c r="U82" i="4" s="1"/>
  <c r="AF83" i="18"/>
  <c r="AC82" i="4" s="1"/>
  <c r="AD77" i="18"/>
  <c r="U76" i="4" s="1"/>
  <c r="AF77" i="18"/>
  <c r="AC76" i="4" s="1"/>
  <c r="AD224" i="18"/>
  <c r="U233" i="4" s="1"/>
  <c r="AF224" i="18"/>
  <c r="AC233" i="4" s="1"/>
  <c r="AD164" i="18"/>
  <c r="U171" i="4" s="1"/>
  <c r="AF164" i="18"/>
  <c r="AC171" i="4" s="1"/>
  <c r="AD264" i="18"/>
  <c r="U267" i="4" s="1"/>
  <c r="AF264" i="18"/>
  <c r="AC267" i="4" s="1"/>
  <c r="AD121" i="18"/>
  <c r="U123" i="4" s="1"/>
  <c r="AF121" i="18"/>
  <c r="AC123" i="4" s="1"/>
  <c r="AD136" i="18"/>
  <c r="U141" i="4" s="1"/>
  <c r="AF136" i="18"/>
  <c r="AC141" i="4" s="1"/>
  <c r="AD239" i="18"/>
  <c r="U131" i="4" s="1"/>
  <c r="AF239" i="18"/>
  <c r="AC131" i="4" s="1"/>
  <c r="AD200" i="18"/>
  <c r="U208" i="4" s="1"/>
  <c r="AF200" i="18"/>
  <c r="AC208" i="4" s="1"/>
  <c r="AD219" i="18"/>
  <c r="U228" i="4" s="1"/>
  <c r="AF219" i="18"/>
  <c r="AC228" i="4" s="1"/>
  <c r="AD88" i="18"/>
  <c r="U87" i="4" s="1"/>
  <c r="AF88" i="18"/>
  <c r="AC87" i="4" s="1"/>
  <c r="AD163" i="18"/>
  <c r="U170" i="4" s="1"/>
  <c r="AF163" i="18"/>
  <c r="AC170" i="4" s="1"/>
  <c r="AD189" i="18"/>
  <c r="U197" i="4" s="1"/>
  <c r="AF189" i="18"/>
  <c r="AC197" i="4" s="1"/>
  <c r="AD146" i="18"/>
  <c r="U152" i="4" s="1"/>
  <c r="AF146" i="18"/>
  <c r="AC152" i="4" s="1"/>
  <c r="AD196" i="18"/>
  <c r="U204" i="4" s="1"/>
  <c r="AF196" i="18"/>
  <c r="AC204" i="4" s="1"/>
  <c r="AD190" i="18"/>
  <c r="U198" i="4" s="1"/>
  <c r="AF190" i="18"/>
  <c r="AC198" i="4" s="1"/>
  <c r="AD233" i="18"/>
  <c r="U241" i="4" s="1"/>
  <c r="AF233" i="18"/>
  <c r="AC241" i="4" s="1"/>
  <c r="AD166" i="18"/>
  <c r="U173" i="4" s="1"/>
  <c r="AF166" i="18"/>
  <c r="AC173" i="4" s="1"/>
  <c r="AD137" i="18"/>
  <c r="U142" i="4" s="1"/>
  <c r="AF137" i="18"/>
  <c r="AC142" i="4" s="1"/>
  <c r="AD74" i="18"/>
  <c r="U73" i="4" s="1"/>
  <c r="AF74" i="18"/>
  <c r="AC73" i="4" s="1"/>
  <c r="AD229" i="18"/>
  <c r="U237" i="4" s="1"/>
  <c r="AF229" i="18"/>
  <c r="AC237" i="4" s="1"/>
  <c r="AD186" i="18"/>
  <c r="U194" i="4" s="1"/>
  <c r="AF186" i="18"/>
  <c r="AC194" i="4" s="1"/>
  <c r="AD96" i="18"/>
  <c r="AF96" i="18"/>
  <c r="AD142" i="18"/>
  <c r="U148" i="4" s="1"/>
  <c r="AF142" i="18"/>
  <c r="AC148" i="4" s="1"/>
  <c r="AD63" i="18"/>
  <c r="U63" i="4" s="1"/>
  <c r="AF63" i="18"/>
  <c r="AC63" i="4" s="1"/>
  <c r="AD225" i="18"/>
  <c r="U234" i="4" s="1"/>
  <c r="AF225" i="18"/>
  <c r="AC234" i="4" s="1"/>
  <c r="AD167" i="18"/>
  <c r="U174" i="4" s="1"/>
  <c r="AF167" i="18"/>
  <c r="AC174" i="4" s="1"/>
  <c r="AD195" i="18"/>
  <c r="U203" i="4" s="1"/>
  <c r="AF195" i="18"/>
  <c r="AC203" i="4" s="1"/>
  <c r="AD36" i="18"/>
  <c r="U36" i="4" s="1"/>
  <c r="AF36" i="18"/>
  <c r="AC36" i="4" s="1"/>
  <c r="AD176" i="18"/>
  <c r="U184" i="4" s="1"/>
  <c r="AF176" i="18"/>
  <c r="AC184" i="4" s="1"/>
  <c r="AD134" i="18"/>
  <c r="U138" i="4" s="1"/>
  <c r="AF134" i="18"/>
  <c r="AC138" i="4" s="1"/>
  <c r="AD151" i="18"/>
  <c r="U157" i="4" s="1"/>
  <c r="AF151" i="18"/>
  <c r="AC157" i="4" s="1"/>
  <c r="AD133" i="18"/>
  <c r="U137" i="4" s="1"/>
  <c r="AF133" i="18"/>
  <c r="AC137" i="4" s="1"/>
  <c r="AD89" i="18"/>
  <c r="U88" i="4" s="1"/>
  <c r="AF89" i="18"/>
  <c r="AC88" i="4" s="1"/>
  <c r="AD138" i="18"/>
  <c r="U144" i="4" s="1"/>
  <c r="AF138" i="18"/>
  <c r="AC144" i="4" s="1"/>
  <c r="AD206" i="18"/>
  <c r="U215" i="4" s="1"/>
  <c r="AF206" i="18"/>
  <c r="AC215" i="4" s="1"/>
  <c r="AD103" i="18"/>
  <c r="U103" i="4" s="1"/>
  <c r="AF103" i="18"/>
  <c r="AC103" i="4" s="1"/>
  <c r="AD169" i="18"/>
  <c r="U176" i="4" s="1"/>
  <c r="AF169" i="18"/>
  <c r="AC176" i="4" s="1"/>
  <c r="AD91" i="18"/>
  <c r="U90" i="4" s="1"/>
  <c r="AF91" i="18"/>
  <c r="AC90" i="4" s="1"/>
  <c r="AD159" i="18"/>
  <c r="U166" i="4" s="1"/>
  <c r="AF159" i="18"/>
  <c r="AC166" i="4" s="1"/>
  <c r="AD107" i="18"/>
  <c r="U108" i="4" s="1"/>
  <c r="AF107" i="18"/>
  <c r="AC108" i="4" s="1"/>
  <c r="AD149" i="18"/>
  <c r="U155" i="4" s="1"/>
  <c r="AF149" i="18"/>
  <c r="AC155" i="4" s="1"/>
  <c r="AD201" i="18"/>
  <c r="U209" i="4" s="1"/>
  <c r="AF201" i="18"/>
  <c r="AC209" i="4" s="1"/>
  <c r="AD147" i="18"/>
  <c r="U153" i="4" s="1"/>
  <c r="AF147" i="18"/>
  <c r="AC153" i="4" s="1"/>
  <c r="AD59" i="18"/>
  <c r="U59" i="4" s="1"/>
  <c r="AF59" i="18"/>
  <c r="AC59" i="4" s="1"/>
  <c r="AD26" i="18"/>
  <c r="U26" i="4" s="1"/>
  <c r="AF26" i="18"/>
  <c r="AD165" i="18"/>
  <c r="U172" i="4" s="1"/>
  <c r="AF165" i="18"/>
  <c r="AC172" i="4" s="1"/>
  <c r="AD260" i="18"/>
  <c r="U263" i="4" s="1"/>
  <c r="AF260" i="18"/>
  <c r="AC263" i="4" s="1"/>
  <c r="AD179" i="18"/>
  <c r="U187" i="4" s="1"/>
  <c r="AF179" i="18"/>
  <c r="AC187" i="4" s="1"/>
  <c r="AD66" i="18"/>
  <c r="U66" i="4" s="1"/>
  <c r="AF66" i="18"/>
  <c r="AC66" i="4" s="1"/>
  <c r="AD160" i="18"/>
  <c r="U167" i="4" s="1"/>
  <c r="AF160" i="18"/>
  <c r="AC167" i="4" s="1"/>
  <c r="AD130" i="18"/>
  <c r="U134" i="4" s="1"/>
  <c r="AF130" i="18"/>
  <c r="AC134" i="4" s="1"/>
  <c r="AD254" i="18"/>
  <c r="U257" i="4" s="1"/>
  <c r="AF254" i="18"/>
  <c r="AC257" i="4" s="1"/>
  <c r="AD168" i="18"/>
  <c r="U175" i="4" s="1"/>
  <c r="AF168" i="18"/>
  <c r="AC175" i="4" s="1"/>
  <c r="AD141" i="18"/>
  <c r="U147" i="4" s="1"/>
  <c r="AF141" i="18"/>
  <c r="AC147" i="4" s="1"/>
  <c r="AD267" i="18"/>
  <c r="U270" i="4" s="1"/>
  <c r="AF267" i="18"/>
  <c r="AC270" i="4" s="1"/>
  <c r="AD139" i="18"/>
  <c r="U145" i="4" s="1"/>
  <c r="AF139" i="18"/>
  <c r="AC145" i="4" s="1"/>
  <c r="AD113" i="18"/>
  <c r="U114" i="4" s="1"/>
  <c r="AF113" i="18"/>
  <c r="AC114" i="4" s="1"/>
  <c r="AD256" i="18"/>
  <c r="U259" i="4" s="1"/>
  <c r="AF256" i="18"/>
  <c r="AC259" i="4" s="1"/>
  <c r="AD250" i="18"/>
  <c r="U162" i="4" s="1"/>
  <c r="AF250" i="18"/>
  <c r="AC162" i="4" s="1"/>
  <c r="AD249" i="18"/>
  <c r="U253" i="4" s="1"/>
  <c r="AF249" i="18"/>
  <c r="AC253" i="4" s="1"/>
  <c r="AD171" i="18"/>
  <c r="U179" i="4" s="1"/>
  <c r="AF171" i="18"/>
  <c r="AC179" i="4" s="1"/>
  <c r="AD129" i="18"/>
  <c r="U133" i="4" s="1"/>
  <c r="AF129" i="18"/>
  <c r="AC133" i="4" s="1"/>
  <c r="AD62" i="18"/>
  <c r="U62" i="4" s="1"/>
  <c r="AF62" i="18"/>
  <c r="AC62" i="4" s="1"/>
  <c r="AD227" i="18"/>
  <c r="U235" i="4" s="1"/>
  <c r="AF227" i="18"/>
  <c r="AC235" i="4" s="1"/>
  <c r="AD75" i="18"/>
  <c r="U74" i="4" s="1"/>
  <c r="AF75" i="18"/>
  <c r="AC74" i="4" s="1"/>
  <c r="AD71" i="18"/>
  <c r="U71" i="4" s="1"/>
  <c r="AF71" i="18"/>
  <c r="AC71" i="4" s="1"/>
  <c r="AD124" i="18"/>
  <c r="U127" i="4" s="1"/>
  <c r="AF124" i="18"/>
  <c r="AC127" i="4" s="1"/>
  <c r="AD148" i="18"/>
  <c r="U154" i="4" s="1"/>
  <c r="AF148" i="18"/>
  <c r="AC154" i="4" s="1"/>
  <c r="AD126" i="18"/>
  <c r="U129" i="4" s="1"/>
  <c r="AF126" i="18"/>
  <c r="AC129" i="4" s="1"/>
  <c r="AD175" i="18"/>
  <c r="U183" i="4" s="1"/>
  <c r="AF175" i="18"/>
  <c r="AC183" i="4" s="1"/>
  <c r="AD243" i="18"/>
  <c r="U140" i="4" s="1"/>
  <c r="AF243" i="18"/>
  <c r="AC140" i="4" s="1"/>
  <c r="AD132" i="18"/>
  <c r="U136" i="4" s="1"/>
  <c r="AF132" i="18"/>
  <c r="AC136" i="4" s="1"/>
  <c r="AD72" i="18"/>
  <c r="U72" i="4" s="1"/>
  <c r="AF72" i="18"/>
  <c r="AC72" i="4" s="1"/>
  <c r="AD238" i="18"/>
  <c r="AF238" i="18"/>
  <c r="AD123" i="18"/>
  <c r="U126" i="4" s="1"/>
  <c r="AF123" i="18"/>
  <c r="AC126" i="4" s="1"/>
  <c r="AD231" i="18"/>
  <c r="U239" i="4" s="1"/>
  <c r="AF231" i="18"/>
  <c r="AC239" i="4" s="1"/>
  <c r="AD248" i="18"/>
  <c r="U252" i="4" s="1"/>
  <c r="AF248" i="18"/>
  <c r="AC252" i="4" s="1"/>
  <c r="AD215" i="18"/>
  <c r="U224" i="4" s="1"/>
  <c r="AF215" i="18"/>
  <c r="AC224" i="4" s="1"/>
  <c r="AD150" i="18"/>
  <c r="U156" i="4" s="1"/>
  <c r="AF150" i="18"/>
  <c r="AC156" i="4" s="1"/>
  <c r="AD119" i="18"/>
  <c r="U121" i="4" s="1"/>
  <c r="AF119" i="18"/>
  <c r="AC121" i="4" s="1"/>
  <c r="AD94" i="18"/>
  <c r="U93" i="4" s="1"/>
  <c r="AF94" i="18"/>
  <c r="AC93" i="4" s="1"/>
  <c r="AD244" i="18"/>
  <c r="U248" i="4" s="1"/>
  <c r="AF244" i="18"/>
  <c r="AC248" i="4" s="1"/>
  <c r="AD265" i="18"/>
  <c r="U268" i="4" s="1"/>
  <c r="AF265" i="18"/>
  <c r="AC268" i="4" s="1"/>
  <c r="AD97" i="18"/>
  <c r="U97" i="4" s="1"/>
  <c r="AF97" i="18"/>
  <c r="AC97" i="4" s="1"/>
  <c r="AD270" i="18"/>
  <c r="U273" i="4" s="1"/>
  <c r="AF270" i="18"/>
  <c r="AC273" i="4" s="1"/>
  <c r="AD221" i="18"/>
  <c r="U230" i="4" s="1"/>
  <c r="AF221" i="18"/>
  <c r="AC230" i="4" s="1"/>
  <c r="AD99" i="18"/>
  <c r="U99" i="4" s="1"/>
  <c r="AF99" i="18"/>
  <c r="AC99" i="4" s="1"/>
  <c r="AD117" i="18"/>
  <c r="U119" i="4" s="1"/>
  <c r="AF117" i="18"/>
  <c r="AC119" i="4" s="1"/>
  <c r="AD46" i="18"/>
  <c r="U46" i="4" s="1"/>
  <c r="AF46" i="18"/>
  <c r="AC46" i="4" s="1"/>
  <c r="AD70" i="18"/>
  <c r="U70" i="4" s="1"/>
  <c r="AF70" i="18"/>
  <c r="AC70" i="4" s="1"/>
  <c r="AD106" i="18"/>
  <c r="U107" i="4" s="1"/>
  <c r="AF106" i="18"/>
  <c r="AC107" i="4" s="1"/>
  <c r="AD252" i="18"/>
  <c r="U255" i="4" s="1"/>
  <c r="AF252" i="18"/>
  <c r="AC255" i="4" s="1"/>
  <c r="AD154" i="18"/>
  <c r="U160" i="4" s="1"/>
  <c r="AF154" i="18"/>
  <c r="AC160" i="4" s="1"/>
  <c r="AD158" i="18"/>
  <c r="U165" i="4" s="1"/>
  <c r="AF158" i="18"/>
  <c r="AC165" i="4" s="1"/>
  <c r="AD120" i="18"/>
  <c r="U122" i="4" s="1"/>
  <c r="AF120" i="18"/>
  <c r="AC122" i="4" s="1"/>
  <c r="AD30" i="18"/>
  <c r="U30" i="4" s="1"/>
  <c r="AF30" i="18"/>
  <c r="AC30" i="4" s="1"/>
  <c r="AD49" i="18"/>
  <c r="U49" i="4" s="1"/>
  <c r="AF49" i="18"/>
  <c r="AC49" i="4" s="1"/>
  <c r="AD222" i="18"/>
  <c r="U231" i="4" s="1"/>
  <c r="AF222" i="18"/>
  <c r="AC231" i="4" s="1"/>
  <c r="AD173" i="18"/>
  <c r="U181" i="4" s="1"/>
  <c r="AF173" i="18"/>
  <c r="AC181" i="4" s="1"/>
  <c r="AD261" i="18"/>
  <c r="U264" i="4" s="1"/>
  <c r="AF261" i="18"/>
  <c r="AC264" i="4" s="1"/>
  <c r="AD226" i="18"/>
  <c r="U116" i="4" s="1"/>
  <c r="AF226" i="18"/>
  <c r="AC116" i="4" s="1"/>
  <c r="AD102" i="18"/>
  <c r="U102" i="4" s="1"/>
  <c r="AF102" i="18"/>
  <c r="AC102" i="4" s="1"/>
  <c r="AD34" i="18"/>
  <c r="U34" i="4" s="1"/>
  <c r="AF34" i="18"/>
  <c r="AC34" i="4" s="1"/>
  <c r="AD98" i="18"/>
  <c r="U98" i="4" s="1"/>
  <c r="AF98" i="18"/>
  <c r="AC98" i="4" s="1"/>
  <c r="AD42" i="18"/>
  <c r="U42" i="4" s="1"/>
  <c r="AF42" i="18"/>
  <c r="AC42" i="4" s="1"/>
  <c r="AD48" i="18"/>
  <c r="U48" i="4" s="1"/>
  <c r="AF48" i="18"/>
  <c r="AC48" i="4" s="1"/>
  <c r="AD247" i="18"/>
  <c r="U251" i="4" s="1"/>
  <c r="AF247" i="18"/>
  <c r="AC251" i="4" s="1"/>
  <c r="AD257" i="18"/>
  <c r="U260" i="4" s="1"/>
  <c r="AF257" i="18"/>
  <c r="AC260" i="4" s="1"/>
  <c r="AD228" i="18"/>
  <c r="U236" i="4" s="1"/>
  <c r="AF228" i="18"/>
  <c r="AC236" i="4" s="1"/>
  <c r="AD65" i="18"/>
  <c r="U65" i="4" s="1"/>
  <c r="AF65" i="18"/>
  <c r="AC65" i="4" s="1"/>
  <c r="AD217" i="18"/>
  <c r="U226" i="4" s="1"/>
  <c r="AF217" i="18"/>
  <c r="AC226" i="4" s="1"/>
  <c r="AD69" i="18"/>
  <c r="U69" i="4" s="1"/>
  <c r="AF69" i="18"/>
  <c r="AC69" i="4" s="1"/>
  <c r="AD52" i="18"/>
  <c r="U52" i="4" s="1"/>
  <c r="AF52" i="18"/>
  <c r="AC52" i="4" s="1"/>
  <c r="AD131" i="18"/>
  <c r="U135" i="4" s="1"/>
  <c r="AF131" i="18"/>
  <c r="AC135" i="4" s="1"/>
  <c r="AD101" i="18"/>
  <c r="U101" i="4" s="1"/>
  <c r="AF101" i="18"/>
  <c r="AC101" i="4" s="1"/>
  <c r="AD258" i="18"/>
  <c r="U261" i="4" s="1"/>
  <c r="AF258" i="18"/>
  <c r="AC261" i="4" s="1"/>
  <c r="AD82" i="18"/>
  <c r="U81" i="4" s="1"/>
  <c r="AF82" i="18"/>
  <c r="AC81" i="4" s="1"/>
  <c r="AD67" i="18"/>
  <c r="U67" i="4" s="1"/>
  <c r="AF67" i="18"/>
  <c r="AC67" i="4" s="1"/>
  <c r="AD87" i="18"/>
  <c r="U86" i="4" s="1"/>
  <c r="AF87" i="18"/>
  <c r="AC86" i="4" s="1"/>
  <c r="AD198" i="18"/>
  <c r="U206" i="4" s="1"/>
  <c r="AF198" i="18"/>
  <c r="AC206" i="4" s="1"/>
  <c r="AD76" i="18"/>
  <c r="U75" i="4" s="1"/>
  <c r="AF76" i="18"/>
  <c r="AC75" i="4" s="1"/>
  <c r="AD180" i="18"/>
  <c r="U188" i="4" s="1"/>
  <c r="AF180" i="18"/>
  <c r="AC188" i="4" s="1"/>
  <c r="AD152" i="18"/>
  <c r="U158" i="4" s="1"/>
  <c r="AF152" i="18"/>
  <c r="AC158" i="4" s="1"/>
  <c r="AD242" i="18"/>
  <c r="U247" i="4" s="1"/>
  <c r="AF242" i="18"/>
  <c r="AC247" i="4" s="1"/>
  <c r="AD208" i="18"/>
  <c r="U217" i="4" s="1"/>
  <c r="AF208" i="18"/>
  <c r="AC217" i="4" s="1"/>
  <c r="AD269" i="18"/>
  <c r="U272" i="4" s="1"/>
  <c r="AF269" i="18"/>
  <c r="AC272" i="4" s="1"/>
  <c r="AD177" i="18"/>
  <c r="U185" i="4" s="1"/>
  <c r="AF177" i="18"/>
  <c r="AC185" i="4" s="1"/>
  <c r="AD57" i="18"/>
  <c r="U57" i="4" s="1"/>
  <c r="AF57" i="18"/>
  <c r="AC57" i="4" s="1"/>
  <c r="AD145" i="18"/>
  <c r="U151" i="4" s="1"/>
  <c r="AF145" i="18"/>
  <c r="AC151" i="4" s="1"/>
  <c r="AD213" i="18"/>
  <c r="U222" i="4" s="1"/>
  <c r="AF213" i="18"/>
  <c r="AC222" i="4" s="1"/>
  <c r="AD268" i="18"/>
  <c r="U271" i="4" s="1"/>
  <c r="AF268" i="18"/>
  <c r="AC271" i="4" s="1"/>
  <c r="AD144" i="18"/>
  <c r="U150" i="4" s="1"/>
  <c r="AF144" i="18"/>
  <c r="AC150" i="4" s="1"/>
  <c r="AD114" i="18"/>
  <c r="U115" i="4" s="1"/>
  <c r="AF114" i="18"/>
  <c r="AC115" i="4" s="1"/>
  <c r="AD68" i="18"/>
  <c r="U68" i="4" s="1"/>
  <c r="AF68" i="18"/>
  <c r="AC68" i="4" s="1"/>
  <c r="AA25" i="18"/>
  <c r="AA23" i="18"/>
  <c r="O23" i="4"/>
  <c r="P37" i="4" s="1"/>
  <c r="Q37" i="4" s="1"/>
  <c r="R37" i="4" s="1"/>
  <c r="P273" i="4"/>
  <c r="Q273" i="4" s="1"/>
  <c r="R273" i="4" s="1"/>
  <c r="P236" i="4"/>
  <c r="Q236" i="4" s="1"/>
  <c r="R236" i="4" s="1"/>
  <c r="P254" i="4"/>
  <c r="Q254" i="4" s="1"/>
  <c r="R254" i="4" s="1"/>
  <c r="P32" i="4"/>
  <c r="Q32" i="4" s="1"/>
  <c r="R32" i="4" s="1"/>
  <c r="P41" i="4"/>
  <c r="Q41" i="4" s="1"/>
  <c r="R41" i="4" s="1"/>
  <c r="P94" i="4"/>
  <c r="Q94" i="4" s="1"/>
  <c r="R94" i="4" s="1"/>
  <c r="P144" i="4"/>
  <c r="Q144" i="4" s="1"/>
  <c r="R144" i="4" s="1"/>
  <c r="P194" i="4"/>
  <c r="Q194" i="4" s="1"/>
  <c r="R194" i="4" s="1"/>
  <c r="P168" i="4"/>
  <c r="Q168" i="4" s="1"/>
  <c r="R168" i="4" s="1"/>
  <c r="P61" i="4"/>
  <c r="Q61" i="4" s="1"/>
  <c r="R61" i="4" s="1"/>
  <c r="P126" i="4"/>
  <c r="Q126" i="4" s="1"/>
  <c r="R126" i="4" s="1"/>
  <c r="P33" i="4"/>
  <c r="Q33" i="4" s="1"/>
  <c r="R33" i="4" s="1"/>
  <c r="P39" i="4"/>
  <c r="Q39" i="4" s="1"/>
  <c r="R39" i="4" s="1"/>
  <c r="P149" i="4"/>
  <c r="Q149" i="4" s="1"/>
  <c r="R149" i="4" s="1"/>
  <c r="P98" i="4" l="1"/>
  <c r="Q98" i="4" s="1"/>
  <c r="R98" i="4" s="1"/>
  <c r="P66" i="4"/>
  <c r="Q66" i="4" s="1"/>
  <c r="R66" i="4" s="1"/>
  <c r="P52" i="4"/>
  <c r="Q52" i="4" s="1"/>
  <c r="R52" i="4" s="1"/>
  <c r="P34" i="4"/>
  <c r="Q34" i="4" s="1"/>
  <c r="R34" i="4" s="1"/>
  <c r="P270" i="4"/>
  <c r="Q270" i="4" s="1"/>
  <c r="R270" i="4" s="1"/>
  <c r="P267" i="4"/>
  <c r="Q267" i="4" s="1"/>
  <c r="R267" i="4" s="1"/>
  <c r="P67" i="4"/>
  <c r="Q67" i="4" s="1"/>
  <c r="R67" i="4" s="1"/>
  <c r="P256" i="4"/>
  <c r="Q256" i="4" s="1"/>
  <c r="R256" i="4" s="1"/>
  <c r="P193" i="4"/>
  <c r="Q193" i="4" s="1"/>
  <c r="R193" i="4" s="1"/>
  <c r="P31" i="4"/>
  <c r="Q31" i="4" s="1"/>
  <c r="R31" i="4" s="1"/>
  <c r="P138" i="4"/>
  <c r="Q138" i="4" s="1"/>
  <c r="R138" i="4" s="1"/>
  <c r="P170" i="4"/>
  <c r="Q170" i="4" s="1"/>
  <c r="R170" i="4" s="1"/>
  <c r="P260" i="4"/>
  <c r="Q260" i="4" s="1"/>
  <c r="R260" i="4" s="1"/>
  <c r="P36" i="4"/>
  <c r="Q36" i="4" s="1"/>
  <c r="R36" i="4" s="1"/>
  <c r="P274" i="4"/>
  <c r="Q274" i="4" s="1"/>
  <c r="R274" i="4" s="1"/>
  <c r="P49" i="4"/>
  <c r="Q49" i="4" s="1"/>
  <c r="R49" i="4" s="1"/>
  <c r="P58" i="4"/>
  <c r="Q58" i="4" s="1"/>
  <c r="R58" i="4" s="1"/>
  <c r="P154" i="4"/>
  <c r="Q154" i="4" s="1"/>
  <c r="R154" i="4" s="1"/>
  <c r="P135" i="4"/>
  <c r="Q135" i="4" s="1"/>
  <c r="R135" i="4" s="1"/>
  <c r="P81" i="4"/>
  <c r="Q81" i="4" s="1"/>
  <c r="R81" i="4" s="1"/>
  <c r="P233" i="4"/>
  <c r="Q233" i="4" s="1"/>
  <c r="R233" i="4" s="1"/>
  <c r="P30" i="4"/>
  <c r="Q30" i="4" s="1"/>
  <c r="R30" i="4" s="1"/>
  <c r="P137" i="4"/>
  <c r="Q137" i="4" s="1"/>
  <c r="R137" i="4" s="1"/>
  <c r="P47" i="4"/>
  <c r="Q47" i="4" s="1"/>
  <c r="R47" i="4" s="1"/>
  <c r="P244" i="4"/>
  <c r="Q244" i="4" s="1"/>
  <c r="R244" i="4" s="1"/>
  <c r="P257" i="4"/>
  <c r="Q257" i="4" s="1"/>
  <c r="R257" i="4" s="1"/>
  <c r="P269" i="4"/>
  <c r="Q269" i="4" s="1"/>
  <c r="R269" i="4" s="1"/>
  <c r="P151" i="4"/>
  <c r="Q151" i="4" s="1"/>
  <c r="R151" i="4" s="1"/>
  <c r="P116" i="4"/>
  <c r="Q116" i="4" s="1"/>
  <c r="R116" i="4" s="1"/>
  <c r="AF24" i="18"/>
  <c r="AC26" i="4"/>
  <c r="U23" i="4"/>
  <c r="W22" i="4" s="1"/>
  <c r="P115" i="4"/>
  <c r="Q115" i="4" s="1"/>
  <c r="R115" i="4" s="1"/>
  <c r="P106" i="4"/>
  <c r="Q106" i="4" s="1"/>
  <c r="R106" i="4" s="1"/>
  <c r="P109" i="4"/>
  <c r="Q109" i="4" s="1"/>
  <c r="R109" i="4" s="1"/>
  <c r="P200" i="4"/>
  <c r="Q200" i="4" s="1"/>
  <c r="R200" i="4" s="1"/>
  <c r="P45" i="4"/>
  <c r="Q45" i="4" s="1"/>
  <c r="R45" i="4" s="1"/>
  <c r="P176" i="4"/>
  <c r="Q176" i="4" s="1"/>
  <c r="R176" i="4" s="1"/>
  <c r="P199" i="4"/>
  <c r="Q199" i="4" s="1"/>
  <c r="R199" i="4" s="1"/>
  <c r="P189" i="4"/>
  <c r="Q189" i="4" s="1"/>
  <c r="R189" i="4" s="1"/>
  <c r="P87" i="4"/>
  <c r="Q87" i="4" s="1"/>
  <c r="R87" i="4" s="1"/>
  <c r="P216" i="4"/>
  <c r="Q216" i="4" s="1"/>
  <c r="R216" i="4" s="1"/>
  <c r="P96" i="4"/>
  <c r="Q96" i="4" s="1"/>
  <c r="R96" i="4" s="1"/>
  <c r="P78" i="4"/>
  <c r="Q78" i="4" s="1"/>
  <c r="R78" i="4" s="1"/>
  <c r="P29" i="4"/>
  <c r="Q29" i="4" s="1"/>
  <c r="R29" i="4" s="1"/>
  <c r="P188" i="4"/>
  <c r="Q188" i="4" s="1"/>
  <c r="R188" i="4" s="1"/>
  <c r="P91" i="4"/>
  <c r="Q91" i="4" s="1"/>
  <c r="R91" i="4" s="1"/>
  <c r="P169" i="4"/>
  <c r="Q169" i="4" s="1"/>
  <c r="R169" i="4" s="1"/>
  <c r="P92" i="4"/>
  <c r="Q92" i="4" s="1"/>
  <c r="R92" i="4" s="1"/>
  <c r="P223" i="4"/>
  <c r="Q223" i="4" s="1"/>
  <c r="R223" i="4" s="1"/>
  <c r="P83" i="4"/>
  <c r="Q83" i="4" s="1"/>
  <c r="R83" i="4" s="1"/>
  <c r="P123" i="4"/>
  <c r="Q123" i="4" s="1"/>
  <c r="R123" i="4" s="1"/>
  <c r="P245" i="4"/>
  <c r="Q245" i="4" s="1"/>
  <c r="R245" i="4" s="1"/>
  <c r="P130" i="4"/>
  <c r="Q130" i="4" s="1"/>
  <c r="R130" i="4" s="1"/>
  <c r="P139" i="4"/>
  <c r="Q139" i="4" s="1"/>
  <c r="R139" i="4" s="1"/>
  <c r="P226" i="4"/>
  <c r="Q226" i="4" s="1"/>
  <c r="R226" i="4" s="1"/>
  <c r="P228" i="4"/>
  <c r="Q228" i="4" s="1"/>
  <c r="R228" i="4" s="1"/>
  <c r="P235" i="4"/>
  <c r="Q235" i="4" s="1"/>
  <c r="R235" i="4" s="1"/>
  <c r="P184" i="4"/>
  <c r="Q184" i="4" s="1"/>
  <c r="R184" i="4" s="1"/>
  <c r="P209" i="4"/>
  <c r="Q209" i="4" s="1"/>
  <c r="R209" i="4" s="1"/>
  <c r="P163" i="4"/>
  <c r="Q163" i="4" s="1"/>
  <c r="R163" i="4" s="1"/>
  <c r="P172" i="4"/>
  <c r="Q172" i="4" s="1"/>
  <c r="R172" i="4" s="1"/>
  <c r="P179" i="4"/>
  <c r="Q179" i="4" s="1"/>
  <c r="R179" i="4" s="1"/>
  <c r="P28" i="4"/>
  <c r="Q28" i="4" s="1"/>
  <c r="R28" i="4" s="1"/>
  <c r="P202" i="4"/>
  <c r="Q202" i="4" s="1"/>
  <c r="R202" i="4" s="1"/>
  <c r="P166" i="4"/>
  <c r="Q166" i="4" s="1"/>
  <c r="R166" i="4" s="1"/>
  <c r="P174" i="4"/>
  <c r="Q174" i="4" s="1"/>
  <c r="R174" i="4" s="1"/>
  <c r="P125" i="4"/>
  <c r="Q125" i="4" s="1"/>
  <c r="R125" i="4" s="1"/>
  <c r="P128" i="4"/>
  <c r="Q128" i="4" s="1"/>
  <c r="R128" i="4" s="1"/>
  <c r="P222" i="4"/>
  <c r="Q222" i="4" s="1"/>
  <c r="R222" i="4" s="1"/>
  <c r="P203" i="4"/>
  <c r="Q203" i="4" s="1"/>
  <c r="R203" i="4" s="1"/>
  <c r="P131" i="4"/>
  <c r="Q131" i="4" s="1"/>
  <c r="R131" i="4" s="1"/>
  <c r="P150" i="4"/>
  <c r="Q150" i="4" s="1"/>
  <c r="R150" i="4" s="1"/>
  <c r="P238" i="4"/>
  <c r="Q238" i="4" s="1"/>
  <c r="R238" i="4" s="1"/>
  <c r="P158" i="4"/>
  <c r="Q158" i="4" s="1"/>
  <c r="R158" i="4" s="1"/>
  <c r="P213" i="4"/>
  <c r="Q213" i="4" s="1"/>
  <c r="R213" i="4" s="1"/>
  <c r="P242" i="4"/>
  <c r="Q242" i="4" s="1"/>
  <c r="R242" i="4" s="1"/>
  <c r="P207" i="4"/>
  <c r="Q207" i="4" s="1"/>
  <c r="R207" i="4" s="1"/>
  <c r="P59" i="4"/>
  <c r="Q59" i="4" s="1"/>
  <c r="R59" i="4" s="1"/>
  <c r="P44" i="4"/>
  <c r="Q44" i="4" s="1"/>
  <c r="R44" i="4" s="1"/>
  <c r="P271" i="4"/>
  <c r="Q271" i="4" s="1"/>
  <c r="R271" i="4" s="1"/>
  <c r="P35" i="4"/>
  <c r="Q35" i="4" s="1"/>
  <c r="R35" i="4" s="1"/>
  <c r="P241" i="4"/>
  <c r="Q241" i="4" s="1"/>
  <c r="R241" i="4" s="1"/>
  <c r="P100" i="4"/>
  <c r="Q100" i="4" s="1"/>
  <c r="R100" i="4" s="1"/>
  <c r="P157" i="4"/>
  <c r="Q157" i="4" s="1"/>
  <c r="R157" i="4" s="1"/>
  <c r="P156" i="4"/>
  <c r="Q156" i="4" s="1"/>
  <c r="R156" i="4" s="1"/>
  <c r="P159" i="4"/>
  <c r="Q159" i="4" s="1"/>
  <c r="R159" i="4" s="1"/>
  <c r="P89" i="4"/>
  <c r="Q89" i="4" s="1"/>
  <c r="R89" i="4" s="1"/>
  <c r="P57" i="4"/>
  <c r="Q57" i="4" s="1"/>
  <c r="R57" i="4" s="1"/>
  <c r="P162" i="4"/>
  <c r="Q162" i="4" s="1"/>
  <c r="R162" i="4" s="1"/>
  <c r="P56" i="4"/>
  <c r="Q56" i="4" s="1"/>
  <c r="R56" i="4" s="1"/>
  <c r="P63" i="4"/>
  <c r="Q63" i="4" s="1"/>
  <c r="R63" i="4" s="1"/>
  <c r="P82" i="4"/>
  <c r="Q82" i="4" s="1"/>
  <c r="R82" i="4" s="1"/>
  <c r="P129" i="4"/>
  <c r="Q129" i="4" s="1"/>
  <c r="R129" i="4" s="1"/>
  <c r="P104" i="4"/>
  <c r="Q104" i="4" s="1"/>
  <c r="R104" i="4" s="1"/>
  <c r="P51" i="4"/>
  <c r="Q51" i="4" s="1"/>
  <c r="R51" i="4" s="1"/>
  <c r="P258" i="4"/>
  <c r="Q258" i="4" s="1"/>
  <c r="R258" i="4" s="1"/>
  <c r="P266" i="4"/>
  <c r="Q266" i="4" s="1"/>
  <c r="R266" i="4" s="1"/>
  <c r="P107" i="4"/>
  <c r="Q107" i="4" s="1"/>
  <c r="R107" i="4" s="1"/>
  <c r="P112" i="4"/>
  <c r="Q112" i="4" s="1"/>
  <c r="R112" i="4" s="1"/>
  <c r="P227" i="4"/>
  <c r="Q227" i="4" s="1"/>
  <c r="R227" i="4" s="1"/>
  <c r="P147" i="4"/>
  <c r="Q147" i="4" s="1"/>
  <c r="R147" i="4" s="1"/>
  <c r="P220" i="4"/>
  <c r="Q220" i="4" s="1"/>
  <c r="R220" i="4" s="1"/>
  <c r="P48" i="4"/>
  <c r="Q48" i="4" s="1"/>
  <c r="R48" i="4" s="1"/>
  <c r="P118" i="4"/>
  <c r="Q118" i="4" s="1"/>
  <c r="R118" i="4" s="1"/>
  <c r="P259" i="4"/>
  <c r="Q259" i="4" s="1"/>
  <c r="R259" i="4" s="1"/>
  <c r="P77" i="4"/>
  <c r="Q77" i="4" s="1"/>
  <c r="R77" i="4" s="1"/>
  <c r="P173" i="4"/>
  <c r="Q173" i="4" s="1"/>
  <c r="R173" i="4" s="1"/>
  <c r="P178" i="4"/>
  <c r="Q178" i="4" s="1"/>
  <c r="R178" i="4" s="1"/>
  <c r="P55" i="4"/>
  <c r="Q55" i="4" s="1"/>
  <c r="R55" i="4" s="1"/>
  <c r="P74" i="4"/>
  <c r="Q74" i="4" s="1"/>
  <c r="R74" i="4" s="1"/>
  <c r="P114" i="4"/>
  <c r="Q114" i="4" s="1"/>
  <c r="R114" i="4" s="1"/>
  <c r="P196" i="4"/>
  <c r="Q196" i="4" s="1"/>
  <c r="R196" i="4" s="1"/>
  <c r="P190" i="4"/>
  <c r="Q190" i="4" s="1"/>
  <c r="R190" i="4" s="1"/>
  <c r="P230" i="4"/>
  <c r="Q230" i="4" s="1"/>
  <c r="R230" i="4" s="1"/>
  <c r="P119" i="4"/>
  <c r="Q119" i="4" s="1"/>
  <c r="R119" i="4" s="1"/>
  <c r="P148" i="4"/>
  <c r="Q148" i="4" s="1"/>
  <c r="R148" i="4" s="1"/>
  <c r="P211" i="4"/>
  <c r="Q211" i="4" s="1"/>
  <c r="R211" i="4" s="1"/>
  <c r="P232" i="4"/>
  <c r="Q232" i="4" s="1"/>
  <c r="R232" i="4" s="1"/>
  <c r="P248" i="4"/>
  <c r="Q248" i="4" s="1"/>
  <c r="R248" i="4" s="1"/>
  <c r="P85" i="4"/>
  <c r="Q85" i="4" s="1"/>
  <c r="R85" i="4" s="1"/>
  <c r="P208" i="4"/>
  <c r="Q208" i="4" s="1"/>
  <c r="R208" i="4" s="1"/>
  <c r="P95" i="4"/>
  <c r="Q95" i="4" s="1"/>
  <c r="R95" i="4" s="1"/>
  <c r="P218" i="4"/>
  <c r="Q218" i="4" s="1"/>
  <c r="R218" i="4" s="1"/>
  <c r="P132" i="4"/>
  <c r="Q132" i="4" s="1"/>
  <c r="R132" i="4" s="1"/>
  <c r="P191" i="4"/>
  <c r="Q191" i="4" s="1"/>
  <c r="R191" i="4" s="1"/>
  <c r="P136" i="4"/>
  <c r="Q136" i="4" s="1"/>
  <c r="R136" i="4" s="1"/>
  <c r="P84" i="4"/>
  <c r="Q84" i="4" s="1"/>
  <c r="R84" i="4" s="1"/>
  <c r="P99" i="4"/>
  <c r="Q99" i="4" s="1"/>
  <c r="R99" i="4" s="1"/>
  <c r="P110" i="4"/>
  <c r="Q110" i="4" s="1"/>
  <c r="R110" i="4" s="1"/>
  <c r="P212" i="4"/>
  <c r="Q212" i="4" s="1"/>
  <c r="R212" i="4" s="1"/>
  <c r="P160" i="4"/>
  <c r="Q160" i="4" s="1"/>
  <c r="R160" i="4" s="1"/>
  <c r="P79" i="4"/>
  <c r="Q79" i="4" s="1"/>
  <c r="R79" i="4" s="1"/>
  <c r="P229" i="4"/>
  <c r="Q229" i="4" s="1"/>
  <c r="R229" i="4" s="1"/>
  <c r="P113" i="4"/>
  <c r="Q113" i="4" s="1"/>
  <c r="R113" i="4" s="1"/>
  <c r="P102" i="4"/>
  <c r="Q102" i="4" s="1"/>
  <c r="R102" i="4" s="1"/>
  <c r="P155" i="4"/>
  <c r="Q155" i="4" s="1"/>
  <c r="R155" i="4" s="1"/>
  <c r="P108" i="4"/>
  <c r="Q108" i="4" s="1"/>
  <c r="R108" i="4" s="1"/>
  <c r="P210" i="4"/>
  <c r="Q210" i="4" s="1"/>
  <c r="R210" i="4" s="1"/>
  <c r="P268" i="4"/>
  <c r="Q268" i="4" s="1"/>
  <c r="R268" i="4" s="1"/>
  <c r="P140" i="4"/>
  <c r="Q140" i="4" s="1"/>
  <c r="R140" i="4" s="1"/>
  <c r="P88" i="4"/>
  <c r="Q88" i="4" s="1"/>
  <c r="R88" i="4" s="1"/>
  <c r="P43" i="4"/>
  <c r="Q43" i="4" s="1"/>
  <c r="R43" i="4" s="1"/>
  <c r="P73" i="4"/>
  <c r="Q73" i="4" s="1"/>
  <c r="R73" i="4" s="1"/>
  <c r="P71" i="4"/>
  <c r="Q71" i="4" s="1"/>
  <c r="R71" i="4" s="1"/>
  <c r="P50" i="4"/>
  <c r="Q50" i="4" s="1"/>
  <c r="R50" i="4" s="1"/>
  <c r="P225" i="4"/>
  <c r="Q225" i="4" s="1"/>
  <c r="R225" i="4" s="1"/>
  <c r="P247" i="4"/>
  <c r="Q247" i="4" s="1"/>
  <c r="R247" i="4" s="1"/>
  <c r="P93" i="4"/>
  <c r="Q93" i="4" s="1"/>
  <c r="R93" i="4" s="1"/>
  <c r="P80" i="4"/>
  <c r="Q80" i="4" s="1"/>
  <c r="R80" i="4" s="1"/>
  <c r="P265" i="4"/>
  <c r="Q265" i="4" s="1"/>
  <c r="R265" i="4" s="1"/>
  <c r="P65" i="4"/>
  <c r="Q65" i="4" s="1"/>
  <c r="R65" i="4" s="1"/>
  <c r="P240" i="4"/>
  <c r="Q240" i="4" s="1"/>
  <c r="R240" i="4" s="1"/>
  <c r="P121" i="4"/>
  <c r="Q121" i="4" s="1"/>
  <c r="R121" i="4" s="1"/>
  <c r="P215" i="4"/>
  <c r="Q215" i="4" s="1"/>
  <c r="R215" i="4" s="1"/>
  <c r="P263" i="4"/>
  <c r="Q263" i="4" s="1"/>
  <c r="R263" i="4" s="1"/>
  <c r="P103" i="4"/>
  <c r="Q103" i="4" s="1"/>
  <c r="R103" i="4" s="1"/>
  <c r="P134" i="4"/>
  <c r="Q134" i="4" s="1"/>
  <c r="R134" i="4" s="1"/>
  <c r="P146" i="4"/>
  <c r="Q146" i="4" s="1"/>
  <c r="R146" i="4" s="1"/>
  <c r="P175" i="4"/>
  <c r="Q175" i="4" s="1"/>
  <c r="R175" i="4" s="1"/>
  <c r="P252" i="4"/>
  <c r="Q252" i="4" s="1"/>
  <c r="R252" i="4" s="1"/>
  <c r="P42" i="4"/>
  <c r="Q42" i="4" s="1"/>
  <c r="R42" i="4" s="1"/>
  <c r="P239" i="4"/>
  <c r="Q239" i="4" s="1"/>
  <c r="R239" i="4" s="1"/>
  <c r="P231" i="4"/>
  <c r="Q231" i="4" s="1"/>
  <c r="R231" i="4" s="1"/>
  <c r="P204" i="4"/>
  <c r="Q204" i="4" s="1"/>
  <c r="R204" i="4" s="1"/>
  <c r="P60" i="4"/>
  <c r="Q60" i="4" s="1"/>
  <c r="R60" i="4" s="1"/>
  <c r="P152" i="4"/>
  <c r="Q152" i="4" s="1"/>
  <c r="R152" i="4" s="1"/>
  <c r="P40" i="4"/>
  <c r="Q40" i="4" s="1"/>
  <c r="R40" i="4" s="1"/>
  <c r="P255" i="4"/>
  <c r="Q255" i="4" s="1"/>
  <c r="R255" i="4" s="1"/>
  <c r="P75" i="4"/>
  <c r="Q75" i="4" s="1"/>
  <c r="R75" i="4" s="1"/>
  <c r="P237" i="4"/>
  <c r="Q237" i="4" s="1"/>
  <c r="R237" i="4" s="1"/>
  <c r="P122" i="4"/>
  <c r="Q122" i="4" s="1"/>
  <c r="R122" i="4" s="1"/>
  <c r="P197" i="4"/>
  <c r="Q197" i="4" s="1"/>
  <c r="R197" i="4" s="1"/>
  <c r="P69" i="4"/>
  <c r="Q69" i="4" s="1"/>
  <c r="R69" i="4" s="1"/>
  <c r="P68" i="4"/>
  <c r="Q68" i="4" s="1"/>
  <c r="R68" i="4" s="1"/>
  <c r="P251" i="4"/>
  <c r="Q251" i="4" s="1"/>
  <c r="R251" i="4" s="1"/>
  <c r="P111" i="4"/>
  <c r="Q111" i="4" s="1"/>
  <c r="R111" i="4" s="1"/>
  <c r="P201" i="4"/>
  <c r="Q201" i="4" s="1"/>
  <c r="R201" i="4" s="1"/>
  <c r="P101" i="4"/>
  <c r="Q101" i="4" s="1"/>
  <c r="R101" i="4" s="1"/>
  <c r="P117" i="4"/>
  <c r="Q117" i="4" s="1"/>
  <c r="R117" i="4" s="1"/>
  <c r="P182" i="4"/>
  <c r="Q182" i="4" s="1"/>
  <c r="R182" i="4" s="1"/>
  <c r="P127" i="4"/>
  <c r="Q127" i="4" s="1"/>
  <c r="R127" i="4" s="1"/>
  <c r="P120" i="4"/>
  <c r="Q120" i="4" s="1"/>
  <c r="R120" i="4" s="1"/>
  <c r="P205" i="4"/>
  <c r="Q205" i="4" s="1"/>
  <c r="R205" i="4" s="1"/>
  <c r="P90" i="4"/>
  <c r="Q90" i="4" s="1"/>
  <c r="R90" i="4" s="1"/>
  <c r="P221" i="4"/>
  <c r="Q221" i="4" s="1"/>
  <c r="R221" i="4" s="1"/>
  <c r="P261" i="4"/>
  <c r="Q261" i="4" s="1"/>
  <c r="R261" i="4" s="1"/>
  <c r="P198" i="4"/>
  <c r="Q198" i="4" s="1"/>
  <c r="R198" i="4" s="1"/>
  <c r="P181" i="4"/>
  <c r="Q181" i="4" s="1"/>
  <c r="R181" i="4" s="1"/>
  <c r="P97" i="4"/>
  <c r="Q97" i="4" s="1"/>
  <c r="R97" i="4" s="1"/>
  <c r="P145" i="4"/>
  <c r="Q145" i="4" s="1"/>
  <c r="R145" i="4" s="1"/>
  <c r="P262" i="4"/>
  <c r="Q262" i="4" s="1"/>
  <c r="R262" i="4" s="1"/>
  <c r="P272" i="4"/>
  <c r="Q272" i="4" s="1"/>
  <c r="R272" i="4" s="1"/>
  <c r="P253" i="4"/>
  <c r="Q253" i="4" s="1"/>
  <c r="R253" i="4" s="1"/>
  <c r="P186" i="4"/>
  <c r="Q186" i="4" s="1"/>
  <c r="R186" i="4" s="1"/>
  <c r="P246" i="4"/>
  <c r="Q246" i="4" s="1"/>
  <c r="R246" i="4" s="1"/>
  <c r="P192" i="4"/>
  <c r="Q192" i="4" s="1"/>
  <c r="R192" i="4" s="1"/>
  <c r="P53" i="4"/>
  <c r="Q53" i="4" s="1"/>
  <c r="R53" i="4" s="1"/>
  <c r="P46" i="4"/>
  <c r="Q46" i="4" s="1"/>
  <c r="R46" i="4" s="1"/>
  <c r="P124" i="4"/>
  <c r="Q124" i="4" s="1"/>
  <c r="R124" i="4" s="1"/>
  <c r="P195" i="4"/>
  <c r="Q195" i="4" s="1"/>
  <c r="R195" i="4" s="1"/>
  <c r="P141" i="4"/>
  <c r="Q141" i="4" s="1"/>
  <c r="R141" i="4" s="1"/>
  <c r="P70" i="4"/>
  <c r="Q70" i="4" s="1"/>
  <c r="R70" i="4" s="1"/>
  <c r="P86" i="4"/>
  <c r="Q86" i="4" s="1"/>
  <c r="R86" i="4" s="1"/>
  <c r="P206" i="4"/>
  <c r="Q206" i="4" s="1"/>
  <c r="R206" i="4" s="1"/>
  <c r="P76" i="4"/>
  <c r="Q76" i="4" s="1"/>
  <c r="R76" i="4" s="1"/>
  <c r="P161" i="4"/>
  <c r="Q161" i="4" s="1"/>
  <c r="R161" i="4" s="1"/>
  <c r="P164" i="4"/>
  <c r="Q164" i="4" s="1"/>
  <c r="R164" i="4" s="1"/>
  <c r="P250" i="4"/>
  <c r="Q250" i="4" s="1"/>
  <c r="R250" i="4" s="1"/>
  <c r="P54" i="4"/>
  <c r="Q54" i="4" s="1"/>
  <c r="R54" i="4" s="1"/>
  <c r="P133" i="4"/>
  <c r="Q133" i="4" s="1"/>
  <c r="R133" i="4" s="1"/>
  <c r="P187" i="4"/>
  <c r="Q187" i="4" s="1"/>
  <c r="R187" i="4" s="1"/>
  <c r="P142" i="4"/>
  <c r="Q142" i="4" s="1"/>
  <c r="R142" i="4" s="1"/>
  <c r="P180" i="4"/>
  <c r="Q180" i="4" s="1"/>
  <c r="R180" i="4" s="1"/>
  <c r="P62" i="4"/>
  <c r="Q62" i="4" s="1"/>
  <c r="R62" i="4" s="1"/>
  <c r="P153" i="4"/>
  <c r="Q153" i="4" s="1"/>
  <c r="R153" i="4" s="1"/>
  <c r="P214" i="4"/>
  <c r="Q214" i="4" s="1"/>
  <c r="R214" i="4" s="1"/>
  <c r="P72" i="4"/>
  <c r="Q72" i="4" s="1"/>
  <c r="R72" i="4" s="1"/>
  <c r="P177" i="4"/>
  <c r="Q177" i="4" s="1"/>
  <c r="R177" i="4" s="1"/>
  <c r="P219" i="4"/>
  <c r="Q219" i="4" s="1"/>
  <c r="R219" i="4" s="1"/>
  <c r="P105" i="4"/>
  <c r="Q105" i="4" s="1"/>
  <c r="R105" i="4" s="1"/>
  <c r="P143" i="4"/>
  <c r="Q143" i="4" s="1"/>
  <c r="R143" i="4" s="1"/>
  <c r="P165" i="4"/>
  <c r="Q165" i="4" s="1"/>
  <c r="R165" i="4" s="1"/>
  <c r="P185" i="4"/>
  <c r="Q185" i="4" s="1"/>
  <c r="R185" i="4" s="1"/>
  <c r="P38" i="4"/>
  <c r="Q38" i="4" s="1"/>
  <c r="R38" i="4" s="1"/>
  <c r="P264" i="4"/>
  <c r="Q264" i="4" s="1"/>
  <c r="R264" i="4" s="1"/>
  <c r="P243" i="4"/>
  <c r="Q243" i="4" s="1"/>
  <c r="R243" i="4" s="1"/>
  <c r="P183" i="4"/>
  <c r="Q183" i="4" s="1"/>
  <c r="R183" i="4" s="1"/>
  <c r="P167" i="4"/>
  <c r="Q167" i="4" s="1"/>
  <c r="R167" i="4" s="1"/>
  <c r="P249" i="4"/>
  <c r="Q249" i="4" s="1"/>
  <c r="R249" i="4" s="1"/>
  <c r="P217" i="4"/>
  <c r="Q217" i="4" s="1"/>
  <c r="R217" i="4" s="1"/>
  <c r="P234" i="4"/>
  <c r="Q234" i="4" s="1"/>
  <c r="R234" i="4" s="1"/>
  <c r="P64" i="4"/>
  <c r="Q64" i="4" s="1"/>
  <c r="R64" i="4" s="1"/>
  <c r="P224" i="4"/>
  <c r="Q224" i="4" s="1"/>
  <c r="R224" i="4" s="1"/>
  <c r="P171" i="4"/>
  <c r="Q171" i="4" s="1"/>
  <c r="R171" i="4" s="1"/>
  <c r="P27" i="4"/>
  <c r="Q27" i="4" s="1"/>
  <c r="R27" i="4" s="1"/>
  <c r="P26" i="4"/>
  <c r="Q26" i="4" s="1"/>
  <c r="R26" i="4" s="1"/>
  <c r="AC24" i="4" l="1"/>
  <c r="Q25" i="4"/>
  <c r="Q24" i="4"/>
  <c r="P24" i="4"/>
  <c r="R23" i="4" a="1"/>
  <c r="R23" i="4" s="1"/>
  <c r="R22" i="4" a="1"/>
  <c r="R22" i="4" s="1"/>
  <c r="S19" i="4"/>
  <c r="S22" i="4"/>
  <c r="AD212" i="4" l="1"/>
  <c r="AD94" i="4"/>
  <c r="AD210" i="4"/>
  <c r="AD211" i="4"/>
  <c r="AD193" i="4"/>
  <c r="AD177" i="4"/>
  <c r="AD143" i="4"/>
  <c r="AD106" i="4"/>
  <c r="AD274" i="4"/>
  <c r="AD37" i="4"/>
  <c r="AD44" i="4"/>
  <c r="AD58" i="4"/>
  <c r="AD178" i="4"/>
  <c r="AD150" i="4"/>
  <c r="AD72" i="4"/>
  <c r="AD152" i="4"/>
  <c r="AD180" i="4"/>
  <c r="AD39" i="4"/>
  <c r="AD195" i="4"/>
  <c r="AD257" i="4"/>
  <c r="AD269" i="4"/>
  <c r="AD250" i="4"/>
  <c r="AD117" i="4"/>
  <c r="AD45" i="4"/>
  <c r="AD158" i="4"/>
  <c r="AD107" i="4"/>
  <c r="AD126" i="4"/>
  <c r="AD153" i="4"/>
  <c r="AD170" i="4"/>
  <c r="AD216" i="4"/>
  <c r="AD100" i="4"/>
  <c r="AD202" i="4"/>
  <c r="AD222" i="4"/>
  <c r="AD231" i="4"/>
  <c r="AD63" i="4"/>
  <c r="AD147" i="4"/>
  <c r="AD142" i="4"/>
  <c r="AD28" i="4"/>
  <c r="AD221" i="4"/>
  <c r="AD146" i="4"/>
  <c r="AD30" i="4"/>
  <c r="AD236" i="4"/>
  <c r="AD75" i="4"/>
  <c r="AD66" i="4"/>
  <c r="AD219" i="4"/>
  <c r="AD134" i="4"/>
  <c r="AD48" i="4"/>
  <c r="AD266" i="4"/>
  <c r="AD102" i="4"/>
  <c r="AD52" i="4"/>
  <c r="AD69" i="4"/>
  <c r="AD129" i="4"/>
  <c r="AD155" i="4"/>
  <c r="AD228" i="4"/>
  <c r="AD213" i="4"/>
  <c r="AD40" i="4"/>
  <c r="AD199" i="4"/>
  <c r="AD36" i="4"/>
  <c r="AD256" i="4"/>
  <c r="AD79" i="4"/>
  <c r="AD242" i="4"/>
  <c r="AD261" i="4"/>
  <c r="AD86" i="4"/>
  <c r="AD99" i="4"/>
  <c r="AD140" i="4"/>
  <c r="AD166" i="4"/>
  <c r="AD131" i="4"/>
  <c r="AD161" i="4"/>
  <c r="AD246" i="4"/>
  <c r="AD29" i="4"/>
  <c r="AD272" i="4"/>
  <c r="AD165" i="4"/>
  <c r="AD230" i="4"/>
  <c r="AD167" i="4"/>
  <c r="AD204" i="4"/>
  <c r="AD124" i="4"/>
  <c r="AD191" i="4"/>
  <c r="AD80" i="4"/>
  <c r="AD121" i="4"/>
  <c r="AD42" i="4"/>
  <c r="AD105" i="4"/>
  <c r="AD132" i="4"/>
  <c r="AD243" i="4"/>
  <c r="AD268" i="4"/>
  <c r="AD110" i="4"/>
  <c r="AD145" i="4"/>
  <c r="AD245" i="4"/>
  <c r="AD174" i="4"/>
  <c r="AD119" i="4"/>
  <c r="AD74" i="4"/>
  <c r="AD176" i="4"/>
  <c r="AD123" i="4"/>
  <c r="AD64" i="4"/>
  <c r="AD60" i="4"/>
  <c r="AD258" i="4"/>
  <c r="AD241" i="4"/>
  <c r="AD214" i="4"/>
  <c r="AD225" i="4"/>
  <c r="AD35" i="4"/>
  <c r="AD97" i="4"/>
  <c r="AD101" i="4"/>
  <c r="AD206" i="4"/>
  <c r="AD127" i="4"/>
  <c r="AD215" i="4"/>
  <c r="AD171" i="4"/>
  <c r="AD50" i="4"/>
  <c r="AD128" i="4"/>
  <c r="AD220" i="4"/>
  <c r="AD188" i="4"/>
  <c r="AD70" i="4"/>
  <c r="AD248" i="4"/>
  <c r="AD172" i="4"/>
  <c r="AD87" i="4"/>
  <c r="AD112" i="4"/>
  <c r="AD89" i="4"/>
  <c r="AD249" i="4"/>
  <c r="AD154" i="4"/>
  <c r="AD116" i="4"/>
  <c r="AD113" i="4"/>
  <c r="AD130" i="4"/>
  <c r="AD264" i="4"/>
  <c r="AD271" i="4"/>
  <c r="AD73" i="4"/>
  <c r="AD108" i="4"/>
  <c r="AD138" i="4"/>
  <c r="AD81" i="4"/>
  <c r="AD59" i="4"/>
  <c r="AD115" i="4"/>
  <c r="AD179" i="4"/>
  <c r="AD88" i="4"/>
  <c r="AD76" i="4"/>
  <c r="AD196" i="4"/>
  <c r="AD189" i="4"/>
  <c r="AD85" i="4"/>
  <c r="AD197" i="4"/>
  <c r="AD32" i="4"/>
  <c r="AD104" i="4"/>
  <c r="AD125" i="4"/>
  <c r="AD253" i="4"/>
  <c r="AD226" i="4"/>
  <c r="AD98" i="4"/>
  <c r="AD62" i="4"/>
  <c r="AD157" i="4"/>
  <c r="AD200" i="4"/>
  <c r="AD118" i="4"/>
  <c r="AD38" i="4"/>
  <c r="AD265" i="4"/>
  <c r="AD67" i="4"/>
  <c r="AD57" i="4"/>
  <c r="AD224" i="4"/>
  <c r="AD209" i="4"/>
  <c r="AD141" i="4"/>
  <c r="AD192" i="4"/>
  <c r="AD182" i="4"/>
  <c r="AD186" i="4"/>
  <c r="AD103" i="4"/>
  <c r="AD49" i="4"/>
  <c r="AD194" i="4"/>
  <c r="AD82" i="4"/>
  <c r="AD181" i="4"/>
  <c r="AD240" i="4"/>
  <c r="AD159" i="4"/>
  <c r="AD77" i="4"/>
  <c r="AD151" i="4"/>
  <c r="AD114" i="4"/>
  <c r="AD184" i="4"/>
  <c r="AD51" i="4"/>
  <c r="AD92" i="4"/>
  <c r="AD120" i="4"/>
  <c r="AD163" i="4"/>
  <c r="AD208" i="4"/>
  <c r="AD262" i="4"/>
  <c r="AD53" i="4"/>
  <c r="AD238" i="4"/>
  <c r="AD137" i="4"/>
  <c r="AD251" i="4"/>
  <c r="AD239" i="4"/>
  <c r="AD162" i="4"/>
  <c r="AD203" i="4"/>
  <c r="AD207" i="4"/>
  <c r="AD201" i="4"/>
  <c r="AD33" i="4"/>
  <c r="AD247" i="4"/>
  <c r="AD135" i="4"/>
  <c r="AD255" i="4"/>
  <c r="AD183" i="4"/>
  <c r="AD90" i="4"/>
  <c r="AD233" i="4"/>
  <c r="AD31" i="4"/>
  <c r="AD244" i="4"/>
  <c r="AD91" i="4"/>
  <c r="AD217" i="4"/>
  <c r="AD160" i="4"/>
  <c r="AD144" i="4"/>
  <c r="AD46" i="4"/>
  <c r="AD93" i="4"/>
  <c r="AD229" i="4"/>
  <c r="AD96" i="4"/>
  <c r="AD133" i="4"/>
  <c r="AD68" i="4"/>
  <c r="AD273" i="4"/>
  <c r="AD175" i="4"/>
  <c r="AD234" i="4"/>
  <c r="AD190" i="4"/>
  <c r="AD47" i="4"/>
  <c r="AD27" i="4"/>
  <c r="AD139" i="4"/>
  <c r="AD267" i="4"/>
  <c r="AD56" i="4"/>
  <c r="AD111" i="4"/>
  <c r="AD164" i="4"/>
  <c r="AD237" i="4"/>
  <c r="AD34" i="4"/>
  <c r="AD187" i="4"/>
  <c r="AD270" i="4"/>
  <c r="AD148" i="4"/>
  <c r="AD95" i="4"/>
  <c r="AD232" i="4"/>
  <c r="AD168" i="4"/>
  <c r="AD235" i="4"/>
  <c r="AD65" i="4"/>
  <c r="AD136" i="4"/>
  <c r="AD71" i="4"/>
  <c r="AD54" i="4"/>
  <c r="AD218" i="4"/>
  <c r="AD169" i="4"/>
  <c r="AD109" i="4"/>
  <c r="AD252" i="4"/>
  <c r="AD173" i="4"/>
  <c r="AD55" i="4"/>
  <c r="AD41" i="4"/>
  <c r="AD205" i="4"/>
  <c r="AD43" i="4"/>
  <c r="AD223" i="4"/>
  <c r="AD254" i="4"/>
  <c r="AD83" i="4"/>
  <c r="AD185" i="4"/>
  <c r="AD122" i="4"/>
  <c r="AD156" i="4"/>
  <c r="AD263" i="4"/>
  <c r="AD198" i="4"/>
  <c r="AD84" i="4"/>
  <c r="AD227" i="4"/>
  <c r="AD149" i="4"/>
  <c r="AD259" i="4"/>
  <c r="AD78" i="4"/>
  <c r="AD61" i="4"/>
  <c r="AD260" i="4"/>
  <c r="AD26" i="4"/>
  <c r="S26" i="4"/>
  <c r="W26" i="4" s="1"/>
  <c r="S166" i="4"/>
  <c r="S159" i="4"/>
  <c r="S270" i="4"/>
  <c r="S47" i="4"/>
  <c r="S227" i="4"/>
  <c r="S232" i="4"/>
  <c r="S192" i="4"/>
  <c r="S249" i="4"/>
  <c r="S272" i="4"/>
  <c r="S257" i="4"/>
  <c r="S268" i="4"/>
  <c r="S97" i="4"/>
  <c r="S131" i="4"/>
  <c r="S157" i="4"/>
  <c r="S179" i="4"/>
  <c r="S82" i="4"/>
  <c r="S239" i="4"/>
  <c r="S76" i="4"/>
  <c r="S106" i="4"/>
  <c r="S40" i="4"/>
  <c r="S163" i="4"/>
  <c r="S221" i="4"/>
  <c r="S205" i="4"/>
  <c r="S99" i="4"/>
  <c r="S175" i="4"/>
  <c r="S217" i="4"/>
  <c r="S252" i="4"/>
  <c r="S165" i="4"/>
  <c r="S48" i="4"/>
  <c r="S190" i="4"/>
  <c r="S210" i="4"/>
  <c r="S44" i="4"/>
  <c r="S180" i="4"/>
  <c r="S29" i="4"/>
  <c r="S242" i="4"/>
  <c r="S137" i="4"/>
  <c r="S201" i="4"/>
  <c r="S170" i="4"/>
  <c r="S199" i="4"/>
  <c r="S85" i="4"/>
  <c r="S57" i="4"/>
  <c r="S197" i="4"/>
  <c r="S255" i="4"/>
  <c r="S32" i="4"/>
  <c r="S126" i="4"/>
  <c r="S143" i="4"/>
  <c r="S216" i="4"/>
  <c r="S181" i="4"/>
  <c r="S46" i="4"/>
  <c r="S91" i="4"/>
  <c r="S237" i="4"/>
  <c r="S31" i="4"/>
  <c r="S67" i="4"/>
  <c r="S215" i="4"/>
  <c r="S66" i="4"/>
  <c r="S55" i="4"/>
  <c r="S28" i="4"/>
  <c r="S132" i="4"/>
  <c r="S234" i="4"/>
  <c r="S151" i="4"/>
  <c r="S220" i="4"/>
  <c r="S178" i="4"/>
  <c r="S152" i="4"/>
  <c r="S140" i="4"/>
  <c r="S73" i="4"/>
  <c r="S30" i="4"/>
  <c r="S186" i="4"/>
  <c r="S182" i="4"/>
  <c r="S101" i="4"/>
  <c r="S54" i="4"/>
  <c r="S111" i="4"/>
  <c r="S98" i="4"/>
  <c r="S177" i="4"/>
  <c r="S269" i="4"/>
  <c r="S61" i="4"/>
  <c r="S88" i="4"/>
  <c r="S79" i="4"/>
  <c r="S253" i="4"/>
  <c r="S147" i="4"/>
  <c r="S229" i="4"/>
  <c r="S198" i="4"/>
  <c r="S133" i="4"/>
  <c r="S271" i="4"/>
  <c r="S209" i="4"/>
  <c r="S156" i="4"/>
  <c r="S104" i="4"/>
  <c r="S59" i="4"/>
  <c r="S212" i="4"/>
  <c r="S114" i="4"/>
  <c r="S174" i="4"/>
  <c r="S93" i="4"/>
  <c r="S121" i="4"/>
  <c r="S196" i="4"/>
  <c r="S115" i="4"/>
  <c r="S107" i="4"/>
  <c r="S213" i="4"/>
  <c r="S238" i="4"/>
  <c r="S189" i="4"/>
  <c r="S172" i="4"/>
  <c r="S144" i="4"/>
  <c r="S230" i="4"/>
  <c r="S136" i="4"/>
  <c r="S260" i="4"/>
  <c r="S162" i="4"/>
  <c r="S123" i="4"/>
  <c r="S164" i="4"/>
  <c r="S167" i="4"/>
  <c r="S141" i="4"/>
  <c r="S261" i="4"/>
  <c r="S56" i="4"/>
  <c r="S203" i="4"/>
  <c r="S142" i="4"/>
  <c r="S120" i="4"/>
  <c r="S117" i="4"/>
  <c r="S235" i="4"/>
  <c r="S49" i="4"/>
  <c r="S155" i="4"/>
  <c r="S211" i="4"/>
  <c r="S78" i="4"/>
  <c r="S193" i="4"/>
  <c r="S36" i="4"/>
  <c r="S195" i="4"/>
  <c r="S27" i="4"/>
  <c r="S124" i="4"/>
  <c r="S256" i="4"/>
  <c r="S222" i="4"/>
  <c r="S154" i="4"/>
  <c r="S39" i="4"/>
  <c r="S185" i="4"/>
  <c r="S35" i="4"/>
  <c r="S169" i="4"/>
  <c r="S173" i="4"/>
  <c r="S33" i="4"/>
  <c r="S68" i="4"/>
  <c r="S113" i="4"/>
  <c r="S187" i="4"/>
  <c r="S64" i="4"/>
  <c r="S122" i="4"/>
  <c r="S127" i="4"/>
  <c r="S50" i="4"/>
  <c r="S74" i="4"/>
  <c r="S233" i="4"/>
  <c r="S34" i="4"/>
  <c r="S225" i="4"/>
  <c r="S207" i="4"/>
  <c r="S265" i="4"/>
  <c r="S37" i="4"/>
  <c r="S150" i="4"/>
  <c r="S116" i="4"/>
  <c r="S135" i="4"/>
  <c r="S109" i="4"/>
  <c r="S259" i="4"/>
  <c r="S145" i="4"/>
  <c r="S176" i="4"/>
  <c r="S63" i="4"/>
  <c r="S158" i="4"/>
  <c r="S38" i="4"/>
  <c r="S102" i="4"/>
  <c r="S83" i="4"/>
  <c r="S89" i="4"/>
  <c r="S43" i="4"/>
  <c r="S241" i="4"/>
  <c r="S231" i="4"/>
  <c r="S161" i="4"/>
  <c r="S188" i="4"/>
  <c r="S130" i="4"/>
  <c r="S263" i="4"/>
  <c r="S53" i="4"/>
  <c r="S208" i="4"/>
  <c r="S149" i="4"/>
  <c r="S84" i="4"/>
  <c r="S245" i="4"/>
  <c r="S184" i="4"/>
  <c r="S134" i="4"/>
  <c r="S92" i="4"/>
  <c r="S103" i="4"/>
  <c r="S138" i="4"/>
  <c r="S168" i="4"/>
  <c r="S274" i="4"/>
  <c r="S246" i="4"/>
  <c r="S119" i="4"/>
  <c r="S139" i="4"/>
  <c r="S112" i="4"/>
  <c r="S75" i="4"/>
  <c r="S118" i="4"/>
  <c r="S71" i="4"/>
  <c r="S52" i="4"/>
  <c r="S236" i="4"/>
  <c r="S42" i="4"/>
  <c r="S223" i="4"/>
  <c r="S226" i="4"/>
  <c r="S240" i="4"/>
  <c r="S95" i="4"/>
  <c r="S128" i="4"/>
  <c r="S214" i="4"/>
  <c r="S105" i="4"/>
  <c r="S81" i="4"/>
  <c r="S160" i="4"/>
  <c r="S58" i="4"/>
  <c r="S80" i="4"/>
  <c r="S200" i="4"/>
  <c r="S45" i="4"/>
  <c r="S266" i="4"/>
  <c r="S206" i="4"/>
  <c r="S94" i="4"/>
  <c r="S69" i="4"/>
  <c r="S243" i="4"/>
  <c r="S65" i="4"/>
  <c r="S262" i="4"/>
  <c r="S202" i="4"/>
  <c r="S264" i="4"/>
  <c r="S183" i="4"/>
  <c r="S258" i="4"/>
  <c r="S146" i="4"/>
  <c r="S273" i="4"/>
  <c r="S254" i="4"/>
  <c r="S110" i="4"/>
  <c r="S218" i="4"/>
  <c r="S87" i="4"/>
  <c r="S148" i="4"/>
  <c r="S60" i="4"/>
  <c r="S219" i="4"/>
  <c r="S51" i="4"/>
  <c r="S96" i="4"/>
  <c r="S224" i="4"/>
  <c r="S194" i="4"/>
  <c r="S248" i="4"/>
  <c r="S247" i="4"/>
  <c r="S129" i="4"/>
  <c r="S244" i="4"/>
  <c r="S90" i="4"/>
  <c r="S204" i="4"/>
  <c r="S100" i="4"/>
  <c r="S250" i="4"/>
  <c r="S70" i="4"/>
  <c r="S191" i="4"/>
  <c r="S171" i="4"/>
  <c r="S62" i="4"/>
  <c r="S251" i="4"/>
  <c r="S228" i="4"/>
  <c r="S86" i="4"/>
  <c r="S41" i="4"/>
  <c r="S77" i="4"/>
  <c r="S125" i="4"/>
  <c r="S267" i="4"/>
  <c r="S72" i="4"/>
  <c r="S153" i="4"/>
  <c r="S108" i="4"/>
  <c r="AD24" i="4" l="1"/>
  <c r="AD23" i="4" s="1"/>
  <c r="S23" i="4"/>
  <c r="W51" i="4"/>
  <c r="X51" i="4" s="1"/>
  <c r="Z51" i="4" s="1"/>
  <c r="W62" i="4"/>
  <c r="X62" i="4" s="1"/>
  <c r="Z62" i="4" s="1"/>
  <c r="W219" i="4"/>
  <c r="X219" i="4" s="1"/>
  <c r="Z219" i="4" s="1"/>
  <c r="W69" i="4"/>
  <c r="X69" i="4" s="1"/>
  <c r="Z69" i="4" s="1"/>
  <c r="W139" i="4"/>
  <c r="X139" i="4" s="1"/>
  <c r="Z139" i="4" s="1"/>
  <c r="W102" i="4"/>
  <c r="X102" i="4" s="1"/>
  <c r="Z102" i="4" s="1"/>
  <c r="W222" i="4"/>
  <c r="X222" i="4" s="1"/>
  <c r="Z222" i="4" s="1"/>
  <c r="W171" i="4"/>
  <c r="X171" i="4" s="1"/>
  <c r="Z171" i="4" s="1"/>
  <c r="W129" i="4"/>
  <c r="X129" i="4" s="1"/>
  <c r="Z129" i="4" s="1"/>
  <c r="W60" i="4"/>
  <c r="X60" i="4" s="1"/>
  <c r="Z60" i="4" s="1"/>
  <c r="W258" i="4"/>
  <c r="X258" i="4" s="1"/>
  <c r="Z258" i="4" s="1"/>
  <c r="W81" i="4"/>
  <c r="X81" i="4" s="1"/>
  <c r="Z81" i="4" s="1"/>
  <c r="W42" i="4"/>
  <c r="X42" i="4" s="1"/>
  <c r="Z42" i="4" s="1"/>
  <c r="W119" i="4"/>
  <c r="X119" i="4" s="1"/>
  <c r="Z119" i="4" s="1"/>
  <c r="W184" i="4"/>
  <c r="X184" i="4" s="1"/>
  <c r="Z184" i="4" s="1"/>
  <c r="W188" i="4"/>
  <c r="X188" i="4" s="1"/>
  <c r="Z188" i="4" s="1"/>
  <c r="W116" i="4"/>
  <c r="X116" i="4" s="1"/>
  <c r="Z116" i="4" s="1"/>
  <c r="W74" i="4"/>
  <c r="X74" i="4" s="1"/>
  <c r="Z74" i="4" s="1"/>
  <c r="W33" i="4"/>
  <c r="X33" i="4" s="1"/>
  <c r="Z33" i="4" s="1"/>
  <c r="W256" i="4"/>
  <c r="X256" i="4" s="1"/>
  <c r="Z256" i="4" s="1"/>
  <c r="W155" i="4"/>
  <c r="X155" i="4" s="1"/>
  <c r="Z155" i="4" s="1"/>
  <c r="W261" i="4"/>
  <c r="X261" i="4" s="1"/>
  <c r="Z261" i="4" s="1"/>
  <c r="W230" i="4"/>
  <c r="X230" i="4" s="1"/>
  <c r="Z230" i="4" s="1"/>
  <c r="W196" i="4"/>
  <c r="X196" i="4" s="1"/>
  <c r="Z196" i="4" s="1"/>
  <c r="W156" i="4"/>
  <c r="X156" i="4" s="1"/>
  <c r="Z156" i="4" s="1"/>
  <c r="W79" i="4"/>
  <c r="X79" i="4" s="1"/>
  <c r="Z79" i="4" s="1"/>
  <c r="W220" i="4"/>
  <c r="X220" i="4" s="1"/>
  <c r="Z220" i="4" s="1"/>
  <c r="W67" i="4"/>
  <c r="X67" i="4" s="1"/>
  <c r="Z67" i="4" s="1"/>
  <c r="W126" i="4"/>
  <c r="X126" i="4" s="1"/>
  <c r="Z126" i="4" s="1"/>
  <c r="W201" i="4"/>
  <c r="X201" i="4" s="1"/>
  <c r="Z201" i="4" s="1"/>
  <c r="W48" i="4"/>
  <c r="X48" i="4" s="1"/>
  <c r="Z48" i="4" s="1"/>
  <c r="W163" i="4"/>
  <c r="X163" i="4" s="1"/>
  <c r="Z163" i="4" s="1"/>
  <c r="W131" i="4"/>
  <c r="X131" i="4" s="1"/>
  <c r="Z131" i="4" s="1"/>
  <c r="W227" i="4"/>
  <c r="X227" i="4" s="1"/>
  <c r="Z227" i="4" s="1"/>
  <c r="W125" i="4"/>
  <c r="X125" i="4" s="1"/>
  <c r="Z125" i="4" s="1"/>
  <c r="W191" i="4"/>
  <c r="X191" i="4" s="1"/>
  <c r="Z191" i="4" s="1"/>
  <c r="W247" i="4"/>
  <c r="X247" i="4" s="1"/>
  <c r="Z247" i="4" s="1"/>
  <c r="W148" i="4"/>
  <c r="X148" i="4" s="1"/>
  <c r="Z148" i="4" s="1"/>
  <c r="W183" i="4"/>
  <c r="X183" i="4" s="1"/>
  <c r="Z183" i="4" s="1"/>
  <c r="W206" i="4"/>
  <c r="X206" i="4" s="1"/>
  <c r="Z206" i="4" s="1"/>
  <c r="W105" i="4"/>
  <c r="X105" i="4" s="1"/>
  <c r="Z105" i="4" s="1"/>
  <c r="W236" i="4"/>
  <c r="X236" i="4" s="1"/>
  <c r="Z236" i="4" s="1"/>
  <c r="W246" i="4"/>
  <c r="X246" i="4" s="1"/>
  <c r="Z246" i="4" s="1"/>
  <c r="W245" i="4"/>
  <c r="X245" i="4" s="1"/>
  <c r="Z245" i="4" s="1"/>
  <c r="W161" i="4"/>
  <c r="X161" i="4" s="1"/>
  <c r="Z161" i="4" s="1"/>
  <c r="W158" i="4"/>
  <c r="X158" i="4" s="1"/>
  <c r="Z158" i="4" s="1"/>
  <c r="W150" i="4"/>
  <c r="X150" i="4" s="1"/>
  <c r="Z150" i="4" s="1"/>
  <c r="W50" i="4"/>
  <c r="X50" i="4" s="1"/>
  <c r="Z50" i="4" s="1"/>
  <c r="W173" i="4"/>
  <c r="X173" i="4" s="1"/>
  <c r="Z173" i="4" s="1"/>
  <c r="W124" i="4"/>
  <c r="X124" i="4" s="1"/>
  <c r="Z124" i="4" s="1"/>
  <c r="W49" i="4"/>
  <c r="X49" i="4" s="1"/>
  <c r="Z49" i="4" s="1"/>
  <c r="W141" i="4"/>
  <c r="X141" i="4" s="1"/>
  <c r="Z141" i="4" s="1"/>
  <c r="W144" i="4"/>
  <c r="X144" i="4" s="1"/>
  <c r="Z144" i="4" s="1"/>
  <c r="W121" i="4"/>
  <c r="X121" i="4" s="1"/>
  <c r="Z121" i="4" s="1"/>
  <c r="W209" i="4"/>
  <c r="X209" i="4" s="1"/>
  <c r="Z209" i="4" s="1"/>
  <c r="W88" i="4"/>
  <c r="X88" i="4" s="1"/>
  <c r="Z88" i="4" s="1"/>
  <c r="W182" i="4"/>
  <c r="X182" i="4" s="1"/>
  <c r="Z182" i="4" s="1"/>
  <c r="W151" i="4"/>
  <c r="X151" i="4" s="1"/>
  <c r="Z151" i="4" s="1"/>
  <c r="W31" i="4"/>
  <c r="X31" i="4" s="1"/>
  <c r="Z31" i="4" s="1"/>
  <c r="W32" i="4"/>
  <c r="X32" i="4" s="1"/>
  <c r="Z32" i="4" s="1"/>
  <c r="W137" i="4"/>
  <c r="X137" i="4" s="1"/>
  <c r="Z137" i="4" s="1"/>
  <c r="W165" i="4"/>
  <c r="X165" i="4" s="1"/>
  <c r="Z165" i="4" s="1"/>
  <c r="W40" i="4"/>
  <c r="X40" i="4" s="1"/>
  <c r="Z40" i="4" s="1"/>
  <c r="W97" i="4"/>
  <c r="X97" i="4" s="1"/>
  <c r="Z97" i="4" s="1"/>
  <c r="W47" i="4"/>
  <c r="X47" i="4" s="1"/>
  <c r="Z47" i="4" s="1"/>
  <c r="W248" i="4"/>
  <c r="X248" i="4" s="1"/>
  <c r="Z248" i="4" s="1"/>
  <c r="W266" i="4"/>
  <c r="X266" i="4" s="1"/>
  <c r="Z266" i="4" s="1"/>
  <c r="W214" i="4"/>
  <c r="X214" i="4" s="1"/>
  <c r="Z214" i="4" s="1"/>
  <c r="W52" i="4"/>
  <c r="X52" i="4" s="1"/>
  <c r="Z52" i="4" s="1"/>
  <c r="W274" i="4"/>
  <c r="X274" i="4" s="1"/>
  <c r="Z274" i="4" s="1"/>
  <c r="W84" i="4"/>
  <c r="X84" i="4" s="1"/>
  <c r="Z84" i="4" s="1"/>
  <c r="W231" i="4"/>
  <c r="X231" i="4" s="1"/>
  <c r="Z231" i="4" s="1"/>
  <c r="W63" i="4"/>
  <c r="X63" i="4" s="1"/>
  <c r="Z63" i="4" s="1"/>
  <c r="W37" i="4"/>
  <c r="X37" i="4" s="1"/>
  <c r="Z37" i="4" s="1"/>
  <c r="W127" i="4"/>
  <c r="X127" i="4" s="1"/>
  <c r="Z127" i="4" s="1"/>
  <c r="W169" i="4"/>
  <c r="X169" i="4" s="1"/>
  <c r="Z169" i="4" s="1"/>
  <c r="W27" i="4"/>
  <c r="X27" i="4" s="1"/>
  <c r="Z27" i="4" s="1"/>
  <c r="W235" i="4"/>
  <c r="X235" i="4" s="1"/>
  <c r="Z235" i="4" s="1"/>
  <c r="W167" i="4"/>
  <c r="X167" i="4" s="1"/>
  <c r="Z167" i="4" s="1"/>
  <c r="W172" i="4"/>
  <c r="X172" i="4" s="1"/>
  <c r="Z172" i="4" s="1"/>
  <c r="W93" i="4"/>
  <c r="X93" i="4" s="1"/>
  <c r="Z93" i="4" s="1"/>
  <c r="W271" i="4"/>
  <c r="X271" i="4" s="1"/>
  <c r="Z271" i="4" s="1"/>
  <c r="W61" i="4"/>
  <c r="X61" i="4" s="1"/>
  <c r="Z61" i="4" s="1"/>
  <c r="W186" i="4"/>
  <c r="X186" i="4" s="1"/>
  <c r="Z186" i="4" s="1"/>
  <c r="W234" i="4"/>
  <c r="X234" i="4" s="1"/>
  <c r="Z234" i="4" s="1"/>
  <c r="W237" i="4"/>
  <c r="X237" i="4" s="1"/>
  <c r="Z237" i="4" s="1"/>
  <c r="W255" i="4"/>
  <c r="X255" i="4" s="1"/>
  <c r="Z255" i="4" s="1"/>
  <c r="W242" i="4"/>
  <c r="X242" i="4" s="1"/>
  <c r="Z242" i="4" s="1"/>
  <c r="W252" i="4"/>
  <c r="X252" i="4" s="1"/>
  <c r="Z252" i="4" s="1"/>
  <c r="W106" i="4"/>
  <c r="X106" i="4" s="1"/>
  <c r="Z106" i="4" s="1"/>
  <c r="W268" i="4"/>
  <c r="X268" i="4" s="1"/>
  <c r="Z268" i="4" s="1"/>
  <c r="W270" i="4"/>
  <c r="X270" i="4" s="1"/>
  <c r="Z270" i="4" s="1"/>
  <c r="W70" i="4"/>
  <c r="X70" i="4" s="1"/>
  <c r="Z70" i="4" s="1"/>
  <c r="W250" i="4"/>
  <c r="X250" i="4" s="1"/>
  <c r="Z250" i="4" s="1"/>
  <c r="W128" i="4"/>
  <c r="X128" i="4" s="1"/>
  <c r="Z128" i="4" s="1"/>
  <c r="W241" i="4"/>
  <c r="X241" i="4" s="1"/>
  <c r="Z241" i="4" s="1"/>
  <c r="W265" i="4"/>
  <c r="X265" i="4" s="1"/>
  <c r="Z265" i="4" s="1"/>
  <c r="W35" i="4"/>
  <c r="X35" i="4" s="1"/>
  <c r="Z35" i="4" s="1"/>
  <c r="W117" i="4"/>
  <c r="X117" i="4" s="1"/>
  <c r="Z117" i="4" s="1"/>
  <c r="W164" i="4"/>
  <c r="X164" i="4" s="1"/>
  <c r="Z164" i="4" s="1"/>
  <c r="W189" i="4"/>
  <c r="X189" i="4" s="1"/>
  <c r="Z189" i="4" s="1"/>
  <c r="W174" i="4"/>
  <c r="X174" i="4" s="1"/>
  <c r="Z174" i="4" s="1"/>
  <c r="W133" i="4"/>
  <c r="X133" i="4" s="1"/>
  <c r="Z133" i="4" s="1"/>
  <c r="W269" i="4"/>
  <c r="X269" i="4" s="1"/>
  <c r="Z269" i="4" s="1"/>
  <c r="W30" i="4"/>
  <c r="X30" i="4" s="1"/>
  <c r="Z30" i="4" s="1"/>
  <c r="W132" i="4"/>
  <c r="X132" i="4" s="1"/>
  <c r="Z132" i="4" s="1"/>
  <c r="W91" i="4"/>
  <c r="X91" i="4" s="1"/>
  <c r="Z91" i="4" s="1"/>
  <c r="W197" i="4"/>
  <c r="X197" i="4" s="1"/>
  <c r="Z197" i="4" s="1"/>
  <c r="W29" i="4"/>
  <c r="X29" i="4" s="1"/>
  <c r="Z29" i="4" s="1"/>
  <c r="W217" i="4"/>
  <c r="X217" i="4" s="1"/>
  <c r="Z217" i="4" s="1"/>
  <c r="W76" i="4"/>
  <c r="X76" i="4" s="1"/>
  <c r="Z76" i="4" s="1"/>
  <c r="W257" i="4"/>
  <c r="X257" i="4" s="1"/>
  <c r="Z257" i="4" s="1"/>
  <c r="W159" i="4"/>
  <c r="X159" i="4" s="1"/>
  <c r="Z159" i="4" s="1"/>
  <c r="W87" i="4"/>
  <c r="X87" i="4" s="1"/>
  <c r="Z87" i="4" s="1"/>
  <c r="W41" i="4"/>
  <c r="X41" i="4" s="1"/>
  <c r="Z41" i="4" s="1"/>
  <c r="W218" i="4"/>
  <c r="X218" i="4" s="1"/>
  <c r="Z218" i="4" s="1"/>
  <c r="W45" i="4"/>
  <c r="X45" i="4" s="1"/>
  <c r="Z45" i="4" s="1"/>
  <c r="W168" i="4"/>
  <c r="X168" i="4" s="1"/>
  <c r="Z168" i="4" s="1"/>
  <c r="W122" i="4"/>
  <c r="X122" i="4" s="1"/>
  <c r="Z122" i="4" s="1"/>
  <c r="W224" i="4"/>
  <c r="X224" i="4" s="1"/>
  <c r="Z224" i="4" s="1"/>
  <c r="W208" i="4"/>
  <c r="X208" i="4" s="1"/>
  <c r="Z208" i="4" s="1"/>
  <c r="W198" i="4"/>
  <c r="X198" i="4" s="1"/>
  <c r="Z198" i="4" s="1"/>
  <c r="W77" i="4"/>
  <c r="X77" i="4" s="1"/>
  <c r="Z77" i="4" s="1"/>
  <c r="W264" i="4"/>
  <c r="X264" i="4" s="1"/>
  <c r="Z264" i="4" s="1"/>
  <c r="W194" i="4"/>
  <c r="X194" i="4" s="1"/>
  <c r="Z194" i="4" s="1"/>
  <c r="W202" i="4"/>
  <c r="X202" i="4" s="1"/>
  <c r="Z202" i="4" s="1"/>
  <c r="W71" i="4"/>
  <c r="X71" i="4" s="1"/>
  <c r="Z71" i="4" s="1"/>
  <c r="W149" i="4"/>
  <c r="X149" i="4" s="1"/>
  <c r="Z149" i="4" s="1"/>
  <c r="W176" i="4"/>
  <c r="X176" i="4" s="1"/>
  <c r="Z176" i="4" s="1"/>
  <c r="W195" i="4"/>
  <c r="X195" i="4" s="1"/>
  <c r="Z195" i="4" s="1"/>
  <c r="W86" i="4"/>
  <c r="X86" i="4" s="1"/>
  <c r="Z86" i="4" s="1"/>
  <c r="W100" i="4"/>
  <c r="X100" i="4" s="1"/>
  <c r="Z100" i="4" s="1"/>
  <c r="W110" i="4"/>
  <c r="X110" i="4" s="1"/>
  <c r="Z110" i="4" s="1"/>
  <c r="W262" i="4"/>
  <c r="X262" i="4" s="1"/>
  <c r="Z262" i="4" s="1"/>
  <c r="W200" i="4"/>
  <c r="X200" i="4" s="1"/>
  <c r="Z200" i="4" s="1"/>
  <c r="W95" i="4"/>
  <c r="X95" i="4" s="1"/>
  <c r="Z95" i="4" s="1"/>
  <c r="W118" i="4"/>
  <c r="X118" i="4" s="1"/>
  <c r="Z118" i="4" s="1"/>
  <c r="W138" i="4"/>
  <c r="X138" i="4" s="1"/>
  <c r="Z138" i="4" s="1"/>
  <c r="W43" i="4"/>
  <c r="X43" i="4" s="1"/>
  <c r="Z43" i="4" s="1"/>
  <c r="W145" i="4"/>
  <c r="X145" i="4" s="1"/>
  <c r="Z145" i="4" s="1"/>
  <c r="W207" i="4"/>
  <c r="X207" i="4" s="1"/>
  <c r="Z207" i="4" s="1"/>
  <c r="W64" i="4"/>
  <c r="X64" i="4" s="1"/>
  <c r="Z64" i="4" s="1"/>
  <c r="W185" i="4"/>
  <c r="X185" i="4" s="1"/>
  <c r="Z185" i="4" s="1"/>
  <c r="W36" i="4"/>
  <c r="X36" i="4" s="1"/>
  <c r="Z36" i="4" s="1"/>
  <c r="W120" i="4"/>
  <c r="X120" i="4" s="1"/>
  <c r="Z120" i="4" s="1"/>
  <c r="W123" i="4"/>
  <c r="X123" i="4" s="1"/>
  <c r="Z123" i="4" s="1"/>
  <c r="W238" i="4"/>
  <c r="X238" i="4" s="1"/>
  <c r="Z238" i="4" s="1"/>
  <c r="W114" i="4"/>
  <c r="X114" i="4" s="1"/>
  <c r="Z114" i="4" s="1"/>
  <c r="W177" i="4"/>
  <c r="X177" i="4" s="1"/>
  <c r="Z177" i="4" s="1"/>
  <c r="W73" i="4"/>
  <c r="X73" i="4" s="1"/>
  <c r="Z73" i="4" s="1"/>
  <c r="W28" i="4"/>
  <c r="X28" i="4" s="1"/>
  <c r="Z28" i="4" s="1"/>
  <c r="W46" i="4"/>
  <c r="X46" i="4" s="1"/>
  <c r="Z46" i="4" s="1"/>
  <c r="W57" i="4"/>
  <c r="X57" i="4" s="1"/>
  <c r="Z57" i="4" s="1"/>
  <c r="W180" i="4"/>
  <c r="X180" i="4" s="1"/>
  <c r="Z180" i="4" s="1"/>
  <c r="W175" i="4"/>
  <c r="X175" i="4" s="1"/>
  <c r="Z175" i="4" s="1"/>
  <c r="W239" i="4"/>
  <c r="X239" i="4" s="1"/>
  <c r="Z239" i="4" s="1"/>
  <c r="W272" i="4"/>
  <c r="X272" i="4" s="1"/>
  <c r="Z272" i="4" s="1"/>
  <c r="W166" i="4"/>
  <c r="X166" i="4" s="1"/>
  <c r="Z166" i="4" s="1"/>
  <c r="W108" i="4"/>
  <c r="X108" i="4" s="1"/>
  <c r="Z108" i="4" s="1"/>
  <c r="W228" i="4"/>
  <c r="X228" i="4" s="1"/>
  <c r="Z228" i="4" s="1"/>
  <c r="W204" i="4"/>
  <c r="X204" i="4" s="1"/>
  <c r="Z204" i="4" s="1"/>
  <c r="W96" i="4"/>
  <c r="X96" i="4" s="1"/>
  <c r="Z96" i="4" s="1"/>
  <c r="W254" i="4"/>
  <c r="X254" i="4" s="1"/>
  <c r="Z254" i="4" s="1"/>
  <c r="W65" i="4"/>
  <c r="X65" i="4" s="1"/>
  <c r="Z65" i="4" s="1"/>
  <c r="W80" i="4"/>
  <c r="X80" i="4" s="1"/>
  <c r="Z80" i="4" s="1"/>
  <c r="W240" i="4"/>
  <c r="X240" i="4" s="1"/>
  <c r="Z240" i="4" s="1"/>
  <c r="W75" i="4"/>
  <c r="X75" i="4" s="1"/>
  <c r="Z75" i="4" s="1"/>
  <c r="W103" i="4"/>
  <c r="X103" i="4" s="1"/>
  <c r="Z103" i="4" s="1"/>
  <c r="W53" i="4"/>
  <c r="X53" i="4" s="1"/>
  <c r="Z53" i="4" s="1"/>
  <c r="W89" i="4"/>
  <c r="X89" i="4" s="1"/>
  <c r="Z89" i="4" s="1"/>
  <c r="W259" i="4"/>
  <c r="X259" i="4" s="1"/>
  <c r="Z259" i="4" s="1"/>
  <c r="W225" i="4"/>
  <c r="X225" i="4" s="1"/>
  <c r="Z225" i="4" s="1"/>
  <c r="W187" i="4"/>
  <c r="X187" i="4" s="1"/>
  <c r="Z187" i="4" s="1"/>
  <c r="W39" i="4"/>
  <c r="X39" i="4" s="1"/>
  <c r="Z39" i="4" s="1"/>
  <c r="W193" i="4"/>
  <c r="X193" i="4" s="1"/>
  <c r="Z193" i="4" s="1"/>
  <c r="W142" i="4"/>
  <c r="X142" i="4" s="1"/>
  <c r="Z142" i="4" s="1"/>
  <c r="W162" i="4"/>
  <c r="X162" i="4" s="1"/>
  <c r="Z162" i="4" s="1"/>
  <c r="W213" i="4"/>
  <c r="X213" i="4" s="1"/>
  <c r="Z213" i="4" s="1"/>
  <c r="W212" i="4"/>
  <c r="X212" i="4" s="1"/>
  <c r="Z212" i="4" s="1"/>
  <c r="W229" i="4"/>
  <c r="X229" i="4" s="1"/>
  <c r="Z229" i="4" s="1"/>
  <c r="W98" i="4"/>
  <c r="X98" i="4" s="1"/>
  <c r="Z98" i="4" s="1"/>
  <c r="W140" i="4"/>
  <c r="X140" i="4" s="1"/>
  <c r="Z140" i="4" s="1"/>
  <c r="W55" i="4"/>
  <c r="X55" i="4" s="1"/>
  <c r="Z55" i="4" s="1"/>
  <c r="W181" i="4"/>
  <c r="X181" i="4" s="1"/>
  <c r="Z181" i="4" s="1"/>
  <c r="W85" i="4"/>
  <c r="X85" i="4" s="1"/>
  <c r="Z85" i="4" s="1"/>
  <c r="W44" i="4"/>
  <c r="X44" i="4" s="1"/>
  <c r="Z44" i="4" s="1"/>
  <c r="W99" i="4"/>
  <c r="X99" i="4" s="1"/>
  <c r="Z99" i="4" s="1"/>
  <c r="W82" i="4"/>
  <c r="X82" i="4" s="1"/>
  <c r="Z82" i="4" s="1"/>
  <c r="W249" i="4"/>
  <c r="X249" i="4" s="1"/>
  <c r="Z249" i="4" s="1"/>
  <c r="W251" i="4"/>
  <c r="X251" i="4" s="1"/>
  <c r="Z251" i="4" s="1"/>
  <c r="W243" i="4"/>
  <c r="X243" i="4" s="1"/>
  <c r="Z243" i="4" s="1"/>
  <c r="W58" i="4"/>
  <c r="X58" i="4" s="1"/>
  <c r="Z58" i="4" s="1"/>
  <c r="W226" i="4"/>
  <c r="X226" i="4" s="1"/>
  <c r="Z226" i="4" s="1"/>
  <c r="W112" i="4"/>
  <c r="X112" i="4" s="1"/>
  <c r="Z112" i="4" s="1"/>
  <c r="W92" i="4"/>
  <c r="X92" i="4" s="1"/>
  <c r="Z92" i="4" s="1"/>
  <c r="W263" i="4"/>
  <c r="X263" i="4" s="1"/>
  <c r="Z263" i="4" s="1"/>
  <c r="W83" i="4"/>
  <c r="X83" i="4" s="1"/>
  <c r="Z83" i="4" s="1"/>
  <c r="W109" i="4"/>
  <c r="X109" i="4" s="1"/>
  <c r="Z109" i="4" s="1"/>
  <c r="W34" i="4"/>
  <c r="X34" i="4" s="1"/>
  <c r="Z34" i="4" s="1"/>
  <c r="W113" i="4"/>
  <c r="X113" i="4" s="1"/>
  <c r="Z113" i="4" s="1"/>
  <c r="W154" i="4"/>
  <c r="X154" i="4" s="1"/>
  <c r="Z154" i="4" s="1"/>
  <c r="W78" i="4"/>
  <c r="X78" i="4" s="1"/>
  <c r="Z78" i="4" s="1"/>
  <c r="W203" i="4"/>
  <c r="X203" i="4" s="1"/>
  <c r="Z203" i="4" s="1"/>
  <c r="W260" i="4"/>
  <c r="X260" i="4" s="1"/>
  <c r="Z260" i="4" s="1"/>
  <c r="W107" i="4"/>
  <c r="X107" i="4" s="1"/>
  <c r="Z107" i="4" s="1"/>
  <c r="W59" i="4"/>
  <c r="X59" i="4" s="1"/>
  <c r="Z59" i="4" s="1"/>
  <c r="W147" i="4"/>
  <c r="X147" i="4" s="1"/>
  <c r="Z147" i="4" s="1"/>
  <c r="W111" i="4"/>
  <c r="X111" i="4" s="1"/>
  <c r="Z111" i="4" s="1"/>
  <c r="W152" i="4"/>
  <c r="X152" i="4" s="1"/>
  <c r="Z152" i="4" s="1"/>
  <c r="W66" i="4"/>
  <c r="X66" i="4" s="1"/>
  <c r="Z66" i="4" s="1"/>
  <c r="W216" i="4"/>
  <c r="X216" i="4" s="1"/>
  <c r="Z216" i="4" s="1"/>
  <c r="W199" i="4"/>
  <c r="X199" i="4" s="1"/>
  <c r="Z199" i="4" s="1"/>
  <c r="W210" i="4"/>
  <c r="X210" i="4" s="1"/>
  <c r="Z210" i="4" s="1"/>
  <c r="W205" i="4"/>
  <c r="X205" i="4" s="1"/>
  <c r="Z205" i="4" s="1"/>
  <c r="W179" i="4"/>
  <c r="X179" i="4" s="1"/>
  <c r="Z179" i="4" s="1"/>
  <c r="W192" i="4"/>
  <c r="X192" i="4" s="1"/>
  <c r="Z192" i="4" s="1"/>
  <c r="X26" i="4"/>
  <c r="W153" i="4"/>
  <c r="X153" i="4" s="1"/>
  <c r="Z153" i="4" s="1"/>
  <c r="W72" i="4"/>
  <c r="X72" i="4" s="1"/>
  <c r="Z72" i="4" s="1"/>
  <c r="W146" i="4"/>
  <c r="X146" i="4" s="1"/>
  <c r="Z146" i="4" s="1"/>
  <c r="W223" i="4"/>
  <c r="X223" i="4" s="1"/>
  <c r="Z223" i="4" s="1"/>
  <c r="W130" i="4"/>
  <c r="X130" i="4" s="1"/>
  <c r="Z130" i="4" s="1"/>
  <c r="W135" i="4"/>
  <c r="X135" i="4" s="1"/>
  <c r="Z135" i="4" s="1"/>
  <c r="W68" i="4"/>
  <c r="X68" i="4" s="1"/>
  <c r="Z68" i="4" s="1"/>
  <c r="W211" i="4"/>
  <c r="X211" i="4" s="1"/>
  <c r="Z211" i="4" s="1"/>
  <c r="W56" i="4"/>
  <c r="X56" i="4" s="1"/>
  <c r="Z56" i="4" s="1"/>
  <c r="W136" i="4"/>
  <c r="X136" i="4" s="1"/>
  <c r="Z136" i="4" s="1"/>
  <c r="W115" i="4"/>
  <c r="X115" i="4" s="1"/>
  <c r="Z115" i="4" s="1"/>
  <c r="W104" i="4"/>
  <c r="X104" i="4" s="1"/>
  <c r="Z104" i="4" s="1"/>
  <c r="W253" i="4"/>
  <c r="X253" i="4" s="1"/>
  <c r="Z253" i="4" s="1"/>
  <c r="W54" i="4"/>
  <c r="X54" i="4" s="1"/>
  <c r="Z54" i="4" s="1"/>
  <c r="W178" i="4"/>
  <c r="X178" i="4" s="1"/>
  <c r="Z178" i="4" s="1"/>
  <c r="W215" i="4"/>
  <c r="X215" i="4" s="1"/>
  <c r="Z215" i="4" s="1"/>
  <c r="W143" i="4"/>
  <c r="X143" i="4" s="1"/>
  <c r="Z143" i="4" s="1"/>
  <c r="W170" i="4"/>
  <c r="X170" i="4" s="1"/>
  <c r="Z170" i="4" s="1"/>
  <c r="W190" i="4"/>
  <c r="X190" i="4" s="1"/>
  <c r="Z190" i="4" s="1"/>
  <c r="W221" i="4"/>
  <c r="X221" i="4" s="1"/>
  <c r="Z221" i="4" s="1"/>
  <c r="W157" i="4"/>
  <c r="X157" i="4" s="1"/>
  <c r="Z157" i="4" s="1"/>
  <c r="W232" i="4"/>
  <c r="X232" i="4" s="1"/>
  <c r="Z232" i="4" s="1"/>
  <c r="S25" i="4"/>
  <c r="W90" i="4"/>
  <c r="X90" i="4" s="1"/>
  <c r="Z90" i="4" s="1"/>
  <c r="W273" i="4"/>
  <c r="X273" i="4" s="1"/>
  <c r="Z273" i="4" s="1"/>
  <c r="W244" i="4"/>
  <c r="X244" i="4" s="1"/>
  <c r="Z244" i="4" s="1"/>
  <c r="W160" i="4"/>
  <c r="X160" i="4" s="1"/>
  <c r="Z160" i="4" s="1"/>
  <c r="W134" i="4"/>
  <c r="X134" i="4" s="1"/>
  <c r="Z134" i="4" s="1"/>
  <c r="W233" i="4"/>
  <c r="X233" i="4" s="1"/>
  <c r="Z233" i="4" s="1"/>
  <c r="W267" i="4"/>
  <c r="X267" i="4" s="1"/>
  <c r="Z267" i="4" s="1"/>
  <c r="W94" i="4"/>
  <c r="X94" i="4" s="1"/>
  <c r="Z94" i="4" s="1"/>
  <c r="W38" i="4"/>
  <c r="X38" i="4" s="1"/>
  <c r="Z38" i="4" s="1"/>
  <c r="W101" i="4"/>
  <c r="X101" i="4" s="1"/>
  <c r="Z101" i="4" s="1"/>
  <c r="AE240" i="4" l="1"/>
  <c r="AE141" i="4"/>
  <c r="AE72" i="4"/>
  <c r="AE112" i="4"/>
  <c r="AE195" i="4"/>
  <c r="AE62" i="4"/>
  <c r="AE97" i="4"/>
  <c r="AE147" i="4"/>
  <c r="AE184" i="4"/>
  <c r="AB228" i="4"/>
  <c r="AE228" i="4" s="1"/>
  <c r="AB35" i="4"/>
  <c r="AE35" i="4" s="1"/>
  <c r="AB266" i="4"/>
  <c r="AE266" i="4" s="1"/>
  <c r="AB124" i="4"/>
  <c r="AE124" i="4" s="1"/>
  <c r="AB232" i="4"/>
  <c r="AE232" i="4" s="1"/>
  <c r="AB210" i="4"/>
  <c r="AE210" i="4" s="1"/>
  <c r="AB180" i="4"/>
  <c r="AE180" i="4" s="1"/>
  <c r="AB138" i="4"/>
  <c r="AE138" i="4" s="1"/>
  <c r="AB197" i="4"/>
  <c r="AE197" i="4" s="1"/>
  <c r="AB270" i="4"/>
  <c r="AE270" i="4" s="1"/>
  <c r="AB248" i="4"/>
  <c r="AE248" i="4" s="1"/>
  <c r="AB148" i="4"/>
  <c r="AE148" i="4" s="1"/>
  <c r="AB157" i="4"/>
  <c r="AE157" i="4" s="1"/>
  <c r="AB136" i="4"/>
  <c r="AE136" i="4" s="1"/>
  <c r="AB199" i="4"/>
  <c r="AE199" i="4" s="1"/>
  <c r="AB58" i="4"/>
  <c r="AE58" i="4" s="1"/>
  <c r="AB39" i="4"/>
  <c r="AE39" i="4" s="1"/>
  <c r="AB166" i="4"/>
  <c r="AE166" i="4" s="1"/>
  <c r="AB238" i="4"/>
  <c r="AE238" i="4" s="1"/>
  <c r="AB118" i="4"/>
  <c r="AE118" i="4" s="1"/>
  <c r="AB198" i="4"/>
  <c r="AE198" i="4" s="1"/>
  <c r="AB257" i="4"/>
  <c r="AE257" i="4" s="1"/>
  <c r="AB174" i="4"/>
  <c r="AE174" i="4" s="1"/>
  <c r="AB50" i="4"/>
  <c r="AE50" i="4" s="1"/>
  <c r="AB163" i="4"/>
  <c r="AE163" i="4" s="1"/>
  <c r="AB261" i="4"/>
  <c r="AE261" i="4" s="1"/>
  <c r="AB116" i="4"/>
  <c r="AE116" i="4" s="1"/>
  <c r="AB111" i="4"/>
  <c r="AE111" i="4" s="1"/>
  <c r="AB98" i="4"/>
  <c r="AE98" i="4" s="1"/>
  <c r="AB88" i="4"/>
  <c r="AE88" i="4" s="1"/>
  <c r="AB101" i="4"/>
  <c r="AE101" i="4" s="1"/>
  <c r="AB115" i="4"/>
  <c r="AE115" i="4" s="1"/>
  <c r="AB78" i="4"/>
  <c r="AE78" i="4" s="1"/>
  <c r="AB229" i="4"/>
  <c r="AE229" i="4" s="1"/>
  <c r="AB114" i="4"/>
  <c r="AE114" i="4" s="1"/>
  <c r="AB168" i="4"/>
  <c r="AE168" i="4" s="1"/>
  <c r="AB237" i="4"/>
  <c r="AE237" i="4" s="1"/>
  <c r="AB59" i="4"/>
  <c r="AE59" i="4" s="1"/>
  <c r="AB243" i="4"/>
  <c r="AE243" i="4" s="1"/>
  <c r="AB44" i="4"/>
  <c r="AE44" i="4" s="1"/>
  <c r="AB123" i="4"/>
  <c r="AE123" i="4" s="1"/>
  <c r="AB95" i="4"/>
  <c r="AE95" i="4" s="1"/>
  <c r="AB241" i="4"/>
  <c r="AE241" i="4" s="1"/>
  <c r="AB32" i="4"/>
  <c r="AE32" i="4" s="1"/>
  <c r="AB121" i="4"/>
  <c r="AE121" i="4" s="1"/>
  <c r="AB236" i="4"/>
  <c r="AE236" i="4" s="1"/>
  <c r="AB188" i="4"/>
  <c r="AE188" i="4" s="1"/>
  <c r="AB60" i="4"/>
  <c r="AE60" i="4" s="1"/>
  <c r="AB263" i="4"/>
  <c r="AE263" i="4" s="1"/>
  <c r="AB213" i="4"/>
  <c r="AE213" i="4" s="1"/>
  <c r="AB172" i="4"/>
  <c r="AE172" i="4" s="1"/>
  <c r="AB252" i="4"/>
  <c r="AE252" i="4" s="1"/>
  <c r="AB141" i="4"/>
  <c r="AB256" i="4"/>
  <c r="AE256" i="4" s="1"/>
  <c r="AB192" i="4"/>
  <c r="AE192" i="4" s="1"/>
  <c r="AB251" i="4"/>
  <c r="AE251" i="4" s="1"/>
  <c r="AB254" i="4"/>
  <c r="AE254" i="4" s="1"/>
  <c r="AB218" i="4"/>
  <c r="AE218" i="4" s="1"/>
  <c r="AB106" i="4"/>
  <c r="AE106" i="4" s="1"/>
  <c r="AB127" i="4"/>
  <c r="AE127" i="4" s="1"/>
  <c r="AB97" i="4"/>
  <c r="AB191" i="4"/>
  <c r="AE191" i="4" s="1"/>
  <c r="AB69" i="4"/>
  <c r="AE69" i="4" s="1"/>
  <c r="AB66" i="4"/>
  <c r="AE66" i="4" s="1"/>
  <c r="AB225" i="4"/>
  <c r="AE225" i="4" s="1"/>
  <c r="AB96" i="4"/>
  <c r="AE96" i="4" s="1"/>
  <c r="AB195" i="4"/>
  <c r="AB158" i="4"/>
  <c r="AE158" i="4" s="1"/>
  <c r="AB267" i="4"/>
  <c r="AE267" i="4" s="1"/>
  <c r="AB273" i="4"/>
  <c r="AE273" i="4" s="1"/>
  <c r="AB170" i="4"/>
  <c r="AE170" i="4" s="1"/>
  <c r="AB253" i="4"/>
  <c r="AE253" i="4" s="1"/>
  <c r="AB146" i="4"/>
  <c r="AE146" i="4" s="1"/>
  <c r="AB260" i="4"/>
  <c r="AE260" i="4" s="1"/>
  <c r="AB55" i="4"/>
  <c r="AE55" i="4" s="1"/>
  <c r="AB259" i="4"/>
  <c r="AE259" i="4" s="1"/>
  <c r="AB73" i="4"/>
  <c r="AE73" i="4" s="1"/>
  <c r="AB36" i="4"/>
  <c r="AE36" i="4" s="1"/>
  <c r="AB262" i="4"/>
  <c r="AE262" i="4" s="1"/>
  <c r="AB194" i="4"/>
  <c r="AE194" i="4" s="1"/>
  <c r="AB250" i="4"/>
  <c r="AE250" i="4" s="1"/>
  <c r="AB242" i="4"/>
  <c r="AE242" i="4" s="1"/>
  <c r="AB151" i="4"/>
  <c r="AE151" i="4" s="1"/>
  <c r="AB161" i="4"/>
  <c r="AE161" i="4" s="1"/>
  <c r="AB206" i="4"/>
  <c r="AE206" i="4" s="1"/>
  <c r="AB119" i="4"/>
  <c r="AE119" i="4" s="1"/>
  <c r="AB171" i="4"/>
  <c r="AE171" i="4" s="1"/>
  <c r="AB85" i="4"/>
  <c r="AE85" i="4" s="1"/>
  <c r="AB46" i="4"/>
  <c r="AE46" i="4" s="1"/>
  <c r="AB132" i="4"/>
  <c r="AE132" i="4" s="1"/>
  <c r="AB274" i="4"/>
  <c r="AE274" i="4" s="1"/>
  <c r="AB144" i="4"/>
  <c r="AE144" i="4" s="1"/>
  <c r="AB79" i="4"/>
  <c r="AE79" i="4" s="1"/>
  <c r="AB190" i="4"/>
  <c r="AE190" i="4" s="1"/>
  <c r="AB223" i="4"/>
  <c r="AE223" i="4" s="1"/>
  <c r="AB181" i="4"/>
  <c r="AE181" i="4" s="1"/>
  <c r="AB28" i="4"/>
  <c r="AE28" i="4" s="1"/>
  <c r="AB164" i="4"/>
  <c r="AE164" i="4" s="1"/>
  <c r="AB233" i="4"/>
  <c r="AE233" i="4" s="1"/>
  <c r="AB90" i="4"/>
  <c r="AE90" i="4" s="1"/>
  <c r="AB143" i="4"/>
  <c r="AE143" i="4" s="1"/>
  <c r="AB112" i="4"/>
  <c r="AB140" i="4"/>
  <c r="AE140" i="4" s="1"/>
  <c r="AB142" i="4"/>
  <c r="AE142" i="4" s="1"/>
  <c r="AB240" i="4"/>
  <c r="AB264" i="4"/>
  <c r="AE264" i="4" s="1"/>
  <c r="AB87" i="4"/>
  <c r="AE87" i="4" s="1"/>
  <c r="AB269" i="4"/>
  <c r="AE269" i="4" s="1"/>
  <c r="AB235" i="4"/>
  <c r="AE235" i="4" s="1"/>
  <c r="AB214" i="4"/>
  <c r="AE214" i="4" s="1"/>
  <c r="AB182" i="4"/>
  <c r="AE182" i="4" s="1"/>
  <c r="AB227" i="4"/>
  <c r="AE227" i="4" s="1"/>
  <c r="AB196" i="4"/>
  <c r="AE196" i="4" s="1"/>
  <c r="AB42" i="4"/>
  <c r="AE42" i="4" s="1"/>
  <c r="AB62" i="4"/>
  <c r="AB81" i="4"/>
  <c r="AE81" i="4" s="1"/>
  <c r="AB108" i="4"/>
  <c r="AE108" i="4" s="1"/>
  <c r="AB231" i="4"/>
  <c r="AE231" i="4" s="1"/>
  <c r="AB173" i="4"/>
  <c r="AE173" i="4" s="1"/>
  <c r="AB67" i="4"/>
  <c r="AE67" i="4" s="1"/>
  <c r="AB102" i="4"/>
  <c r="AE102" i="4" s="1"/>
  <c r="W23" i="4"/>
  <c r="AB107" i="4"/>
  <c r="AE107" i="4" s="1"/>
  <c r="AB83" i="4"/>
  <c r="AE83" i="4" s="1"/>
  <c r="AB249" i="4"/>
  <c r="AE249" i="4" s="1"/>
  <c r="AB187" i="4"/>
  <c r="AE187" i="4" s="1"/>
  <c r="AB134" i="4"/>
  <c r="AE134" i="4" s="1"/>
  <c r="X23" i="4"/>
  <c r="Z26" i="4"/>
  <c r="AB178" i="4"/>
  <c r="AE178" i="4" s="1"/>
  <c r="AB68" i="4"/>
  <c r="AE68" i="4" s="1"/>
  <c r="AB113" i="4"/>
  <c r="AE113" i="4" s="1"/>
  <c r="AB82" i="4"/>
  <c r="AE82" i="4" s="1"/>
  <c r="AB103" i="4"/>
  <c r="AE103" i="4" s="1"/>
  <c r="AB65" i="4"/>
  <c r="AE65" i="4" s="1"/>
  <c r="AB239" i="4"/>
  <c r="AE239" i="4" s="1"/>
  <c r="AB145" i="4"/>
  <c r="AE145" i="4" s="1"/>
  <c r="AB100" i="4"/>
  <c r="AE100" i="4" s="1"/>
  <c r="AB149" i="4"/>
  <c r="AE149" i="4" s="1"/>
  <c r="AB224" i="4"/>
  <c r="AE224" i="4" s="1"/>
  <c r="AB186" i="4"/>
  <c r="AE186" i="4" s="1"/>
  <c r="AB169" i="4"/>
  <c r="AE169" i="4" s="1"/>
  <c r="AB245" i="4"/>
  <c r="AE245" i="4" s="1"/>
  <c r="AB54" i="4"/>
  <c r="AE54" i="4" s="1"/>
  <c r="AB179" i="4"/>
  <c r="AE179" i="4" s="1"/>
  <c r="AB212" i="4"/>
  <c r="AE212" i="4" s="1"/>
  <c r="AB175" i="4"/>
  <c r="AE175" i="4" s="1"/>
  <c r="AB185" i="4"/>
  <c r="AE185" i="4" s="1"/>
  <c r="AB200" i="4"/>
  <c r="AE200" i="4" s="1"/>
  <c r="AB86" i="4"/>
  <c r="AE86" i="4" s="1"/>
  <c r="AB71" i="4"/>
  <c r="AE71" i="4" s="1"/>
  <c r="AB77" i="4"/>
  <c r="AE77" i="4" s="1"/>
  <c r="AB122" i="4"/>
  <c r="AE122" i="4" s="1"/>
  <c r="AB41" i="4"/>
  <c r="AE41" i="4" s="1"/>
  <c r="AB76" i="4"/>
  <c r="AE76" i="4" s="1"/>
  <c r="AB91" i="4"/>
  <c r="AE91" i="4" s="1"/>
  <c r="AB133" i="4"/>
  <c r="AE133" i="4" s="1"/>
  <c r="AB117" i="4"/>
  <c r="AE117" i="4" s="1"/>
  <c r="AB128" i="4"/>
  <c r="AE128" i="4" s="1"/>
  <c r="AB268" i="4"/>
  <c r="AE268" i="4" s="1"/>
  <c r="AB255" i="4"/>
  <c r="AE255" i="4" s="1"/>
  <c r="AB61" i="4"/>
  <c r="AE61" i="4" s="1"/>
  <c r="AB167" i="4"/>
  <c r="AE167" i="4" s="1"/>
  <c r="AB84" i="4"/>
  <c r="AE84" i="4" s="1"/>
  <c r="AB40" i="4"/>
  <c r="AE40" i="4" s="1"/>
  <c r="AB31" i="4"/>
  <c r="AE31" i="4" s="1"/>
  <c r="AB209" i="4"/>
  <c r="AE209" i="4" s="1"/>
  <c r="AB49" i="4"/>
  <c r="AE49" i="4" s="1"/>
  <c r="AB150" i="4"/>
  <c r="AE150" i="4" s="1"/>
  <c r="AB246" i="4"/>
  <c r="AE246" i="4" s="1"/>
  <c r="AB183" i="4"/>
  <c r="AE183" i="4" s="1"/>
  <c r="AB125" i="4"/>
  <c r="AE125" i="4" s="1"/>
  <c r="AB48" i="4"/>
  <c r="AE48" i="4" s="1"/>
  <c r="AB220" i="4"/>
  <c r="AE220" i="4" s="1"/>
  <c r="AB230" i="4"/>
  <c r="AE230" i="4" s="1"/>
  <c r="AB33" i="4"/>
  <c r="AE33" i="4" s="1"/>
  <c r="AB184" i="4"/>
  <c r="AB258" i="4"/>
  <c r="AE258" i="4" s="1"/>
  <c r="AB222" i="4"/>
  <c r="AE222" i="4" s="1"/>
  <c r="AB219" i="4"/>
  <c r="AE219" i="4" s="1"/>
  <c r="AB216" i="4"/>
  <c r="AE216" i="4" s="1"/>
  <c r="AB203" i="4"/>
  <c r="AE203" i="4" s="1"/>
  <c r="AB92" i="4"/>
  <c r="AE92" i="4" s="1"/>
  <c r="AB99" i="4"/>
  <c r="AE99" i="4" s="1"/>
  <c r="AB193" i="4"/>
  <c r="AE193" i="4" s="1"/>
  <c r="AB75" i="4"/>
  <c r="AE75" i="4" s="1"/>
  <c r="AB244" i="4"/>
  <c r="AE244" i="4" s="1"/>
  <c r="AB160" i="4"/>
  <c r="AE160" i="4" s="1"/>
  <c r="AB72" i="4"/>
  <c r="AB147" i="4"/>
  <c r="AB43" i="4"/>
  <c r="AE43" i="4" s="1"/>
  <c r="AB94" i="4"/>
  <c r="AE94" i="4" s="1"/>
  <c r="AB135" i="4"/>
  <c r="AE135" i="4" s="1"/>
  <c r="AB34" i="4"/>
  <c r="AE34" i="4" s="1"/>
  <c r="AB56" i="4"/>
  <c r="AE56" i="4" s="1"/>
  <c r="AB130" i="4"/>
  <c r="AE130" i="4" s="1"/>
  <c r="AB153" i="4"/>
  <c r="AE153" i="4" s="1"/>
  <c r="AB205" i="4"/>
  <c r="AE205" i="4" s="1"/>
  <c r="AB109" i="4"/>
  <c r="AE109" i="4" s="1"/>
  <c r="AB89" i="4"/>
  <c r="AE89" i="4" s="1"/>
  <c r="AB64" i="4"/>
  <c r="AE64" i="4" s="1"/>
  <c r="AB202" i="4"/>
  <c r="AE202" i="4" s="1"/>
  <c r="AB217" i="4"/>
  <c r="AE217" i="4" s="1"/>
  <c r="AB271" i="4"/>
  <c r="AE271" i="4" s="1"/>
  <c r="AB37" i="4"/>
  <c r="AE37" i="4" s="1"/>
  <c r="AB165" i="4"/>
  <c r="AE165" i="4" s="1"/>
  <c r="AB201" i="4"/>
  <c r="AE201" i="4" s="1"/>
  <c r="AB74" i="4"/>
  <c r="AE74" i="4" s="1"/>
  <c r="AB221" i="4"/>
  <c r="AE221" i="4" s="1"/>
  <c r="AB152" i="4"/>
  <c r="AE152" i="4" s="1"/>
  <c r="AB162" i="4"/>
  <c r="AE162" i="4" s="1"/>
  <c r="AB53" i="4"/>
  <c r="AE53" i="4" s="1"/>
  <c r="AB204" i="4"/>
  <c r="AE204" i="4" s="1"/>
  <c r="AB272" i="4"/>
  <c r="AE272" i="4" s="1"/>
  <c r="AB57" i="4"/>
  <c r="AE57" i="4" s="1"/>
  <c r="AB177" i="4"/>
  <c r="AE177" i="4" s="1"/>
  <c r="AB207" i="4"/>
  <c r="AE207" i="4" s="1"/>
  <c r="AB110" i="4"/>
  <c r="AE110" i="4" s="1"/>
  <c r="AB176" i="4"/>
  <c r="AE176" i="4" s="1"/>
  <c r="AB208" i="4"/>
  <c r="AE208" i="4" s="1"/>
  <c r="AB45" i="4"/>
  <c r="AE45" i="4" s="1"/>
  <c r="AB159" i="4"/>
  <c r="AE159" i="4" s="1"/>
  <c r="AB29" i="4"/>
  <c r="AE29" i="4" s="1"/>
  <c r="AB30" i="4"/>
  <c r="AE30" i="4" s="1"/>
  <c r="AB189" i="4"/>
  <c r="AE189" i="4" s="1"/>
  <c r="AB265" i="4"/>
  <c r="AE265" i="4" s="1"/>
  <c r="AB70" i="4"/>
  <c r="AE70" i="4" s="1"/>
  <c r="AB234" i="4"/>
  <c r="AE234" i="4" s="1"/>
  <c r="AB93" i="4"/>
  <c r="AE93" i="4" s="1"/>
  <c r="AB27" i="4"/>
  <c r="AE27" i="4" s="1"/>
  <c r="AB63" i="4"/>
  <c r="AE63" i="4" s="1"/>
  <c r="AB52" i="4"/>
  <c r="AE52" i="4" s="1"/>
  <c r="AB47" i="4"/>
  <c r="AE47" i="4" s="1"/>
  <c r="AB137" i="4"/>
  <c r="AE137" i="4" s="1"/>
  <c r="AB105" i="4"/>
  <c r="AE105" i="4" s="1"/>
  <c r="AB247" i="4"/>
  <c r="AE247" i="4" s="1"/>
  <c r="AB131" i="4"/>
  <c r="AE131" i="4" s="1"/>
  <c r="AB126" i="4"/>
  <c r="AE126" i="4" s="1"/>
  <c r="AB156" i="4"/>
  <c r="AE156" i="4" s="1"/>
  <c r="AB155" i="4"/>
  <c r="AE155" i="4" s="1"/>
  <c r="AB129" i="4"/>
  <c r="AE129" i="4" s="1"/>
  <c r="AB139" i="4"/>
  <c r="AE139" i="4" s="1"/>
  <c r="AB51" i="4"/>
  <c r="AE51" i="4" s="1"/>
  <c r="AB215" i="4"/>
  <c r="AE215" i="4" s="1"/>
  <c r="AB104" i="4"/>
  <c r="AE104" i="4" s="1"/>
  <c r="AB211" i="4"/>
  <c r="AE211" i="4" s="1"/>
  <c r="AB154" i="4"/>
  <c r="AE154" i="4" s="1"/>
  <c r="AB226" i="4"/>
  <c r="AE226" i="4" s="1"/>
  <c r="AB80" i="4"/>
  <c r="AE80" i="4" s="1"/>
  <c r="AB120" i="4"/>
  <c r="AE120" i="4" s="1"/>
  <c r="AB38" i="4"/>
  <c r="AE38" i="4" s="1"/>
  <c r="Z25" i="4" l="1"/>
  <c r="AB26" i="4"/>
  <c r="AB24" i="4" s="1"/>
  <c r="Z24" i="4"/>
  <c r="Q3" i="4" s="1"/>
  <c r="AE26" i="4" l="1"/>
  <c r="AG24" i="4"/>
  <c r="Q7" i="4"/>
  <c r="Q8" i="4" s="1"/>
  <c r="Q9" i="4"/>
  <c r="AB23" i="4"/>
  <c r="AJ24" i="4" l="1"/>
  <c r="AI24" i="4"/>
  <c r="AE24" i="4"/>
  <c r="Q5" i="4" s="1"/>
  <c r="Q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3434B5C5-42CE-4DC8-8D1B-9FFF210C8C7E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" authorId="0" shapeId="0" xr:uid="{96626C25-6442-417D-825F-07792BE37885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62F0C8B0-D9D0-4AED-8189-EA355F16C796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" authorId="0" shapeId="0" xr:uid="{21935B8D-CA75-4BA1-9071-025D1FE60451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93987A04-5DE7-4294-A429-87794C6E80C8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<sst xmlns="http://schemas.openxmlformats.org/spreadsheetml/2006/main" count="2698" uniqueCount="617">
  <si>
    <t>Minaki Recycling Corporation</t>
  </si>
  <si>
    <t>Allowable Net Cost per Tonne</t>
  </si>
  <si>
    <t>Max. Net Cost per Tonne</t>
  </si>
  <si>
    <t>Min. Net Cost per Tonne</t>
  </si>
  <si>
    <t>Wt. Std. Deviation Net Cost/T</t>
  </si>
  <si>
    <t>(xi - xw)²</t>
  </si>
  <si>
    <t>N</t>
  </si>
  <si>
    <t>Weighted Average Group Cost</t>
  </si>
  <si>
    <t>Reported Net Cost per Tonne</t>
  </si>
  <si>
    <t>Program</t>
  </si>
  <si>
    <t>Group</t>
  </si>
  <si>
    <t>PC</t>
  </si>
  <si>
    <t>∑ Adj. Net Costs</t>
  </si>
  <si>
    <t>Use Minimum?</t>
  </si>
  <si>
    <t>Maximum:</t>
  </si>
  <si>
    <t>Straight Avg.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</si>
  <si>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</si>
  <si>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</si>
  <si>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</si>
  <si>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</si>
  <si>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</si>
  <si>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</si>
  <si>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Wahnapitae First Nation</t>
  </si>
  <si>
    <t>Alderville First Nation</t>
  </si>
  <si>
    <t>Cutoff Percent:</t>
  </si>
  <si>
    <t>Marketed Tonnes</t>
  </si>
  <si>
    <t>Weighted Average Net Cost/Tonne</t>
  </si>
  <si>
    <t>Maximum Allowable Net Cost/Tonne</t>
  </si>
  <si>
    <t>Cash Funding</t>
  </si>
  <si>
    <t>CIF Deduction</t>
  </si>
  <si>
    <t>Total Cash</t>
  </si>
  <si>
    <t>Steward Municipal Obligation</t>
  </si>
  <si>
    <t>CNA/OCNA</t>
  </si>
  <si>
    <t>Late Penalty</t>
  </si>
  <si>
    <t>CNA/OCNA In-Kind non cash deduction Balance</t>
  </si>
  <si>
    <t>Obligation</t>
  </si>
  <si>
    <t>CIF Total Allocation</t>
  </si>
  <si>
    <t>CIF Total</t>
  </si>
  <si>
    <t>Cash Obligation Net of CIF Allocation.</t>
  </si>
  <si>
    <t>Total Recovered Tonnes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</si>
  <si>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</si>
  <si>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</si>
  <si>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</si>
  <si>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</si>
  <si>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</si>
  <si>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</si>
  <si>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>Late Penalty?</t>
  </si>
  <si>
    <t>Late Penalty Assessed</t>
  </si>
  <si>
    <t>Final Payment Incl. Late Penalty</t>
  </si>
  <si>
    <t>Best Practices Portion of  Obligation</t>
  </si>
  <si>
    <t>Recovered Tonnage Portion of  Obligation</t>
  </si>
  <si>
    <t>Net Cost Portion of  Obligation</t>
  </si>
  <si>
    <t>Missing Program Adjustment</t>
  </si>
  <si>
    <t>Final PYA</t>
  </si>
  <si>
    <t>Accounting for Prior Year Adjustments</t>
  </si>
  <si>
    <t>Difference</t>
  </si>
  <si>
    <t>Program Name</t>
  </si>
  <si>
    <t>Obj. 4 (a)</t>
  </si>
  <si>
    <t>Obj. 4 (b)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</si>
  <si>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</si>
  <si>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</si>
  <si>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</si>
  <si>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</si>
  <si>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</si>
  <si>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</si>
  <si>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</si>
  <si>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</si>
  <si>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</si>
  <si>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</si>
  <si>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</si>
  <si>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</si>
  <si>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</si>
  <si>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</si>
  <si>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</si>
  <si>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</si>
  <si>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</si>
  <si>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</si>
  <si>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</si>
  <si>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</si>
  <si>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</si>
  <si>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</si>
  <si>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</si>
  <si>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</si>
  <si>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</si>
  <si>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</si>
  <si>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</si>
  <si>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</si>
  <si>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</si>
  <si>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</si>
  <si>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</si>
  <si>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</si>
  <si>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</si>
  <si>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</si>
  <si>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</si>
  <si>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</si>
  <si>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</si>
  <si>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</si>
  <si>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</si>
  <si>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</si>
  <si>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</si>
  <si>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 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</si>
  <si>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</si>
  <si>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</si>
  <si>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</si>
  <si>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</si>
  <si>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</si>
  <si>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</si>
  <si>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</si>
  <si>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</si>
  <si>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</si>
  <si>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</si>
  <si>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</si>
  <si>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</si>
  <si>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</si>
  <si>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</si>
  <si>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</si>
  <si>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</si>
  <si>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</si>
  <si>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</si>
  <si>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</si>
  <si>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</si>
  <si>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</si>
  <si>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</si>
  <si>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</si>
  <si>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</si>
  <si>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</si>
  <si>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</si>
  <si>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Sault North Waste Management Council</t>
  </si>
  <si>
    <t>Atikokan, Township Of</t>
  </si>
  <si>
    <t>Cobalt, Town Of</t>
  </si>
  <si>
    <t>Coleman, Town Of</t>
  </si>
  <si>
    <t>Dryden, City Of</t>
  </si>
  <si>
    <t>Englehart, Town Of</t>
  </si>
  <si>
    <t>Evanturel, Township Of</t>
  </si>
  <si>
    <t>Fort Frances, Town Of</t>
  </si>
  <si>
    <t>Head, Clara &amp; Maria,  Township Of</t>
  </si>
  <si>
    <t>James,  Township Of</t>
  </si>
  <si>
    <t>Kenora, City Of</t>
  </si>
  <si>
    <t>Larder Lake, Township Of</t>
  </si>
  <si>
    <t>Latchford,  Town Of</t>
  </si>
  <si>
    <t>Marathon,  Town Of</t>
  </si>
  <si>
    <t>Matachewan, Township Of</t>
  </si>
  <si>
    <t>Mcgarry, Township Of</t>
  </si>
  <si>
    <t>Tri-Neighbours</t>
  </si>
  <si>
    <t>Papineau-Cameron, Township Of</t>
  </si>
  <si>
    <t>Powassan, Municipality Of</t>
  </si>
  <si>
    <t>Spanish, Town Of</t>
  </si>
  <si>
    <t>Sioux Lookout, The Corporation Of The Municipality Of</t>
  </si>
  <si>
    <t>St. Charles, Municipality Of</t>
  </si>
  <si>
    <t>Chisholm, Township Of</t>
  </si>
  <si>
    <t>East Ferris, Township Of</t>
  </si>
  <si>
    <t>Rainy River First Nations</t>
  </si>
  <si>
    <t>Callander, Municipality Of</t>
  </si>
  <si>
    <t>Batchewana First Nations Ojibways</t>
  </si>
  <si>
    <t>Nippising First Nation</t>
  </si>
  <si>
    <t>Cochrane,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</si>
  <si>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</si>
  <si>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</si>
  <si>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</si>
  <si>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</si>
  <si>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</si>
  <si>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</si>
  <si>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</si>
  <si>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</si>
  <si>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</si>
  <si>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</si>
  <si>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</si>
  <si>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Township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</si>
  <si>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</si>
  <si>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</si>
  <si>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</si>
  <si>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</si>
  <si>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</si>
  <si>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</si>
  <si>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</si>
  <si>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</si>
  <si>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</si>
  <si>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</si>
  <si>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</si>
  <si>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</si>
  <si>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</si>
  <si>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</si>
  <si>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</si>
  <si>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</si>
  <si>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</si>
  <si>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</si>
  <si>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</si>
  <si>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</si>
  <si>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</si>
  <si>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</si>
  <si>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</si>
  <si>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</si>
  <si>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</si>
  <si>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</si>
  <si>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</si>
  <si>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</si>
  <si>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</si>
  <si>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&amp; Plantagenet, Township Of</t>
  </si>
  <si>
    <t>West Grey, Township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</si>
  <si>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</si>
  <si>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</si>
  <si>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</si>
  <si>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</si>
  <si>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</si>
  <si>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</si>
  <si>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</si>
  <si>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</si>
  <si>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</si>
  <si>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</si>
  <si>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</si>
  <si>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</si>
  <si>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</si>
  <si>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</si>
  <si>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</si>
  <si>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Curve Lake First Nations</t>
  </si>
  <si>
    <t>Armour, Township Of</t>
  </si>
  <si>
    <t>Whitestone, Municipality Of</t>
  </si>
  <si>
    <t>The Archipelago, Township Of</t>
  </si>
  <si>
    <t>Carling, Township Of</t>
  </si>
  <si>
    <t>Mcdougall, Township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</si>
  <si>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</si>
  <si>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</si>
  <si>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</si>
  <si>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</si>
  <si>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</si>
  <si>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</si>
  <si>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</si>
  <si>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Township Of</t>
  </si>
  <si>
    <t>Perry, Township Of</t>
  </si>
  <si>
    <t>Northeast Recycling Association</t>
  </si>
  <si>
    <t>Armstrong, Township Of</t>
  </si>
  <si>
    <t>Assiginack,  Township Of</t>
  </si>
  <si>
    <t>Billings,  Township Of</t>
  </si>
  <si>
    <t>Conmee,  Township Of</t>
  </si>
  <si>
    <t>Emo, Township Of</t>
  </si>
  <si>
    <t>French River,  Municipality Of</t>
  </si>
  <si>
    <t>Harley,  Township Of</t>
  </si>
  <si>
    <t>Hilliard,  Township Of</t>
  </si>
  <si>
    <t>Hilton Beach,  Village Of</t>
  </si>
  <si>
    <t>Huron Shores,  Municipality Of</t>
  </si>
  <si>
    <t>Kearney, Town Of</t>
  </si>
  <si>
    <t>Killarney,  Municipality Of</t>
  </si>
  <si>
    <t>Laird, Township Of</t>
  </si>
  <si>
    <t>Macdonald, Meredith &amp; Aberdeen,  Township Of</t>
  </si>
  <si>
    <t>Machar, Township Of</t>
  </si>
  <si>
    <t>Magnetawan, Municipality Of</t>
  </si>
  <si>
    <t>Mcmurrich/Monteith, Township Of</t>
  </si>
  <si>
    <t>Nipissing,  Township Of</t>
  </si>
  <si>
    <t>Oconnor,  Township Of</t>
  </si>
  <si>
    <t>Oliver Paipoonge,  Municipality Of</t>
  </si>
  <si>
    <t>Rainy River, Town Of</t>
  </si>
  <si>
    <t>Red Lake, Municipality Of</t>
  </si>
  <si>
    <t>Shuniah,  Township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</si>
  <si>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</si>
  <si>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</si>
  <si>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</si>
  <si>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</si>
  <si>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</si>
  <si>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</si>
  <si>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</si>
  <si>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</si>
  <si>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</si>
  <si>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</si>
  <si>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</si>
  <si>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</si>
  <si>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 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</si>
  <si>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</si>
  <si>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</si>
  <si>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</si>
  <si>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</si>
  <si>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</si>
  <si>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</si>
  <si>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</si>
  <si>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</si>
  <si>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</si>
  <si>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</si>
  <si>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</si>
  <si>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</si>
  <si>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</si>
  <si>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</si>
  <si>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</si>
  <si>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</si>
  <si>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</si>
  <si>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</si>
  <si>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</si>
  <si>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</si>
  <si>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</si>
  <si>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</si>
  <si>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</si>
  <si>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</si>
  <si>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</si>
  <si>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</si>
  <si>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</si>
  <si>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</si>
  <si>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</si>
  <si>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2018 Steward Cash Obligation to Municipalities Based on:</t>
  </si>
  <si>
    <t xml:space="preserve"> </t>
  </si>
  <si>
    <t>Gauthier, Township Of</t>
  </si>
  <si>
    <t>Beausoliel First Nations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</si>
  <si>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</si>
  <si>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</si>
  <si>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</si>
  <si>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</si>
  <si>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</si>
  <si>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</si>
  <si>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</si>
  <si>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</si>
  <si>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</si>
  <si>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</si>
  <si>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</si>
  <si>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</si>
  <si>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</si>
  <si>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</si>
  <si>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</si>
  <si>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</si>
  <si>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</si>
  <si>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</si>
  <si>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</si>
  <si>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</si>
  <si>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</si>
  <si>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</si>
  <si>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</si>
  <si>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</si>
  <si>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 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</si>
  <si>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</si>
  <si>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</si>
  <si>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</si>
  <si>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</si>
  <si>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</si>
  <si>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</si>
  <si>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</si>
  <si>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</si>
  <si>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</si>
  <si>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</si>
  <si>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</si>
  <si>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</si>
  <si>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</si>
  <si>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</si>
  <si>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</si>
  <si>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</si>
  <si>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</si>
  <si>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</si>
  <si>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</si>
  <si>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</si>
  <si>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</si>
  <si>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</si>
  <si>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</si>
  <si>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</si>
  <si>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</si>
  <si>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</si>
  <si>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</si>
  <si>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</si>
  <si>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</si>
  <si>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</si>
  <si>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</si>
  <si>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</si>
  <si>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</si>
  <si>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</si>
  <si>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</si>
  <si>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</si>
  <si>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</si>
  <si>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</si>
  <si>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</si>
  <si>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</si>
  <si>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</si>
  <si>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</si>
  <si>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</si>
  <si>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</si>
  <si>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WAHNAPITAE FIRST NATION</t>
  </si>
  <si>
    <t>SAULT NORTH WASTE MANAGEMENT COUNCIL</t>
  </si>
  <si>
    <t>ATIKOKAN, TOWNSHIP OF</t>
  </si>
  <si>
    <t>COBALT, TOWN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</si>
  <si>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</si>
  <si>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</si>
  <si>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</si>
  <si>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</si>
  <si>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</si>
  <si>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</si>
  <si>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</si>
  <si>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</si>
  <si>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</si>
  <si>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</si>
  <si>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</si>
  <si>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</si>
  <si>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</si>
  <si>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</si>
  <si>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</si>
  <si>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</si>
  <si>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</si>
  <si>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 xml:space="preserve">SIOUX LOOKOUT, THE CORPORATION OF THE MUNICIPALITY OF 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</si>
  <si>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</si>
  <si>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</si>
  <si>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</si>
  <si>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</si>
  <si>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</si>
  <si>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</si>
  <si>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</si>
  <si>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</si>
  <si>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</si>
  <si>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</si>
  <si>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</si>
  <si>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</si>
  <si>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</si>
  <si>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</si>
  <si>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</si>
  <si>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</si>
  <si>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</si>
  <si>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</si>
  <si>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</si>
  <si>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</si>
  <si>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</si>
  <si>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</si>
  <si>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</si>
  <si>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</si>
  <si>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</si>
  <si>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</si>
  <si>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</si>
  <si>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</si>
  <si>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</si>
  <si>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</si>
  <si>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</si>
  <si>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</si>
  <si>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</si>
  <si>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</si>
  <si>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</si>
  <si>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</si>
  <si>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</si>
  <si>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</si>
  <si>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</si>
  <si>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</si>
  <si>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</si>
  <si>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</si>
  <si>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</si>
  <si>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</si>
  <si>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</si>
  <si>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</si>
  <si>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</si>
  <si>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</si>
  <si>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</si>
  <si>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</si>
  <si>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</si>
  <si>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</si>
  <si>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</si>
  <si>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</si>
  <si>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</si>
  <si>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</si>
  <si>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</si>
  <si>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</si>
  <si>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</si>
  <si>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</si>
  <si>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</si>
  <si>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</si>
  <si>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</si>
  <si>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</si>
  <si>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</si>
  <si>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</si>
  <si>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</si>
  <si>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</si>
  <si>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</si>
  <si>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</si>
  <si>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</si>
  <si>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</si>
  <si>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</si>
  <si>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</si>
  <si>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</si>
  <si>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</si>
  <si>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</si>
  <si>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</si>
  <si>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</si>
  <si>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</si>
  <si>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</si>
  <si>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</si>
  <si>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NEEBING, MUNICIPALITY OF</t>
  </si>
  <si>
    <t>CALVIN, MUNICIPALITY OF</t>
  </si>
  <si>
    <t>PERRY, TOWNSHIP OF</t>
  </si>
  <si>
    <t>NORTHEAST RECYCLING ASSOCIATION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</si>
  <si>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</si>
  <si>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</si>
  <si>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</si>
  <si>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</si>
  <si>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</si>
  <si>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</si>
  <si>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HARLEY, TOWNSHIP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</si>
  <si>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</si>
  <si>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</si>
  <si>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</si>
  <si>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</si>
  <si>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</si>
  <si>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</si>
  <si>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</si>
  <si>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</si>
  <si>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</si>
  <si>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MCMURRICH/MONTEITH, TOWNSHIP OF</t>
  </si>
  <si>
    <t>NIPISSING, TOWNSHIP OF</t>
  </si>
  <si>
    <t>OCONNOR,  TOWNSHIP OF</t>
  </si>
  <si>
    <t>OLIVER PAIPOONGE,  MUNICIPALITY OF</t>
  </si>
  <si>
    <t>RAINY RIVER, TOWN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</si>
  <si>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</si>
  <si>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</si>
  <si>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</si>
  <si>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</si>
  <si>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</si>
  <si>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</si>
  <si>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</si>
  <si>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</si>
  <si>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</si>
  <si>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</si>
  <si>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</si>
  <si>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</si>
  <si>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</si>
  <si>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</si>
  <si>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</si>
  <si>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</si>
  <si>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</si>
  <si>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</si>
  <si>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</si>
  <si>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</si>
  <si>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</si>
  <si>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</si>
  <si>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</si>
  <si>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</si>
  <si>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</si>
  <si>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</si>
  <si>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</si>
  <si>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</si>
  <si>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</si>
  <si>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</si>
  <si>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</si>
  <si>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</si>
  <si>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</si>
  <si>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</si>
  <si>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</si>
  <si>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</si>
  <si>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</si>
  <si>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</si>
  <si>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</si>
  <si>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</si>
  <si>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</si>
  <si>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</si>
  <si>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</si>
  <si>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</si>
  <si>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2016 Adjusted Reported Gross Cost</t>
  </si>
  <si>
    <t>2016 Adjusted Reported Revenue</t>
  </si>
  <si>
    <t>2016 Adjusted Reported Net Cost</t>
  </si>
  <si>
    <t>Re - Calculation of Weighted Averages and Allowable Net Costs for PYA - 2016 Program Year</t>
  </si>
  <si>
    <t>Beausoleil First Nation</t>
  </si>
  <si>
    <t>CHIPPEWAS OF GEORGINA ISLAND</t>
  </si>
  <si>
    <t xml:space="preserve">2018 MFAM </t>
  </si>
  <si>
    <t>Adjusted Net Cost</t>
  </si>
  <si>
    <t>Calculation of 2020 Steward Cash Obligation</t>
  </si>
  <si>
    <t>2020 Funding Summary</t>
  </si>
  <si>
    <t>PYA Re: 2017 Data Year</t>
  </si>
  <si>
    <t>Additional PYA Re: 2016 Data Year</t>
  </si>
  <si>
    <t>June 2020 Payment</t>
  </si>
  <si>
    <t xml:space="preserve">2018 Steward Cash Obligation </t>
  </si>
  <si>
    <t>MUSKOKA,  DISTRICT MUNICIPALITY OF</t>
  </si>
  <si>
    <t>WESTPORT, VILLAGE OF</t>
  </si>
  <si>
    <t>Burk's Falls, Village of</t>
  </si>
  <si>
    <t>Goulais Local Service Board</t>
  </si>
  <si>
    <t>Matachewan First Nation</t>
  </si>
  <si>
    <t>Temagami First Nation</t>
  </si>
  <si>
    <t>Moose Deer Point</t>
  </si>
  <si>
    <t>HEARST</t>
  </si>
  <si>
    <t>KAPUSKASING, TOWN OF</t>
  </si>
  <si>
    <t>MATTICE-VAL COTE</t>
  </si>
  <si>
    <t>SIOUX LOOKOUT, THE CORPORATION OF THE MUNICIPALITY OF</t>
  </si>
  <si>
    <t>Calculation of Weighted Averages and Allowable Net Costs - 2018 Program Year</t>
  </si>
  <si>
    <t>2018 Marketed Tonnes</t>
  </si>
  <si>
    <t>2018 Reported Gross Cost</t>
  </si>
  <si>
    <t>2018 Reported Revenue</t>
  </si>
  <si>
    <t>2018 Reported Net Cost</t>
  </si>
  <si>
    <r>
      <t xml:space="preserve">2018 Reported &amp; Calculated Gross Costs </t>
    </r>
    <r>
      <rPr>
        <sz val="11"/>
        <rFont val="Calibri"/>
        <family val="2"/>
        <scheme val="minor"/>
      </rPr>
      <t>-2019-07-18- Data finalized by RPRA: Maria Constantinou and Cody Fowler</t>
    </r>
  </si>
  <si>
    <t>2018 Program Year - Best Practices Scores</t>
  </si>
  <si>
    <t>2018 Steward Cash Obligation</t>
  </si>
  <si>
    <r>
      <t xml:space="preserve">2017 Reported &amp; Calculated Gross Costs </t>
    </r>
    <r>
      <rPr>
        <sz val="11"/>
        <rFont val="Calibri"/>
        <family val="2"/>
        <scheme val="minor"/>
      </rPr>
      <t>-FINAL 2019-07-19- Data finalized by RPRA: Maria Constantinou and Cody Fowler</t>
    </r>
  </si>
  <si>
    <t>HEARST, TOWN OF</t>
  </si>
  <si>
    <t>MATTICE-VAL CÔTÉ,  TOWNSHIP OF</t>
  </si>
  <si>
    <t>Check</t>
  </si>
  <si>
    <t>2017.
Adjusted Marketed Tonnes</t>
  </si>
  <si>
    <t>2017 Adjusted Reported Gross Cost</t>
  </si>
  <si>
    <t>2017 Adjusted Reported Revenue</t>
  </si>
  <si>
    <t>2017 Adjusted Reported Net Cost</t>
  </si>
  <si>
    <t>Prior Year Adjustment (PYA) Re: 2017 Data Year</t>
  </si>
  <si>
    <t>Calculation of 2019 Steward Cash Obligation</t>
  </si>
  <si>
    <t>2019 Steward Cash Obligation to Municipalities Based on:</t>
  </si>
  <si>
    <t>2019 Steward Cash Obligation</t>
  </si>
  <si>
    <t xml:space="preserve">2019 Steward Cash Obligation </t>
  </si>
  <si>
    <t>2020 Steward Cash Obligation</t>
  </si>
  <si>
    <t xml:space="preserve">2020 Steward Cash Obligation </t>
  </si>
  <si>
    <t>Re - Calculation of Weighted Averages and Allowable Net Costs for PYA - 2017 Program Year</t>
  </si>
  <si>
    <t xml:space="preserve">2019 MFAM </t>
  </si>
  <si>
    <t>Adjusted PYA Re: 2016 Data Year</t>
  </si>
  <si>
    <r>
      <t xml:space="preserve">2016 Reported &amp; Calculated Gross Costs </t>
    </r>
    <r>
      <rPr>
        <sz val="11"/>
        <rFont val="Calibri"/>
        <family val="2"/>
        <scheme val="minor"/>
      </rPr>
      <t>-FINAL 2019-07-19- Data finalized by RPRA: Maria Constantinou and Cody Fowler</t>
    </r>
  </si>
  <si>
    <t>Calculation of 2018  Steward Cash Obligation</t>
  </si>
  <si>
    <t>Additional Prior Year Adjustment (PYA) Re: 2016 Data Year</t>
  </si>
  <si>
    <t>PYA Re: 2016 Data Year - 2019 MFAM</t>
  </si>
  <si>
    <t>Total Final</t>
  </si>
  <si>
    <t>Total*</t>
  </si>
  <si>
    <t>Sept. 2020 Payment</t>
  </si>
  <si>
    <t>Dec. 2020 Payment</t>
  </si>
  <si>
    <t>March 2021 Payment</t>
  </si>
  <si>
    <t>Adjusted CNA/OCNA InKind</t>
  </si>
  <si>
    <t>Total InKind PYA</t>
  </si>
  <si>
    <t>PYA Re: 2017 Data Year InKind Payout</t>
  </si>
  <si>
    <t>Missing Program Adjusmtent - Inkind 2017</t>
  </si>
  <si>
    <t>2020 Municipal Funding Allocation Model</t>
  </si>
  <si>
    <t>CNA/OCNA In-Kind Non-Cash Deduction</t>
  </si>
  <si>
    <t>2020  Steward Cash Obligation to Municipalities Based on:</t>
  </si>
  <si>
    <t>2017 Reported Gross Cost</t>
  </si>
  <si>
    <t>2017 Marketed Tonnes</t>
  </si>
  <si>
    <t>2017 Reported Revenue</t>
  </si>
  <si>
    <t>2017 Reported Net Cost</t>
  </si>
  <si>
    <t>2016 Marketed Tonnes</t>
  </si>
  <si>
    <t>2016.
Adjusted Marketed Tonnes</t>
  </si>
  <si>
    <t>2016 Reported Gross Cost</t>
  </si>
  <si>
    <t>2016 Reported Revenue</t>
  </si>
  <si>
    <t>2016 Reported Net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</si>
</sst>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&quot;/T&quot;;[Red]\(&quot;$&quot;#,##0.00&quot;/T&quot;\);\-"/>
    <numFmt numFmtId="165" formatCode="[=1]&quot;X&quot;;\-"/>
    <numFmt numFmtId="166" formatCode="&quot;$&quot;#,##0;[Red]\(&quot;$&quot;#,##0\);\-"/>
    <numFmt numFmtId="167" formatCode="&quot;$&quot;#,##0.00\ &quot;/T&quot;;[Red]\(&quot;$&quot;#,##0.00\ &quot;/T&quot;\);\-"/>
    <numFmt numFmtId="168" formatCode="&quot;$&quot;#,##0;[Red]&quot;$&quot;#,##0"/>
    <numFmt numFmtId="169" formatCode="[=1]&quot;yes&quot;;[=0]&quot;no&quot;;&quot;error&quot;"/>
    <numFmt numFmtId="170" formatCode="#,##0&quot; T&quot;;[Red]\(#,##0&quot; T&quot;\);\-"/>
    <numFmt numFmtId="171" formatCode="0.0%"/>
    <numFmt numFmtId="172" formatCode=";;"/>
    <numFmt numFmtId="173" formatCode="\$#,##0.00;\-\$#,##0.00"/>
    <numFmt numFmtId="174" formatCode="#,##0\ &quot;T&quot;"/>
    <numFmt numFmtId="175" formatCode="&quot;Group&quot;\ 0"/>
    <numFmt numFmtId="176" formatCode="_-&quot;$&quot;* #,##0_-;\-&quot;$&quot;* #,##0_-;_-&quot;$&quot;* &quot;-&quot;??_-;_-@_-"/>
    <numFmt numFmtId="177" formatCode="#,##0.0%&quot; up&quot;;[Red]\(#,##0.0%\)&quot; down&quot;;\-"/>
    <numFmt numFmtId="178" formatCode="#,##0.00%;[Red]\(#,##0.00%\);\-"/>
    <numFmt numFmtId="179" formatCode="&quot;$&quot;#,##0.00"/>
    <numFmt numFmtId="180" formatCode="[=1]&quot;yes&quot;;[=0]\-;&quot;error&quot;"/>
    <numFmt numFmtId="181" formatCode="&quot;$&quot;#,##0.00;[Red]\(&quot;$&quot;#,##0.00\);\-"/>
    <numFmt numFmtId="182" formatCode="&quot;Obj. &quot;0"/>
    <numFmt numFmtId="183" formatCode=";;;"/>
    <numFmt numFmtId="184" formatCode="#,##0\ &quot;T&quot;;[Red]\(#,##0\ &quot;T&quot;\);\-"/>
    <numFmt numFmtId="185" formatCode="&quot;$&quot;#,##0"/>
    <numFmt numFmtId="186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/>
    <xf numFmtId="168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6" fontId="0" fillId="0" borderId="0" xfId="0" applyNumberFormat="1" applyBorder="1"/>
    <xf numFmtId="0" fontId="0" fillId="0" borderId="0" xfId="0"/>
    <xf numFmtId="0" fontId="0" fillId="0" borderId="0" xfId="0" applyBorder="1"/>
    <xf numFmtId="0" fontId="0" fillId="0" borderId="0" xfId="0" applyBorder="1"/>
    <xf numFmtId="169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170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 applyBorder="1"/>
    <xf numFmtId="0" fontId="10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0" xfId="0" applyFont="1"/>
    <xf numFmtId="7" fontId="11" fillId="0" borderId="0" xfId="0" applyNumberFormat="1" applyFont="1" applyFill="1" applyBorder="1"/>
    <xf numFmtId="0" fontId="12" fillId="0" borderId="0" xfId="0" applyFont="1"/>
    <xf numFmtId="171" fontId="11" fillId="0" borderId="0" xfId="2" applyNumberFormat="1" applyFont="1"/>
    <xf numFmtId="166" fontId="11" fillId="0" borderId="0" xfId="0" applyNumberFormat="1" applyFont="1"/>
    <xf numFmtId="0" fontId="11" fillId="0" borderId="0" xfId="0" applyFont="1"/>
    <xf numFmtId="0" fontId="13" fillId="2" borderId="3" xfId="0" applyFont="1" applyFill="1" applyBorder="1" applyAlignment="1" applyProtection="1">
      <alignment horizontal="center" vertical="center" wrapText="1"/>
    </xf>
    <xf numFmtId="172" fontId="11" fillId="0" borderId="0" xfId="0" applyNumberFormat="1" applyFont="1" applyFill="1"/>
    <xf numFmtId="0" fontId="10" fillId="0" borderId="2" xfId="0" applyFont="1" applyFill="1" applyBorder="1" applyAlignment="1" applyProtection="1">
      <alignment vertical="center"/>
    </xf>
    <xf numFmtId="173" fontId="3" fillId="0" borderId="2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74" fontId="10" fillId="0" borderId="0" xfId="0" applyNumberFormat="1" applyFont="1" applyFill="1" applyBorder="1" applyAlignment="1" applyProtection="1">
      <alignment horizontal="right" vertical="center" wrapText="1"/>
    </xf>
    <xf numFmtId="7" fontId="10" fillId="0" borderId="0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Border="1"/>
    <xf numFmtId="172" fontId="11" fillId="0" borderId="0" xfId="0" applyNumberFormat="1" applyFont="1"/>
    <xf numFmtId="0" fontId="10" fillId="0" borderId="0" xfId="0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4" fillId="0" borderId="0" xfId="0" applyFont="1"/>
    <xf numFmtId="166" fontId="0" fillId="0" borderId="0" xfId="0" applyNumberFormat="1" applyBorder="1"/>
    <xf numFmtId="0" fontId="1" fillId="0" borderId="0" xfId="0" applyFont="1" applyBorder="1"/>
    <xf numFmtId="0" fontId="6" fillId="0" borderId="0" xfId="0" applyFont="1"/>
    <xf numFmtId="175" fontId="0" fillId="0" borderId="8" xfId="0" applyNumberFormat="1" applyBorder="1" applyAlignment="1">
      <alignment horizontal="center"/>
    </xf>
    <xf numFmtId="167" fontId="0" fillId="0" borderId="9" xfId="0" applyNumberFormat="1" applyBorder="1"/>
    <xf numFmtId="0" fontId="0" fillId="0" borderId="11" xfId="0" applyBorder="1"/>
    <xf numFmtId="166" fontId="0" fillId="0" borderId="12" xfId="0" applyNumberFormat="1" applyBorder="1"/>
    <xf numFmtId="0" fontId="7" fillId="0" borderId="8" xfId="0" applyFont="1" applyBorder="1" applyAlignment="1">
      <alignment horizontal="centerContinuous" vertical="center"/>
    </xf>
    <xf numFmtId="166" fontId="7" fillId="0" borderId="9" xfId="0" applyNumberFormat="1" applyFont="1" applyBorder="1" applyAlignment="1">
      <alignment horizontal="centerContinuous" vertical="center"/>
    </xf>
    <xf numFmtId="166" fontId="7" fillId="0" borderId="10" xfId="0" applyNumberFormat="1" applyFont="1" applyBorder="1" applyAlignment="1">
      <alignment horizontal="centerContinuous" vertical="center"/>
    </xf>
    <xf numFmtId="175" fontId="0" fillId="0" borderId="11" xfId="0" applyNumberFormat="1" applyBorder="1" applyAlignment="1">
      <alignment horizontal="center"/>
    </xf>
    <xf numFmtId="167" fontId="0" fillId="0" borderId="0" xfId="0" applyNumberFormat="1" applyBorder="1"/>
    <xf numFmtId="0" fontId="7" fillId="0" borderId="11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166" fontId="0" fillId="0" borderId="13" xfId="0" applyNumberFormat="1" applyBorder="1"/>
    <xf numFmtId="0" fontId="0" fillId="0" borderId="11" xfId="0" applyBorder="1" applyAlignment="1">
      <alignment horizontal="left" indent="1"/>
    </xf>
    <xf numFmtId="166" fontId="0" fillId="0" borderId="0" xfId="0" applyNumberFormat="1" applyFill="1" applyBorder="1" applyProtection="1">
      <protection locked="0"/>
    </xf>
    <xf numFmtId="6" fontId="2" fillId="0" borderId="14" xfId="0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indent="1"/>
    </xf>
    <xf numFmtId="0" fontId="0" fillId="0" borderId="12" xfId="0" applyBorder="1"/>
    <xf numFmtId="0" fontId="0" fillId="0" borderId="15" xfId="0" applyFill="1" applyBorder="1"/>
    <xf numFmtId="166" fontId="0" fillId="0" borderId="16" xfId="0" applyNumberFormat="1" applyBorder="1"/>
    <xf numFmtId="176" fontId="0" fillId="0" borderId="17" xfId="0" applyNumberFormat="1" applyBorder="1"/>
    <xf numFmtId="0" fontId="0" fillId="0" borderId="0" xfId="0" applyNumberFormat="1" applyFont="1" applyFill="1" applyBorder="1"/>
    <xf numFmtId="0" fontId="0" fillId="0" borderId="0" xfId="0" applyBorder="1" applyAlignment="1">
      <alignment horizontal="left" indent="1"/>
    </xf>
    <xf numFmtId="175" fontId="0" fillId="0" borderId="15" xfId="0" applyNumberFormat="1" applyBorder="1" applyAlignment="1">
      <alignment horizontal="center"/>
    </xf>
    <xf numFmtId="0" fontId="0" fillId="0" borderId="18" xfId="0" applyBorder="1"/>
    <xf numFmtId="167" fontId="0" fillId="0" borderId="18" xfId="0" applyNumberFormat="1" applyBorder="1"/>
    <xf numFmtId="0" fontId="1" fillId="0" borderId="0" xfId="0" applyNumberFormat="1" applyFont="1" applyFill="1" applyBorder="1" applyProtection="1">
      <protection locked="0"/>
    </xf>
    <xf numFmtId="6" fontId="0" fillId="0" borderId="0" xfId="0" applyNumberFormat="1" applyFont="1" applyFill="1" applyBorder="1"/>
    <xf numFmtId="10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Border="1"/>
    <xf numFmtId="6" fontId="0" fillId="0" borderId="4" xfId="0" applyNumberFormat="1" applyBorder="1"/>
    <xf numFmtId="177" fontId="1" fillId="0" borderId="0" xfId="0" applyNumberFormat="1" applyFont="1" applyBorder="1" applyAlignment="1">
      <alignment horizontal="center"/>
    </xf>
    <xf numFmtId="6" fontId="0" fillId="0" borderId="19" xfId="0" applyNumberFormat="1" applyBorder="1"/>
    <xf numFmtId="6" fontId="0" fillId="0" borderId="12" xfId="0" applyNumberFormat="1" applyBorder="1"/>
    <xf numFmtId="0" fontId="6" fillId="0" borderId="0" xfId="0" applyFont="1" applyFill="1" applyBorder="1" applyAlignment="1">
      <alignment horizontal="centerContinuous"/>
    </xf>
    <xf numFmtId="0" fontId="0" fillId="0" borderId="15" xfId="0" applyBorder="1" applyAlignment="1">
      <alignment horizontal="left" indent="1"/>
    </xf>
    <xf numFmtId="0" fontId="0" fillId="0" borderId="16" xfId="0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72" fontId="0" fillId="0" borderId="0" xfId="0" applyNumberFormat="1" applyBorder="1"/>
    <xf numFmtId="172" fontId="0" fillId="0" borderId="0" xfId="0" applyNumberFormat="1"/>
    <xf numFmtId="6" fontId="0" fillId="0" borderId="0" xfId="0" applyNumberFormat="1"/>
    <xf numFmtId="166" fontId="0" fillId="6" borderId="15" xfId="0" applyNumberFormat="1" applyFill="1" applyBorder="1"/>
    <xf numFmtId="166" fontId="0" fillId="6" borderId="18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179" fontId="0" fillId="0" borderId="0" xfId="0" applyNumberFormat="1"/>
    <xf numFmtId="166" fontId="3" fillId="0" borderId="0" xfId="0" applyNumberFormat="1" applyFont="1" applyFill="1" applyBorder="1" applyAlignment="1" applyProtection="1">
      <alignment horizontal="right" vertical="center" wrapText="1"/>
    </xf>
    <xf numFmtId="166" fontId="3" fillId="0" borderId="20" xfId="0" applyNumberFormat="1" applyFont="1" applyFill="1" applyBorder="1" applyAlignment="1" applyProtection="1">
      <alignment horizontal="right" vertical="center" wrapText="1"/>
    </xf>
    <xf numFmtId="180" fontId="3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164" fontId="0" fillId="0" borderId="10" xfId="0" applyNumberFormat="1" applyBorder="1"/>
    <xf numFmtId="0" fontId="1" fillId="0" borderId="0" xfId="0" applyFont="1" applyBorder="1"/>
    <xf numFmtId="9" fontId="0" fillId="0" borderId="0" xfId="2" applyFont="1"/>
    <xf numFmtId="178" fontId="3" fillId="0" borderId="20" xfId="0" applyNumberFormat="1" applyFont="1" applyFill="1" applyBorder="1" applyAlignment="1" applyProtection="1">
      <alignment horizontal="righ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Continuous" vertical="center"/>
    </xf>
    <xf numFmtId="176" fontId="0" fillId="0" borderId="0" xfId="0" applyNumberFormat="1" applyBorder="1"/>
    <xf numFmtId="10" fontId="0" fillId="0" borderId="0" xfId="0" applyNumberFormat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82" fontId="2" fillId="11" borderId="3" xfId="0" applyNumberFormat="1" applyFont="1" applyFill="1" applyBorder="1" applyAlignment="1">
      <alignment horizontal="center" vertical="center" wrapText="1"/>
    </xf>
    <xf numFmtId="182" fontId="2" fillId="4" borderId="3" xfId="0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6" fontId="2" fillId="0" borderId="0" xfId="0" applyNumberFormat="1" applyFont="1" applyFill="1" applyBorder="1" applyProtection="1">
      <protection locked="0"/>
    </xf>
    <xf numFmtId="183" fontId="0" fillId="0" borderId="0" xfId="0" applyNumberFormat="1"/>
    <xf numFmtId="183" fontId="0" fillId="6" borderId="8" xfId="1" applyNumberFormat="1" applyFont="1" applyFill="1" applyBorder="1" applyAlignment="1"/>
    <xf numFmtId="183" fontId="0" fillId="6" borderId="9" xfId="1" applyNumberFormat="1" applyFont="1" applyFill="1" applyBorder="1" applyAlignment="1"/>
    <xf numFmtId="183" fontId="0" fillId="6" borderId="9" xfId="2" applyNumberFormat="1" applyFont="1" applyFill="1" applyBorder="1" applyAlignment="1"/>
    <xf numFmtId="183" fontId="0" fillId="6" borderId="0" xfId="0" applyNumberFormat="1" applyFill="1" applyBorder="1" applyAlignment="1"/>
    <xf numFmtId="183" fontId="0" fillId="6" borderId="11" xfId="0" applyNumberFormat="1" applyFill="1" applyBorder="1" applyAlignment="1"/>
    <xf numFmtId="183" fontId="0" fillId="6" borderId="0" xfId="0" applyNumberFormat="1" applyFont="1" applyFill="1" applyBorder="1" applyAlignment="1"/>
    <xf numFmtId="183" fontId="0" fillId="6" borderId="0" xfId="1" applyNumberFormat="1" applyFont="1" applyFill="1" applyBorder="1" applyAlignment="1"/>
    <xf numFmtId="183" fontId="0" fillId="6" borderId="12" xfId="0" applyNumberFormat="1" applyFill="1" applyBorder="1" applyAlignment="1"/>
    <xf numFmtId="176" fontId="16" fillId="0" borderId="0" xfId="1" applyNumberFormat="1" applyFont="1" applyFill="1" applyBorder="1"/>
    <xf numFmtId="0" fontId="2" fillId="7" borderId="3" xfId="0" applyFont="1" applyFill="1" applyBorder="1" applyAlignment="1" applyProtection="1">
      <alignment horizontal="center" vertical="center" wrapText="1"/>
    </xf>
    <xf numFmtId="9" fontId="0" fillId="0" borderId="0" xfId="2" applyNumberFormat="1" applyFont="1" applyProtection="1"/>
    <xf numFmtId="181" fontId="0" fillId="0" borderId="0" xfId="0" applyNumberFormat="1" applyBorder="1"/>
    <xf numFmtId="181" fontId="0" fillId="0" borderId="0" xfId="0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6" fontId="7" fillId="0" borderId="0" xfId="0" applyNumberFormat="1" applyFont="1" applyBorder="1" applyAlignment="1">
      <alignment vertical="center"/>
    </xf>
    <xf numFmtId="0" fontId="0" fillId="0" borderId="0" xfId="0" applyFont="1" applyBorder="1"/>
    <xf numFmtId="6" fontId="0" fillId="0" borderId="0" xfId="1" applyNumberFormat="1" applyFont="1"/>
    <xf numFmtId="8" fontId="0" fillId="0" borderId="0" xfId="0" applyNumberFormat="1"/>
    <xf numFmtId="166" fontId="0" fillId="0" borderId="17" xfId="0" applyNumberFormat="1" applyBorder="1"/>
    <xf numFmtId="166" fontId="15" fillId="0" borderId="0" xfId="0" applyNumberFormat="1" applyFont="1" applyBorder="1" applyAlignment="1">
      <alignment horizontal="centerContinuous"/>
    </xf>
    <xf numFmtId="166" fontId="0" fillId="0" borderId="4" xfId="0" applyNumberFormat="1" applyBorder="1"/>
    <xf numFmtId="166" fontId="0" fillId="0" borderId="19" xfId="0" applyNumberFormat="1" applyBorder="1"/>
    <xf numFmtId="0" fontId="2" fillId="7" borderId="5" xfId="0" applyFont="1" applyFill="1" applyBorder="1" applyAlignment="1">
      <alignment horizontal="center" vertical="center" wrapText="1"/>
    </xf>
    <xf numFmtId="0" fontId="3" fillId="0" borderId="2" xfId="13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10" fontId="0" fillId="0" borderId="22" xfId="0" applyNumberFormat="1" applyBorder="1"/>
    <xf numFmtId="10" fontId="0" fillId="0" borderId="22" xfId="2" applyNumberFormat="1" applyFont="1" applyBorder="1"/>
    <xf numFmtId="0" fontId="0" fillId="0" borderId="0" xfId="0" applyAlignment="1">
      <alignment horizontal="center" vertical="center"/>
    </xf>
    <xf numFmtId="184" fontId="3" fillId="0" borderId="1" xfId="0" applyNumberFormat="1" applyFont="1" applyFill="1" applyBorder="1" applyAlignment="1" applyProtection="1">
      <alignment vertical="center" wrapText="1"/>
    </xf>
    <xf numFmtId="184" fontId="11" fillId="0" borderId="0" xfId="0" applyNumberFormat="1" applyFont="1"/>
    <xf numFmtId="184" fontId="0" fillId="0" borderId="0" xfId="0" applyNumberFormat="1" applyBorder="1"/>
    <xf numFmtId="184" fontId="0" fillId="0" borderId="0" xfId="0" applyNumberFormat="1"/>
    <xf numFmtId="184" fontId="0" fillId="0" borderId="9" xfId="0" applyNumberFormat="1" applyBorder="1"/>
    <xf numFmtId="184" fontId="0" fillId="0" borderId="18" xfId="0" applyNumberFormat="1" applyBorder="1"/>
    <xf numFmtId="184" fontId="1" fillId="0" borderId="0" xfId="0" applyNumberFormat="1" applyFont="1" applyBorder="1"/>
    <xf numFmtId="184" fontId="0" fillId="0" borderId="16" xfId="0" applyNumberFormat="1" applyBorder="1"/>
    <xf numFmtId="184" fontId="3" fillId="0" borderId="23" xfId="0" applyNumberFormat="1" applyFont="1" applyFill="1" applyBorder="1" applyAlignment="1" applyProtection="1">
      <alignment vertical="center" wrapText="1"/>
    </xf>
    <xf numFmtId="184" fontId="3" fillId="0" borderId="24" xfId="0" applyNumberFormat="1" applyFont="1" applyFill="1" applyBorder="1" applyAlignment="1" applyProtection="1">
      <alignment vertical="center" wrapText="1"/>
    </xf>
    <xf numFmtId="166" fontId="16" fillId="0" borderId="0" xfId="1" applyNumberFormat="1" applyFont="1" applyFill="1" applyBorder="1"/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85" fontId="0" fillId="0" borderId="0" xfId="0" applyNumberFormat="1"/>
    <xf numFmtId="0" fontId="3" fillId="0" borderId="25" xfId="0" applyFont="1" applyFill="1" applyBorder="1" applyAlignment="1" applyProtection="1">
      <alignment horizontal="center" vertical="center" wrapText="1"/>
    </xf>
    <xf numFmtId="10" fontId="0" fillId="0" borderId="25" xfId="0" applyNumberFormat="1" applyBorder="1"/>
    <xf numFmtId="10" fontId="0" fillId="0" borderId="25" xfId="2" applyNumberFormat="1" applyFont="1" applyBorder="1"/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164" fontId="11" fillId="0" borderId="0" xfId="0" applyNumberFormat="1" applyFont="1"/>
    <xf numFmtId="7" fontId="1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173" fontId="3" fillId="0" borderId="2" xfId="0" applyNumberFormat="1" applyFont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74" fontId="10" fillId="0" borderId="0" xfId="0" applyNumberFormat="1" applyFont="1" applyAlignment="1">
      <alignment horizontal="right" vertical="center" wrapText="1"/>
    </xf>
    <xf numFmtId="7" fontId="10" fillId="0" borderId="0" xfId="0" applyNumberFormat="1" applyFont="1" applyAlignment="1">
      <alignment horizontal="right" vertical="center" wrapText="1"/>
    </xf>
    <xf numFmtId="0" fontId="22" fillId="0" borderId="26" xfId="14" applyFont="1" applyBorder="1" applyAlignment="1">
      <alignment horizontal="right" wrapText="1"/>
    </xf>
    <xf numFmtId="0" fontId="0" fillId="0" borderId="0" xfId="0" applyAlignment="1"/>
    <xf numFmtId="0" fontId="0" fillId="0" borderId="0" xfId="0" applyBorder="1" applyAlignment="1"/>
    <xf numFmtId="0" fontId="5" fillId="2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Border="1" applyAlignment="1"/>
    <xf numFmtId="0" fontId="3" fillId="0" borderId="0" xfId="0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" fillId="0" borderId="0" xfId="0" applyNumberFormat="1" applyFont="1" applyBorder="1"/>
    <xf numFmtId="166" fontId="1" fillId="0" borderId="0" xfId="0" applyNumberFormat="1" applyFont="1" applyFill="1" applyBorder="1" applyAlignment="1">
      <alignment horizontal="left" indent="2"/>
    </xf>
    <xf numFmtId="166" fontId="0" fillId="0" borderId="0" xfId="0" applyNumberFormat="1" applyFont="1" applyFill="1" applyBorder="1"/>
    <xf numFmtId="166" fontId="2" fillId="7" borderId="3" xfId="0" applyNumberFormat="1" applyFont="1" applyFill="1" applyBorder="1" applyAlignment="1">
      <alignment horizontal="center" vertical="center" wrapText="1"/>
    </xf>
    <xf numFmtId="166" fontId="16" fillId="0" borderId="0" xfId="1" applyNumberFormat="1" applyFont="1" applyFill="1"/>
    <xf numFmtId="0" fontId="11" fillId="0" borderId="0" xfId="0" applyFont="1" applyBorder="1"/>
    <xf numFmtId="10" fontId="0" fillId="0" borderId="0" xfId="0" applyNumberFormat="1" applyAlignment="1">
      <alignment horizontal="center" vertical="center"/>
    </xf>
    <xf numFmtId="171" fontId="13" fillId="4" borderId="21" xfId="0" applyNumberFormat="1" applyFont="1" applyFill="1" applyBorder="1" applyAlignment="1">
      <alignment horizontal="center" vertical="center" wrapText="1"/>
    </xf>
    <xf numFmtId="171" fontId="0" fillId="0" borderId="27" xfId="2" applyNumberFormat="1" applyFont="1" applyBorder="1"/>
    <xf numFmtId="171" fontId="13" fillId="7" borderId="21" xfId="0" applyNumberFormat="1" applyFont="1" applyFill="1" applyBorder="1" applyAlignment="1">
      <alignment horizontal="center" vertical="center" wrapText="1"/>
    </xf>
    <xf numFmtId="186" fontId="2" fillId="0" borderId="0" xfId="0" applyNumberFormat="1" applyFont="1"/>
    <xf numFmtId="165" fontId="0" fillId="3" borderId="0" xfId="0" applyNumberFormat="1" applyFill="1" applyAlignment="1">
      <alignment horizontal="center"/>
    </xf>
    <xf numFmtId="168" fontId="0" fillId="0" borderId="0" xfId="0" applyNumberFormat="1"/>
    <xf numFmtId="166" fontId="0" fillId="0" borderId="17" xfId="0" applyNumberFormat="1" applyFill="1" applyBorder="1" applyProtection="1">
      <protection locked="0"/>
    </xf>
    <xf numFmtId="176" fontId="3" fillId="0" borderId="0" xfId="1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Fill="1" applyBorder="1" applyAlignment="1" applyProtection="1">
      <alignment horizontal="center"/>
      <protection locked="0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Sheet1" xfId="14" xr:uid="{2F406B8B-DBAB-4F77-BB75-20E61183F0EA}"/>
    <cellStyle name="Percent" xfId="2" builtinId="5"/>
    <cellStyle name="Percent 2" xfId="6" xr:uid="{00000000-0005-0000-0000-00000C000000}"/>
    <cellStyle name="Percent 3" xfId="12" xr:uid="{00000000-0005-0000-0000-00000D000000}"/>
  </cellStyles>
  <dxfs count="9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4465-5986-494C-8FFA-169A8C3F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904875</xdr:colOff>
      <xdr:row>0</xdr:row>
      <xdr:rowOff>690952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AEA4A-3719-4327-B826-8D00BA3D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905000" cy="681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2</xdr:col>
      <xdr:colOff>809625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DF6A5-CE63-4B52-9863-C2F30A19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0"/>
          <a:ext cx="180022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B1:AJ274"/>
  <sheetViews>
    <sheetView tabSelected="1" zoomScaleNormal="100" zoomScaleSheetLayoutView="50" workbookViewId="0"/>
  </sheetViews>
  <sheetFormatPr defaultRowHeight="15" x14ac:dyDescent="0.25"/>
  <cols>
    <col min="1" max="1" width="5.7109375" customWidth="1"/>
    <col min="2" max="2" width="11.42578125" style="1" customWidth="1"/>
    <col min="3" max="3" width="13.85546875" style="1" customWidth="1"/>
    <col min="4" max="4" width="47.140625" customWidth="1"/>
    <col min="5" max="5" width="16.28515625" customWidth="1"/>
    <col min="6" max="16" width="14.7109375" customWidth="1"/>
    <col min="17" max="17" width="17.42578125" customWidth="1"/>
    <col min="18" max="18" width="20.7109375" customWidth="1"/>
    <col min="19" max="19" width="22.85546875" customWidth="1"/>
    <col min="20" max="20" width="5.7109375" style="28" customWidth="1"/>
    <col min="21" max="24" width="14.7109375" style="28" customWidth="1"/>
    <col min="25" max="25" width="5.7109375" style="28" customWidth="1"/>
    <col min="26" max="28" width="14" customWidth="1"/>
    <col min="29" max="30" width="14" style="17" customWidth="1"/>
    <col min="31" max="31" width="14" customWidth="1"/>
    <col min="32" max="32" width="5.7109375" customWidth="1"/>
    <col min="33" max="33" width="12.7109375" customWidth="1"/>
    <col min="34" max="34" width="15" customWidth="1"/>
    <col min="35" max="38" width="12.7109375" customWidth="1"/>
  </cols>
  <sheetData>
    <row r="1" spans="2:33" ht="58.5" customHeight="1" thickBot="1" x14ac:dyDescent="0.3">
      <c r="D1" s="51"/>
      <c r="AF1" s="52"/>
    </row>
    <row r="2" spans="2:33" ht="45.75" thickBot="1" x14ac:dyDescent="0.3">
      <c r="B2" s="220" t="s">
        <v>605</v>
      </c>
      <c r="C2" s="221"/>
      <c r="D2" s="221"/>
      <c r="E2" s="221"/>
      <c r="F2" s="221"/>
      <c r="G2" s="222"/>
      <c r="H2" s="53"/>
      <c r="J2" s="54" t="s">
        <v>24</v>
      </c>
      <c r="K2" s="14">
        <v>0.9</v>
      </c>
      <c r="L2" s="125" t="s">
        <v>25</v>
      </c>
      <c r="M2" s="125" t="s">
        <v>26</v>
      </c>
      <c r="N2" s="125" t="s">
        <v>27</v>
      </c>
      <c r="O2" s="52"/>
      <c r="P2" s="223" t="s">
        <v>550</v>
      </c>
      <c r="Q2" s="224"/>
      <c r="AF2" s="52"/>
    </row>
    <row r="3" spans="2:33" ht="15.75" thickBot="1" x14ac:dyDescent="0.3">
      <c r="B3" s="22"/>
      <c r="H3" s="53"/>
      <c r="K3" s="55">
        <v>1</v>
      </c>
      <c r="L3" s="170">
        <f t="shared" ref="L3:L11" si="0">SUMPRODUCT(--($C$26:$C$300=$K3),$E$26:$E$300)</f>
        <v>337677.8126328761</v>
      </c>
      <c r="M3" s="56">
        <f>INDEX('Cost Bands for 2020 MFAM'!$M$6:$M$255,MATCH('2020 Funding'!K3,'Cost Bands for 2020 MFAM'!$C$6:$C$255,0))</f>
        <v>426.06642298533001</v>
      </c>
      <c r="N3" s="109">
        <f>INDEX('Cost Bands for 2020 MFAM'!$R$6:$R$255,MATCH('2020 Funding'!K3,'Cost Bands for 2020 MFAM'!$C$6:$C$255,0))</f>
        <v>624.17706802258317</v>
      </c>
      <c r="O3" s="141"/>
      <c r="P3" s="57" t="s">
        <v>28</v>
      </c>
      <c r="Q3" s="58">
        <f>Z24</f>
        <v>126031362.15521505</v>
      </c>
      <c r="AF3" s="52"/>
    </row>
    <row r="4" spans="2:33" x14ac:dyDescent="0.25">
      <c r="D4" s="59" t="s">
        <v>549</v>
      </c>
      <c r="E4" s="60"/>
      <c r="F4" s="60"/>
      <c r="G4" s="61"/>
      <c r="H4" s="53"/>
      <c r="K4" s="62">
        <v>2</v>
      </c>
      <c r="L4" s="162">
        <f t="shared" si="0"/>
        <v>219900.90000000002</v>
      </c>
      <c r="M4" s="63">
        <f>INDEX('Cost Bands for 2020 MFAM'!$M$6:$M$255,MATCH('2020 Funding'!K4,'Cost Bands for 2020 MFAM'!$C$6:$C$255,0))</f>
        <v>243.88282853776408</v>
      </c>
      <c r="N4" s="126">
        <f>INDEX('Cost Bands for 2020 MFAM'!$R$6:$R$255,MATCH('2020 Funding'!K4,'Cost Bands for 2020 MFAM'!$C$6:$C$255,0))</f>
        <v>320.69251139425216</v>
      </c>
      <c r="O4" s="141"/>
      <c r="P4" s="57" t="s">
        <v>29</v>
      </c>
      <c r="Q4" s="58">
        <f>-E9</f>
        <v>0</v>
      </c>
      <c r="AF4" s="52"/>
    </row>
    <row r="5" spans="2:33" x14ac:dyDescent="0.25">
      <c r="D5" s="64"/>
      <c r="E5" s="65"/>
      <c r="F5" s="65"/>
      <c r="G5" s="66"/>
      <c r="H5" s="67"/>
      <c r="I5" s="68"/>
      <c r="K5" s="62">
        <v>3</v>
      </c>
      <c r="L5" s="162">
        <f t="shared" si="0"/>
        <v>47742.740484742419</v>
      </c>
      <c r="M5" s="63">
        <f>INDEX('Cost Bands for 2020 MFAM'!$M$6:$M$255,MATCH('2020 Funding'!K5,'Cost Bands for 2020 MFAM'!$C$6:$C$255,0))</f>
        <v>303.46719151218764</v>
      </c>
      <c r="N5" s="126">
        <f>INDEX('Cost Bands for 2020 MFAM'!$R$6:$R$255,MATCH('2020 Funding'!K5,'Cost Bands for 2020 MFAM'!$C$6:$C$255,0))</f>
        <v>539.05223912945075</v>
      </c>
      <c r="O5" s="141"/>
      <c r="P5" s="57" t="s">
        <v>30</v>
      </c>
      <c r="Q5" s="69">
        <f>AE24</f>
        <v>126222003.65657386</v>
      </c>
      <c r="AF5" s="52"/>
    </row>
    <row r="6" spans="2:33" x14ac:dyDescent="0.25">
      <c r="D6" s="70" t="s">
        <v>31</v>
      </c>
      <c r="E6" s="172">
        <v>130723482.62521513</v>
      </c>
      <c r="F6" s="52"/>
      <c r="G6" s="58"/>
      <c r="H6" s="67"/>
      <c r="I6" s="68"/>
      <c r="K6" s="62">
        <v>4</v>
      </c>
      <c r="L6" s="162">
        <f t="shared" si="0"/>
        <v>96470.661000000007</v>
      </c>
      <c r="M6" s="63">
        <f>INDEX('Cost Bands for 2020 MFAM'!$M$6:$M$255,MATCH('2020 Funding'!K6,'Cost Bands for 2020 MFAM'!$C$6:$C$255,0))</f>
        <v>415.54724622442467</v>
      </c>
      <c r="N6" s="126">
        <f>INDEX('Cost Bands for 2020 MFAM'!$R$6:$R$255,MATCH('2020 Funding'!K6,'Cost Bands for 2020 MFAM'!$C$6:$C$255,0))</f>
        <v>584.42303161410325</v>
      </c>
      <c r="O6" s="141"/>
      <c r="P6" s="57" t="s">
        <v>32</v>
      </c>
      <c r="Q6" s="58">
        <f>-E8</f>
        <v>4692120.47</v>
      </c>
      <c r="AF6" s="52"/>
    </row>
    <row r="7" spans="2:33" ht="15.75" thickBot="1" x14ac:dyDescent="0.3">
      <c r="D7" s="70"/>
      <c r="E7" s="52"/>
      <c r="F7" s="52"/>
      <c r="G7" s="58"/>
      <c r="H7" s="67"/>
      <c r="I7" s="68"/>
      <c r="K7" s="62">
        <v>5</v>
      </c>
      <c r="L7" s="162">
        <f t="shared" si="0"/>
        <v>18563.504774544937</v>
      </c>
      <c r="M7" s="63">
        <f>INDEX('Cost Bands for 2020 MFAM'!$M$6:$M$255,MATCH('2020 Funding'!K7,'Cost Bands for 2020 MFAM'!$C$6:$C$255,0))</f>
        <v>289.31794858935302</v>
      </c>
      <c r="N7" s="126">
        <f>INDEX('Cost Bands for 2020 MFAM'!$R$6:$R$255,MATCH('2020 Funding'!K7,'Cost Bands for 2020 MFAM'!$C$6:$C$255,0))</f>
        <v>460.0519258022382</v>
      </c>
      <c r="O7" s="141"/>
      <c r="P7" s="57" t="s">
        <v>33</v>
      </c>
      <c r="Q7" s="58">
        <f>AB24</f>
        <v>-25576.658641328824</v>
      </c>
      <c r="AF7" s="52"/>
    </row>
    <row r="8" spans="2:33" ht="15.75" thickTop="1" x14ac:dyDescent="0.25">
      <c r="D8" s="70" t="s">
        <v>606</v>
      </c>
      <c r="E8" s="174">
        <v>-4692120.47</v>
      </c>
      <c r="F8" s="71"/>
      <c r="G8" s="58"/>
      <c r="H8" s="67"/>
      <c r="I8" s="68"/>
      <c r="K8" s="62">
        <v>6</v>
      </c>
      <c r="L8" s="162">
        <f t="shared" si="0"/>
        <v>10653.622655484518</v>
      </c>
      <c r="M8" s="63">
        <f>INDEX('Cost Bands for 2020 MFAM'!$M$6:$M$255,MATCH('2020 Funding'!K8,'Cost Bands for 2020 MFAM'!$C$6:$C$255,0))</f>
        <v>698.28388420281556</v>
      </c>
      <c r="N8" s="126">
        <f>INDEX('Cost Bands for 2020 MFAM'!$R$6:$R$255,MATCH('2020 Funding'!K8,'Cost Bands for 2020 MFAM'!$C$6:$C$255,0))</f>
        <v>1287.7074365492217</v>
      </c>
      <c r="O8" s="141"/>
      <c r="P8" s="57" t="s">
        <v>35</v>
      </c>
      <c r="Q8" s="72">
        <f>Q3+Q6+Q7</f>
        <v>130697905.96657373</v>
      </c>
      <c r="AF8" s="52"/>
    </row>
    <row r="9" spans="2:33" ht="15.75" thickBot="1" x14ac:dyDescent="0.3">
      <c r="D9" s="73" t="s">
        <v>36</v>
      </c>
      <c r="E9" s="71">
        <v>0</v>
      </c>
      <c r="F9" s="19"/>
      <c r="G9" s="74"/>
      <c r="H9" s="67"/>
      <c r="I9" s="84"/>
      <c r="K9" s="62">
        <v>7</v>
      </c>
      <c r="L9" s="162">
        <f t="shared" si="0"/>
        <v>38048.660464763831</v>
      </c>
      <c r="M9" s="63">
        <f>INDEX('Cost Bands for 2020 MFAM'!$M$6:$M$255,MATCH('2020 Funding'!K9,'Cost Bands for 2020 MFAM'!$C$6:$C$255,0))</f>
        <v>478.30294543098512</v>
      </c>
      <c r="N9" s="126">
        <f>INDEX('Cost Bands for 2020 MFAM'!$R$6:$R$255,MATCH('2020 Funding'!K9,'Cost Bands for 2020 MFAM'!$C$6:$C$255,0))</f>
        <v>728.05685840676222</v>
      </c>
      <c r="O9" s="141"/>
      <c r="P9" s="75" t="s">
        <v>37</v>
      </c>
      <c r="Q9" s="76">
        <f>-E9-AB24</f>
        <v>25576.658641328824</v>
      </c>
      <c r="AF9" s="52"/>
    </row>
    <row r="10" spans="2:33" ht="15.75" thickBot="1" x14ac:dyDescent="0.3">
      <c r="D10" s="70" t="s">
        <v>587</v>
      </c>
      <c r="E10" s="152">
        <f>E6+E8+E9</f>
        <v>126031362.15521513</v>
      </c>
      <c r="F10" s="52"/>
      <c r="G10" s="58"/>
      <c r="H10" s="67"/>
      <c r="I10" s="68"/>
      <c r="K10" s="62">
        <v>8</v>
      </c>
      <c r="L10" s="162">
        <f t="shared" si="0"/>
        <v>4230.8710914441808</v>
      </c>
      <c r="M10" s="63">
        <f>INDEX('Cost Bands for 2020 MFAM'!$M$6:$M$255,MATCH('2020 Funding'!K10,'Cost Bands for 2020 MFAM'!$C$6:$C$255,0))</f>
        <v>865.93982913089087</v>
      </c>
      <c r="N10" s="126">
        <f>INDEX('Cost Bands for 2020 MFAM'!$R$6:$R$255,MATCH('2020 Funding'!K10,'Cost Bands for 2020 MFAM'!$C$6:$C$255,0))</f>
        <v>1714.0233298154035</v>
      </c>
      <c r="O10" s="142"/>
      <c r="P10" s="78"/>
      <c r="Q10" s="84">
        <f>Q8+Q9</f>
        <v>130723482.62521505</v>
      </c>
      <c r="R10" s="78"/>
      <c r="AF10" s="52"/>
    </row>
    <row r="11" spans="2:33" ht="16.5" thickTop="1" thickBot="1" x14ac:dyDescent="0.3">
      <c r="D11" s="70" t="s">
        <v>38</v>
      </c>
      <c r="E11" s="52">
        <f>E10-E9</f>
        <v>126031362.15521513</v>
      </c>
      <c r="F11" s="79"/>
      <c r="G11" s="58"/>
      <c r="H11" s="67"/>
      <c r="I11" s="68"/>
      <c r="K11" s="80">
        <v>9</v>
      </c>
      <c r="L11" s="171">
        <f t="shared" si="0"/>
        <v>7266.4448883780678</v>
      </c>
      <c r="M11" s="82">
        <f>INDEX('Cost Bands for 2020 MFAM'!$M$6:$M$255,MATCH('2020 Funding'!K11,'Cost Bands for 2020 MFAM'!$C$6:$C$255,0))</f>
        <v>663.07888025219313</v>
      </c>
      <c r="N11" s="127">
        <f>INDEX('Cost Bands for 2020 MFAM'!$R$6:$R$255,MATCH('2020 Funding'!K11,'Cost Bands for 2020 MFAM'!$C$6:$C$255,0))</f>
        <v>1275.7139834414479</v>
      </c>
      <c r="O11" s="142"/>
      <c r="P11" s="78"/>
      <c r="Q11" s="78"/>
      <c r="R11" s="78"/>
      <c r="AF11" s="52"/>
    </row>
    <row r="12" spans="2:33" x14ac:dyDescent="0.25">
      <c r="D12" s="57"/>
      <c r="E12" s="52"/>
      <c r="F12" s="19"/>
      <c r="G12" s="74"/>
      <c r="H12" s="68"/>
      <c r="I12" s="68"/>
      <c r="J12" s="68"/>
      <c r="K12" s="53"/>
      <c r="L12" s="53"/>
      <c r="O12" s="78"/>
      <c r="P12" s="78"/>
      <c r="Q12" s="83"/>
      <c r="R12" s="78"/>
      <c r="Z12" s="52"/>
      <c r="AA12" s="52"/>
      <c r="AB12" s="52"/>
      <c r="AC12" s="52"/>
      <c r="AD12" s="52"/>
      <c r="AE12" s="52"/>
      <c r="AF12" s="52"/>
      <c r="AG12" s="52"/>
    </row>
    <row r="13" spans="2:33" x14ac:dyDescent="0.25">
      <c r="D13" s="64" t="s">
        <v>607</v>
      </c>
      <c r="E13" s="153"/>
      <c r="F13" s="65"/>
      <c r="G13" s="66"/>
      <c r="H13" s="67"/>
      <c r="I13" s="68"/>
      <c r="J13" s="84"/>
      <c r="K13" s="53"/>
      <c r="L13" s="110"/>
      <c r="M13" s="53"/>
      <c r="O13" s="78"/>
      <c r="P13" s="78"/>
      <c r="Q13" s="78"/>
      <c r="R13" s="78"/>
      <c r="AF13" s="52"/>
    </row>
    <row r="14" spans="2:33" x14ac:dyDescent="0.25">
      <c r="D14" s="70" t="s">
        <v>51</v>
      </c>
      <c r="E14" s="52">
        <f>$E$11*G14</f>
        <v>63015681.077607565</v>
      </c>
      <c r="F14" s="16"/>
      <c r="G14" s="85">
        <v>0.5</v>
      </c>
      <c r="H14" s="53"/>
      <c r="I14" s="53"/>
      <c r="J14" s="53"/>
      <c r="K14" s="53"/>
      <c r="O14" s="78"/>
      <c r="P14" s="78"/>
      <c r="Q14" s="78"/>
      <c r="R14" s="78"/>
      <c r="AF14" s="52"/>
    </row>
    <row r="15" spans="2:33" x14ac:dyDescent="0.25">
      <c r="D15" s="70" t="s">
        <v>50</v>
      </c>
      <c r="E15" s="52">
        <f>$E$11*G15</f>
        <v>44110976.754325293</v>
      </c>
      <c r="F15" s="86">
        <f>E15/E19</f>
        <v>56.51230782594574</v>
      </c>
      <c r="G15" s="85">
        <v>0.35</v>
      </c>
      <c r="H15" s="53"/>
      <c r="I15" s="53"/>
      <c r="J15" s="53"/>
      <c r="K15" s="53"/>
      <c r="L15" s="149" t="s">
        <v>296</v>
      </c>
      <c r="Z15" s="24"/>
      <c r="AA15" s="24"/>
      <c r="AB15" s="24"/>
      <c r="AC15" s="24"/>
      <c r="AD15" s="24"/>
      <c r="AE15" s="24"/>
      <c r="AF15" s="52"/>
    </row>
    <row r="16" spans="2:33" x14ac:dyDescent="0.25">
      <c r="D16" s="70" t="s">
        <v>49</v>
      </c>
      <c r="E16" s="154">
        <f>$E$11*G16</f>
        <v>18904704.323282268</v>
      </c>
      <c r="F16" s="16"/>
      <c r="G16" s="85">
        <v>0.15</v>
      </c>
      <c r="H16" s="53"/>
      <c r="I16" s="53"/>
      <c r="J16" s="53"/>
      <c r="K16" s="53"/>
      <c r="L16" s="88"/>
      <c r="Z16" s="24"/>
      <c r="AA16" s="24"/>
      <c r="AB16" s="24"/>
      <c r="AC16" s="24"/>
      <c r="AD16" s="24"/>
      <c r="AE16" s="24"/>
    </row>
    <row r="17" spans="2:36" ht="15.75" thickBot="1" x14ac:dyDescent="0.3">
      <c r="D17" s="70" t="s">
        <v>588</v>
      </c>
      <c r="E17" s="155">
        <f>E14+E15+E16</f>
        <v>126031362.15521513</v>
      </c>
      <c r="F17" s="16"/>
      <c r="G17" s="90"/>
      <c r="H17" s="53"/>
      <c r="I17" s="53"/>
      <c r="J17" s="53"/>
      <c r="K17" s="53"/>
      <c r="M17" s="14">
        <v>0.5</v>
      </c>
      <c r="N17" s="14">
        <v>0.35</v>
      </c>
      <c r="O17" s="14">
        <v>0.15</v>
      </c>
      <c r="P17" s="14"/>
      <c r="Z17" s="24"/>
      <c r="AA17" s="24"/>
      <c r="AB17" s="24"/>
      <c r="AC17" s="24"/>
      <c r="AD17" s="24"/>
      <c r="AE17" s="24"/>
    </row>
    <row r="18" spans="2:36" ht="16.5" thickTop="1" thickBot="1" x14ac:dyDescent="0.3">
      <c r="D18" s="57"/>
      <c r="E18" s="16"/>
      <c r="F18" s="16"/>
      <c r="G18" s="90"/>
      <c r="H18" s="52"/>
      <c r="L18" s="53"/>
      <c r="M18" s="227" t="str">
        <f>"Model Funding Distribution Basis:   "&amp;TEXT(M17,"#,##0%")&amp;" Adjusted Net Costs, "&amp;TEXT(N17,"#,##0%")&amp;" Recovered Tonnage, "&amp;TEXT(O17,"#,##0%")&amp;" BP"</f>
        <v>Model Funding Distribution Basis:   50% Adjusted Net Costs, 35% Recovered Tonnage, 15% BP</v>
      </c>
      <c r="N18" s="228"/>
      <c r="O18" s="228"/>
      <c r="P18" s="228"/>
      <c r="Q18" s="228"/>
      <c r="R18" s="228"/>
      <c r="S18" s="229"/>
      <c r="T18" s="91"/>
      <c r="U18" s="91"/>
      <c r="V18" s="91"/>
      <c r="W18" s="91"/>
      <c r="X18" s="91"/>
      <c r="Y18" s="91"/>
      <c r="Z18" s="24"/>
      <c r="AA18" s="24"/>
      <c r="AB18" s="24"/>
      <c r="AC18" s="24"/>
      <c r="AD18" s="24"/>
      <c r="AE18" s="24"/>
    </row>
    <row r="19" spans="2:36" ht="15.75" thickBot="1" x14ac:dyDescent="0.3">
      <c r="D19" s="92" t="s">
        <v>39</v>
      </c>
      <c r="E19" s="171">
        <f>E24</f>
        <v>780555.21799223369</v>
      </c>
      <c r="F19" s="81"/>
      <c r="G19" s="93"/>
      <c r="H19" s="52"/>
      <c r="L19" s="53"/>
      <c r="M19" s="130"/>
      <c r="N19" s="131"/>
      <c r="O19" s="131"/>
      <c r="P19" s="131"/>
      <c r="Q19" s="131"/>
      <c r="R19" s="132">
        <f>75%</f>
        <v>0.75</v>
      </c>
      <c r="S19" s="137">
        <f>SUMPRODUCT(--(R$26:R$300&lt;R$19-0.5%),Q$26:Q$300)</f>
        <v>126031362.15521517</v>
      </c>
      <c r="T19" s="94"/>
      <c r="U19" s="94"/>
      <c r="V19" s="94"/>
      <c r="W19" s="94"/>
      <c r="X19" s="94"/>
      <c r="Y19" s="94"/>
      <c r="Z19" s="24"/>
      <c r="AA19" s="24"/>
      <c r="AB19" s="24"/>
      <c r="AC19" s="24"/>
      <c r="AD19" s="24"/>
      <c r="AE19" s="24"/>
    </row>
    <row r="20" spans="2:36" x14ac:dyDescent="0.25">
      <c r="H20" s="52"/>
      <c r="M20" s="134"/>
      <c r="N20" s="133"/>
      <c r="O20" s="133"/>
      <c r="P20" s="133"/>
      <c r="Q20" s="133"/>
      <c r="R20" s="135"/>
      <c r="S20" s="137"/>
      <c r="T20" s="95"/>
      <c r="U20" s="143"/>
      <c r="V20" s="143"/>
      <c r="W20" s="143"/>
      <c r="X20" s="143"/>
      <c r="Y20" s="95"/>
      <c r="Z20" s="24"/>
      <c r="AA20" s="24"/>
      <c r="AB20" s="24"/>
      <c r="AC20" s="24"/>
      <c r="AD20" s="24"/>
      <c r="AE20" s="24"/>
    </row>
    <row r="21" spans="2:36" x14ac:dyDescent="0.25">
      <c r="H21" s="52"/>
      <c r="M21" s="134"/>
      <c r="N21" s="133"/>
      <c r="O21" s="133"/>
      <c r="P21" s="133"/>
      <c r="Q21" s="133"/>
      <c r="R21" s="133"/>
      <c r="S21" s="137"/>
      <c r="T21" s="94"/>
      <c r="U21" s="144"/>
      <c r="V21" s="144"/>
      <c r="W21" s="144"/>
      <c r="X21" s="144"/>
      <c r="Y21" s="94"/>
      <c r="Z21" s="24"/>
      <c r="AA21" s="24"/>
      <c r="AB21" s="24"/>
      <c r="AC21" s="24"/>
      <c r="AD21" s="24"/>
      <c r="AE21" s="24"/>
    </row>
    <row r="22" spans="2:36" x14ac:dyDescent="0.25">
      <c r="H22" s="52"/>
      <c r="I22" s="97">
        <f>SMALL(I26:I269,5)</f>
        <v>175.34784459953138</v>
      </c>
      <c r="M22" s="134"/>
      <c r="N22" s="133"/>
      <c r="O22" s="136"/>
      <c r="P22" s="136"/>
      <c r="Q22" s="136"/>
      <c r="R22" s="133" cm="1">
        <f t="array" ref="R22">SUMPRODUCT(--($R$26:$R$300&lt;R19),Q26:Q300)</f>
        <v>126031362.15521517</v>
      </c>
      <c r="S22" s="137">
        <f>SUMPRODUCT(--(R$26:R$300&gt;R$19),Q$26:Q$300)-SUMPRODUCT(--(R$26:R$300&gt;R$19),$K$26:$K$300)*R$19</f>
        <v>0</v>
      </c>
      <c r="T22" s="94"/>
      <c r="U22" s="145"/>
      <c r="W22" s="105">
        <f>U23+V23</f>
        <v>-4774.6277588058383</v>
      </c>
      <c r="X22" s="105"/>
      <c r="Y22" s="94"/>
      <c r="Z22" s="24"/>
      <c r="AA22" s="24"/>
      <c r="AB22" s="24"/>
      <c r="AC22" s="24"/>
      <c r="AD22" s="24"/>
      <c r="AE22" s="24"/>
    </row>
    <row r="23" spans="2:36" ht="15.75" thickBot="1" x14ac:dyDescent="0.3">
      <c r="D23" s="18"/>
      <c r="E23" s="19"/>
      <c r="F23" s="19"/>
      <c r="G23" s="19"/>
      <c r="H23" s="16"/>
      <c r="I23" s="97">
        <f>LARGE(I26:I269,5)</f>
        <v>3149.6066118090275</v>
      </c>
      <c r="K23" s="96">
        <v>244990724.68231803</v>
      </c>
      <c r="M23" s="134"/>
      <c r="N23" s="133"/>
      <c r="O23" s="133">
        <f>E16-O24</f>
        <v>3592257.7363773305</v>
      </c>
      <c r="P23" s="136"/>
      <c r="Q23" s="136"/>
      <c r="R23" s="133" cm="1">
        <f t="array" ref="R23">SUMPRODUCT(--($R$26:$R$300&gt;$R$19),$Q$26:$Q$300)-$R$19*SUMPRODUCT(--($R$26:$R$300&gt;$R$19),$K$26:$K$300)</f>
        <v>0</v>
      </c>
      <c r="S23" s="137">
        <f>SUM(S26:S300)</f>
        <v>126031362.15521517</v>
      </c>
      <c r="T23" s="94"/>
      <c r="U23" s="105">
        <f>SUM(U26:U300)</f>
        <v>-1446.9881901799499</v>
      </c>
      <c r="V23" s="105">
        <f>SUM(V26:V300)</f>
        <v>-3327.6395686258884</v>
      </c>
      <c r="W23" s="105">
        <f>SUM(W26:W300)</f>
        <v>4774.6277588058447</v>
      </c>
      <c r="X23" s="105">
        <f>SUM(X26:X300)</f>
        <v>6.6251004682271741E-11</v>
      </c>
      <c r="Y23" s="94"/>
      <c r="Z23" s="24"/>
      <c r="AA23" s="24"/>
      <c r="AB23" s="97">
        <f>-AB24</f>
        <v>25576.658641328824</v>
      </c>
      <c r="AC23" s="97"/>
      <c r="AD23" s="52">
        <f>AC24+AD24</f>
        <v>216218.16000000015</v>
      </c>
      <c r="AE23" s="24"/>
      <c r="AG23" s="24"/>
    </row>
    <row r="24" spans="2:36" ht="15.75" thickBot="1" x14ac:dyDescent="0.3">
      <c r="E24" s="162">
        <f>SUM(E26:E300)</f>
        <v>780555.21799223369</v>
      </c>
      <c r="F24" s="16">
        <f>SUM(F26:F300)</f>
        <v>366648957.74999952</v>
      </c>
      <c r="G24" s="16">
        <f>SUM(G26:G300)</f>
        <v>75098964.159999996</v>
      </c>
      <c r="H24" s="16">
        <f>SUM(H26:H300)</f>
        <v>291549993.58999985</v>
      </c>
      <c r="I24" s="16"/>
      <c r="J24" t="s">
        <v>12</v>
      </c>
      <c r="K24" s="16">
        <f>SUM(K26:K300)</f>
        <v>285983717.82177174</v>
      </c>
      <c r="L24" s="98"/>
      <c r="M24" s="99">
        <f>SUM(M26:M300)</f>
        <v>63015681.077607542</v>
      </c>
      <c r="N24" s="100">
        <f>SUM(N26:N300)</f>
        <v>44110976.754325271</v>
      </c>
      <c r="O24" s="100">
        <f>IFERROR(SUM(O26:O300),0)</f>
        <v>15312446.586904937</v>
      </c>
      <c r="P24" s="100">
        <f>SUM(P26:P300)</f>
        <v>3592257.7363773338</v>
      </c>
      <c r="Q24" s="100">
        <f>SUM(Q26:Q300)</f>
        <v>126031362.15521517</v>
      </c>
      <c r="R24" s="225" t="str">
        <f xml:space="preserve"> "Limit: "&amp;TEXT(R19,"#,##0.0%")&amp;" of Filtered Net Cost"</f>
        <v>Limit: 75.0% of Filtered Net Cost</v>
      </c>
      <c r="S24" s="226"/>
      <c r="T24" s="91"/>
      <c r="U24" s="217" t="s">
        <v>54</v>
      </c>
      <c r="V24" s="218"/>
      <c r="W24" s="218"/>
      <c r="X24" s="219"/>
      <c r="Y24" s="91"/>
      <c r="Z24" s="52">
        <f>SUM(Z26:Z300)</f>
        <v>126031362.15521505</v>
      </c>
      <c r="AA24" s="101">
        <v>0.1</v>
      </c>
      <c r="AB24" s="52">
        <f>SUM(AB26:AB300)</f>
        <v>-25576.658641328824</v>
      </c>
      <c r="AC24" s="52">
        <f>SUM(AC26:AC300)</f>
        <v>216020.23808224127</v>
      </c>
      <c r="AD24" s="52">
        <f>SUM(AD26:AD300)</f>
        <v>197.92191775888233</v>
      </c>
      <c r="AE24" s="52">
        <f>SUM(AE26:AE300)</f>
        <v>126222003.65657386</v>
      </c>
      <c r="AG24" s="52">
        <f>SUM(AG26:AG300)</f>
        <v>32581781.13048977</v>
      </c>
      <c r="AH24" s="52">
        <f t="shared" ref="AH24:AJ24" si="1">SUM(AH26:AH300)</f>
        <v>32581781.13048977</v>
      </c>
      <c r="AI24" s="52">
        <f t="shared" si="1"/>
        <v>32581781.13048977</v>
      </c>
      <c r="AJ24" s="52">
        <f t="shared" si="1"/>
        <v>28476660.265104506</v>
      </c>
    </row>
    <row r="25" spans="2:36" ht="60.75" thickBot="1" x14ac:dyDescent="0.3">
      <c r="B25" s="113" t="s">
        <v>11</v>
      </c>
      <c r="C25" s="113" t="s">
        <v>10</v>
      </c>
      <c r="D25" s="113" t="s">
        <v>9</v>
      </c>
      <c r="E25" s="139" t="s">
        <v>567</v>
      </c>
      <c r="F25" s="139" t="s">
        <v>568</v>
      </c>
      <c r="G25" s="139" t="s">
        <v>569</v>
      </c>
      <c r="H25" s="114" t="s">
        <v>570</v>
      </c>
      <c r="I25" s="114" t="s">
        <v>8</v>
      </c>
      <c r="J25" s="114" t="s">
        <v>1</v>
      </c>
      <c r="K25" s="114" t="str">
        <f>"Adjusted Net Cost"&amp;CHAR(10)&amp;TEXT(SUM(K26:K300),"$#,##0")</f>
        <v>Adjusted Net Cost
$285,983,718</v>
      </c>
      <c r="L25" s="139" t="s">
        <v>40</v>
      </c>
      <c r="M25" s="114" t="s">
        <v>41</v>
      </c>
      <c r="N25" s="114" t="s">
        <v>42</v>
      </c>
      <c r="O25" s="115" t="s">
        <v>43</v>
      </c>
      <c r="P25" s="114" t="s">
        <v>44</v>
      </c>
      <c r="Q25" s="114" t="str">
        <f>"Subtotal Funding Net of CIF"&amp;CHAR(10)&amp;TEXT(SUM(Q26:Q300),"$#,##0")</f>
        <v>Subtotal Funding Net of CIF
$126,031,362</v>
      </c>
      <c r="R25" s="115" t="s">
        <v>45</v>
      </c>
      <c r="S25" s="114" t="str">
        <f>"Total Payment"&amp;CHAR(10)&amp;TEXT(SUM($S$26:$S$300),"$#,##0;(-$#,##0)")</f>
        <v>Total Payment
$126,031,362</v>
      </c>
      <c r="T25" s="102"/>
      <c r="U25" s="114" t="s">
        <v>551</v>
      </c>
      <c r="V25" s="114" t="s">
        <v>552</v>
      </c>
      <c r="W25" s="114" t="s">
        <v>52</v>
      </c>
      <c r="X25" s="114" t="s">
        <v>53</v>
      </c>
      <c r="Y25" s="102"/>
      <c r="Z25" s="114" t="str">
        <f>"Final Payment"&amp;CHAR(10)&amp;TEXT(SUM(Z26:Z265),"$#,##0")</f>
        <v>Final Payment
$125,775,013</v>
      </c>
      <c r="AA25" s="114" t="s">
        <v>46</v>
      </c>
      <c r="AB25" s="114" t="s">
        <v>47</v>
      </c>
      <c r="AC25" s="114" t="s">
        <v>603</v>
      </c>
      <c r="AD25" s="114" t="s">
        <v>604</v>
      </c>
      <c r="AE25" s="114" t="s">
        <v>48</v>
      </c>
      <c r="AG25" s="114" t="s">
        <v>553</v>
      </c>
      <c r="AH25" s="114" t="s">
        <v>598</v>
      </c>
      <c r="AI25" s="114" t="s">
        <v>599</v>
      </c>
      <c r="AJ25" s="114" t="s">
        <v>600</v>
      </c>
    </row>
    <row r="26" spans="2:36" x14ac:dyDescent="0.25">
      <c r="B26">
        <v>1</v>
      </c>
      <c r="C26" s="27">
        <v>1</v>
      </c>
      <c r="D26" s="39" t="s">
        <v>299</v>
      </c>
      <c r="E26" s="162">
        <f>INDEX('2018 Data Lockdown'!H$5:H$255, MATCH(B26,'2018 Data Lockdown'!B$5:B$255,0))</f>
        <v>38779.589531164704</v>
      </c>
      <c r="F26" s="5">
        <f>INDEX('2018 Data Lockdown'!E$5:E$255,MATCH(B26,'2018 Data Lockdown'!B$5:B$255,0))</f>
        <v>9766397.1899999995</v>
      </c>
      <c r="G26" s="5">
        <f>INDEX('2018 Data Lockdown'!F$5:F$255, MATCH(B26,'2018 Data Lockdown'!B$5:B$255,0))</f>
        <v>568925.55000000005</v>
      </c>
      <c r="H26" s="5">
        <f t="shared" ref="H26:H89" si="2">F26-G26</f>
        <v>9197471.6399999987</v>
      </c>
      <c r="I26" s="103">
        <f t="shared" ref="I26:I89" si="3">IFERROR(H26/E26,"n.a.")</f>
        <v>237.17300134413676</v>
      </c>
      <c r="J26" s="6">
        <f t="shared" ref="J26:J89" si="4">MIN(I26,INDEX($N$3:$N$11,MATCH(C26,$K$3:$K$11,0)))</f>
        <v>237.17300134413676</v>
      </c>
      <c r="K26" s="5">
        <f t="shared" ref="K26:K89" si="5">E26*J26</f>
        <v>9197471.6399999987</v>
      </c>
      <c r="L26" s="140">
        <f>INDEX('2018 Best Practice Scores'!M$4:M$255,MATCH(B26,'2018 Best Practice Scores'!A$4:A$255,0))</f>
        <v>1</v>
      </c>
      <c r="M26" s="105">
        <f t="shared" ref="M26:M89" si="6">$E$14*(K26/$K$24)</f>
        <v>2026636.1455856867</v>
      </c>
      <c r="N26" s="105">
        <f t="shared" ref="N26:N89" si="7">$E$15*(E26/$E$24)</f>
        <v>2191524.1009490029</v>
      </c>
      <c r="O26" s="105">
        <f t="shared" ref="O26:O89" si="8">IFERROR(L26*$E$16*(K26/$K$24),0)</f>
        <v>607990.84367570595</v>
      </c>
      <c r="P26" s="105">
        <f>($O$23+$E$9)*(K26/$K$24)</f>
        <v>115529.9641026829</v>
      </c>
      <c r="Q26" s="105">
        <f t="shared" ref="Q26:Q89" si="9">M26+N26+O26+P26</f>
        <v>4941681.0543130776</v>
      </c>
      <c r="R26" s="112">
        <f t="shared" ref="R26:R89" si="10">IFERROR((Q26/K26),0)</f>
        <v>0.53728690315516736</v>
      </c>
      <c r="S26" s="175">
        <f t="shared" ref="S26:S89" si="11">IF(R26&gt;$R$19,$R$19*K26,Q26+($R$23*Q26/$R$22))</f>
        <v>4941681.0543130776</v>
      </c>
      <c r="T26" s="105"/>
      <c r="U26" s="105">
        <f>IFERROR(INDEX('Revised 2019 MFAM(2017 PYAs)'!AD$26:AD$270,MATCH(B26,'Revised 2019 MFAM(2017 PYAs)'!B$26:B$270,0)),0)</f>
        <v>47629.713782751933</v>
      </c>
      <c r="V26" s="105">
        <f>IFERROR(INDEX('Revised 2018 MFAM(2016 PYAs)'!AF$26:AF$266,MATCH(B26,'Revised 2018 MFAM(2016 PYAs)'!B$26:B$266,0)),0)</f>
        <v>58491.400967555121</v>
      </c>
      <c r="W26" s="105">
        <f t="shared" ref="W26:W89" si="12">-$W$22*(S26/$E$17)</f>
        <v>187.2128265028974</v>
      </c>
      <c r="X26" s="105">
        <f t="shared" ref="X26:X89" si="13">SUM(U26:W26)</f>
        <v>106308.32757680996</v>
      </c>
      <c r="Y26" s="105"/>
      <c r="Z26" s="106">
        <f t="shared" ref="Z26:Z89" si="14">S26+X26</f>
        <v>5047989.3818898872</v>
      </c>
      <c r="AA26" s="107">
        <v>0</v>
      </c>
      <c r="AB26" s="108">
        <f t="shared" ref="AB26:AB89" si="15">-$AA$24*AA26*Z26</f>
        <v>0</v>
      </c>
      <c r="AC26" s="108">
        <f>IFERROR(INDEX('Revised 2019 MFAM(2017 PYAs)'!AF$26:AF$270,MATCH(B26,'Revised 2019 MFAM(2017 PYAs)'!B$26:B$270,0)),0)</f>
        <v>8963.083036602633</v>
      </c>
      <c r="AD26" s="216">
        <f>AC26/AC$24*('Revised 2019 MFAM(2017 PYAs)'!AF$24-'2020 Funding'!AC$24)</f>
        <v>8.2121499327350964</v>
      </c>
      <c r="AE26" s="105">
        <f>Z26+AB26+AC26+AD26</f>
        <v>5056960.6770764226</v>
      </c>
      <c r="AF26" s="105"/>
      <c r="AG26" s="105">
        <v>1304425.6352943382</v>
      </c>
      <c r="AH26" s="105">
        <v>1304425.6352943382</v>
      </c>
      <c r="AI26" s="105">
        <v>1304425.6352943382</v>
      </c>
      <c r="AJ26" s="105">
        <f>AE26-AG26-AH26-AI26</f>
        <v>1143683.7711934079</v>
      </c>
    </row>
    <row r="27" spans="2:36" x14ac:dyDescent="0.25">
      <c r="B27">
        <v>20</v>
      </c>
      <c r="C27" s="27">
        <v>1</v>
      </c>
      <c r="D27" s="39" t="s">
        <v>300</v>
      </c>
      <c r="E27" s="162">
        <f>INDEX('2018 Data Lockdown'!H$5:H$255, MATCH(B27,'2018 Data Lockdown'!B$5:B$255,0))</f>
        <v>95138.34</v>
      </c>
      <c r="F27" s="5">
        <f>INDEX('2018 Data Lockdown'!E$5:E$255,MATCH(B27,'2018 Data Lockdown'!B$5:B$255,0))</f>
        <v>71739245.819999993</v>
      </c>
      <c r="G27" s="5">
        <f>INDEX('2018 Data Lockdown'!F$5:F$255, MATCH(B27,'2018 Data Lockdown'!B$5:B$255,0))</f>
        <v>10663964.02</v>
      </c>
      <c r="H27" s="5">
        <f t="shared" si="2"/>
        <v>61075281.799999997</v>
      </c>
      <c r="I27" s="103">
        <f t="shared" si="3"/>
        <v>641.96287006899638</v>
      </c>
      <c r="J27" s="6">
        <f t="shared" si="4"/>
        <v>624.17706802258317</v>
      </c>
      <c r="K27" s="5">
        <f t="shared" si="5"/>
        <v>59383170.117735647</v>
      </c>
      <c r="L27" s="140">
        <f>INDEX('2018 Best Practice Scores'!M$4:M$255,MATCH(B27,'2018 Best Practice Scores'!A$4:A$255,0))</f>
        <v>0.83378571428571413</v>
      </c>
      <c r="M27" s="105">
        <f t="shared" si="6"/>
        <v>13084908.952224495</v>
      </c>
      <c r="N27" s="105">
        <f t="shared" si="7"/>
        <v>5376487.1561294869</v>
      </c>
      <c r="O27" s="105">
        <f t="shared" si="8"/>
        <v>3273003.0471282103</v>
      </c>
      <c r="P27" s="105">
        <f t="shared" ref="P27:P89" si="16">($O$23+$E$9)*(K27/$K$24)</f>
        <v>745915.37550046877</v>
      </c>
      <c r="Q27" s="105">
        <f t="shared" si="9"/>
        <v>22480314.530982662</v>
      </c>
      <c r="R27" s="112">
        <f t="shared" si="10"/>
        <v>0.3785637325594477</v>
      </c>
      <c r="S27" s="175">
        <f t="shared" si="11"/>
        <v>22480314.530982662</v>
      </c>
      <c r="T27" s="105"/>
      <c r="U27" s="105">
        <f>IFERROR(INDEX('Revised 2019 MFAM(2017 PYAs)'!AD$26:AD$270,MATCH(B27,'Revised 2019 MFAM(2017 PYAs)'!B$26:B$270,0)),0)</f>
        <v>-1212519.846371185</v>
      </c>
      <c r="V27" s="105">
        <f>IFERROR(INDEX('Revised 2018 MFAM(2016 PYAs)'!AF$26:AF$266,MATCH(B27,'Revised 2018 MFAM(2016 PYAs)'!B$26:B$266,0)),0)</f>
        <v>-1239823.6073563099</v>
      </c>
      <c r="W27" s="105">
        <f t="shared" si="12"/>
        <v>851.65415933635995</v>
      </c>
      <c r="X27" s="105">
        <f t="shared" si="13"/>
        <v>-2451491.7995681586</v>
      </c>
      <c r="Y27" s="105"/>
      <c r="Z27" s="106">
        <f t="shared" si="14"/>
        <v>20028822.731414504</v>
      </c>
      <c r="AA27" s="107">
        <v>0</v>
      </c>
      <c r="AB27" s="108">
        <f t="shared" si="15"/>
        <v>0</v>
      </c>
      <c r="AC27" s="108">
        <f>IFERROR(INDEX('Revised 2019 MFAM(2017 PYAs)'!AF$26:AF$270,MATCH(B27,'Revised 2019 MFAM(2017 PYAs)'!B$26:B$270,0)),0)</f>
        <v>40844.705310102792</v>
      </c>
      <c r="AD27" s="216">
        <f>AC27/AC$24*('Revised 2019 MFAM(2017 PYAs)'!AF$24-'2020 Funding'!AC$24)</f>
        <v>37.422708525088495</v>
      </c>
      <c r="AE27" s="105">
        <f t="shared" ref="AE27:AE90" si="17">Z27+AB27+AC27+AD27</f>
        <v>20069704.859433133</v>
      </c>
      <c r="AF27" s="111"/>
      <c r="AG27" s="105">
        <v>5200329.4090890214</v>
      </c>
      <c r="AH27" s="214">
        <v>5200329.4090890214</v>
      </c>
      <c r="AI27" s="105">
        <v>5200329.4090890214</v>
      </c>
      <c r="AJ27" s="105">
        <f t="shared" ref="AJ27:AJ90" si="18">AE27-AG27-AH27-AI27</f>
        <v>4468716.632166069</v>
      </c>
    </row>
    <row r="28" spans="2:36" x14ac:dyDescent="0.25">
      <c r="B28">
        <v>50</v>
      </c>
      <c r="C28" s="27">
        <v>1</v>
      </c>
      <c r="D28" s="39" t="s">
        <v>301</v>
      </c>
      <c r="E28" s="162">
        <f>INDEX('2018 Data Lockdown'!H$5:H$255, MATCH(B28,'2018 Data Lockdown'!B$5:B$255,0))</f>
        <v>21832.32</v>
      </c>
      <c r="F28" s="5">
        <f>INDEX('2018 Data Lockdown'!E$5:E$255,MATCH(B28,'2018 Data Lockdown'!B$5:B$255,0))</f>
        <v>10267643.390000001</v>
      </c>
      <c r="G28" s="5">
        <f>INDEX('2018 Data Lockdown'!F$5:F$255, MATCH(B28,'2018 Data Lockdown'!B$5:B$255,0))</f>
        <v>3253400.57</v>
      </c>
      <c r="H28" s="5">
        <f t="shared" si="2"/>
        <v>7014242.8200000003</v>
      </c>
      <c r="I28" s="103">
        <f t="shared" si="3"/>
        <v>321.27794114413859</v>
      </c>
      <c r="J28" s="6">
        <f t="shared" si="4"/>
        <v>321.27794114413859</v>
      </c>
      <c r="K28" s="5">
        <f t="shared" si="5"/>
        <v>7014242.8199999994</v>
      </c>
      <c r="L28" s="140">
        <f>INDEX('2018 Best Practice Scores'!M$4:M$255,MATCH(B28,'2018 Best Practice Scores'!A$4:A$255,0))</f>
        <v>0.87535714285714272</v>
      </c>
      <c r="M28" s="105">
        <f t="shared" si="6"/>
        <v>1545568.020139813</v>
      </c>
      <c r="N28" s="105">
        <f t="shared" si="7"/>
        <v>1233794.7883945517</v>
      </c>
      <c r="O28" s="105">
        <f t="shared" si="8"/>
        <v>405877.20186028717</v>
      </c>
      <c r="P28" s="105">
        <f t="shared" si="16"/>
        <v>88106.302788458648</v>
      </c>
      <c r="Q28" s="105">
        <f t="shared" si="9"/>
        <v>3273346.3131831107</v>
      </c>
      <c r="R28" s="112">
        <f t="shared" si="10"/>
        <v>0.46667137097815942</v>
      </c>
      <c r="S28" s="175">
        <f t="shared" si="11"/>
        <v>3273346.3131831107</v>
      </c>
      <c r="T28" s="105"/>
      <c r="U28" s="105">
        <f>IFERROR(INDEX('Revised 2019 MFAM(2017 PYAs)'!AD$26:AD$270,MATCH(B28,'Revised 2019 MFAM(2017 PYAs)'!B$26:B$270,0)),0)</f>
        <v>36763.150688425172</v>
      </c>
      <c r="V28" s="105">
        <f>IFERROR(INDEX('Revised 2018 MFAM(2016 PYAs)'!AF$26:AF$266,MATCH(B28,'Revised 2018 MFAM(2016 PYAs)'!B$26:B$266,0)),0)</f>
        <v>47792.489159741439</v>
      </c>
      <c r="W28" s="105">
        <f t="shared" si="12"/>
        <v>124.00889670509768</v>
      </c>
      <c r="X28" s="105">
        <f t="shared" si="13"/>
        <v>84679.648744871709</v>
      </c>
      <c r="Y28" s="105"/>
      <c r="Z28" s="106">
        <f t="shared" si="14"/>
        <v>3358025.9619279825</v>
      </c>
      <c r="AA28" s="107">
        <v>0</v>
      </c>
      <c r="AB28" s="108">
        <f t="shared" si="15"/>
        <v>0</v>
      </c>
      <c r="AC28" s="108">
        <f>IFERROR(INDEX('Revised 2019 MFAM(2017 PYAs)'!AF$26:AF$270,MATCH(B28,'Revised 2019 MFAM(2017 PYAs)'!B$26:B$270,0)),0)</f>
        <v>5671.7730239386256</v>
      </c>
      <c r="AD28" s="216">
        <f>AC28/AC$24*('Revised 2019 MFAM(2017 PYAs)'!AF$24-'2020 Funding'!AC$24)</f>
        <v>5.1965880787690475</v>
      </c>
      <c r="AE28" s="105">
        <f t="shared" si="17"/>
        <v>3363702.9315400003</v>
      </c>
      <c r="AF28" s="111"/>
      <c r="AG28" s="105">
        <v>867616.68758168456</v>
      </c>
      <c r="AH28" s="214">
        <v>867616.68758168456</v>
      </c>
      <c r="AI28" s="105">
        <v>867616.68758168456</v>
      </c>
      <c r="AJ28" s="105">
        <f t="shared" si="18"/>
        <v>760852.86879494681</v>
      </c>
    </row>
    <row r="29" spans="2:36" x14ac:dyDescent="0.25">
      <c r="B29">
        <v>97</v>
      </c>
      <c r="C29" s="27">
        <v>1</v>
      </c>
      <c r="D29" s="39" t="s">
        <v>302</v>
      </c>
      <c r="E29" s="162">
        <f>INDEX('2018 Data Lockdown'!H$5:H$255, MATCH(B29,'2018 Data Lockdown'!B$5:B$255,0))</f>
        <v>65811.663101711354</v>
      </c>
      <c r="F29" s="5">
        <f>INDEX('2018 Data Lockdown'!E$5:E$255,MATCH(B29,'2018 Data Lockdown'!B$5:B$255,0))</f>
        <v>29671076.98</v>
      </c>
      <c r="G29" s="5">
        <f>INDEX('2018 Data Lockdown'!F$5:F$255, MATCH(B29,'2018 Data Lockdown'!B$5:B$255,0))</f>
        <v>5189475.3699999992</v>
      </c>
      <c r="H29" s="5">
        <f t="shared" si="2"/>
        <v>24481601.609999999</v>
      </c>
      <c r="I29" s="103">
        <f t="shared" si="3"/>
        <v>371.99487835710664</v>
      </c>
      <c r="J29" s="6">
        <f t="shared" si="4"/>
        <v>371.99487835710664</v>
      </c>
      <c r="K29" s="5">
        <f t="shared" si="5"/>
        <v>24481601.609999999</v>
      </c>
      <c r="L29" s="140">
        <f>INDEX('2018 Best Practice Scores'!M$4:M$255,MATCH(B29,'2018 Best Practice Scores'!A$4:A$255,0))</f>
        <v>0.87535714285714272</v>
      </c>
      <c r="M29" s="105">
        <f t="shared" si="6"/>
        <v>5394449.7647458622</v>
      </c>
      <c r="N29" s="105">
        <f t="shared" si="7"/>
        <v>3719168.9637413477</v>
      </c>
      <c r="O29" s="105">
        <f t="shared" si="8"/>
        <v>1416621.0400062972</v>
      </c>
      <c r="P29" s="105">
        <f t="shared" si="16"/>
        <v>307514.78948615538</v>
      </c>
      <c r="Q29" s="105">
        <f t="shared" si="9"/>
        <v>10837754.557979662</v>
      </c>
      <c r="R29" s="112">
        <f t="shared" si="10"/>
        <v>0.4426897688569838</v>
      </c>
      <c r="S29" s="175">
        <f t="shared" si="11"/>
        <v>10837754.557979662</v>
      </c>
      <c r="T29" s="105"/>
      <c r="U29" s="105">
        <f>IFERROR(INDEX('Revised 2019 MFAM(2017 PYAs)'!AD$26:AD$270,MATCH(B29,'Revised 2019 MFAM(2017 PYAs)'!B$26:B$270,0)),0)</f>
        <v>103261.04398898035</v>
      </c>
      <c r="V29" s="105">
        <f>IFERROR(INDEX('Revised 2018 MFAM(2016 PYAs)'!AF$26:AF$266,MATCH(B29,'Revised 2018 MFAM(2016 PYAs)'!B$26:B$266,0)),0)</f>
        <v>172069.02025105897</v>
      </c>
      <c r="W29" s="105">
        <f t="shared" si="12"/>
        <v>410.58227786132795</v>
      </c>
      <c r="X29" s="105">
        <f t="shared" si="13"/>
        <v>275740.64651790063</v>
      </c>
      <c r="Y29" s="105"/>
      <c r="Z29" s="106">
        <f t="shared" si="14"/>
        <v>11113495.204497563</v>
      </c>
      <c r="AA29" s="107">
        <v>0</v>
      </c>
      <c r="AB29" s="108">
        <f t="shared" si="15"/>
        <v>0</v>
      </c>
      <c r="AC29" s="108">
        <f>IFERROR(INDEX('Revised 2019 MFAM(2017 PYAs)'!AF$26:AF$270,MATCH(B29,'Revised 2019 MFAM(2017 PYAs)'!B$26:B$270,0)),0)</f>
        <v>16084.525704288786</v>
      </c>
      <c r="AD29" s="216">
        <f>AC29/AC$24*('Revised 2019 MFAM(2017 PYAs)'!AF$24-'2020 Funding'!AC$24)</f>
        <v>14.736953360929469</v>
      </c>
      <c r="AE29" s="105">
        <f t="shared" si="17"/>
        <v>11129594.467155213</v>
      </c>
      <c r="AF29" s="111"/>
      <c r="AG29" s="105">
        <v>2871452.177544923</v>
      </c>
      <c r="AH29" s="214">
        <v>2871452.177544923</v>
      </c>
      <c r="AI29" s="105">
        <v>2871452.177544923</v>
      </c>
      <c r="AJ29" s="105">
        <f t="shared" si="18"/>
        <v>2515237.9345204425</v>
      </c>
    </row>
    <row r="30" spans="2:36" x14ac:dyDescent="0.25">
      <c r="B30">
        <v>172</v>
      </c>
      <c r="C30" s="27">
        <v>1</v>
      </c>
      <c r="D30" s="39" t="s">
        <v>303</v>
      </c>
      <c r="E30" s="162">
        <f>INDEX('2018 Data Lockdown'!H$5:H$255, MATCH(B30,'2018 Data Lockdown'!B$5:B$255,0))</f>
        <v>34341.100000000006</v>
      </c>
      <c r="F30" s="5">
        <f>INDEX('2018 Data Lockdown'!E$5:E$255,MATCH(B30,'2018 Data Lockdown'!B$5:B$255,0))</f>
        <v>15497137.449999999</v>
      </c>
      <c r="G30" s="5">
        <f>INDEX('2018 Data Lockdown'!F$5:F$255, MATCH(B30,'2018 Data Lockdown'!B$5:B$255,0))</f>
        <v>3445193.7500000005</v>
      </c>
      <c r="H30" s="5">
        <f t="shared" si="2"/>
        <v>12051943.699999999</v>
      </c>
      <c r="I30" s="103">
        <f t="shared" si="3"/>
        <v>350.94809717801695</v>
      </c>
      <c r="J30" s="6">
        <f t="shared" si="4"/>
        <v>350.94809717801695</v>
      </c>
      <c r="K30" s="5">
        <f t="shared" si="5"/>
        <v>12051943.699999999</v>
      </c>
      <c r="L30" s="140">
        <f>INDEX('2018 Best Practice Scores'!M$4:M$255,MATCH(B30,'2018 Best Practice Scores'!A$4:A$255,0))</f>
        <v>0.87535714285714272</v>
      </c>
      <c r="M30" s="105">
        <f t="shared" si="6"/>
        <v>2655610.7681549429</v>
      </c>
      <c r="N30" s="105">
        <f t="shared" si="7"/>
        <v>1940694.8142815856</v>
      </c>
      <c r="O30" s="105">
        <f t="shared" si="8"/>
        <v>697382.3563658318</v>
      </c>
      <c r="P30" s="105">
        <f t="shared" si="16"/>
        <v>151385.14991154196</v>
      </c>
      <c r="Q30" s="105">
        <f t="shared" si="9"/>
        <v>5445073.0887139011</v>
      </c>
      <c r="R30" s="112">
        <f t="shared" si="10"/>
        <v>0.4518004086522493</v>
      </c>
      <c r="S30" s="175">
        <f t="shared" si="11"/>
        <v>5445073.0887139011</v>
      </c>
      <c r="T30" s="105"/>
      <c r="U30" s="105">
        <f>IFERROR(INDEX('Revised 2019 MFAM(2017 PYAs)'!AD$26:AD$270,MATCH(B30,'Revised 2019 MFAM(2017 PYAs)'!B$26:B$270,0)),0)</f>
        <v>58529.313987570815</v>
      </c>
      <c r="V30" s="105">
        <f>IFERROR(INDEX('Revised 2018 MFAM(2016 PYAs)'!AF$26:AF$266,MATCH(B30,'Revised 2018 MFAM(2016 PYAs)'!B$26:B$266,0)),0)</f>
        <v>47750.284142369404</v>
      </c>
      <c r="W30" s="105">
        <f t="shared" si="12"/>
        <v>206.28355255005263</v>
      </c>
      <c r="X30" s="105">
        <f t="shared" si="13"/>
        <v>106485.88168249028</v>
      </c>
      <c r="Y30" s="105"/>
      <c r="Z30" s="106">
        <f t="shared" si="14"/>
        <v>5551558.9703963911</v>
      </c>
      <c r="AA30" s="107">
        <v>0</v>
      </c>
      <c r="AB30" s="108">
        <f t="shared" si="15"/>
        <v>0</v>
      </c>
      <c r="AC30" s="108">
        <f>IFERROR(INDEX('Revised 2019 MFAM(2017 PYAs)'!AF$26:AF$270,MATCH(B30,'Revised 2019 MFAM(2017 PYAs)'!B$26:B$270,0)),0)</f>
        <v>8964.5829470593289</v>
      </c>
      <c r="AD30" s="216">
        <f>AC30/AC$24*('Revised 2019 MFAM(2017 PYAs)'!AF$24-'2020 Funding'!AC$24)</f>
        <v>8.2135241796884895</v>
      </c>
      <c r="AE30" s="105">
        <f t="shared" si="17"/>
        <v>5560531.7668676302</v>
      </c>
      <c r="AF30" s="111"/>
      <c r="AG30" s="105">
        <v>1434652.3228107896</v>
      </c>
      <c r="AH30" s="214">
        <v>1434652.3228107896</v>
      </c>
      <c r="AI30" s="105">
        <v>1434652.3228107896</v>
      </c>
      <c r="AJ30" s="105">
        <f t="shared" si="18"/>
        <v>1256574.7984352615</v>
      </c>
    </row>
    <row r="31" spans="2:36" x14ac:dyDescent="0.25">
      <c r="B31">
        <v>270</v>
      </c>
      <c r="C31" s="27">
        <v>1</v>
      </c>
      <c r="D31" s="39" t="s">
        <v>304</v>
      </c>
      <c r="E31" s="162">
        <f>INDEX('2018 Data Lockdown'!H$5:H$255, MATCH(B31,'2018 Data Lockdown'!B$5:B$255,0))</f>
        <v>81774.8</v>
      </c>
      <c r="F31" s="5">
        <f>INDEX('2018 Data Lockdown'!E$5:E$255,MATCH(B31,'2018 Data Lockdown'!B$5:B$255,0))</f>
        <v>36853205.850000001</v>
      </c>
      <c r="G31" s="5">
        <f>INDEX('2018 Data Lockdown'!F$5:F$255, MATCH(B31,'2018 Data Lockdown'!B$5:B$255,0))</f>
        <v>6800569.6699999999</v>
      </c>
      <c r="H31" s="5">
        <f t="shared" si="2"/>
        <v>30052636.18</v>
      </c>
      <c r="I31" s="103">
        <f t="shared" si="3"/>
        <v>367.50485699751022</v>
      </c>
      <c r="J31" s="6">
        <f t="shared" si="4"/>
        <v>367.50485699751022</v>
      </c>
      <c r="K31" s="5">
        <f t="shared" si="5"/>
        <v>30052636.18</v>
      </c>
      <c r="L31" s="140">
        <f>INDEX('2018 Best Practice Scores'!M$4:M$255,MATCH(B31,'2018 Best Practice Scores'!A$4:A$255,0))</f>
        <v>0.87535714285714272</v>
      </c>
      <c r="M31" s="105">
        <f t="shared" si="6"/>
        <v>6622011.0413435493</v>
      </c>
      <c r="N31" s="105">
        <f t="shared" si="7"/>
        <v>4621282.6700051483</v>
      </c>
      <c r="O31" s="105">
        <f t="shared" si="8"/>
        <v>1738987.3995356825</v>
      </c>
      <c r="P31" s="105">
        <f t="shared" si="16"/>
        <v>377492.87140681961</v>
      </c>
      <c r="Q31" s="105">
        <f t="shared" si="9"/>
        <v>13359773.982291199</v>
      </c>
      <c r="R31" s="112">
        <f t="shared" si="10"/>
        <v>0.4445458262720432</v>
      </c>
      <c r="S31" s="175">
        <f t="shared" si="11"/>
        <v>13359773.982291199</v>
      </c>
      <c r="T31" s="105"/>
      <c r="U31" s="105">
        <f>IFERROR(INDEX('Revised 2019 MFAM(2017 PYAs)'!AD$26:AD$270,MATCH(B31,'Revised 2019 MFAM(2017 PYAs)'!B$26:B$270,0)),0)</f>
        <v>261518.74417201802</v>
      </c>
      <c r="V31" s="105">
        <f>IFERROR(INDEX('Revised 2018 MFAM(2016 PYAs)'!AF$26:AF$266,MATCH(B31,'Revised 2018 MFAM(2016 PYAs)'!B$26:B$266,0)),0)</f>
        <v>202946.12836560607</v>
      </c>
      <c r="W31" s="105">
        <f t="shared" si="12"/>
        <v>506.12757504486007</v>
      </c>
      <c r="X31" s="105">
        <f t="shared" si="13"/>
        <v>464971.00011266896</v>
      </c>
      <c r="Y31" s="105"/>
      <c r="Z31" s="106">
        <f t="shared" si="14"/>
        <v>13824744.982403869</v>
      </c>
      <c r="AA31" s="107">
        <v>0</v>
      </c>
      <c r="AB31" s="108">
        <f t="shared" si="15"/>
        <v>0</v>
      </c>
      <c r="AC31" s="108">
        <f>IFERROR(INDEX('Revised 2019 MFAM(2017 PYAs)'!AF$26:AF$270,MATCH(B31,'Revised 2019 MFAM(2017 PYAs)'!B$26:B$270,0)),0)</f>
        <v>23272.564096449263</v>
      </c>
      <c r="AD31" s="216">
        <f>AC31/AC$24*('Revised 2019 MFAM(2017 PYAs)'!AF$24-'2020 Funding'!AC$24)</f>
        <v>21.322773079169231</v>
      </c>
      <c r="AE31" s="105">
        <f t="shared" si="17"/>
        <v>13848038.869273396</v>
      </c>
      <c r="AF31" s="111"/>
      <c r="AG31" s="105">
        <v>3570923.7891976377</v>
      </c>
      <c r="AH31" s="214">
        <v>3570923.7891976377</v>
      </c>
      <c r="AI31" s="105">
        <v>3570923.7891976377</v>
      </c>
      <c r="AJ31" s="105">
        <f t="shared" si="18"/>
        <v>3135267.501680484</v>
      </c>
    </row>
    <row r="32" spans="2:36" x14ac:dyDescent="0.25">
      <c r="B32">
        <v>6</v>
      </c>
      <c r="C32" s="27">
        <v>2</v>
      </c>
      <c r="D32" s="39" t="s">
        <v>305</v>
      </c>
      <c r="E32" s="162">
        <f>INDEX('2018 Data Lockdown'!H$5:H$255, MATCH(B32,'2018 Data Lockdown'!B$5:B$255,0))</f>
        <v>43278</v>
      </c>
      <c r="F32" s="5">
        <f>INDEX('2018 Data Lockdown'!E$5:E$255,MATCH(B32,'2018 Data Lockdown'!B$5:B$255,0))</f>
        <v>19454497.760000002</v>
      </c>
      <c r="G32" s="5">
        <f>INDEX('2018 Data Lockdown'!F$5:F$255, MATCH(B32,'2018 Data Lockdown'!B$5:B$255,0))</f>
        <v>4664058.9000000004</v>
      </c>
      <c r="H32" s="5">
        <f t="shared" si="2"/>
        <v>14790438.860000001</v>
      </c>
      <c r="I32" s="103">
        <f t="shared" si="3"/>
        <v>341.75421368824811</v>
      </c>
      <c r="J32" s="6">
        <f t="shared" si="4"/>
        <v>320.69251139425216</v>
      </c>
      <c r="K32" s="5">
        <f t="shared" si="5"/>
        <v>13878930.508120446</v>
      </c>
      <c r="L32" s="140">
        <f>INDEX('2018 Best Practice Scores'!M$4:M$255,MATCH(B32,'2018 Best Practice Scores'!A$4:A$255,0))</f>
        <v>0.79221428571428565</v>
      </c>
      <c r="M32" s="105">
        <f t="shared" si="6"/>
        <v>3058182.0016167858</v>
      </c>
      <c r="N32" s="105">
        <f t="shared" si="7"/>
        <v>2445739.6580912801</v>
      </c>
      <c r="O32" s="105">
        <f t="shared" si="8"/>
        <v>726820.64099853777</v>
      </c>
      <c r="P32" s="105">
        <f t="shared" si="16"/>
        <v>174334.03506387828</v>
      </c>
      <c r="Q32" s="105">
        <f t="shared" si="9"/>
        <v>6405076.3357704822</v>
      </c>
      <c r="R32" s="112">
        <f t="shared" si="10"/>
        <v>0.46149639066374215</v>
      </c>
      <c r="S32" s="175">
        <f t="shared" si="11"/>
        <v>6405076.3357704822</v>
      </c>
      <c r="T32" s="105"/>
      <c r="U32" s="105">
        <f>IFERROR(INDEX('Revised 2019 MFAM(2017 PYAs)'!AD$26:AD$270,MATCH(B32,'Revised 2019 MFAM(2017 PYAs)'!B$26:B$270,0)),0)</f>
        <v>61097.575979799964</v>
      </c>
      <c r="V32" s="105">
        <f>IFERROR(INDEX('Revised 2018 MFAM(2016 PYAs)'!AF$26:AF$266,MATCH(B32,'Revised 2018 MFAM(2016 PYAs)'!B$26:B$266,0)),0)</f>
        <v>50715.86707281135</v>
      </c>
      <c r="W32" s="105">
        <f t="shared" si="12"/>
        <v>242.65273934258326</v>
      </c>
      <c r="X32" s="105">
        <f t="shared" si="13"/>
        <v>112056.09579195389</v>
      </c>
      <c r="Y32" s="105"/>
      <c r="Z32" s="106">
        <f t="shared" si="14"/>
        <v>6517132.4315624358</v>
      </c>
      <c r="AA32" s="107">
        <v>0</v>
      </c>
      <c r="AB32" s="108">
        <f t="shared" si="15"/>
        <v>0</v>
      </c>
      <c r="AC32" s="108">
        <f>IFERROR(INDEX('Revised 2019 MFAM(2017 PYAs)'!AF$26:AF$270,MATCH(B32,'Revised 2019 MFAM(2017 PYAs)'!B$26:B$270,0)),0)</f>
        <v>10947.227855146628</v>
      </c>
      <c r="AD32" s="216">
        <f>AC32/AC$24*('Revised 2019 MFAM(2017 PYAs)'!AF$24-'2020 Funding'!AC$24)</f>
        <v>10.030061768607016</v>
      </c>
      <c r="AE32" s="105">
        <f t="shared" si="17"/>
        <v>6528089.689479351</v>
      </c>
      <c r="AF32" s="105"/>
      <c r="AG32" s="105">
        <v>1684288.3422039342</v>
      </c>
      <c r="AH32" s="105">
        <v>1684288.3422039342</v>
      </c>
      <c r="AI32" s="105">
        <v>1684288.3422039342</v>
      </c>
      <c r="AJ32" s="105">
        <f t="shared" si="18"/>
        <v>1475224.6628675489</v>
      </c>
    </row>
    <row r="33" spans="2:36" x14ac:dyDescent="0.25">
      <c r="B33">
        <v>18</v>
      </c>
      <c r="C33" s="27">
        <v>2</v>
      </c>
      <c r="D33" s="39" t="s">
        <v>306</v>
      </c>
      <c r="E33" s="162">
        <f>INDEX('2018 Data Lockdown'!H$5:H$255, MATCH(B33,'2018 Data Lockdown'!B$5:B$255,0))</f>
        <v>23157.74</v>
      </c>
      <c r="F33" s="5">
        <f>INDEX('2018 Data Lockdown'!E$5:E$255,MATCH(B33,'2018 Data Lockdown'!B$5:B$255,0))</f>
        <v>8155555.9199999999</v>
      </c>
      <c r="G33" s="5">
        <f>INDEX('2018 Data Lockdown'!F$5:F$255, MATCH(B33,'2018 Data Lockdown'!B$5:B$255,0))</f>
        <v>3204604.9</v>
      </c>
      <c r="H33" s="5">
        <f t="shared" si="2"/>
        <v>4950951.0199999996</v>
      </c>
      <c r="I33" s="103">
        <f t="shared" si="3"/>
        <v>213.79249529530944</v>
      </c>
      <c r="J33" s="6">
        <f t="shared" si="4"/>
        <v>213.79249529530944</v>
      </c>
      <c r="K33" s="5">
        <f t="shared" si="5"/>
        <v>4950951.0199999996</v>
      </c>
      <c r="L33" s="140">
        <f>INDEX('2018 Best Practice Scores'!M$4:M$255,MATCH(B33,'2018 Best Practice Scores'!A$4:A$255,0))</f>
        <v>0.78458128571428565</v>
      </c>
      <c r="M33" s="105">
        <f t="shared" si="6"/>
        <v>1090927.6684821965</v>
      </c>
      <c r="N33" s="105">
        <f t="shared" si="7"/>
        <v>1308697.3314332168</v>
      </c>
      <c r="O33" s="105">
        <f t="shared" si="8"/>
        <v>256776.42982771486</v>
      </c>
      <c r="P33" s="105">
        <f t="shared" si="16"/>
        <v>62189.177200305159</v>
      </c>
      <c r="Q33" s="105">
        <f t="shared" si="9"/>
        <v>2718590.6069434336</v>
      </c>
      <c r="R33" s="112">
        <f t="shared" si="10"/>
        <v>0.54910472674064825</v>
      </c>
      <c r="S33" s="175">
        <f t="shared" si="11"/>
        <v>2718590.6069434336</v>
      </c>
      <c r="T33" s="105"/>
      <c r="U33" s="105">
        <f>IFERROR(INDEX('Revised 2019 MFAM(2017 PYAs)'!AD$26:AD$270,MATCH(B33,'Revised 2019 MFAM(2017 PYAs)'!B$26:B$270,0)),0)</f>
        <v>22053.731262200046</v>
      </c>
      <c r="V33" s="105">
        <f>IFERROR(INDEX('Revised 2018 MFAM(2016 PYAs)'!AF$26:AF$266,MATCH(B33,'Revised 2018 MFAM(2016 PYAs)'!B$26:B$266,0)),0)</f>
        <v>44711.37855280051</v>
      </c>
      <c r="W33" s="105">
        <f t="shared" si="12"/>
        <v>102.99228664016954</v>
      </c>
      <c r="X33" s="105">
        <f t="shared" si="13"/>
        <v>66868.102101640732</v>
      </c>
      <c r="Y33" s="105"/>
      <c r="Z33" s="106">
        <f t="shared" si="14"/>
        <v>2785458.7090450744</v>
      </c>
      <c r="AA33" s="107">
        <v>0</v>
      </c>
      <c r="AB33" s="108">
        <f t="shared" si="15"/>
        <v>0</v>
      </c>
      <c r="AC33" s="108">
        <f>IFERROR(INDEX('Revised 2019 MFAM(2017 PYAs)'!AF$26:AF$270,MATCH(B33,'Revised 2019 MFAM(2017 PYAs)'!B$26:B$270,0)),0)</f>
        <v>4286.5801396841134</v>
      </c>
      <c r="AD33" s="216">
        <f>AC33/AC$24*('Revised 2019 MFAM(2017 PYAs)'!AF$24-'2020 Funding'!AC$24)</f>
        <v>3.9274475827140694</v>
      </c>
      <c r="AE33" s="105">
        <f t="shared" si="17"/>
        <v>2789749.216632341</v>
      </c>
      <c r="AF33" s="111"/>
      <c r="AG33" s="105">
        <v>719705.25842006376</v>
      </c>
      <c r="AH33" s="214">
        <v>719705.25842006376</v>
      </c>
      <c r="AI33" s="105">
        <v>719705.25842006376</v>
      </c>
      <c r="AJ33" s="105">
        <f t="shared" si="18"/>
        <v>630633.44137214997</v>
      </c>
    </row>
    <row r="34" spans="2:36" x14ac:dyDescent="0.25">
      <c r="B34">
        <v>53</v>
      </c>
      <c r="C34" s="27">
        <v>2</v>
      </c>
      <c r="D34" s="39" t="s">
        <v>307</v>
      </c>
      <c r="E34" s="162">
        <f>INDEX('2018 Data Lockdown'!H$5:H$255, MATCH(B34,'2018 Data Lockdown'!B$5:B$255,0))</f>
        <v>36449.64</v>
      </c>
      <c r="F34" s="5">
        <f>INDEX('2018 Data Lockdown'!E$5:E$255,MATCH(B34,'2018 Data Lockdown'!B$5:B$255,0))</f>
        <v>11201363.85</v>
      </c>
      <c r="G34" s="5">
        <f>INDEX('2018 Data Lockdown'!F$5:F$255, MATCH(B34,'2018 Data Lockdown'!B$5:B$255,0))</f>
        <v>3914991.95</v>
      </c>
      <c r="H34" s="5">
        <f t="shared" si="2"/>
        <v>7286371.8999999994</v>
      </c>
      <c r="I34" s="103">
        <f t="shared" si="3"/>
        <v>199.90243799390061</v>
      </c>
      <c r="J34" s="6">
        <f t="shared" si="4"/>
        <v>199.90243799390061</v>
      </c>
      <c r="K34" s="5">
        <f t="shared" si="5"/>
        <v>7286371.8999999994</v>
      </c>
      <c r="L34" s="140">
        <f>INDEX('2018 Best Practice Scores'!M$4:M$255,MATCH(B34,'2018 Best Practice Scores'!A$4:A$255,0))</f>
        <v>0.87535714285714272</v>
      </c>
      <c r="M34" s="105">
        <f t="shared" si="6"/>
        <v>1605530.8720386398</v>
      </c>
      <c r="N34" s="105">
        <f t="shared" si="7"/>
        <v>2059853.2758249049</v>
      </c>
      <c r="O34" s="105">
        <f t="shared" si="8"/>
        <v>421623.87507500412</v>
      </c>
      <c r="P34" s="105">
        <f t="shared" si="16"/>
        <v>91524.531631586258</v>
      </c>
      <c r="Q34" s="105">
        <f t="shared" si="9"/>
        <v>4178532.5545701347</v>
      </c>
      <c r="R34" s="112">
        <f t="shared" si="10"/>
        <v>0.57347231405662058</v>
      </c>
      <c r="S34" s="175">
        <f t="shared" si="11"/>
        <v>4178532.5545701347</v>
      </c>
      <c r="T34" s="105"/>
      <c r="U34" s="105">
        <f>IFERROR(INDEX('Revised 2019 MFAM(2017 PYAs)'!AD$26:AD$270,MATCH(B34,'Revised 2019 MFAM(2017 PYAs)'!B$26:B$270,0)),0)</f>
        <v>41267.040275597479</v>
      </c>
      <c r="V34" s="105">
        <f>IFERROR(INDEX('Revised 2018 MFAM(2016 PYAs)'!AF$26:AF$266,MATCH(B34,'Revised 2018 MFAM(2016 PYAs)'!B$26:B$266,0)),0)</f>
        <v>81501.422296386678</v>
      </c>
      <c r="W34" s="105">
        <f t="shared" si="12"/>
        <v>158.30137185658336</v>
      </c>
      <c r="X34" s="105">
        <f t="shared" si="13"/>
        <v>122926.76394384074</v>
      </c>
      <c r="Y34" s="105"/>
      <c r="Z34" s="106">
        <f t="shared" si="14"/>
        <v>4301459.3185139755</v>
      </c>
      <c r="AA34" s="107">
        <v>0</v>
      </c>
      <c r="AB34" s="108">
        <f t="shared" si="15"/>
        <v>0</v>
      </c>
      <c r="AC34" s="108">
        <f>IFERROR(INDEX('Revised 2019 MFAM(2017 PYAs)'!AF$26:AF$270,MATCH(B34,'Revised 2019 MFAM(2017 PYAs)'!B$26:B$270,0)),0)</f>
        <v>7313.3835413152065</v>
      </c>
      <c r="AD34" s="216">
        <f>AC34/AC$24*('Revised 2019 MFAM(2017 PYAs)'!AF$24-'2020 Funding'!AC$24)</f>
        <v>6.7006633667919528</v>
      </c>
      <c r="AE34" s="105">
        <f t="shared" si="17"/>
        <v>4308779.4027186567</v>
      </c>
      <c r="AF34" s="111"/>
      <c r="AG34" s="105">
        <v>1111237.7391823875</v>
      </c>
      <c r="AH34" s="214">
        <v>1111237.7391823875</v>
      </c>
      <c r="AI34" s="105">
        <v>1111237.7391823875</v>
      </c>
      <c r="AJ34" s="105">
        <f t="shared" si="18"/>
        <v>975066.18517149426</v>
      </c>
    </row>
    <row r="35" spans="2:36" x14ac:dyDescent="0.25">
      <c r="B35">
        <v>335</v>
      </c>
      <c r="C35" s="27">
        <v>2</v>
      </c>
      <c r="D35" s="39" t="s">
        <v>308</v>
      </c>
      <c r="E35" s="162">
        <f>INDEX('2018 Data Lockdown'!H$5:H$255, MATCH(B35,'2018 Data Lockdown'!B$5:B$255,0))</f>
        <v>24830.720000000001</v>
      </c>
      <c r="F35" s="5">
        <f>INDEX('2018 Data Lockdown'!E$5:E$255,MATCH(B35,'2018 Data Lockdown'!B$5:B$255,0))</f>
        <v>10253567.189999999</v>
      </c>
      <c r="G35" s="5">
        <f>INDEX('2018 Data Lockdown'!F$5:F$255, MATCH(B35,'2018 Data Lockdown'!B$5:B$255,0))</f>
        <v>3115651.2</v>
      </c>
      <c r="H35" s="5">
        <f t="shared" si="2"/>
        <v>7137915.9899999993</v>
      </c>
      <c r="I35" s="103">
        <f t="shared" si="3"/>
        <v>287.46310980913961</v>
      </c>
      <c r="J35" s="6">
        <f t="shared" si="4"/>
        <v>287.46310980913961</v>
      </c>
      <c r="K35" s="5">
        <f t="shared" si="5"/>
        <v>7137915.9899999993</v>
      </c>
      <c r="L35" s="140">
        <f>INDEX('2018 Best Practice Scores'!M$4:M$255,MATCH(B35,'2018 Best Practice Scores'!A$4:A$255,0))</f>
        <v>0.87535714285714272</v>
      </c>
      <c r="M35" s="105">
        <f t="shared" si="6"/>
        <v>1572819.0437223292</v>
      </c>
      <c r="N35" s="105">
        <f t="shared" si="7"/>
        <v>1403241.2921798676</v>
      </c>
      <c r="O35" s="105">
        <f t="shared" si="8"/>
        <v>413033.51530322438</v>
      </c>
      <c r="P35" s="105">
        <f t="shared" si="16"/>
        <v>89659.768507061846</v>
      </c>
      <c r="Q35" s="105">
        <f t="shared" si="9"/>
        <v>3478753.6197124831</v>
      </c>
      <c r="R35" s="112">
        <f t="shared" si="10"/>
        <v>0.48736264542565505</v>
      </c>
      <c r="S35" s="175">
        <f t="shared" si="11"/>
        <v>3478753.6197124831</v>
      </c>
      <c r="T35" s="105"/>
      <c r="U35" s="105">
        <f>IFERROR(INDEX('Revised 2019 MFAM(2017 PYAs)'!AD$26:AD$270,MATCH(B35,'Revised 2019 MFAM(2017 PYAs)'!B$26:B$270,0)),0)</f>
        <v>33486.821747165173</v>
      </c>
      <c r="V35" s="105">
        <f>IFERROR(INDEX('Revised 2018 MFAM(2016 PYAs)'!AF$26:AF$266,MATCH(B35,'Revised 2018 MFAM(2016 PYAs)'!B$26:B$266,0)),0)</f>
        <v>11688.190297541674</v>
      </c>
      <c r="W35" s="105">
        <f t="shared" si="12"/>
        <v>131.79063778005994</v>
      </c>
      <c r="X35" s="105">
        <f t="shared" si="13"/>
        <v>45306.802682486908</v>
      </c>
      <c r="Y35" s="105"/>
      <c r="Z35" s="106">
        <f t="shared" si="14"/>
        <v>3524060.42239497</v>
      </c>
      <c r="AA35" s="107">
        <v>0</v>
      </c>
      <c r="AB35" s="108">
        <f t="shared" si="15"/>
        <v>0</v>
      </c>
      <c r="AC35" s="108">
        <f>IFERROR(INDEX('Revised 2019 MFAM(2017 PYAs)'!AF$26:AF$270,MATCH(B35,'Revised 2019 MFAM(2017 PYAs)'!B$26:B$270,0)),0)</f>
        <v>5496.4687012381364</v>
      </c>
      <c r="AD35" s="216">
        <f>AC35/AC$24*('Revised 2019 MFAM(2017 PYAs)'!AF$24-'2020 Funding'!AC$24)</f>
        <v>5.0359708697134158</v>
      </c>
      <c r="AE35" s="105">
        <f t="shared" si="17"/>
        <v>3529561.9270670782</v>
      </c>
      <c r="AF35" s="111"/>
      <c r="AG35" s="105">
        <v>910887.23448051291</v>
      </c>
      <c r="AH35" s="214">
        <v>910887.23448051291</v>
      </c>
      <c r="AI35" s="105">
        <v>910887.23448051291</v>
      </c>
      <c r="AJ35" s="105">
        <f t="shared" si="18"/>
        <v>796900.22362553969</v>
      </c>
    </row>
    <row r="36" spans="2:36" x14ac:dyDescent="0.25">
      <c r="B36">
        <v>357</v>
      </c>
      <c r="C36" s="27">
        <v>2</v>
      </c>
      <c r="D36" s="39" t="s">
        <v>309</v>
      </c>
      <c r="E36" s="162">
        <f>INDEX('2018 Data Lockdown'!H$5:H$255, MATCH(B36,'2018 Data Lockdown'!B$5:B$255,0))</f>
        <v>35854.92</v>
      </c>
      <c r="F36" s="5">
        <f>INDEX('2018 Data Lockdown'!E$5:E$255,MATCH(B36,'2018 Data Lockdown'!B$5:B$255,0))</f>
        <v>12842982.59</v>
      </c>
      <c r="G36" s="5">
        <f>INDEX('2018 Data Lockdown'!F$5:F$255, MATCH(B36,'2018 Data Lockdown'!B$5:B$255,0))</f>
        <v>4901152.2100000009</v>
      </c>
      <c r="H36" s="5">
        <f t="shared" si="2"/>
        <v>7941830.379999999</v>
      </c>
      <c r="I36" s="103">
        <f t="shared" si="3"/>
        <v>221.49904057797366</v>
      </c>
      <c r="J36" s="6">
        <f t="shared" si="4"/>
        <v>221.49904057797366</v>
      </c>
      <c r="K36" s="5">
        <f t="shared" si="5"/>
        <v>7941830.379999999</v>
      </c>
      <c r="L36" s="140">
        <f>INDEX('2018 Best Practice Scores'!M$4:M$255,MATCH(B36,'2018 Best Practice Scores'!A$4:A$255,0))</f>
        <v>0.91692857142857132</v>
      </c>
      <c r="M36" s="105">
        <f t="shared" si="6"/>
        <v>1749959.2431707145</v>
      </c>
      <c r="N36" s="105">
        <f t="shared" si="7"/>
        <v>2026244.2761146585</v>
      </c>
      <c r="O36" s="105">
        <f t="shared" si="8"/>
        <v>481376.28866962413</v>
      </c>
      <c r="P36" s="105">
        <f t="shared" si="16"/>
        <v>99757.782858572275</v>
      </c>
      <c r="Q36" s="105">
        <f t="shared" si="9"/>
        <v>4357337.5908135688</v>
      </c>
      <c r="R36" s="112">
        <f t="shared" si="10"/>
        <v>0.548656592035345</v>
      </c>
      <c r="S36" s="175">
        <f t="shared" si="11"/>
        <v>4357337.5908135688</v>
      </c>
      <c r="T36" s="105"/>
      <c r="U36" s="105">
        <f>IFERROR(INDEX('Revised 2019 MFAM(2017 PYAs)'!AD$26:AD$270,MATCH(B36,'Revised 2019 MFAM(2017 PYAs)'!B$26:B$270,0)),0)</f>
        <v>34736.820714978501</v>
      </c>
      <c r="V36" s="105">
        <f>IFERROR(INDEX('Revised 2018 MFAM(2016 PYAs)'!AF$26:AF$266,MATCH(B36,'Revised 2018 MFAM(2016 PYAs)'!B$26:B$266,0)),0)</f>
        <v>13475.032574777026</v>
      </c>
      <c r="W36" s="105">
        <f t="shared" si="12"/>
        <v>165.07530078080435</v>
      </c>
      <c r="X36" s="105">
        <f t="shared" si="13"/>
        <v>48376.928590536329</v>
      </c>
      <c r="Y36" s="105"/>
      <c r="Z36" s="106">
        <f t="shared" si="14"/>
        <v>4405714.5194041049</v>
      </c>
      <c r="AA36" s="107">
        <v>0</v>
      </c>
      <c r="AB36" s="108">
        <f t="shared" si="15"/>
        <v>0</v>
      </c>
      <c r="AC36" s="108">
        <f>IFERROR(INDEX('Revised 2019 MFAM(2017 PYAs)'!AF$26:AF$270,MATCH(B36,'Revised 2019 MFAM(2017 PYAs)'!B$26:B$270,0)),0)</f>
        <v>6707.5483468742805</v>
      </c>
      <c r="AD36" s="216">
        <f>AC36/AC$24*('Revised 2019 MFAM(2017 PYAs)'!AF$24-'2020 Funding'!AC$24)</f>
        <v>6.1455854509722174</v>
      </c>
      <c r="AE36" s="105">
        <f t="shared" si="17"/>
        <v>4412428.2133364305</v>
      </c>
      <c r="AF36" s="111"/>
      <c r="AG36" s="105">
        <v>1138838.7879428354</v>
      </c>
      <c r="AH36" s="214">
        <v>1138838.7879428354</v>
      </c>
      <c r="AI36" s="105">
        <v>1138838.7879428354</v>
      </c>
      <c r="AJ36" s="105">
        <f t="shared" si="18"/>
        <v>995911.84950792487</v>
      </c>
    </row>
    <row r="37" spans="2:36" x14ac:dyDescent="0.25">
      <c r="B37">
        <v>441</v>
      </c>
      <c r="C37" s="27">
        <v>2</v>
      </c>
      <c r="D37" s="39" t="s">
        <v>310</v>
      </c>
      <c r="E37" s="162">
        <f>INDEX('2018 Data Lockdown'!H$5:H$255, MATCH(B37,'2018 Data Lockdown'!B$5:B$255,0))</f>
        <v>56329.880000000012</v>
      </c>
      <c r="F37" s="5">
        <f>INDEX('2018 Data Lockdown'!E$5:E$255,MATCH(B37,'2018 Data Lockdown'!B$5:B$255,0))</f>
        <v>19699264.510000002</v>
      </c>
      <c r="G37" s="5">
        <f>INDEX('2018 Data Lockdown'!F$5:F$255, MATCH(B37,'2018 Data Lockdown'!B$5:B$255,0))</f>
        <v>8176719.169999999</v>
      </c>
      <c r="H37" s="5">
        <f t="shared" si="2"/>
        <v>11522545.340000004</v>
      </c>
      <c r="I37" s="103">
        <f t="shared" si="3"/>
        <v>204.55476454059553</v>
      </c>
      <c r="J37" s="6">
        <f t="shared" si="4"/>
        <v>204.55476454059553</v>
      </c>
      <c r="K37" s="5">
        <f t="shared" si="5"/>
        <v>11522545.340000004</v>
      </c>
      <c r="L37" s="140">
        <f>INDEX('2018 Best Practice Scores'!M$4:M$255,MATCH(B37,'2018 Best Practice Scores'!A$4:A$255,0))</f>
        <v>0.83378571428571424</v>
      </c>
      <c r="M37" s="105">
        <f t="shared" si="6"/>
        <v>2538959.3781007761</v>
      </c>
      <c r="N37" s="105">
        <f t="shared" si="7"/>
        <v>3183331.5183585854</v>
      </c>
      <c r="O37" s="105">
        <f t="shared" si="8"/>
        <v>635084.41758365044</v>
      </c>
      <c r="P37" s="105">
        <f t="shared" si="16"/>
        <v>144735.34701779595</v>
      </c>
      <c r="Q37" s="105">
        <f t="shared" si="9"/>
        <v>6502110.6610608073</v>
      </c>
      <c r="R37" s="112">
        <f t="shared" si="10"/>
        <v>0.56429464751065195</v>
      </c>
      <c r="S37" s="175">
        <f t="shared" si="11"/>
        <v>6502110.6610608073</v>
      </c>
      <c r="T37" s="105"/>
      <c r="U37" s="105">
        <f>IFERROR(INDEX('Revised 2019 MFAM(2017 PYAs)'!AD$26:AD$270,MATCH(B37,'Revised 2019 MFAM(2017 PYAs)'!B$26:B$270,0)),0)</f>
        <v>0</v>
      </c>
      <c r="V37" s="105">
        <f>IFERROR(INDEX('Revised 2018 MFAM(2016 PYAs)'!AF$26:AF$266,MATCH(B37,'Revised 2018 MFAM(2016 PYAs)'!B$26:B$266,0)),0)</f>
        <v>121424.69757729396</v>
      </c>
      <c r="W37" s="105">
        <f t="shared" si="12"/>
        <v>246.32883055643205</v>
      </c>
      <c r="X37" s="105">
        <f t="shared" si="13"/>
        <v>121671.0264078504</v>
      </c>
      <c r="Y37" s="105"/>
      <c r="Z37" s="106">
        <f t="shared" si="14"/>
        <v>6623781.6874686573</v>
      </c>
      <c r="AA37" s="107">
        <v>0</v>
      </c>
      <c r="AB37" s="108">
        <f t="shared" si="15"/>
        <v>0</v>
      </c>
      <c r="AC37" s="108">
        <f>IFERROR(INDEX('Revised 2019 MFAM(2017 PYAs)'!AF$26:AF$270,MATCH(B37,'Revised 2019 MFAM(2017 PYAs)'!B$26:B$270,0)),0)</f>
        <v>9575.8409044284799</v>
      </c>
      <c r="AD37" s="216">
        <f>AC37/AC$24*('Revised 2019 MFAM(2017 PYAs)'!AF$24-'2020 Funding'!AC$24)</f>
        <v>8.7735705357239855</v>
      </c>
      <c r="AE37" s="105">
        <f t="shared" si="17"/>
        <v>6633366.3019436216</v>
      </c>
      <c r="AF37" s="111"/>
      <c r="AG37" s="105">
        <v>1711767.5445157783</v>
      </c>
      <c r="AH37" s="214">
        <v>1711767.5445157783</v>
      </c>
      <c r="AI37" s="105">
        <v>1711767.5445157783</v>
      </c>
      <c r="AJ37" s="105">
        <f t="shared" si="18"/>
        <v>1498063.6683962867</v>
      </c>
    </row>
    <row r="38" spans="2:36" x14ac:dyDescent="0.25">
      <c r="B38">
        <v>14</v>
      </c>
      <c r="C38" s="27">
        <v>3</v>
      </c>
      <c r="D38" s="39" t="s">
        <v>311</v>
      </c>
      <c r="E38" s="162">
        <f>INDEX('2018 Data Lockdown'!H$5:H$255, MATCH(B38,'2018 Data Lockdown'!B$5:B$255,0))</f>
        <v>11367.08</v>
      </c>
      <c r="F38" s="5">
        <f>INDEX('2018 Data Lockdown'!E$5:E$255,MATCH(B38,'2018 Data Lockdown'!B$5:B$255,0))</f>
        <v>2606685.4500000002</v>
      </c>
      <c r="G38" s="5">
        <f>INDEX('2018 Data Lockdown'!F$5:F$255, MATCH(B38,'2018 Data Lockdown'!B$5:B$255,0))</f>
        <v>263239.97000000003</v>
      </c>
      <c r="H38" s="5">
        <f t="shared" si="2"/>
        <v>2343445.48</v>
      </c>
      <c r="I38" s="103">
        <f t="shared" si="3"/>
        <v>206.16072729320106</v>
      </c>
      <c r="J38" s="6">
        <f t="shared" si="4"/>
        <v>206.16072729320106</v>
      </c>
      <c r="K38" s="5">
        <f t="shared" si="5"/>
        <v>2343445.48</v>
      </c>
      <c r="L38" s="140">
        <f>INDEX('2018 Best Practice Scores'!M$4:M$255,MATCH(B38,'2018 Best Practice Scores'!A$4:A$255,0))</f>
        <v>0.85479464285714279</v>
      </c>
      <c r="M38" s="105">
        <f t="shared" si="6"/>
        <v>516371.40084483038</v>
      </c>
      <c r="N38" s="105">
        <f t="shared" si="7"/>
        <v>642379.92404215131</v>
      </c>
      <c r="O38" s="105">
        <f t="shared" si="8"/>
        <v>132417.45215003978</v>
      </c>
      <c r="P38" s="105">
        <f t="shared" si="16"/>
        <v>29436.151888041542</v>
      </c>
      <c r="Q38" s="105">
        <f t="shared" si="9"/>
        <v>1320604.928925063</v>
      </c>
      <c r="R38" s="112">
        <f t="shared" si="10"/>
        <v>0.5635313218061565</v>
      </c>
      <c r="S38" s="175">
        <f t="shared" si="11"/>
        <v>1320604.928925063</v>
      </c>
      <c r="T38" s="105"/>
      <c r="U38" s="105">
        <f>IFERROR(INDEX('Revised 2019 MFAM(2017 PYAs)'!AD$26:AD$270,MATCH(B38,'Revised 2019 MFAM(2017 PYAs)'!B$26:B$270,0)),0)</f>
        <v>19260.317686134484</v>
      </c>
      <c r="V38" s="105">
        <f>IFERROR(INDEX('Revised 2018 MFAM(2016 PYAs)'!AF$26:AF$266,MATCH(B38,'Revised 2018 MFAM(2016 PYAs)'!B$26:B$266,0)),0)</f>
        <v>10031.948008903535</v>
      </c>
      <c r="W38" s="105">
        <f t="shared" si="12"/>
        <v>50.030380091393006</v>
      </c>
      <c r="X38" s="105">
        <f t="shared" si="13"/>
        <v>29342.296075129412</v>
      </c>
      <c r="Y38" s="105"/>
      <c r="Z38" s="106">
        <f t="shared" si="14"/>
        <v>1349947.2250001924</v>
      </c>
      <c r="AA38" s="107">
        <v>0</v>
      </c>
      <c r="AB38" s="108">
        <f t="shared" si="15"/>
        <v>0</v>
      </c>
      <c r="AC38" s="108">
        <f>IFERROR(INDEX('Revised 2019 MFAM(2017 PYAs)'!AF$26:AF$270,MATCH(B38,'Revised 2019 MFAM(2017 PYAs)'!B$26:B$270,0)),0)</f>
        <v>2464.5437917572226</v>
      </c>
      <c r="AD38" s="216">
        <f>AC38/AC$24*('Revised 2019 MFAM(2017 PYAs)'!AF$24-'2020 Funding'!AC$24)</f>
        <v>2.2580626611458059</v>
      </c>
      <c r="AE38" s="105">
        <f t="shared" si="17"/>
        <v>1352414.0268546108</v>
      </c>
      <c r="AF38" s="105"/>
      <c r="AG38" s="105">
        <v>348824.5250321796</v>
      </c>
      <c r="AH38" s="105">
        <v>348824.5250321796</v>
      </c>
      <c r="AI38" s="105">
        <v>348824.5250321796</v>
      </c>
      <c r="AJ38" s="105">
        <f t="shared" si="18"/>
        <v>305940.45175807184</v>
      </c>
    </row>
    <row r="39" spans="2:36" x14ac:dyDescent="0.25">
      <c r="B39">
        <v>36</v>
      </c>
      <c r="C39" s="27">
        <v>3</v>
      </c>
      <c r="D39" s="39" t="s">
        <v>312</v>
      </c>
      <c r="E39" s="162">
        <f>INDEX('2018 Data Lockdown'!H$5:H$255, MATCH(B39,'2018 Data Lockdown'!B$5:B$255,0))</f>
        <v>8138.780484742425</v>
      </c>
      <c r="F39" s="5">
        <f>INDEX('2018 Data Lockdown'!E$5:E$255,MATCH(B39,'2018 Data Lockdown'!B$5:B$255,0))</f>
        <v>6197835.3200000003</v>
      </c>
      <c r="G39" s="5">
        <f>INDEX('2018 Data Lockdown'!F$5:F$255, MATCH(B39,'2018 Data Lockdown'!B$5:B$255,0))</f>
        <v>874483.81000000017</v>
      </c>
      <c r="H39" s="5">
        <f t="shared" si="2"/>
        <v>5323351.51</v>
      </c>
      <c r="I39" s="103">
        <f t="shared" si="3"/>
        <v>654.07237853134859</v>
      </c>
      <c r="J39" s="6">
        <f t="shared" si="4"/>
        <v>539.05223912945075</v>
      </c>
      <c r="K39" s="5">
        <f t="shared" si="5"/>
        <v>4387227.8440834805</v>
      </c>
      <c r="L39" s="140">
        <f>INDEX('2018 Best Practice Scores'!M$4:M$255,MATCH(B39,'2018 Best Practice Scores'!A$4:A$255,0))</f>
        <v>0.69209077380952377</v>
      </c>
      <c r="M39" s="105">
        <f t="shared" si="6"/>
        <v>966712.90499782912</v>
      </c>
      <c r="N39" s="105">
        <f t="shared" si="7"/>
        <v>459941.26808156382</v>
      </c>
      <c r="O39" s="105">
        <f t="shared" si="8"/>
        <v>200715.92474148003</v>
      </c>
      <c r="P39" s="105">
        <f t="shared" si="16"/>
        <v>55108.218342628723</v>
      </c>
      <c r="Q39" s="105">
        <f t="shared" si="9"/>
        <v>1682478.3161635017</v>
      </c>
      <c r="R39" s="112">
        <f t="shared" si="10"/>
        <v>0.38349462940076273</v>
      </c>
      <c r="S39" s="175">
        <f t="shared" si="11"/>
        <v>1682478.3161635017</v>
      </c>
      <c r="T39" s="105"/>
      <c r="U39" s="105">
        <f>IFERROR(INDEX('Revised 2019 MFAM(2017 PYAs)'!AD$26:AD$270,MATCH(B39,'Revised 2019 MFAM(2017 PYAs)'!B$26:B$270,0)),0)</f>
        <v>23406.790426987689</v>
      </c>
      <c r="V39" s="105">
        <f>IFERROR(INDEX('Revised 2018 MFAM(2016 PYAs)'!AF$26:AF$266,MATCH(B39,'Revised 2018 MFAM(2016 PYAs)'!B$26:B$266,0)),0)</f>
        <v>31520.91353380098</v>
      </c>
      <c r="W39" s="105">
        <f t="shared" si="12"/>
        <v>63.739751237868774</v>
      </c>
      <c r="X39" s="105">
        <f t="shared" si="13"/>
        <v>54991.443712026536</v>
      </c>
      <c r="Y39" s="105"/>
      <c r="Z39" s="106">
        <f t="shared" si="14"/>
        <v>1737469.7598755283</v>
      </c>
      <c r="AA39" s="107">
        <v>0</v>
      </c>
      <c r="AB39" s="108">
        <f t="shared" si="15"/>
        <v>0</v>
      </c>
      <c r="AC39" s="108">
        <f>IFERROR(INDEX('Revised 2019 MFAM(2017 PYAs)'!AF$26:AF$270,MATCH(B39,'Revised 2019 MFAM(2017 PYAs)'!B$26:B$270,0)),0)</f>
        <v>3035.0056419662365</v>
      </c>
      <c r="AD39" s="216">
        <f>AC39/AC$24*('Revised 2019 MFAM(2017 PYAs)'!AF$24-'2020 Funding'!AC$24)</f>
        <v>2.7807308352206039</v>
      </c>
      <c r="AE39" s="105">
        <f t="shared" si="17"/>
        <v>1740507.5462483296</v>
      </c>
      <c r="AF39" s="111"/>
      <c r="AG39" s="105">
        <v>448820.89716990036</v>
      </c>
      <c r="AH39" s="214">
        <v>448820.89716990036</v>
      </c>
      <c r="AI39" s="105">
        <v>448820.89716990036</v>
      </c>
      <c r="AJ39" s="105">
        <f t="shared" si="18"/>
        <v>394044.85473862849</v>
      </c>
    </row>
    <row r="40" spans="2:36" x14ac:dyDescent="0.25">
      <c r="B40">
        <v>55</v>
      </c>
      <c r="C40" s="27">
        <v>3</v>
      </c>
      <c r="D40" s="39" t="s">
        <v>313</v>
      </c>
      <c r="E40" s="162">
        <f>INDEX('2018 Data Lockdown'!H$5:H$255, MATCH(B40,'2018 Data Lockdown'!B$5:B$255,0))</f>
        <v>3445.1599999999994</v>
      </c>
      <c r="F40" s="5">
        <f>INDEX('2018 Data Lockdown'!E$5:E$255,MATCH(B40,'2018 Data Lockdown'!B$5:B$255,0))</f>
        <v>1492885.07</v>
      </c>
      <c r="G40" s="5">
        <f>INDEX('2018 Data Lockdown'!F$5:F$255, MATCH(B40,'2018 Data Lockdown'!B$5:B$255,0))</f>
        <v>67559.319999999992</v>
      </c>
      <c r="H40" s="5">
        <f t="shared" si="2"/>
        <v>1425325.75</v>
      </c>
      <c r="I40" s="103">
        <f t="shared" si="3"/>
        <v>413.71830335891519</v>
      </c>
      <c r="J40" s="6">
        <f t="shared" si="4"/>
        <v>413.71830335891519</v>
      </c>
      <c r="K40" s="5">
        <f t="shared" si="5"/>
        <v>1425325.75</v>
      </c>
      <c r="L40" s="140">
        <f>INDEX('2018 Best Practice Scores'!M$4:M$255,MATCH(B40,'2018 Best Practice Scores'!A$4:A$255,0))</f>
        <v>0.49330952380952381</v>
      </c>
      <c r="M40" s="105">
        <f t="shared" si="6"/>
        <v>314066.38663840754</v>
      </c>
      <c r="N40" s="105">
        <f t="shared" si="7"/>
        <v>194693.94242963521</v>
      </c>
      <c r="O40" s="105">
        <f t="shared" si="8"/>
        <v>46479.581891151181</v>
      </c>
      <c r="P40" s="105">
        <f t="shared" si="16"/>
        <v>17903.597768759155</v>
      </c>
      <c r="Q40" s="105">
        <f t="shared" si="9"/>
        <v>573143.50872795307</v>
      </c>
      <c r="R40" s="112">
        <f t="shared" si="10"/>
        <v>0.40211404917644478</v>
      </c>
      <c r="S40" s="175">
        <f t="shared" si="11"/>
        <v>573143.50872795307</v>
      </c>
      <c r="T40" s="105"/>
      <c r="U40" s="105">
        <f>IFERROR(INDEX('Revised 2019 MFAM(2017 PYAs)'!AD$26:AD$270,MATCH(B40,'Revised 2019 MFAM(2017 PYAs)'!B$26:B$270,0)),0)</f>
        <v>6749.1326538156718</v>
      </c>
      <c r="V40" s="105">
        <f>IFERROR(INDEX('Revised 2018 MFAM(2016 PYAs)'!AF$26:AF$266,MATCH(B40,'Revised 2018 MFAM(2016 PYAs)'!B$26:B$266,0)),0)</f>
        <v>9161.5055176680908</v>
      </c>
      <c r="W40" s="105">
        <f t="shared" si="12"/>
        <v>21.713221691452009</v>
      </c>
      <c r="X40" s="105">
        <f t="shared" si="13"/>
        <v>15932.351393175215</v>
      </c>
      <c r="Y40" s="105"/>
      <c r="Z40" s="106">
        <f t="shared" si="14"/>
        <v>589075.86012112827</v>
      </c>
      <c r="AA40" s="107">
        <v>0</v>
      </c>
      <c r="AB40" s="108">
        <f t="shared" si="15"/>
        <v>0</v>
      </c>
      <c r="AC40" s="108">
        <f>IFERROR(INDEX('Revised 2019 MFAM(2017 PYAs)'!AF$26:AF$270,MATCH(B40,'Revised 2019 MFAM(2017 PYAs)'!B$26:B$270,0)),0)</f>
        <v>1040.1749805779175</v>
      </c>
      <c r="AD40" s="216">
        <f>AC40/AC$24*('Revised 2019 MFAM(2017 PYAs)'!AF$24-'2020 Funding'!AC$24)</f>
        <v>0.95302842357951223</v>
      </c>
      <c r="AE40" s="105">
        <f t="shared" si="17"/>
        <v>590116.98813012976</v>
      </c>
      <c r="AF40" s="111"/>
      <c r="AG40" s="105">
        <v>152192.15499539865</v>
      </c>
      <c r="AH40" s="214">
        <v>152192.15499539865</v>
      </c>
      <c r="AI40" s="105">
        <v>152192.15499539865</v>
      </c>
      <c r="AJ40" s="105">
        <f t="shared" si="18"/>
        <v>133540.52314393379</v>
      </c>
    </row>
    <row r="41" spans="2:36" x14ac:dyDescent="0.25">
      <c r="B41">
        <v>103</v>
      </c>
      <c r="C41" s="27">
        <v>3</v>
      </c>
      <c r="D41" s="39" t="s">
        <v>314</v>
      </c>
      <c r="E41" s="162">
        <f>INDEX('2018 Data Lockdown'!H$5:H$255, MATCH(B41,'2018 Data Lockdown'!B$5:B$255,0))</f>
        <v>4118.84</v>
      </c>
      <c r="F41" s="5">
        <f>INDEX('2018 Data Lockdown'!E$5:E$255,MATCH(B41,'2018 Data Lockdown'!B$5:B$255,0))</f>
        <v>1518639.38</v>
      </c>
      <c r="G41" s="5">
        <f>INDEX('2018 Data Lockdown'!F$5:F$255, MATCH(B41,'2018 Data Lockdown'!B$5:B$255,0))</f>
        <v>554001.79</v>
      </c>
      <c r="H41" s="5">
        <f t="shared" si="2"/>
        <v>964637.58999999985</v>
      </c>
      <c r="I41" s="103">
        <f t="shared" si="3"/>
        <v>234.20127754416288</v>
      </c>
      <c r="J41" s="6">
        <f t="shared" si="4"/>
        <v>234.20127754416288</v>
      </c>
      <c r="K41" s="5">
        <f t="shared" si="5"/>
        <v>964637.58999999985</v>
      </c>
      <c r="L41" s="140">
        <f>INDEX('2018 Best Practice Scores'!M$4:M$255,MATCH(B41,'2018 Best Practice Scores'!A$4:A$255,0))</f>
        <v>0.41583928571428569</v>
      </c>
      <c r="M41" s="105">
        <f t="shared" si="6"/>
        <v>212555.08946420255</v>
      </c>
      <c r="N41" s="105">
        <f t="shared" si="7"/>
        <v>232765.15396581838</v>
      </c>
      <c r="O41" s="105">
        <f t="shared" si="8"/>
        <v>26516.626973319024</v>
      </c>
      <c r="P41" s="105">
        <f t="shared" si="16"/>
        <v>12116.867603062112</v>
      </c>
      <c r="Q41" s="105">
        <f t="shared" si="9"/>
        <v>483953.7380064021</v>
      </c>
      <c r="R41" s="112">
        <f t="shared" si="10"/>
        <v>0.50169487797630008</v>
      </c>
      <c r="S41" s="175">
        <f t="shared" si="11"/>
        <v>483953.7380064021</v>
      </c>
      <c r="T41" s="105"/>
      <c r="U41" s="105">
        <f>IFERROR(INDEX('Revised 2019 MFAM(2017 PYAs)'!AD$26:AD$270,MATCH(B41,'Revised 2019 MFAM(2017 PYAs)'!B$26:B$270,0)),0)</f>
        <v>5060.2513550684089</v>
      </c>
      <c r="V41" s="105">
        <f>IFERROR(INDEX('Revised 2018 MFAM(2016 PYAs)'!AF$26:AF$266,MATCH(B41,'Revised 2018 MFAM(2016 PYAs)'!B$26:B$266,0)),0)</f>
        <v>7600.272275989817</v>
      </c>
      <c r="W41" s="105">
        <f t="shared" si="12"/>
        <v>18.334317045763992</v>
      </c>
      <c r="X41" s="105">
        <f t="shared" si="13"/>
        <v>12678.857948103991</v>
      </c>
      <c r="Y41" s="105"/>
      <c r="Z41" s="106">
        <f t="shared" si="14"/>
        <v>496632.59595450608</v>
      </c>
      <c r="AA41" s="107">
        <v>0</v>
      </c>
      <c r="AB41" s="108">
        <f t="shared" si="15"/>
        <v>0</v>
      </c>
      <c r="AC41" s="108">
        <f>IFERROR(INDEX('Revised 2019 MFAM(2017 PYAs)'!AF$26:AF$270,MATCH(B41,'Revised 2019 MFAM(2017 PYAs)'!B$26:B$270,0)),0)</f>
        <v>996.69674486838016</v>
      </c>
      <c r="AD41" s="216">
        <f>AC41/AC$24*('Revised 2019 MFAM(2017 PYAs)'!AF$24-'2020 Funding'!AC$24)</f>
        <v>0.91319282359684673</v>
      </c>
      <c r="AE41" s="105">
        <f t="shared" si="17"/>
        <v>497630.20589219802</v>
      </c>
      <c r="AF41" s="111"/>
      <c r="AG41" s="105">
        <v>128313.68822209889</v>
      </c>
      <c r="AH41" s="214">
        <v>128313.68822209889</v>
      </c>
      <c r="AI41" s="105">
        <v>128313.68822209889</v>
      </c>
      <c r="AJ41" s="105">
        <f t="shared" si="18"/>
        <v>112689.14122590137</v>
      </c>
    </row>
    <row r="42" spans="2:36" x14ac:dyDescent="0.25">
      <c r="B42">
        <v>123</v>
      </c>
      <c r="C42" s="27">
        <v>3</v>
      </c>
      <c r="D42" s="39" t="s">
        <v>315</v>
      </c>
      <c r="E42" s="162">
        <f>INDEX('2018 Data Lockdown'!H$5:H$255, MATCH(B42,'2018 Data Lockdown'!B$5:B$255,0))</f>
        <v>6660.5800000000008</v>
      </c>
      <c r="F42" s="5">
        <f>INDEX('2018 Data Lockdown'!E$5:E$255,MATCH(B42,'2018 Data Lockdown'!B$5:B$255,0))</f>
        <v>1284089.29</v>
      </c>
      <c r="G42" s="5">
        <f>INDEX('2018 Data Lockdown'!F$5:F$255, MATCH(B42,'2018 Data Lockdown'!B$5:B$255,0))</f>
        <v>0</v>
      </c>
      <c r="H42" s="5">
        <f t="shared" si="2"/>
        <v>1284089.29</v>
      </c>
      <c r="I42" s="103">
        <f t="shared" si="3"/>
        <v>192.78941023154138</v>
      </c>
      <c r="J42" s="6">
        <f t="shared" si="4"/>
        <v>192.78941023154138</v>
      </c>
      <c r="K42" s="5">
        <f t="shared" si="5"/>
        <v>1284089.29</v>
      </c>
      <c r="L42" s="140">
        <f>INDEX('2018 Best Practice Scores'!M$4:M$255,MATCH(B42,'2018 Best Practice Scores'!A$4:A$255,0))</f>
        <v>0.76084821428571414</v>
      </c>
      <c r="M42" s="105">
        <f t="shared" si="6"/>
        <v>282945.3431479634</v>
      </c>
      <c r="N42" s="105">
        <f t="shared" si="7"/>
        <v>376404.74725933775</v>
      </c>
      <c r="O42" s="105">
        <f t="shared" si="8"/>
        <v>64583.537722375964</v>
      </c>
      <c r="P42" s="105">
        <f t="shared" si="16"/>
        <v>16129.518566076233</v>
      </c>
      <c r="Q42" s="105">
        <f t="shared" si="9"/>
        <v>740063.14669575333</v>
      </c>
      <c r="R42" s="112">
        <f t="shared" si="10"/>
        <v>0.57633308871827227</v>
      </c>
      <c r="S42" s="175">
        <f t="shared" si="11"/>
        <v>740063.14669575333</v>
      </c>
      <c r="T42" s="105"/>
      <c r="U42" s="105">
        <f>IFERROR(INDEX('Revised 2019 MFAM(2017 PYAs)'!AD$26:AD$270,MATCH(B42,'Revised 2019 MFAM(2017 PYAs)'!B$26:B$270,0)),0)</f>
        <v>11983.227358952747</v>
      </c>
      <c r="V42" s="105">
        <f>IFERROR(INDEX('Revised 2018 MFAM(2016 PYAs)'!AF$26:AF$266,MATCH(B42,'Revised 2018 MFAM(2016 PYAs)'!B$26:B$266,0)),0)</f>
        <v>13608.12367912312</v>
      </c>
      <c r="W42" s="105">
        <f t="shared" si="12"/>
        <v>28.036878940743282</v>
      </c>
      <c r="X42" s="105">
        <f t="shared" si="13"/>
        <v>25619.387917016611</v>
      </c>
      <c r="Y42" s="105"/>
      <c r="Z42" s="106">
        <f t="shared" si="14"/>
        <v>765682.53461276996</v>
      </c>
      <c r="AA42" s="107">
        <v>0</v>
      </c>
      <c r="AB42" s="108">
        <f t="shared" si="15"/>
        <v>0</v>
      </c>
      <c r="AC42" s="108">
        <f>IFERROR(INDEX('Revised 2019 MFAM(2017 PYAs)'!AF$26:AF$270,MATCH(B42,'Revised 2019 MFAM(2017 PYAs)'!B$26:B$270,0)),0)</f>
        <v>1355.8409211327964</v>
      </c>
      <c r="AD42" s="216">
        <f>AC42/AC$24*('Revised 2019 MFAM(2017 PYAs)'!AF$24-'2020 Funding'!AC$24)</f>
        <v>1.2422476600752943</v>
      </c>
      <c r="AE42" s="105">
        <f t="shared" si="17"/>
        <v>767039.61778156285</v>
      </c>
      <c r="AF42" s="111"/>
      <c r="AG42" s="105">
        <v>197774.07155380977</v>
      </c>
      <c r="AH42" s="214">
        <v>197774.07155380977</v>
      </c>
      <c r="AI42" s="105">
        <v>197774.07155380977</v>
      </c>
      <c r="AJ42" s="105">
        <f t="shared" si="18"/>
        <v>173717.40312013347</v>
      </c>
    </row>
    <row r="43" spans="2:36" x14ac:dyDescent="0.25">
      <c r="B43">
        <v>179</v>
      </c>
      <c r="C43" s="27">
        <v>3</v>
      </c>
      <c r="D43" s="39" t="s">
        <v>316</v>
      </c>
      <c r="E43" s="162">
        <f>INDEX('2018 Data Lockdown'!H$5:H$255, MATCH(B43,'2018 Data Lockdown'!B$5:B$255,0))</f>
        <v>6074.0999999999995</v>
      </c>
      <c r="F43" s="5">
        <f>INDEX('2018 Data Lockdown'!E$5:E$255,MATCH(B43,'2018 Data Lockdown'!B$5:B$255,0))</f>
        <v>2468879.0699999998</v>
      </c>
      <c r="G43" s="5">
        <f>INDEX('2018 Data Lockdown'!F$5:F$255, MATCH(B43,'2018 Data Lockdown'!B$5:B$255,0))</f>
        <v>713319.58000000007</v>
      </c>
      <c r="H43" s="5">
        <f t="shared" si="2"/>
        <v>1755559.4899999998</v>
      </c>
      <c r="I43" s="103">
        <f t="shared" si="3"/>
        <v>289.02380434961555</v>
      </c>
      <c r="J43" s="6">
        <f t="shared" si="4"/>
        <v>289.02380434961555</v>
      </c>
      <c r="K43" s="5">
        <f t="shared" si="5"/>
        <v>1755559.4899999995</v>
      </c>
      <c r="L43" s="140">
        <f>INDEX('2018 Best Practice Scores'!M$4:M$255,MATCH(B43,'2018 Best Practice Scores'!A$4:A$255,0))</f>
        <v>0.83378571428571413</v>
      </c>
      <c r="M43" s="105">
        <f t="shared" si="6"/>
        <v>386832.43150070461</v>
      </c>
      <c r="N43" s="105">
        <f t="shared" si="7"/>
        <v>343261.40896557702</v>
      </c>
      <c r="O43" s="105">
        <f t="shared" si="8"/>
        <v>96760.60656230837</v>
      </c>
      <c r="P43" s="105">
        <f t="shared" si="16"/>
        <v>22051.682549121106</v>
      </c>
      <c r="Q43" s="105">
        <f t="shared" si="9"/>
        <v>848906.12957771111</v>
      </c>
      <c r="R43" s="112">
        <f t="shared" si="10"/>
        <v>0.48355304073330568</v>
      </c>
      <c r="S43" s="175">
        <f t="shared" si="11"/>
        <v>848906.12957771111</v>
      </c>
      <c r="T43" s="105"/>
      <c r="U43" s="105">
        <f>IFERROR(INDEX('Revised 2019 MFAM(2017 PYAs)'!AD$26:AD$270,MATCH(B43,'Revised 2019 MFAM(2017 PYAs)'!B$26:B$270,0)),0)</f>
        <v>8104.162082780269</v>
      </c>
      <c r="V43" s="105">
        <f>IFERROR(INDEX('Revised 2018 MFAM(2016 PYAs)'!AF$26:AF$266,MATCH(B43,'Revised 2018 MFAM(2016 PYAs)'!B$26:B$266,0)),0)</f>
        <v>11076.318664182327</v>
      </c>
      <c r="W43" s="105">
        <f t="shared" si="12"/>
        <v>32.160334551572923</v>
      </c>
      <c r="X43" s="105">
        <f t="shared" si="13"/>
        <v>19212.641081514168</v>
      </c>
      <c r="Y43" s="105"/>
      <c r="Z43" s="106">
        <f t="shared" si="14"/>
        <v>868118.77065922529</v>
      </c>
      <c r="AA43" s="107">
        <v>0</v>
      </c>
      <c r="AB43" s="108">
        <f t="shared" si="15"/>
        <v>0</v>
      </c>
      <c r="AC43" s="108">
        <f>IFERROR(INDEX('Revised 2019 MFAM(2017 PYAs)'!AF$26:AF$270,MATCH(B43,'Revised 2019 MFAM(2017 PYAs)'!B$26:B$270,0)),0)</f>
        <v>1380.2275591517073</v>
      </c>
      <c r="AD43" s="216">
        <f>AC43/AC$24*('Revised 2019 MFAM(2017 PYAs)'!AF$24-'2020 Funding'!AC$24)</f>
        <v>1.2645911692170486</v>
      </c>
      <c r="AE43" s="105">
        <f t="shared" si="17"/>
        <v>869500.2628095462</v>
      </c>
      <c r="AF43" s="111"/>
      <c r="AG43" s="105">
        <v>224319.35484405194</v>
      </c>
      <c r="AH43" s="214">
        <v>224319.35484405194</v>
      </c>
      <c r="AI43" s="105">
        <v>224319.35484405194</v>
      </c>
      <c r="AJ43" s="105">
        <f t="shared" si="18"/>
        <v>196542.19827739045</v>
      </c>
    </row>
    <row r="44" spans="2:36" x14ac:dyDescent="0.25">
      <c r="B44">
        <v>293</v>
      </c>
      <c r="C44" s="27">
        <v>3</v>
      </c>
      <c r="D44" s="39" t="s">
        <v>317</v>
      </c>
      <c r="E44" s="162">
        <f>INDEX('2018 Data Lockdown'!H$5:H$255, MATCH(B44,'2018 Data Lockdown'!B$5:B$255,0))</f>
        <v>7938.2</v>
      </c>
      <c r="F44" s="5">
        <f>INDEX('2018 Data Lockdown'!E$5:E$255,MATCH(B44,'2018 Data Lockdown'!B$5:B$255,0))</f>
        <v>2337931.94</v>
      </c>
      <c r="G44" s="5">
        <f>INDEX('2018 Data Lockdown'!F$5:F$255, MATCH(B44,'2018 Data Lockdown'!B$5:B$255,0))</f>
        <v>945985.67999999993</v>
      </c>
      <c r="H44" s="5">
        <f t="shared" si="2"/>
        <v>1391946.26</v>
      </c>
      <c r="I44" s="103">
        <f t="shared" si="3"/>
        <v>175.34784459953138</v>
      </c>
      <c r="J44" s="6">
        <f t="shared" si="4"/>
        <v>175.34784459953138</v>
      </c>
      <c r="K44" s="5">
        <f t="shared" si="5"/>
        <v>1391946.26</v>
      </c>
      <c r="L44" s="140">
        <f>INDEX('2018 Best Practice Scores'!M$4:M$255,MATCH(B44,'2018 Best Practice Scores'!A$4:A$255,0))</f>
        <v>0.92089624999999997</v>
      </c>
      <c r="M44" s="105">
        <f t="shared" si="6"/>
        <v>306711.31302654522</v>
      </c>
      <c r="N44" s="105">
        <f t="shared" si="7"/>
        <v>448606.0019839225</v>
      </c>
      <c r="O44" s="105">
        <f t="shared" si="8"/>
        <v>84734.789399616478</v>
      </c>
      <c r="P44" s="105">
        <f t="shared" si="16"/>
        <v>17484.316097403454</v>
      </c>
      <c r="Q44" s="105">
        <f t="shared" si="9"/>
        <v>857536.42050748761</v>
      </c>
      <c r="R44" s="112">
        <f t="shared" si="10"/>
        <v>0.61607006329934577</v>
      </c>
      <c r="S44" s="175">
        <f t="shared" si="11"/>
        <v>857536.42050748761</v>
      </c>
      <c r="T44" s="105"/>
      <c r="U44" s="105">
        <f>IFERROR(INDEX('Revised 2019 MFAM(2017 PYAs)'!AD$26:AD$270,MATCH(B44,'Revised 2019 MFAM(2017 PYAs)'!B$26:B$270,0)),0)</f>
        <v>0</v>
      </c>
      <c r="V44" s="105">
        <f>IFERROR(INDEX('Revised 2018 MFAM(2016 PYAs)'!AF$26:AF$266,MATCH(B44,'Revised 2018 MFAM(2016 PYAs)'!B$26:B$266,0)),0)</f>
        <v>1746.1986660632538</v>
      </c>
      <c r="W44" s="105">
        <f t="shared" si="12"/>
        <v>32.48728830288708</v>
      </c>
      <c r="X44" s="105">
        <f t="shared" si="13"/>
        <v>1778.6859543661408</v>
      </c>
      <c r="Y44" s="105"/>
      <c r="Z44" s="106">
        <f t="shared" si="14"/>
        <v>859315.10646185372</v>
      </c>
      <c r="AA44" s="107">
        <v>0</v>
      </c>
      <c r="AB44" s="108">
        <f t="shared" si="15"/>
        <v>0</v>
      </c>
      <c r="AC44" s="108">
        <f>IFERROR(INDEX('Revised 2019 MFAM(2017 PYAs)'!AF$26:AF$270,MATCH(B44,'Revised 2019 MFAM(2017 PYAs)'!B$26:B$270,0)),0)</f>
        <v>1190.3903427009302</v>
      </c>
      <c r="AD44" s="216">
        <f>AC44/AC$24*('Revised 2019 MFAM(2017 PYAs)'!AF$24-'2020 Funding'!AC$24)</f>
        <v>1.0906586419894777</v>
      </c>
      <c r="AE44" s="105">
        <f t="shared" si="17"/>
        <v>860506.5874631966</v>
      </c>
      <c r="AF44" s="111"/>
      <c r="AG44" s="105">
        <v>222190.10797239712</v>
      </c>
      <c r="AH44" s="214">
        <v>222190.10797239712</v>
      </c>
      <c r="AI44" s="105">
        <v>222190.10797239712</v>
      </c>
      <c r="AJ44" s="105">
        <f t="shared" si="18"/>
        <v>193936.26354600524</v>
      </c>
    </row>
    <row r="45" spans="2:36" x14ac:dyDescent="0.25">
      <c r="B45">
        <v>12</v>
      </c>
      <c r="C45" s="27">
        <v>4</v>
      </c>
      <c r="D45" s="39" t="s">
        <v>318</v>
      </c>
      <c r="E45" s="162">
        <f>INDEX('2018 Data Lockdown'!H$5:H$255, MATCH(B45,'2018 Data Lockdown'!B$5:B$255,0))</f>
        <v>5092.2999999999993</v>
      </c>
      <c r="F45" s="5">
        <f>INDEX('2018 Data Lockdown'!E$5:E$255,MATCH(B45,'2018 Data Lockdown'!B$5:B$255,0))</f>
        <v>2922626.6</v>
      </c>
      <c r="G45" s="5">
        <f>INDEX('2018 Data Lockdown'!F$5:F$255, MATCH(B45,'2018 Data Lockdown'!B$5:B$255,0))</f>
        <v>693708.37</v>
      </c>
      <c r="H45" s="5">
        <f t="shared" si="2"/>
        <v>2228918.23</v>
      </c>
      <c r="I45" s="103">
        <f t="shared" si="3"/>
        <v>437.70363686349987</v>
      </c>
      <c r="J45" s="6">
        <f t="shared" si="4"/>
        <v>437.70363686349987</v>
      </c>
      <c r="K45" s="5">
        <f t="shared" si="5"/>
        <v>2228918.23</v>
      </c>
      <c r="L45" s="140">
        <f>INDEX('2018 Best Practice Scores'!M$4:M$255,MATCH(B45,'2018 Best Practice Scores'!A$4:A$255,0))</f>
        <v>0.77850595238095233</v>
      </c>
      <c r="M45" s="105">
        <f t="shared" si="6"/>
        <v>491135.65415384871</v>
      </c>
      <c r="N45" s="105">
        <f t="shared" si="7"/>
        <v>287777.62514206342</v>
      </c>
      <c r="O45" s="105">
        <f t="shared" si="8"/>
        <v>114705.6090555852</v>
      </c>
      <c r="P45" s="105">
        <f t="shared" si="16"/>
        <v>27997.568590460538</v>
      </c>
      <c r="Q45" s="105">
        <f t="shared" si="9"/>
        <v>921616.45694195793</v>
      </c>
      <c r="R45" s="112">
        <f t="shared" si="10"/>
        <v>0.41348150171572601</v>
      </c>
      <c r="S45" s="175">
        <f t="shared" si="11"/>
        <v>921616.45694195793</v>
      </c>
      <c r="T45" s="105"/>
      <c r="U45" s="105">
        <f>IFERROR(INDEX('Revised 2019 MFAM(2017 PYAs)'!AD$26:AD$270,MATCH(B45,'Revised 2019 MFAM(2017 PYAs)'!B$26:B$270,0)),0)</f>
        <v>14218.365947935497</v>
      </c>
      <c r="V45" s="105">
        <f>IFERROR(INDEX('Revised 2018 MFAM(2016 PYAs)'!AF$26:AF$266,MATCH(B45,'Revised 2018 MFAM(2016 PYAs)'!B$26:B$266,0)),0)</f>
        <v>16393.798337497283</v>
      </c>
      <c r="W45" s="105">
        <f t="shared" si="12"/>
        <v>34.914924690475324</v>
      </c>
      <c r="X45" s="105">
        <f t="shared" si="13"/>
        <v>30647.079210123255</v>
      </c>
      <c r="Y45" s="105"/>
      <c r="Z45" s="106">
        <f t="shared" si="14"/>
        <v>952263.53615208121</v>
      </c>
      <c r="AA45" s="107">
        <v>0</v>
      </c>
      <c r="AB45" s="108">
        <f t="shared" si="15"/>
        <v>0</v>
      </c>
      <c r="AC45" s="108">
        <f>IFERROR(INDEX('Revised 2019 MFAM(2017 PYAs)'!AF$26:AF$270,MATCH(B45,'Revised 2019 MFAM(2017 PYAs)'!B$26:B$270,0)),0)</f>
        <v>1950.119515562481</v>
      </c>
      <c r="AD45" s="216">
        <f>AC45/AC$24*('Revised 2019 MFAM(2017 PYAs)'!AF$24-'2020 Funding'!AC$24)</f>
        <v>1.7867371955779658</v>
      </c>
      <c r="AE45" s="105">
        <f t="shared" si="17"/>
        <v>954215.44240483921</v>
      </c>
      <c r="AF45" s="105"/>
      <c r="AG45" s="105">
        <v>245981.98498801561</v>
      </c>
      <c r="AH45" s="105">
        <v>245981.98498801561</v>
      </c>
      <c r="AI45" s="105">
        <v>245981.98498801561</v>
      </c>
      <c r="AJ45" s="105">
        <f t="shared" si="18"/>
        <v>216269.48744079238</v>
      </c>
    </row>
    <row r="46" spans="2:36" x14ac:dyDescent="0.25">
      <c r="B46">
        <v>21</v>
      </c>
      <c r="C46" s="27">
        <v>4</v>
      </c>
      <c r="D46" s="39" t="s">
        <v>319</v>
      </c>
      <c r="E46" s="162">
        <f>INDEX('2018 Data Lockdown'!H$5:H$255, MATCH(B46,'2018 Data Lockdown'!B$5:B$255,0))</f>
        <v>5179.17</v>
      </c>
      <c r="F46" s="5">
        <f>INDEX('2018 Data Lockdown'!E$5:E$255,MATCH(B46,'2018 Data Lockdown'!B$5:B$255,0))</f>
        <v>3018158.71</v>
      </c>
      <c r="G46" s="5">
        <f>INDEX('2018 Data Lockdown'!F$5:F$255, MATCH(B46,'2018 Data Lockdown'!B$5:B$255,0))</f>
        <v>630793.78</v>
      </c>
      <c r="H46" s="5">
        <f t="shared" si="2"/>
        <v>2387364.9299999997</v>
      </c>
      <c r="I46" s="103">
        <f t="shared" si="3"/>
        <v>460.95512022196601</v>
      </c>
      <c r="J46" s="6">
        <f t="shared" si="4"/>
        <v>460.95512022196601</v>
      </c>
      <c r="K46" s="5">
        <f t="shared" si="5"/>
        <v>2387364.9299999997</v>
      </c>
      <c r="L46" s="140">
        <f>INDEX('2018 Best Practice Scores'!M$4:M$255,MATCH(B46,'2018 Best Practice Scores'!A$4:A$255,0))</f>
        <v>0.75064285714285706</v>
      </c>
      <c r="M46" s="105">
        <f t="shared" si="6"/>
        <v>526048.92401077773</v>
      </c>
      <c r="N46" s="105">
        <f t="shared" si="7"/>
        <v>292686.84932290338</v>
      </c>
      <c r="O46" s="105">
        <f t="shared" si="8"/>
        <v>118462.46019491274</v>
      </c>
      <c r="P46" s="105">
        <f t="shared" si="16"/>
        <v>29987.826596103983</v>
      </c>
      <c r="Q46" s="105">
        <f t="shared" si="9"/>
        <v>967186.06012469775</v>
      </c>
      <c r="R46" s="112">
        <f t="shared" si="10"/>
        <v>0.40512702853714866</v>
      </c>
      <c r="S46" s="175">
        <f t="shared" si="11"/>
        <v>967186.06012469775</v>
      </c>
      <c r="T46" s="105"/>
      <c r="U46" s="105">
        <f>IFERROR(INDEX('Revised 2019 MFAM(2017 PYAs)'!AD$26:AD$270,MATCH(B46,'Revised 2019 MFAM(2017 PYAs)'!B$26:B$270,0)),0)</f>
        <v>12268.574914215831</v>
      </c>
      <c r="V46" s="105">
        <f>IFERROR(INDEX('Revised 2018 MFAM(2016 PYAs)'!AF$26:AF$266,MATCH(B46,'Revised 2018 MFAM(2016 PYAs)'!B$26:B$266,0)),0)</f>
        <v>24975.777033620398</v>
      </c>
      <c r="W46" s="105">
        <f t="shared" si="12"/>
        <v>36.641303653563227</v>
      </c>
      <c r="X46" s="105">
        <f t="shared" si="13"/>
        <v>37280.993251489796</v>
      </c>
      <c r="Y46" s="105"/>
      <c r="Z46" s="106">
        <f t="shared" si="14"/>
        <v>1004467.0533761876</v>
      </c>
      <c r="AA46" s="107">
        <v>0</v>
      </c>
      <c r="AB46" s="108">
        <f t="shared" si="15"/>
        <v>0</v>
      </c>
      <c r="AC46" s="108">
        <f>IFERROR(INDEX('Revised 2019 MFAM(2017 PYAs)'!AF$26:AF$270,MATCH(B46,'Revised 2019 MFAM(2017 PYAs)'!B$26:B$270,0)),0)</f>
        <v>1693.4047144520569</v>
      </c>
      <c r="AD46" s="216">
        <f>AC46/AC$24*('Revised 2019 MFAM(2017 PYAs)'!AF$24-'2020 Funding'!AC$24)</f>
        <v>1.5515301325549107</v>
      </c>
      <c r="AE46" s="105">
        <f t="shared" si="17"/>
        <v>1006162.0096207722</v>
      </c>
      <c r="AF46" s="111"/>
      <c r="AG46" s="105">
        <v>259424.5868613451</v>
      </c>
      <c r="AH46" s="214">
        <v>259424.5868613451</v>
      </c>
      <c r="AI46" s="105">
        <v>259424.5868613451</v>
      </c>
      <c r="AJ46" s="105">
        <f t="shared" si="18"/>
        <v>227888.2490367369</v>
      </c>
    </row>
    <row r="47" spans="2:36" x14ac:dyDescent="0.25">
      <c r="B47">
        <v>34</v>
      </c>
      <c r="C47" s="27">
        <v>4</v>
      </c>
      <c r="D47" s="39" t="s">
        <v>320</v>
      </c>
      <c r="E47" s="162">
        <f>INDEX('2018 Data Lockdown'!H$5:H$255, MATCH(B47,'2018 Data Lockdown'!B$5:B$255,0))</f>
        <v>4762.82</v>
      </c>
      <c r="F47" s="5">
        <f>INDEX('2018 Data Lockdown'!E$5:E$255,MATCH(B47,'2018 Data Lockdown'!B$5:B$255,0))</f>
        <v>2143525.2799999998</v>
      </c>
      <c r="G47" s="5">
        <f>INDEX('2018 Data Lockdown'!F$5:F$255, MATCH(B47,'2018 Data Lockdown'!B$5:B$255,0))</f>
        <v>564954.64</v>
      </c>
      <c r="H47" s="5">
        <f t="shared" si="2"/>
        <v>1578570.6399999997</v>
      </c>
      <c r="I47" s="103">
        <f t="shared" si="3"/>
        <v>331.43613237535743</v>
      </c>
      <c r="J47" s="6">
        <f t="shared" si="4"/>
        <v>331.43613237535743</v>
      </c>
      <c r="K47" s="5">
        <f t="shared" si="5"/>
        <v>1578570.64</v>
      </c>
      <c r="L47" s="140">
        <f>INDEX('2018 Best Practice Scores'!M$4:M$255,MATCH(B47,'2018 Best Practice Scores'!A$4:A$255,0))</f>
        <v>0.87237648809523805</v>
      </c>
      <c r="M47" s="105">
        <f t="shared" si="6"/>
        <v>347833.45277967403</v>
      </c>
      <c r="N47" s="105">
        <f t="shared" si="7"/>
        <v>269157.94995957089</v>
      </c>
      <c r="O47" s="105">
        <f t="shared" si="8"/>
        <v>91032.517793391846</v>
      </c>
      <c r="P47" s="105">
        <f t="shared" si="16"/>
        <v>19828.515543294376</v>
      </c>
      <c r="Q47" s="105">
        <f t="shared" si="9"/>
        <v>727852.43607593118</v>
      </c>
      <c r="R47" s="112">
        <f t="shared" si="10"/>
        <v>0.46108322151229875</v>
      </c>
      <c r="S47" s="175">
        <f t="shared" si="11"/>
        <v>727852.43607593118</v>
      </c>
      <c r="T47" s="105"/>
      <c r="U47" s="105">
        <f>IFERROR(INDEX('Revised 2019 MFAM(2017 PYAs)'!AD$26:AD$270,MATCH(B47,'Revised 2019 MFAM(2017 PYAs)'!B$26:B$270,0)),0)</f>
        <v>10726.753636055742</v>
      </c>
      <c r="V47" s="105">
        <f>IFERROR(INDEX('Revised 2018 MFAM(2016 PYAs)'!AF$26:AF$266,MATCH(B47,'Revised 2018 MFAM(2016 PYAs)'!B$26:B$266,0)),0)</f>
        <v>2572.5939089570893</v>
      </c>
      <c r="W47" s="105">
        <f t="shared" si="12"/>
        <v>27.574282989361386</v>
      </c>
      <c r="X47" s="105">
        <f t="shared" si="13"/>
        <v>13326.921828002192</v>
      </c>
      <c r="Y47" s="105"/>
      <c r="Z47" s="106">
        <f t="shared" si="14"/>
        <v>741179.35790393339</v>
      </c>
      <c r="AA47" s="107">
        <v>0</v>
      </c>
      <c r="AB47" s="108">
        <f t="shared" si="15"/>
        <v>0</v>
      </c>
      <c r="AC47" s="108">
        <f>IFERROR(INDEX('Revised 2019 MFAM(2017 PYAs)'!AF$26:AF$270,MATCH(B47,'Revised 2019 MFAM(2017 PYAs)'!B$26:B$270,0)),0)</f>
        <v>1495.4392513452865</v>
      </c>
      <c r="AD47" s="216">
        <f>AC47/AC$24*('Revised 2019 MFAM(2017 PYAs)'!AF$24-'2020 Funding'!AC$24)</f>
        <v>1.3701503486237387</v>
      </c>
      <c r="AE47" s="105">
        <f t="shared" si="17"/>
        <v>742676.16730562726</v>
      </c>
      <c r="AF47" s="111"/>
      <c r="AG47" s="105">
        <v>191545.46782123364</v>
      </c>
      <c r="AH47" s="214">
        <v>191545.46782123364</v>
      </c>
      <c r="AI47" s="105">
        <v>191545.46782123364</v>
      </c>
      <c r="AJ47" s="105">
        <f t="shared" si="18"/>
        <v>168039.76384192627</v>
      </c>
    </row>
    <row r="48" spans="2:36" x14ac:dyDescent="0.25">
      <c r="B48">
        <v>87</v>
      </c>
      <c r="C48" s="27">
        <v>4</v>
      </c>
      <c r="D48" s="39" t="s">
        <v>321</v>
      </c>
      <c r="E48" s="162">
        <f>INDEX('2018 Data Lockdown'!H$5:H$255, MATCH(B48,'2018 Data Lockdown'!B$5:B$255,0))</f>
        <v>10810.4</v>
      </c>
      <c r="F48" s="5">
        <f>INDEX('2018 Data Lockdown'!E$5:E$255,MATCH(B48,'2018 Data Lockdown'!B$5:B$255,0))</f>
        <v>5182853.97</v>
      </c>
      <c r="G48" s="5">
        <f>INDEX('2018 Data Lockdown'!F$5:F$255, MATCH(B48,'2018 Data Lockdown'!B$5:B$255,0))</f>
        <v>1110329.5500000003</v>
      </c>
      <c r="H48" s="5">
        <f t="shared" si="2"/>
        <v>4072524.4199999995</v>
      </c>
      <c r="I48" s="103">
        <f t="shared" si="3"/>
        <v>376.72282431732401</v>
      </c>
      <c r="J48" s="6">
        <f t="shared" si="4"/>
        <v>376.72282431732401</v>
      </c>
      <c r="K48" s="5">
        <f t="shared" si="5"/>
        <v>4072524.4199999995</v>
      </c>
      <c r="L48" s="140">
        <f>INDEX('2018 Best Practice Scores'!M$4:M$255,MATCH(B48,'2018 Best Practice Scores'!A$4:A$255,0))</f>
        <v>0.83378571428571413</v>
      </c>
      <c r="M48" s="105">
        <f t="shared" si="6"/>
        <v>897368.92011252604</v>
      </c>
      <c r="N48" s="105">
        <f t="shared" si="7"/>
        <v>610920.65252160386</v>
      </c>
      <c r="O48" s="105">
        <f t="shared" si="8"/>
        <v>224464.01581014672</v>
      </c>
      <c r="P48" s="105">
        <f t="shared" si="16"/>
        <v>51155.210743318974</v>
      </c>
      <c r="Q48" s="105">
        <f t="shared" si="9"/>
        <v>1783908.7991875955</v>
      </c>
      <c r="R48" s="112">
        <f t="shared" si="10"/>
        <v>0.4380351387033784</v>
      </c>
      <c r="S48" s="175">
        <f t="shared" si="11"/>
        <v>1783908.7991875955</v>
      </c>
      <c r="T48" s="105"/>
      <c r="U48" s="105">
        <f>IFERROR(INDEX('Revised 2019 MFAM(2017 PYAs)'!AD$26:AD$270,MATCH(B48,'Revised 2019 MFAM(2017 PYAs)'!B$26:B$270,0)),0)</f>
        <v>19295.18264121539</v>
      </c>
      <c r="V48" s="105">
        <f>IFERROR(INDEX('Revised 2018 MFAM(2016 PYAs)'!AF$26:AF$266,MATCH(B48,'Revised 2018 MFAM(2016 PYAs)'!B$26:B$266,0)),0)</f>
        <v>26986.648864899762</v>
      </c>
      <c r="W48" s="105">
        <f t="shared" si="12"/>
        <v>67.582388431930724</v>
      </c>
      <c r="X48" s="105">
        <f t="shared" si="13"/>
        <v>46349.413894547084</v>
      </c>
      <c r="Y48" s="105"/>
      <c r="Z48" s="106">
        <f t="shared" si="14"/>
        <v>1830258.2130821426</v>
      </c>
      <c r="AA48" s="107">
        <v>0</v>
      </c>
      <c r="AB48" s="108">
        <f t="shared" si="15"/>
        <v>0</v>
      </c>
      <c r="AC48" s="108">
        <f>IFERROR(INDEX('Revised 2019 MFAM(2017 PYAs)'!AF$26:AF$270,MATCH(B48,'Revised 2019 MFAM(2017 PYAs)'!B$26:B$270,0)),0)</f>
        <v>2931.6885551957066</v>
      </c>
      <c r="AD48" s="216">
        <f>AC48/AC$24*('Revised 2019 MFAM(2017 PYAs)'!AF$24-'2020 Funding'!AC$24)</f>
        <v>2.6860697232228516</v>
      </c>
      <c r="AE48" s="105">
        <f t="shared" si="17"/>
        <v>1833192.5877070616</v>
      </c>
      <c r="AF48" s="111"/>
      <c r="AG48" s="105">
        <v>472885.65161317401</v>
      </c>
      <c r="AH48" s="214">
        <v>472885.65161317401</v>
      </c>
      <c r="AI48" s="105">
        <v>472885.65161317401</v>
      </c>
      <c r="AJ48" s="105">
        <f t="shared" si="18"/>
        <v>414535.63286753953</v>
      </c>
    </row>
    <row r="49" spans="2:36" x14ac:dyDescent="0.25">
      <c r="B49">
        <v>88</v>
      </c>
      <c r="C49" s="27">
        <v>4</v>
      </c>
      <c r="D49" s="39" t="s">
        <v>322</v>
      </c>
      <c r="E49" s="162">
        <f>INDEX('2018 Data Lockdown'!H$5:H$255, MATCH(B49,'2018 Data Lockdown'!B$5:B$255,0))</f>
        <v>4759.3799999999992</v>
      </c>
      <c r="F49" s="5">
        <f>INDEX('2018 Data Lockdown'!E$5:E$255,MATCH(B49,'2018 Data Lockdown'!B$5:B$255,0))</f>
        <v>2125011.54</v>
      </c>
      <c r="G49" s="5">
        <f>INDEX('2018 Data Lockdown'!F$5:F$255, MATCH(B49,'2018 Data Lockdown'!B$5:B$255,0))</f>
        <v>560089.80000000005</v>
      </c>
      <c r="H49" s="5">
        <f t="shared" si="2"/>
        <v>1564921.74</v>
      </c>
      <c r="I49" s="103">
        <f t="shared" si="3"/>
        <v>328.80789934823451</v>
      </c>
      <c r="J49" s="6">
        <f t="shared" si="4"/>
        <v>328.80789934823451</v>
      </c>
      <c r="K49" s="5">
        <f t="shared" si="5"/>
        <v>1564921.7400000002</v>
      </c>
      <c r="L49" s="140">
        <f>INDEX('2018 Best Practice Scores'!M$4:M$255,MATCH(B49,'2018 Best Practice Scores'!A$4:A$255,0))</f>
        <v>0.95849999999999991</v>
      </c>
      <c r="M49" s="105">
        <f t="shared" si="6"/>
        <v>344825.95733199205</v>
      </c>
      <c r="N49" s="105">
        <f t="shared" si="7"/>
        <v>268963.54762064957</v>
      </c>
      <c r="O49" s="105">
        <f t="shared" si="8"/>
        <v>99154.70403081429</v>
      </c>
      <c r="P49" s="105">
        <f t="shared" si="16"/>
        <v>19657.070934519146</v>
      </c>
      <c r="Q49" s="105">
        <f t="shared" si="9"/>
        <v>732601.27991797519</v>
      </c>
      <c r="R49" s="112">
        <f t="shared" si="10"/>
        <v>0.46813924376689603</v>
      </c>
      <c r="S49" s="175">
        <f t="shared" si="11"/>
        <v>732601.27991797519</v>
      </c>
      <c r="T49" s="105"/>
      <c r="U49" s="105">
        <f>IFERROR(INDEX('Revised 2019 MFAM(2017 PYAs)'!AD$26:AD$270,MATCH(B49,'Revised 2019 MFAM(2017 PYAs)'!B$26:B$270,0)),0)</f>
        <v>8444.9263795771403</v>
      </c>
      <c r="V49" s="105">
        <f>IFERROR(INDEX('Revised 2018 MFAM(2016 PYAs)'!AF$26:AF$266,MATCH(B49,'Revised 2018 MFAM(2016 PYAs)'!B$26:B$266,0)),0)</f>
        <v>7010.3603273425251</v>
      </c>
      <c r="W49" s="105">
        <f t="shared" si="12"/>
        <v>27.754190285789186</v>
      </c>
      <c r="X49" s="105">
        <f t="shared" si="13"/>
        <v>15483.040897205454</v>
      </c>
      <c r="Y49" s="105"/>
      <c r="Z49" s="106">
        <f t="shared" si="14"/>
        <v>748084.32081518066</v>
      </c>
      <c r="AA49" s="107">
        <v>0</v>
      </c>
      <c r="AB49" s="108">
        <f t="shared" si="15"/>
        <v>0</v>
      </c>
      <c r="AC49" s="108">
        <f>IFERROR(INDEX('Revised 2019 MFAM(2017 PYAs)'!AF$26:AF$270,MATCH(B49,'Revised 2019 MFAM(2017 PYAs)'!B$26:B$270,0)),0)</f>
        <v>1282.1467782193124</v>
      </c>
      <c r="AD49" s="216">
        <f>AC49/AC$24*('Revised 2019 MFAM(2017 PYAs)'!AF$24-'2020 Funding'!AC$24)</f>
        <v>1.1747276618449389</v>
      </c>
      <c r="AE49" s="105">
        <f t="shared" si="17"/>
        <v>749367.64232106181</v>
      </c>
      <c r="AF49" s="111"/>
      <c r="AG49" s="105">
        <v>193312.33732493789</v>
      </c>
      <c r="AH49" s="214">
        <v>193312.33732493789</v>
      </c>
      <c r="AI49" s="105">
        <v>193312.33732493789</v>
      </c>
      <c r="AJ49" s="105">
        <f t="shared" si="18"/>
        <v>169430.63034624807</v>
      </c>
    </row>
    <row r="50" spans="2:36" x14ac:dyDescent="0.25">
      <c r="B50">
        <v>89</v>
      </c>
      <c r="C50" s="27">
        <v>4</v>
      </c>
      <c r="D50" s="39" t="s">
        <v>555</v>
      </c>
      <c r="E50" s="162">
        <f>INDEX('2018 Data Lockdown'!H$5:H$255, MATCH(B50,'2018 Data Lockdown'!B$5:B$255,0))</f>
        <v>5636.98</v>
      </c>
      <c r="F50" s="5">
        <f>INDEX('2018 Data Lockdown'!E$5:E$255,MATCH(B50,'2018 Data Lockdown'!B$5:B$255,0))</f>
        <v>3750607.74</v>
      </c>
      <c r="G50" s="5">
        <f>INDEX('2018 Data Lockdown'!F$5:F$255, MATCH(B50,'2018 Data Lockdown'!B$5:B$255,0))</f>
        <v>559601.63</v>
      </c>
      <c r="H50" s="5">
        <f t="shared" si="2"/>
        <v>3191006.1100000003</v>
      </c>
      <c r="I50" s="103">
        <f t="shared" si="3"/>
        <v>566.0843412607461</v>
      </c>
      <c r="J50" s="6">
        <f t="shared" si="4"/>
        <v>566.0843412607461</v>
      </c>
      <c r="K50" s="5">
        <f t="shared" si="5"/>
        <v>3191006.1100000003</v>
      </c>
      <c r="L50" s="140">
        <f>INDEX('2018 Best Practice Scores'!M$4:M$255,MATCH(B50,'2018 Best Practice Scores'!A$4:A$255,0))</f>
        <v>0.75524404761904751</v>
      </c>
      <c r="M50" s="105">
        <f t="shared" si="6"/>
        <v>703128.92242968385</v>
      </c>
      <c r="N50" s="105">
        <f t="shared" si="7"/>
        <v>318558.7489686996</v>
      </c>
      <c r="O50" s="105">
        <f t="shared" si="8"/>
        <v>159310.18001214412</v>
      </c>
      <c r="P50" s="105">
        <f t="shared" si="16"/>
        <v>40082.409141273733</v>
      </c>
      <c r="Q50" s="105">
        <f t="shared" si="9"/>
        <v>1221080.2605518012</v>
      </c>
      <c r="R50" s="112">
        <f t="shared" si="10"/>
        <v>0.38266309071774263</v>
      </c>
      <c r="S50" s="175">
        <f t="shared" si="11"/>
        <v>1221080.2605518012</v>
      </c>
      <c r="T50" s="105"/>
      <c r="U50" s="105">
        <f>IFERROR(INDEX('Revised 2019 MFAM(2017 PYAs)'!AD$26:AD$270,MATCH(B50,'Revised 2019 MFAM(2017 PYAs)'!B$26:B$270,0)),0)</f>
        <v>17090.195487178164</v>
      </c>
      <c r="V50" s="105">
        <f>IFERROR(INDEX('Revised 2018 MFAM(2016 PYAs)'!AF$26:AF$266,MATCH(B50,'Revised 2018 MFAM(2016 PYAs)'!B$26:B$266,0)),0)</f>
        <v>-11071.062026896747</v>
      </c>
      <c r="W50" s="105">
        <f t="shared" si="12"/>
        <v>46.259943620860433</v>
      </c>
      <c r="X50" s="105">
        <f t="shared" si="13"/>
        <v>6065.393403902277</v>
      </c>
      <c r="Y50" s="105"/>
      <c r="Z50" s="106">
        <f t="shared" si="14"/>
        <v>1227145.6539557034</v>
      </c>
      <c r="AA50" s="107">
        <v>0</v>
      </c>
      <c r="AB50" s="108">
        <f t="shared" si="15"/>
        <v>0</v>
      </c>
      <c r="AC50" s="108">
        <f>IFERROR(INDEX('Revised 2019 MFAM(2017 PYAs)'!AF$26:AF$270,MATCH(B50,'Revised 2019 MFAM(2017 PYAs)'!B$26:B$270,0)),0)</f>
        <v>2217.7460762009432</v>
      </c>
      <c r="AD50" s="216">
        <f>AC50/AC$24*('Revised 2019 MFAM(2017 PYAs)'!AF$24-'2020 Funding'!AC$24)</f>
        <v>2.0319418236027356</v>
      </c>
      <c r="AE50" s="105">
        <f t="shared" si="17"/>
        <v>1229365.4319737279</v>
      </c>
      <c r="AF50" s="111"/>
      <c r="AG50" s="105">
        <v>317276.24006462918</v>
      </c>
      <c r="AH50" s="214">
        <v>317276.24006462918</v>
      </c>
      <c r="AI50" s="105">
        <v>317276.24006462918</v>
      </c>
      <c r="AJ50" s="105">
        <f t="shared" si="18"/>
        <v>277536.71177984047</v>
      </c>
    </row>
    <row r="51" spans="2:36" x14ac:dyDescent="0.25">
      <c r="B51">
        <v>143</v>
      </c>
      <c r="C51" s="27">
        <v>4</v>
      </c>
      <c r="D51" s="39" t="s">
        <v>324</v>
      </c>
      <c r="E51" s="162">
        <f>INDEX('2018 Data Lockdown'!H$5:H$255, MATCH(B51,'2018 Data Lockdown'!B$5:B$255,0))</f>
        <v>2834.8</v>
      </c>
      <c r="F51" s="5">
        <f>INDEX('2018 Data Lockdown'!E$5:E$255,MATCH(B51,'2018 Data Lockdown'!B$5:B$255,0))</f>
        <v>956347.7</v>
      </c>
      <c r="G51" s="5">
        <f>INDEX('2018 Data Lockdown'!F$5:F$255, MATCH(B51,'2018 Data Lockdown'!B$5:B$255,0))</f>
        <v>393346.75</v>
      </c>
      <c r="H51" s="5">
        <f t="shared" si="2"/>
        <v>563000.94999999995</v>
      </c>
      <c r="I51" s="103">
        <f t="shared" si="3"/>
        <v>198.60341117539153</v>
      </c>
      <c r="J51" s="6">
        <f t="shared" si="4"/>
        <v>198.60341117539153</v>
      </c>
      <c r="K51" s="5">
        <f t="shared" si="5"/>
        <v>563000.94999999995</v>
      </c>
      <c r="L51" s="140">
        <f>INDEX('2018 Best Practice Scores'!M$4:M$255,MATCH(B51,'2018 Best Practice Scores'!A$4:A$255,0))</f>
        <v>0.8132232142857142</v>
      </c>
      <c r="M51" s="105">
        <f t="shared" si="6"/>
        <v>124055.62310264214</v>
      </c>
      <c r="N51" s="105">
        <f t="shared" si="7"/>
        <v>160201.090224991</v>
      </c>
      <c r="O51" s="105">
        <f t="shared" si="8"/>
        <v>30265.473770924324</v>
      </c>
      <c r="P51" s="105">
        <f t="shared" si="16"/>
        <v>7071.886936883926</v>
      </c>
      <c r="Q51" s="105">
        <f t="shared" si="9"/>
        <v>321594.07403544139</v>
      </c>
      <c r="R51" s="112">
        <f t="shared" si="10"/>
        <v>0.57121408771235893</v>
      </c>
      <c r="S51" s="175">
        <f t="shared" si="11"/>
        <v>321594.07403544139</v>
      </c>
      <c r="T51" s="105"/>
      <c r="U51" s="105">
        <f>IFERROR(INDEX('Revised 2019 MFAM(2017 PYAs)'!AD$26:AD$270,MATCH(B51,'Revised 2019 MFAM(2017 PYAs)'!B$26:B$270,0)),0)</f>
        <v>3638.4585430909065</v>
      </c>
      <c r="V51" s="105">
        <f>IFERROR(INDEX('Revised 2018 MFAM(2016 PYAs)'!AF$26:AF$266,MATCH(B51,'Revised 2018 MFAM(2016 PYAs)'!B$26:B$266,0)),0)</f>
        <v>11213.58759222785</v>
      </c>
      <c r="W51" s="105">
        <f t="shared" si="12"/>
        <v>12.183411864310635</v>
      </c>
      <c r="X51" s="105">
        <f t="shared" si="13"/>
        <v>14864.229547183068</v>
      </c>
      <c r="Y51" s="105"/>
      <c r="Z51" s="106">
        <f t="shared" si="14"/>
        <v>336458.30358262447</v>
      </c>
      <c r="AA51" s="107">
        <v>0</v>
      </c>
      <c r="AB51" s="108">
        <f t="shared" si="15"/>
        <v>0</v>
      </c>
      <c r="AC51" s="108">
        <f>IFERROR(INDEX('Revised 2019 MFAM(2017 PYAs)'!AF$26:AF$270,MATCH(B51,'Revised 2019 MFAM(2017 PYAs)'!B$26:B$270,0)),0)</f>
        <v>632.75901133755247</v>
      </c>
      <c r="AD51" s="216">
        <f>AC51/AC$24*('Revised 2019 MFAM(2017 PYAs)'!AF$24-'2020 Funding'!AC$24)</f>
        <v>0.57974603729241103</v>
      </c>
      <c r="AE51" s="105">
        <f t="shared" si="17"/>
        <v>337091.64233999932</v>
      </c>
      <c r="AF51" s="111"/>
      <c r="AG51" s="105">
        <v>86875.491178837474</v>
      </c>
      <c r="AH51" s="214">
        <v>86875.491178837474</v>
      </c>
      <c r="AI51" s="105">
        <v>86875.491178837474</v>
      </c>
      <c r="AJ51" s="105">
        <f t="shared" si="18"/>
        <v>76465.168803486871</v>
      </c>
    </row>
    <row r="52" spans="2:36" x14ac:dyDescent="0.25">
      <c r="B52">
        <v>183</v>
      </c>
      <c r="C52" s="27">
        <v>4</v>
      </c>
      <c r="D52" s="39" t="s">
        <v>325</v>
      </c>
      <c r="E52" s="162">
        <f>INDEX('2018 Data Lockdown'!H$5:H$255, MATCH(B52,'2018 Data Lockdown'!B$5:B$255,0))</f>
        <v>11774.169999999998</v>
      </c>
      <c r="F52" s="5">
        <f>INDEX('2018 Data Lockdown'!E$5:E$255,MATCH(B52,'2018 Data Lockdown'!B$5:B$255,0))</f>
        <v>6696146.4100000001</v>
      </c>
      <c r="G52" s="5">
        <f>INDEX('2018 Data Lockdown'!F$5:F$255, MATCH(B52,'2018 Data Lockdown'!B$5:B$255,0))</f>
        <v>412366.9599999999</v>
      </c>
      <c r="H52" s="5">
        <f t="shared" si="2"/>
        <v>6283779.4500000002</v>
      </c>
      <c r="I52" s="103">
        <f t="shared" si="3"/>
        <v>533.69192478110995</v>
      </c>
      <c r="J52" s="6">
        <f t="shared" si="4"/>
        <v>533.69192478110995</v>
      </c>
      <c r="K52" s="5">
        <f t="shared" si="5"/>
        <v>6283779.4500000002</v>
      </c>
      <c r="L52" s="140">
        <f>INDEX('2018 Best Practice Scores'!M$4:M$255,MATCH(B52,'2018 Best Practice Scores'!A$4:A$255,0))</f>
        <v>0.79221428571428565</v>
      </c>
      <c r="M52" s="105">
        <f t="shared" si="6"/>
        <v>1384612.5394803118</v>
      </c>
      <c r="N52" s="105">
        <f t="shared" si="7"/>
        <v>665385.51943501551</v>
      </c>
      <c r="O52" s="105">
        <f t="shared" si="8"/>
        <v>329072.95018663147</v>
      </c>
      <c r="P52" s="105">
        <f t="shared" si="16"/>
        <v>78930.910874510373</v>
      </c>
      <c r="Q52" s="105">
        <f t="shared" si="9"/>
        <v>2458001.9199764691</v>
      </c>
      <c r="R52" s="112">
        <f t="shared" si="10"/>
        <v>0.39116616672096427</v>
      </c>
      <c r="S52" s="175">
        <f t="shared" si="11"/>
        <v>2458001.9199764691</v>
      </c>
      <c r="T52" s="105"/>
      <c r="U52" s="105">
        <f>IFERROR(INDEX('Revised 2019 MFAM(2017 PYAs)'!AD$26:AD$270,MATCH(B52,'Revised 2019 MFAM(2017 PYAs)'!B$26:B$270,0)),0)</f>
        <v>40357.13154707849</v>
      </c>
      <c r="V52" s="105">
        <f>IFERROR(INDEX('Revised 2018 MFAM(2016 PYAs)'!AF$26:AF$266,MATCH(B52,'Revised 2018 MFAM(2016 PYAs)'!B$26:B$266,0)),0)</f>
        <v>9922.1474110204726</v>
      </c>
      <c r="W52" s="105">
        <f t="shared" si="12"/>
        <v>93.120029789601574</v>
      </c>
      <c r="X52" s="105">
        <f t="shared" si="13"/>
        <v>50372.398987888562</v>
      </c>
      <c r="Y52" s="105"/>
      <c r="Z52" s="106">
        <f t="shared" si="14"/>
        <v>2508374.3189643575</v>
      </c>
      <c r="AA52" s="107">
        <v>0</v>
      </c>
      <c r="AB52" s="108">
        <f t="shared" si="15"/>
        <v>0</v>
      </c>
      <c r="AC52" s="108">
        <f>IFERROR(INDEX('Revised 2019 MFAM(2017 PYAs)'!AF$26:AF$270,MATCH(B52,'Revised 2019 MFAM(2017 PYAs)'!B$26:B$270,0)),0)</f>
        <v>4770.2031558805656</v>
      </c>
      <c r="AD52" s="216">
        <f>AC52/AC$24*('Revised 2019 MFAM(2017 PYAs)'!AF$24-'2020 Funding'!AC$24)</f>
        <v>4.3705523384892908</v>
      </c>
      <c r="AE52" s="105">
        <f t="shared" si="17"/>
        <v>2513148.8926725769</v>
      </c>
      <c r="AF52" s="111"/>
      <c r="AG52" s="105">
        <v>648208.42698683171</v>
      </c>
      <c r="AH52" s="214">
        <v>648208.42698683171</v>
      </c>
      <c r="AI52" s="105">
        <v>648208.42698683171</v>
      </c>
      <c r="AJ52" s="105">
        <f t="shared" si="18"/>
        <v>568523.61171208182</v>
      </c>
    </row>
    <row r="53" spans="2:36" x14ac:dyDescent="0.25">
      <c r="B53">
        <v>186</v>
      </c>
      <c r="C53" s="27">
        <v>4</v>
      </c>
      <c r="D53" s="39" t="s">
        <v>326</v>
      </c>
      <c r="E53" s="162">
        <f>INDEX('2018 Data Lockdown'!H$5:H$255, MATCH(B53,'2018 Data Lockdown'!B$5:B$255,0))</f>
        <v>11101.34</v>
      </c>
      <c r="F53" s="5">
        <f>INDEX('2018 Data Lockdown'!E$5:E$255,MATCH(B53,'2018 Data Lockdown'!B$5:B$255,0))</f>
        <v>8005773.7000000002</v>
      </c>
      <c r="G53" s="5">
        <f>INDEX('2018 Data Lockdown'!F$5:F$255, MATCH(B53,'2018 Data Lockdown'!B$5:B$255,0))</f>
        <v>1431664.65</v>
      </c>
      <c r="H53" s="5">
        <f t="shared" si="2"/>
        <v>6574109.0500000007</v>
      </c>
      <c r="I53" s="103">
        <f t="shared" si="3"/>
        <v>592.19058690212182</v>
      </c>
      <c r="J53" s="6">
        <f t="shared" si="4"/>
        <v>584.42303161410325</v>
      </c>
      <c r="K53" s="5">
        <f t="shared" si="5"/>
        <v>6487878.7777789095</v>
      </c>
      <c r="L53" s="140">
        <f>INDEX('2018 Best Practice Scores'!M$4:M$255,MATCH(B53,'2018 Best Practice Scores'!A$4:A$255,0))</f>
        <v>0.77341241071428568</v>
      </c>
      <c r="M53" s="105">
        <f t="shared" si="6"/>
        <v>1429585.2331896974</v>
      </c>
      <c r="N53" s="105">
        <f t="shared" si="7"/>
        <v>627362.34336048446</v>
      </c>
      <c r="O53" s="105">
        <f t="shared" si="8"/>
        <v>331697.68845683639</v>
      </c>
      <c r="P53" s="105">
        <f t="shared" si="16"/>
        <v>81494.614132820076</v>
      </c>
      <c r="Q53" s="105">
        <f t="shared" si="9"/>
        <v>2470139.8791398383</v>
      </c>
      <c r="R53" s="112">
        <f t="shared" si="10"/>
        <v>0.38073150928776717</v>
      </c>
      <c r="S53" s="175">
        <f t="shared" si="11"/>
        <v>2470139.8791398383</v>
      </c>
      <c r="T53" s="105"/>
      <c r="U53" s="105">
        <f>IFERROR(INDEX('Revised 2019 MFAM(2017 PYAs)'!AD$26:AD$270,MATCH(B53,'Revised 2019 MFAM(2017 PYAs)'!B$26:B$270,0)),0)</f>
        <v>33605.007275260054</v>
      </c>
      <c r="V53" s="105">
        <f>IFERROR(INDEX('Revised 2018 MFAM(2016 PYAs)'!AF$26:AF$266,MATCH(B53,'Revised 2018 MFAM(2016 PYAs)'!B$26:B$266,0)),0)</f>
        <v>9186.2419031024911</v>
      </c>
      <c r="W53" s="105">
        <f t="shared" si="12"/>
        <v>93.579869592692006</v>
      </c>
      <c r="X53" s="105">
        <f t="shared" si="13"/>
        <v>42884.829047955238</v>
      </c>
      <c r="Y53" s="105"/>
      <c r="Z53" s="106">
        <f t="shared" si="14"/>
        <v>2513024.7081877934</v>
      </c>
      <c r="AA53" s="107">
        <v>0</v>
      </c>
      <c r="AB53" s="108">
        <f t="shared" si="15"/>
        <v>0</v>
      </c>
      <c r="AC53" s="108">
        <f>IFERROR(INDEX('Revised 2019 MFAM(2017 PYAs)'!AF$26:AF$270,MATCH(B53,'Revised 2019 MFAM(2017 PYAs)'!B$26:B$270,0)),0)</f>
        <v>4382.6293555488101</v>
      </c>
      <c r="AD53" s="216">
        <f>AC53/AC$24*('Revised 2019 MFAM(2017 PYAs)'!AF$24-'2020 Funding'!AC$24)</f>
        <v>4.0154497309014081</v>
      </c>
      <c r="AE53" s="105">
        <f t="shared" si="17"/>
        <v>2517411.3529930729</v>
      </c>
      <c r="AF53" s="111"/>
      <c r="AG53" s="105">
        <v>649476.39949898818</v>
      </c>
      <c r="AH53" s="214">
        <v>649476.39949898818</v>
      </c>
      <c r="AI53" s="105">
        <v>649476.39949898818</v>
      </c>
      <c r="AJ53" s="105">
        <f t="shared" si="18"/>
        <v>568982.15449610841</v>
      </c>
    </row>
    <row r="54" spans="2:36" x14ac:dyDescent="0.25">
      <c r="B54">
        <v>190</v>
      </c>
      <c r="C54" s="27">
        <v>4</v>
      </c>
      <c r="D54" s="39" t="s">
        <v>327</v>
      </c>
      <c r="E54" s="162">
        <f>INDEX('2018 Data Lockdown'!H$5:H$255, MATCH(B54,'2018 Data Lockdown'!B$5:B$255,0))</f>
        <v>3309.0599999999995</v>
      </c>
      <c r="F54" s="5">
        <f>INDEX('2018 Data Lockdown'!E$5:E$255,MATCH(B54,'2018 Data Lockdown'!B$5:B$255,0))</f>
        <v>2284236.41</v>
      </c>
      <c r="G54" s="5">
        <f>INDEX('2018 Data Lockdown'!F$5:F$255, MATCH(B54,'2018 Data Lockdown'!B$5:B$255,0))</f>
        <v>599429.44999999995</v>
      </c>
      <c r="H54" s="5">
        <f t="shared" si="2"/>
        <v>1684806.9600000002</v>
      </c>
      <c r="I54" s="103">
        <f t="shared" si="3"/>
        <v>509.14971623361333</v>
      </c>
      <c r="J54" s="6">
        <f t="shared" si="4"/>
        <v>509.14971623361333</v>
      </c>
      <c r="K54" s="5">
        <f t="shared" si="5"/>
        <v>1684806.9600000002</v>
      </c>
      <c r="L54" s="140">
        <f>INDEX('2018 Best Practice Scores'!M$4:M$255,MATCH(B54,'2018 Best Practice Scores'!A$4:A$255,0))</f>
        <v>0.45338413690476187</v>
      </c>
      <c r="M54" s="105">
        <f t="shared" si="6"/>
        <v>371242.31714079401</v>
      </c>
      <c r="N54" s="105">
        <f t="shared" si="7"/>
        <v>187002.61733452399</v>
      </c>
      <c r="O54" s="105">
        <f t="shared" si="8"/>
        <v>50494.613261820828</v>
      </c>
      <c r="P54" s="105">
        <f t="shared" si="16"/>
        <v>21162.955997845336</v>
      </c>
      <c r="Q54" s="105">
        <f t="shared" si="9"/>
        <v>629902.50373498432</v>
      </c>
      <c r="R54" s="112">
        <f t="shared" si="10"/>
        <v>0.37387221129178161</v>
      </c>
      <c r="S54" s="175">
        <f t="shared" si="11"/>
        <v>629902.50373498432</v>
      </c>
      <c r="T54" s="105"/>
      <c r="U54" s="105">
        <f>IFERROR(INDEX('Revised 2019 MFAM(2017 PYAs)'!AD$26:AD$270,MATCH(B54,'Revised 2019 MFAM(2017 PYAs)'!B$26:B$270,0)),0)</f>
        <v>7225.7945605699206</v>
      </c>
      <c r="V54" s="105">
        <f>IFERROR(INDEX('Revised 2018 MFAM(2016 PYAs)'!AF$26:AF$266,MATCH(B54,'Revised 2018 MFAM(2016 PYAs)'!B$26:B$266,0)),0)</f>
        <v>14413.076401603525</v>
      </c>
      <c r="W54" s="105">
        <f t="shared" si="12"/>
        <v>23.863504513823926</v>
      </c>
      <c r="X54" s="105">
        <f t="shared" si="13"/>
        <v>21662.73446668727</v>
      </c>
      <c r="Y54" s="105"/>
      <c r="Z54" s="106">
        <f t="shared" si="14"/>
        <v>651565.23820167163</v>
      </c>
      <c r="AA54" s="107">
        <v>0</v>
      </c>
      <c r="AB54" s="108">
        <f t="shared" si="15"/>
        <v>0</v>
      </c>
      <c r="AC54" s="108">
        <f>IFERROR(INDEX('Revised 2019 MFAM(2017 PYAs)'!AF$26:AF$270,MATCH(B54,'Revised 2019 MFAM(2017 PYAs)'!B$26:B$270,0)),0)</f>
        <v>1043.4702834451286</v>
      </c>
      <c r="AD54" s="216">
        <f>AC54/AC$24*('Revised 2019 MFAM(2017 PYAs)'!AF$24-'2020 Funding'!AC$24)</f>
        <v>0.95604764376399554</v>
      </c>
      <c r="AE54" s="105">
        <f t="shared" si="17"/>
        <v>652609.66453276051</v>
      </c>
      <c r="AF54" s="111"/>
      <c r="AG54" s="105">
        <v>168302.80506818579</v>
      </c>
      <c r="AH54" s="214">
        <v>168302.80506818579</v>
      </c>
      <c r="AI54" s="105">
        <v>168302.80506818579</v>
      </c>
      <c r="AJ54" s="105">
        <f t="shared" si="18"/>
        <v>147701.24932820315</v>
      </c>
    </row>
    <row r="55" spans="2:36" x14ac:dyDescent="0.25">
      <c r="B55">
        <v>324</v>
      </c>
      <c r="C55" s="27">
        <v>4</v>
      </c>
      <c r="D55" s="39" t="s">
        <v>328</v>
      </c>
      <c r="E55" s="162">
        <f>INDEX('2018 Data Lockdown'!H$5:H$255, MATCH(B55,'2018 Data Lockdown'!B$5:B$255,0))</f>
        <v>7987.3900000000021</v>
      </c>
      <c r="F55" s="5">
        <f>INDEX('2018 Data Lockdown'!E$5:E$255,MATCH(B55,'2018 Data Lockdown'!B$5:B$255,0))</f>
        <v>4196501.4400000004</v>
      </c>
      <c r="G55" s="5">
        <f>INDEX('2018 Data Lockdown'!F$5:F$255, MATCH(B55,'2018 Data Lockdown'!B$5:B$255,0))</f>
        <v>1059029.5799999998</v>
      </c>
      <c r="H55" s="5">
        <f t="shared" si="2"/>
        <v>3137471.8600000003</v>
      </c>
      <c r="I55" s="103">
        <f t="shared" si="3"/>
        <v>392.80313844697696</v>
      </c>
      <c r="J55" s="6">
        <f t="shared" si="4"/>
        <v>392.80313844697696</v>
      </c>
      <c r="K55" s="5">
        <f t="shared" si="5"/>
        <v>3137471.8600000003</v>
      </c>
      <c r="L55" s="140">
        <f>INDEX('2018 Best Practice Scores'!M$4:M$255,MATCH(B55,'2018 Best Practice Scores'!A$4:A$255,0))</f>
        <v>0.83378571428571413</v>
      </c>
      <c r="M55" s="105">
        <f t="shared" si="6"/>
        <v>691332.80602689157</v>
      </c>
      <c r="N55" s="105">
        <f t="shared" si="7"/>
        <v>451385.84240588092</v>
      </c>
      <c r="O55" s="105">
        <f t="shared" si="8"/>
        <v>172927.02524468364</v>
      </c>
      <c r="P55" s="105">
        <f t="shared" si="16"/>
        <v>39409.962383855513</v>
      </c>
      <c r="Q55" s="105">
        <f t="shared" si="9"/>
        <v>1355055.6360613119</v>
      </c>
      <c r="R55" s="112">
        <f t="shared" si="10"/>
        <v>0.43189411619497736</v>
      </c>
      <c r="S55" s="175">
        <f t="shared" si="11"/>
        <v>1355055.6360613119</v>
      </c>
      <c r="T55" s="105"/>
      <c r="U55" s="105">
        <f>IFERROR(INDEX('Revised 2019 MFAM(2017 PYAs)'!AD$26:AD$270,MATCH(B55,'Revised 2019 MFAM(2017 PYAs)'!B$26:B$270,0)),0)</f>
        <v>16151.341871186625</v>
      </c>
      <c r="V55" s="105">
        <f>IFERROR(INDEX('Revised 2018 MFAM(2016 PYAs)'!AF$26:AF$266,MATCH(B55,'Revised 2018 MFAM(2016 PYAs)'!B$26:B$266,0)),0)</f>
        <v>21815.883432060946</v>
      </c>
      <c r="W55" s="105">
        <f t="shared" si="12"/>
        <v>51.33552588836254</v>
      </c>
      <c r="X55" s="105">
        <f t="shared" si="13"/>
        <v>38018.560829135931</v>
      </c>
      <c r="Y55" s="105"/>
      <c r="Z55" s="106">
        <f t="shared" si="14"/>
        <v>1393074.1968904478</v>
      </c>
      <c r="AA55" s="107">
        <v>0</v>
      </c>
      <c r="AB55" s="108">
        <f t="shared" si="15"/>
        <v>0</v>
      </c>
      <c r="AC55" s="108">
        <f>IFERROR(INDEX('Revised 2019 MFAM(2017 PYAs)'!AF$26:AF$270,MATCH(B55,'Revised 2019 MFAM(2017 PYAs)'!B$26:B$270,0)),0)</f>
        <v>2340.3416889811942</v>
      </c>
      <c r="AD55" s="216">
        <f>AC55/AC$24*('Revised 2019 MFAM(2017 PYAs)'!AF$24-'2020 Funding'!AC$24)</f>
        <v>2.1442662937806403</v>
      </c>
      <c r="AE55" s="105">
        <f t="shared" si="17"/>
        <v>1395416.6828457229</v>
      </c>
      <c r="AF55" s="111"/>
      <c r="AG55" s="105">
        <v>359906.72412170807</v>
      </c>
      <c r="AH55" s="214">
        <v>359906.72412170807</v>
      </c>
      <c r="AI55" s="105">
        <v>359906.72412170807</v>
      </c>
      <c r="AJ55" s="105">
        <f t="shared" si="18"/>
        <v>315696.51048059866</v>
      </c>
    </row>
    <row r="56" spans="2:36" x14ac:dyDescent="0.25">
      <c r="B56">
        <v>429</v>
      </c>
      <c r="C56" s="27">
        <v>4</v>
      </c>
      <c r="D56" s="39" t="s">
        <v>329</v>
      </c>
      <c r="E56" s="162">
        <f>INDEX('2018 Data Lockdown'!H$5:H$255, MATCH(B56,'2018 Data Lockdown'!B$5:B$255,0))</f>
        <v>4357.0309999999999</v>
      </c>
      <c r="F56" s="5">
        <f>INDEX('2018 Data Lockdown'!E$5:E$255,MATCH(B56,'2018 Data Lockdown'!B$5:B$255,0))</f>
        <v>1673741.25</v>
      </c>
      <c r="G56" s="5">
        <f>INDEX('2018 Data Lockdown'!F$5:F$255, MATCH(B56,'2018 Data Lockdown'!B$5:B$255,0))</f>
        <v>427615.25</v>
      </c>
      <c r="H56" s="5">
        <f t="shared" si="2"/>
        <v>1246126</v>
      </c>
      <c r="I56" s="103">
        <f t="shared" si="3"/>
        <v>286.00347346622044</v>
      </c>
      <c r="J56" s="6">
        <f t="shared" si="4"/>
        <v>286.00347346622044</v>
      </c>
      <c r="K56" s="5">
        <f t="shared" si="5"/>
        <v>1246126</v>
      </c>
      <c r="L56" s="140">
        <f>INDEX('2018 Best Practice Scores'!M$4:M$255,MATCH(B56,'2018 Best Practice Scores'!A$4:A$255,0))</f>
        <v>0.7486711309523808</v>
      </c>
      <c r="M56" s="105">
        <f t="shared" si="6"/>
        <v>274580.24252783781</v>
      </c>
      <c r="N56" s="105">
        <f t="shared" si="7"/>
        <v>246225.87707918821</v>
      </c>
      <c r="O56" s="105">
        <f t="shared" si="8"/>
        <v>61671.090213148585</v>
      </c>
      <c r="P56" s="105">
        <f t="shared" si="16"/>
        <v>15652.65952235324</v>
      </c>
      <c r="Q56" s="105">
        <f t="shared" si="9"/>
        <v>598129.86934252782</v>
      </c>
      <c r="R56" s="112">
        <f t="shared" si="10"/>
        <v>0.47999148508459644</v>
      </c>
      <c r="S56" s="175">
        <f t="shared" si="11"/>
        <v>598129.86934252782</v>
      </c>
      <c r="T56" s="105"/>
      <c r="U56" s="105">
        <f>IFERROR(INDEX('Revised 2019 MFAM(2017 PYAs)'!AD$26:AD$270,MATCH(B56,'Revised 2019 MFAM(2017 PYAs)'!B$26:B$270,0)),0)</f>
        <v>6348.216288031661</v>
      </c>
      <c r="V56" s="105">
        <f>IFERROR(INDEX('Revised 2018 MFAM(2016 PYAs)'!AF$26:AF$266,MATCH(B56,'Revised 2018 MFAM(2016 PYAs)'!B$26:B$266,0)),0)</f>
        <v>19508.917917194078</v>
      </c>
      <c r="W56" s="105">
        <f t="shared" si="12"/>
        <v>22.65981600688086</v>
      </c>
      <c r="X56" s="105">
        <f t="shared" si="13"/>
        <v>25879.794021232621</v>
      </c>
      <c r="Y56" s="105"/>
      <c r="Z56" s="106">
        <f t="shared" si="14"/>
        <v>624009.66336376045</v>
      </c>
      <c r="AA56" s="107">
        <v>0</v>
      </c>
      <c r="AB56" s="108">
        <f t="shared" si="15"/>
        <v>0</v>
      </c>
      <c r="AC56" s="108">
        <f>IFERROR(INDEX('Revised 2019 MFAM(2017 PYAs)'!AF$26:AF$270,MATCH(B56,'Revised 2019 MFAM(2017 PYAs)'!B$26:B$270,0)),0)</f>
        <v>1033.2210769769242</v>
      </c>
      <c r="AD56" s="216">
        <f>AC56/AC$24*('Revised 2019 MFAM(2017 PYAs)'!AF$24-'2020 Funding'!AC$24)</f>
        <v>0.94665712268271851</v>
      </c>
      <c r="AE56" s="105">
        <f t="shared" si="17"/>
        <v>625043.83109786012</v>
      </c>
      <c r="AF56" s="111"/>
      <c r="AG56" s="105">
        <v>161138.68989597511</v>
      </c>
      <c r="AH56" s="214">
        <v>161138.68989597511</v>
      </c>
      <c r="AI56" s="105">
        <v>161138.68989597511</v>
      </c>
      <c r="AJ56" s="105">
        <f t="shared" si="18"/>
        <v>141627.76140993478</v>
      </c>
    </row>
    <row r="57" spans="2:36" x14ac:dyDescent="0.25">
      <c r="B57">
        <v>601</v>
      </c>
      <c r="C57" s="27">
        <v>4</v>
      </c>
      <c r="D57" s="39" t="s">
        <v>330</v>
      </c>
      <c r="E57" s="162">
        <f>INDEX('2018 Data Lockdown'!H$5:H$255, MATCH(B57,'2018 Data Lockdown'!B$5:B$255,0))</f>
        <v>5915.7199999999993</v>
      </c>
      <c r="F57" s="5">
        <f>INDEX('2018 Data Lockdown'!E$5:E$255,MATCH(B57,'2018 Data Lockdown'!B$5:B$255,0))</f>
        <v>3078679.08</v>
      </c>
      <c r="G57" s="5">
        <f>INDEX('2018 Data Lockdown'!F$5:F$255, MATCH(B57,'2018 Data Lockdown'!B$5:B$255,0))</f>
        <v>303552.10000000003</v>
      </c>
      <c r="H57" s="5">
        <f t="shared" si="2"/>
        <v>2775126.98</v>
      </c>
      <c r="I57" s="103">
        <f t="shared" si="3"/>
        <v>469.11060361207092</v>
      </c>
      <c r="J57" s="6">
        <f t="shared" si="4"/>
        <v>469.11060361207092</v>
      </c>
      <c r="K57" s="5">
        <f t="shared" si="5"/>
        <v>2775126.98</v>
      </c>
      <c r="L57" s="140">
        <f>INDEX('2018 Best Practice Scores'!M$4:M$255,MATCH(B57,'2018 Best Practice Scores'!A$4:A$255,0))</f>
        <v>0.79143026785714277</v>
      </c>
      <c r="M57" s="105">
        <f t="shared" si="6"/>
        <v>611491.16478907107</v>
      </c>
      <c r="N57" s="105">
        <f t="shared" si="7"/>
        <v>334310.98965210374</v>
      </c>
      <c r="O57" s="105">
        <f t="shared" si="8"/>
        <v>145185.78490238721</v>
      </c>
      <c r="P57" s="105">
        <f t="shared" si="16"/>
        <v>34858.527748587534</v>
      </c>
      <c r="Q57" s="105">
        <f t="shared" si="9"/>
        <v>1125846.4670921497</v>
      </c>
      <c r="R57" s="112">
        <f t="shared" si="10"/>
        <v>0.4056918747163597</v>
      </c>
      <c r="S57" s="175">
        <f t="shared" si="11"/>
        <v>1125846.4670921497</v>
      </c>
      <c r="T57" s="105"/>
      <c r="U57" s="105">
        <f>IFERROR(INDEX('Revised 2019 MFAM(2017 PYAs)'!AD$26:AD$270,MATCH(B57,'Revised 2019 MFAM(2017 PYAs)'!B$26:B$270,0)),0)</f>
        <v>13234.66348571796</v>
      </c>
      <c r="V57" s="105">
        <f>IFERROR(INDEX('Revised 2018 MFAM(2016 PYAs)'!AF$26:AF$266,MATCH(B57,'Revised 2018 MFAM(2016 PYAs)'!B$26:B$266,0)),0)</f>
        <v>9670.1640816307627</v>
      </c>
      <c r="W57" s="105">
        <f t="shared" si="12"/>
        <v>42.652064549706417</v>
      </c>
      <c r="X57" s="105">
        <f t="shared" si="13"/>
        <v>22947.47963189843</v>
      </c>
      <c r="Y57" s="105"/>
      <c r="Z57" s="106">
        <f t="shared" si="14"/>
        <v>1148793.9467240481</v>
      </c>
      <c r="AA57" s="107">
        <v>0</v>
      </c>
      <c r="AB57" s="108">
        <f t="shared" si="15"/>
        <v>0</v>
      </c>
      <c r="AC57" s="108">
        <f>IFERROR(INDEX('Revised 2019 MFAM(2017 PYAs)'!AF$26:AF$270,MATCH(B57,'Revised 2019 MFAM(2017 PYAs)'!B$26:B$270,0)),0)</f>
        <v>1846.5391498392469</v>
      </c>
      <c r="AD57" s="216">
        <f>AC57/AC$24*('Revised 2019 MFAM(2017 PYAs)'!AF$24-'2020 Funding'!AC$24)</f>
        <v>1.6918348623146167</v>
      </c>
      <c r="AE57" s="105">
        <f t="shared" si="17"/>
        <v>1150642.1777087497</v>
      </c>
      <c r="AF57" s="111"/>
      <c r="AG57" s="105">
        <v>296869.12835247582</v>
      </c>
      <c r="AH57" s="214">
        <v>296869.12835247582</v>
      </c>
      <c r="AI57" s="105">
        <v>296869.12835247582</v>
      </c>
      <c r="AJ57" s="105">
        <f t="shared" si="18"/>
        <v>260034.7926513222</v>
      </c>
    </row>
    <row r="58" spans="2:36" x14ac:dyDescent="0.25">
      <c r="B58">
        <v>760</v>
      </c>
      <c r="C58" s="27">
        <v>4</v>
      </c>
      <c r="D58" s="39" t="s">
        <v>331</v>
      </c>
      <c r="E58" s="162">
        <f>INDEX('2018 Data Lockdown'!H$5:H$255, MATCH(B58,'2018 Data Lockdown'!B$5:B$255,0))</f>
        <v>5286.9399999999987</v>
      </c>
      <c r="F58" s="5">
        <f>INDEX('2018 Data Lockdown'!E$5:E$255,MATCH(B58,'2018 Data Lockdown'!B$5:B$255,0))</f>
        <v>1441842.03</v>
      </c>
      <c r="G58" s="5">
        <f>INDEX('2018 Data Lockdown'!F$5:F$255, MATCH(B58,'2018 Data Lockdown'!B$5:B$255,0))</f>
        <v>713377.46</v>
      </c>
      <c r="H58" s="5">
        <f t="shared" si="2"/>
        <v>728464.57000000007</v>
      </c>
      <c r="I58" s="103">
        <f t="shared" si="3"/>
        <v>137.78566997166607</v>
      </c>
      <c r="J58" s="6">
        <f t="shared" si="4"/>
        <v>137.78566997166607</v>
      </c>
      <c r="K58" s="5">
        <f t="shared" si="5"/>
        <v>728464.57000000007</v>
      </c>
      <c r="L58" s="140">
        <f>INDEX('2018 Best Practice Scores'!M$4:M$255,MATCH(B58,'2018 Best Practice Scores'!A$4:A$255,0))</f>
        <v>1</v>
      </c>
      <c r="M58" s="105">
        <f t="shared" si="6"/>
        <v>160515.05088854342</v>
      </c>
      <c r="N58" s="105">
        <f t="shared" si="7"/>
        <v>298777.18073730549</v>
      </c>
      <c r="O58" s="105">
        <f t="shared" si="8"/>
        <v>48154.515266563023</v>
      </c>
      <c r="P58" s="105">
        <f t="shared" si="16"/>
        <v>9150.2848735259977</v>
      </c>
      <c r="Q58" s="105">
        <f t="shared" si="9"/>
        <v>516597.03176593798</v>
      </c>
      <c r="R58" s="112">
        <f t="shared" si="10"/>
        <v>0.70915876082475493</v>
      </c>
      <c r="S58" s="175">
        <f t="shared" si="11"/>
        <v>516597.03176593798</v>
      </c>
      <c r="T58" s="105"/>
      <c r="U58" s="105">
        <f>IFERROR(INDEX('Revised 2019 MFAM(2017 PYAs)'!AD$26:AD$270,MATCH(B58,'Revised 2019 MFAM(2017 PYAs)'!B$26:B$270,0)),0)</f>
        <v>0</v>
      </c>
      <c r="V58" s="105">
        <f>IFERROR(INDEX('Revised 2018 MFAM(2016 PYAs)'!AF$26:AF$266,MATCH(B58,'Revised 2018 MFAM(2016 PYAs)'!B$26:B$266,0)),0)</f>
        <v>0</v>
      </c>
      <c r="W58" s="105">
        <f t="shared" si="12"/>
        <v>19.570989996510828</v>
      </c>
      <c r="X58" s="105">
        <f t="shared" si="13"/>
        <v>19.570989996510828</v>
      </c>
      <c r="Y58" s="105"/>
      <c r="Z58" s="106">
        <f t="shared" si="14"/>
        <v>516616.60275593447</v>
      </c>
      <c r="AA58" s="107">
        <v>0</v>
      </c>
      <c r="AB58" s="108">
        <f t="shared" si="15"/>
        <v>0</v>
      </c>
      <c r="AC58" s="108">
        <f>IFERROR(INDEX('Revised 2019 MFAM(2017 PYAs)'!AF$26:AF$270,MATCH(B58,'Revised 2019 MFAM(2017 PYAs)'!B$26:B$270,0)),0)</f>
        <v>488.67462237927367</v>
      </c>
      <c r="AD58" s="216">
        <f>AC58/AC$24*('Revised 2019 MFAM(2017 PYAs)'!AF$24-'2020 Funding'!AC$24)</f>
        <v>0.44773313500645806</v>
      </c>
      <c r="AE58" s="105">
        <f t="shared" si="17"/>
        <v>517105.72511144879</v>
      </c>
      <c r="AF58" s="111"/>
      <c r="AG58" s="105">
        <v>133588.05929470217</v>
      </c>
      <c r="AH58" s="214">
        <v>133588.05929470217</v>
      </c>
      <c r="AI58" s="105">
        <v>133588.05929470217</v>
      </c>
      <c r="AJ58" s="105">
        <f t="shared" si="18"/>
        <v>116341.54722734232</v>
      </c>
    </row>
    <row r="59" spans="2:36" x14ac:dyDescent="0.25">
      <c r="B59">
        <v>878</v>
      </c>
      <c r="C59" s="27">
        <v>4</v>
      </c>
      <c r="D59" s="39" t="s">
        <v>332</v>
      </c>
      <c r="E59" s="162">
        <f>INDEX('2018 Data Lockdown'!H$5:H$255, MATCH(B59,'2018 Data Lockdown'!B$5:B$255,0))</f>
        <v>7663.1599999999989</v>
      </c>
      <c r="F59" s="5">
        <f>INDEX('2018 Data Lockdown'!E$5:E$255,MATCH(B59,'2018 Data Lockdown'!B$5:B$255,0))</f>
        <v>2910917.69</v>
      </c>
      <c r="G59" s="5">
        <f>INDEX('2018 Data Lockdown'!F$5:F$255, MATCH(B59,'2018 Data Lockdown'!B$5:B$255,0))</f>
        <v>838992.06</v>
      </c>
      <c r="H59" s="5">
        <f t="shared" si="2"/>
        <v>2071925.63</v>
      </c>
      <c r="I59" s="103">
        <f t="shared" si="3"/>
        <v>270.37483622944063</v>
      </c>
      <c r="J59" s="6">
        <f t="shared" si="4"/>
        <v>270.37483622944063</v>
      </c>
      <c r="K59" s="5">
        <f t="shared" si="5"/>
        <v>2071925.63</v>
      </c>
      <c r="L59" s="140">
        <f>INDEX('2018 Best Practice Scores'!M$4:M$255,MATCH(B59,'2018 Best Practice Scores'!A$4:A$255,0))</f>
        <v>0.9066473214285713</v>
      </c>
      <c r="M59" s="105">
        <f t="shared" si="6"/>
        <v>456542.79100591998</v>
      </c>
      <c r="N59" s="105">
        <f t="shared" si="7"/>
        <v>433062.85683947429</v>
      </c>
      <c r="O59" s="105">
        <f t="shared" si="8"/>
        <v>124176.98957491241</v>
      </c>
      <c r="P59" s="105">
        <f t="shared" si="16"/>
        <v>26025.575617575778</v>
      </c>
      <c r="Q59" s="105">
        <f t="shared" si="9"/>
        <v>1039808.2130378825</v>
      </c>
      <c r="R59" s="112">
        <f t="shared" si="10"/>
        <v>0.50185595369940117</v>
      </c>
      <c r="S59" s="175">
        <f t="shared" si="11"/>
        <v>1039808.2130378825</v>
      </c>
      <c r="T59" s="105"/>
      <c r="U59" s="105">
        <f>IFERROR(INDEX('Revised 2019 MFAM(2017 PYAs)'!AD$26:AD$270,MATCH(B59,'Revised 2019 MFAM(2017 PYAs)'!B$26:B$270,0)),0)</f>
        <v>4550.5373490490019</v>
      </c>
      <c r="V59" s="105">
        <f>IFERROR(INDEX('Revised 2018 MFAM(2016 PYAs)'!AF$26:AF$266,MATCH(B59,'Revised 2018 MFAM(2016 PYAs)'!B$26:B$266,0)),0)</f>
        <v>18644.569340492482</v>
      </c>
      <c r="W59" s="105">
        <f t="shared" si="12"/>
        <v>39.392553352638117</v>
      </c>
      <c r="X59" s="105">
        <f t="shared" si="13"/>
        <v>23234.499242894122</v>
      </c>
      <c r="Y59" s="105"/>
      <c r="Z59" s="106">
        <f t="shared" si="14"/>
        <v>1063042.7122807766</v>
      </c>
      <c r="AA59" s="107">
        <v>0</v>
      </c>
      <c r="AB59" s="108">
        <f t="shared" si="15"/>
        <v>0</v>
      </c>
      <c r="AC59" s="108">
        <f>IFERROR(INDEX('Revised 2019 MFAM(2017 PYAs)'!AF$26:AF$270,MATCH(B59,'Revised 2019 MFAM(2017 PYAs)'!B$26:B$270,0)),0)</f>
        <v>1666.0264614141272</v>
      </c>
      <c r="AD59" s="216">
        <f>AC59/AC$24*('Revised 2019 MFAM(2017 PYAs)'!AF$24-'2020 Funding'!AC$24)</f>
        <v>1.526445647905412</v>
      </c>
      <c r="AE59" s="105">
        <f t="shared" si="17"/>
        <v>1064710.2651878386</v>
      </c>
      <c r="AF59" s="111"/>
      <c r="AG59" s="105">
        <v>274689.13842871977</v>
      </c>
      <c r="AH59" s="214">
        <v>274689.13842871977</v>
      </c>
      <c r="AI59" s="105">
        <v>274689.13842871977</v>
      </c>
      <c r="AJ59" s="105">
        <f t="shared" si="18"/>
        <v>240642.84990167932</v>
      </c>
    </row>
    <row r="60" spans="2:36" x14ac:dyDescent="0.25">
      <c r="B60">
        <v>8</v>
      </c>
      <c r="C60" s="27">
        <v>5</v>
      </c>
      <c r="D60" s="39" t="s">
        <v>333</v>
      </c>
      <c r="E60" s="162">
        <f>INDEX('2018 Data Lockdown'!H$5:H$255, MATCH(B60,'2018 Data Lockdown'!B$5:B$255,0))</f>
        <v>2105.2199999999998</v>
      </c>
      <c r="F60" s="5">
        <f>INDEX('2018 Data Lockdown'!E$5:E$255,MATCH(B60,'2018 Data Lockdown'!B$5:B$255,0))</f>
        <v>627029.25</v>
      </c>
      <c r="G60" s="5">
        <f>INDEX('2018 Data Lockdown'!F$5:F$255, MATCH(B60,'2018 Data Lockdown'!B$5:B$255,0))</f>
        <v>25077.3</v>
      </c>
      <c r="H60" s="5">
        <f t="shared" si="2"/>
        <v>601951.94999999995</v>
      </c>
      <c r="I60" s="103">
        <f t="shared" si="3"/>
        <v>285.93303787727649</v>
      </c>
      <c r="J60" s="6">
        <f t="shared" si="4"/>
        <v>285.93303787727649</v>
      </c>
      <c r="K60" s="5">
        <f t="shared" si="5"/>
        <v>601951.94999999995</v>
      </c>
      <c r="L60" s="140">
        <f>INDEX('2018 Best Practice Scores'!M$4:M$255,MATCH(B60,'2018 Best Practice Scores'!A$4:A$255,0))</f>
        <v>0.60770238095238094</v>
      </c>
      <c r="M60" s="105">
        <f t="shared" si="6"/>
        <v>132638.3627507209</v>
      </c>
      <c r="N60" s="105">
        <f t="shared" si="7"/>
        <v>118970.84068133747</v>
      </c>
      <c r="O60" s="105">
        <f t="shared" si="8"/>
        <v>24181.394654771608</v>
      </c>
      <c r="P60" s="105">
        <f t="shared" si="16"/>
        <v>7561.1526620635477</v>
      </c>
      <c r="Q60" s="105">
        <f t="shared" si="9"/>
        <v>283351.75074889354</v>
      </c>
      <c r="R60" s="112">
        <f t="shared" si="10"/>
        <v>0.47072154305487929</v>
      </c>
      <c r="S60" s="175">
        <f t="shared" si="11"/>
        <v>283351.75074889354</v>
      </c>
      <c r="T60" s="105"/>
      <c r="U60" s="105">
        <f>IFERROR(INDEX('Revised 2019 MFAM(2017 PYAs)'!AD$26:AD$270,MATCH(B60,'Revised 2019 MFAM(2017 PYAs)'!B$26:B$270,0)),0)</f>
        <v>2942.2467887602397</v>
      </c>
      <c r="V60" s="105">
        <f>IFERROR(INDEX('Revised 2018 MFAM(2016 PYAs)'!AF$26:AF$266,MATCH(B60,'Revised 2018 MFAM(2016 PYAs)'!B$26:B$266,0)),0)</f>
        <v>4122.8824790950748</v>
      </c>
      <c r="W60" s="105">
        <f t="shared" si="12"/>
        <v>10.734622807343177</v>
      </c>
      <c r="X60" s="105">
        <f t="shared" si="13"/>
        <v>7075.8638906626575</v>
      </c>
      <c r="Y60" s="105"/>
      <c r="Z60" s="106">
        <f t="shared" si="14"/>
        <v>290427.61463955621</v>
      </c>
      <c r="AA60" s="107">
        <v>0</v>
      </c>
      <c r="AB60" s="108">
        <f t="shared" si="15"/>
        <v>0</v>
      </c>
      <c r="AC60" s="108">
        <f>IFERROR(INDEX('Revised 2019 MFAM(2017 PYAs)'!AF$26:AF$270,MATCH(B60,'Revised 2019 MFAM(2017 PYAs)'!B$26:B$270,0)),0)</f>
        <v>496.47544774998914</v>
      </c>
      <c r="AD60" s="216">
        <f>AC60/AC$24*('Revised 2019 MFAM(2017 PYAs)'!AF$24-'2020 Funding'!AC$24)</f>
        <v>0.45488040199949953</v>
      </c>
      <c r="AE60" s="105">
        <f t="shared" si="17"/>
        <v>290924.54496770824</v>
      </c>
      <c r="AF60" s="105"/>
      <c r="AG60" s="105">
        <v>75040.182453672009</v>
      </c>
      <c r="AH60" s="105">
        <v>75040.182453672009</v>
      </c>
      <c r="AI60" s="105">
        <v>75040.182453672009</v>
      </c>
      <c r="AJ60" s="105">
        <f t="shared" si="18"/>
        <v>65803.997606692239</v>
      </c>
    </row>
    <row r="61" spans="2:36" x14ac:dyDescent="0.25">
      <c r="B61">
        <v>41</v>
      </c>
      <c r="C61" s="44">
        <v>5</v>
      </c>
      <c r="D61" s="39" t="s">
        <v>334</v>
      </c>
      <c r="E61" s="162">
        <f>INDEX('2018 Data Lockdown'!H$5:H$255, MATCH(B61,'2018 Data Lockdown'!B$5:B$255,0))</f>
        <v>1688.06</v>
      </c>
      <c r="F61" s="5">
        <f>INDEX('2018 Data Lockdown'!E$5:E$255,MATCH(B61,'2018 Data Lockdown'!B$5:B$255,0))</f>
        <v>652189.06000000006</v>
      </c>
      <c r="G61" s="5">
        <f>INDEX('2018 Data Lockdown'!F$5:F$255, MATCH(B61,'2018 Data Lockdown'!B$5:B$255,0))</f>
        <v>215017.75000000003</v>
      </c>
      <c r="H61" s="5">
        <f t="shared" si="2"/>
        <v>437171.31000000006</v>
      </c>
      <c r="I61" s="103">
        <f t="shared" si="3"/>
        <v>258.97853749274321</v>
      </c>
      <c r="J61" s="6">
        <f t="shared" si="4"/>
        <v>258.97853749274321</v>
      </c>
      <c r="K61" s="5">
        <f t="shared" si="5"/>
        <v>437171.31000000011</v>
      </c>
      <c r="L61" s="140">
        <f>INDEX('2018 Best Practice Scores'!M$4:M$255,MATCH(B61,'2018 Best Practice Scores'!A$4:A$255,0))</f>
        <v>0.30555357142857142</v>
      </c>
      <c r="M61" s="105">
        <f t="shared" si="6"/>
        <v>96329.427622898947</v>
      </c>
      <c r="N61" s="105">
        <f t="shared" si="7"/>
        <v>95396.166348665953</v>
      </c>
      <c r="O61" s="105">
        <f t="shared" si="8"/>
        <v>8830.1401931540568</v>
      </c>
      <c r="P61" s="105">
        <f t="shared" si="16"/>
        <v>5491.3336760256516</v>
      </c>
      <c r="Q61" s="105">
        <f t="shared" si="9"/>
        <v>206047.0678407446</v>
      </c>
      <c r="R61" s="112">
        <f t="shared" si="10"/>
        <v>0.4713188242859408</v>
      </c>
      <c r="S61" s="175">
        <f t="shared" si="11"/>
        <v>206047.0678407446</v>
      </c>
      <c r="T61" s="105"/>
      <c r="U61" s="105">
        <f>IFERROR(INDEX('Revised 2019 MFAM(2017 PYAs)'!AD$26:AD$270,MATCH(B61,'Revised 2019 MFAM(2017 PYAs)'!B$26:B$270,0)),0)</f>
        <v>1761.361871557514</v>
      </c>
      <c r="V61" s="105">
        <f>IFERROR(INDEX('Revised 2018 MFAM(2016 PYAs)'!AF$26:AF$266,MATCH(B61,'Revised 2018 MFAM(2016 PYAs)'!B$26:B$266,0)),0)</f>
        <v>1281.8059353586868</v>
      </c>
      <c r="W61" s="105">
        <f t="shared" si="12"/>
        <v>7.8059780748966512</v>
      </c>
      <c r="X61" s="105">
        <f t="shared" si="13"/>
        <v>3050.9737849910975</v>
      </c>
      <c r="Y61" s="105"/>
      <c r="Z61" s="106">
        <f t="shared" si="14"/>
        <v>209098.0416257357</v>
      </c>
      <c r="AA61" s="107">
        <v>0</v>
      </c>
      <c r="AB61" s="108">
        <f t="shared" si="15"/>
        <v>0</v>
      </c>
      <c r="AC61" s="108">
        <f>IFERROR(INDEX('Revised 2019 MFAM(2017 PYAs)'!AF$26:AF$270,MATCH(B61,'Revised 2019 MFAM(2017 PYAs)'!B$26:B$270,0)),0)</f>
        <v>335.56007558288957</v>
      </c>
      <c r="AD61" s="216">
        <f>AC61/AC$24*('Revised 2019 MFAM(2017 PYAs)'!AF$24-'2020 Funding'!AC$24)</f>
        <v>0.30744662755809071</v>
      </c>
      <c r="AE61" s="105">
        <f t="shared" si="17"/>
        <v>209433.90914794613</v>
      </c>
      <c r="AF61" s="111"/>
      <c r="AG61" s="105">
        <v>54043.932878347026</v>
      </c>
      <c r="AH61" s="214">
        <v>54043.932878347026</v>
      </c>
      <c r="AI61" s="105">
        <v>54043.932878347026</v>
      </c>
      <c r="AJ61" s="105">
        <f t="shared" si="18"/>
        <v>47302.110512905056</v>
      </c>
    </row>
    <row r="62" spans="2:36" x14ac:dyDescent="0.25">
      <c r="B62">
        <v>56</v>
      </c>
      <c r="C62" s="44">
        <v>5</v>
      </c>
      <c r="D62" s="39" t="s">
        <v>335</v>
      </c>
      <c r="E62" s="162">
        <f>INDEX('2018 Data Lockdown'!H$5:H$255, MATCH(B62,'2018 Data Lockdown'!B$5:B$255,0))</f>
        <v>3016.58</v>
      </c>
      <c r="F62" s="5">
        <f>INDEX('2018 Data Lockdown'!E$5:E$255,MATCH(B62,'2018 Data Lockdown'!B$5:B$255,0))</f>
        <v>561942.06999999995</v>
      </c>
      <c r="G62" s="5">
        <f>INDEX('2018 Data Lockdown'!F$5:F$255, MATCH(B62,'2018 Data Lockdown'!B$5:B$255,0))</f>
        <v>2316.81</v>
      </c>
      <c r="H62" s="5">
        <f t="shared" si="2"/>
        <v>559625.25999999989</v>
      </c>
      <c r="I62" s="103">
        <f t="shared" si="3"/>
        <v>185.51646566641691</v>
      </c>
      <c r="J62" s="6">
        <f t="shared" si="4"/>
        <v>185.51646566641691</v>
      </c>
      <c r="K62" s="5">
        <f t="shared" si="5"/>
        <v>559625.25999999989</v>
      </c>
      <c r="L62" s="140">
        <f>INDEX('2018 Best Practice Scores'!M$4:M$255,MATCH(B62,'2018 Best Practice Scores'!A$4:A$255,0))</f>
        <v>0.91394791666666664</v>
      </c>
      <c r="M62" s="105">
        <f t="shared" si="6"/>
        <v>123311.79962179123</v>
      </c>
      <c r="N62" s="105">
        <f t="shared" si="7"/>
        <v>170473.8975415914</v>
      </c>
      <c r="O62" s="105">
        <f t="shared" si="8"/>
        <v>33810.168709426063</v>
      </c>
      <c r="P62" s="105">
        <f t="shared" si="16"/>
        <v>7029.4847029019584</v>
      </c>
      <c r="Q62" s="105">
        <f t="shared" si="9"/>
        <v>334625.35057571071</v>
      </c>
      <c r="R62" s="112">
        <f t="shared" si="10"/>
        <v>0.59794540113452133</v>
      </c>
      <c r="S62" s="175">
        <f t="shared" si="11"/>
        <v>334625.35057571071</v>
      </c>
      <c r="T62" s="105"/>
      <c r="U62" s="105">
        <f>IFERROR(INDEX('Revised 2019 MFAM(2017 PYAs)'!AD$26:AD$270,MATCH(B62,'Revised 2019 MFAM(2017 PYAs)'!B$26:B$270,0)),0)</f>
        <v>3343.3170670357067</v>
      </c>
      <c r="V62" s="105">
        <f>IFERROR(INDEX('Revised 2018 MFAM(2016 PYAs)'!AF$26:AF$266,MATCH(B62,'Revised 2018 MFAM(2016 PYAs)'!B$26:B$266,0)),0)</f>
        <v>2328.4555379471858</v>
      </c>
      <c r="W62" s="105">
        <f t="shared" si="12"/>
        <v>12.677094497250984</v>
      </c>
      <c r="X62" s="105">
        <f t="shared" si="13"/>
        <v>5684.4496994801439</v>
      </c>
      <c r="Y62" s="105"/>
      <c r="Z62" s="106">
        <f t="shared" si="14"/>
        <v>340309.80027519085</v>
      </c>
      <c r="AA62" s="107">
        <v>0</v>
      </c>
      <c r="AB62" s="108">
        <f t="shared" si="15"/>
        <v>0</v>
      </c>
      <c r="AC62" s="108">
        <f>IFERROR(INDEX('Revised 2019 MFAM(2017 PYAs)'!AF$26:AF$270,MATCH(B62,'Revised 2019 MFAM(2017 PYAs)'!B$26:B$270,0)),0)</f>
        <v>602.22545614999422</v>
      </c>
      <c r="AD62" s="216">
        <f>AC62/AC$24*('Revised 2019 MFAM(2017 PYAs)'!AF$24-'2020 Funding'!AC$24)</f>
        <v>0.55177060382206444</v>
      </c>
      <c r="AE62" s="105">
        <f t="shared" si="17"/>
        <v>340912.57750194467</v>
      </c>
      <c r="AF62" s="111"/>
      <c r="AG62" s="105">
        <v>87950.072552472979</v>
      </c>
      <c r="AH62" s="214">
        <v>87950.072552472979</v>
      </c>
      <c r="AI62" s="105">
        <v>87950.072552472979</v>
      </c>
      <c r="AJ62" s="105">
        <f t="shared" si="18"/>
        <v>77062.359844525708</v>
      </c>
    </row>
    <row r="63" spans="2:36" x14ac:dyDescent="0.25">
      <c r="B63">
        <v>67</v>
      </c>
      <c r="C63" s="27">
        <v>5</v>
      </c>
      <c r="D63" s="39" t="s">
        <v>336</v>
      </c>
      <c r="E63" s="162">
        <f>INDEX('2018 Data Lockdown'!H$5:H$255, MATCH(B63,'2018 Data Lockdown'!B$5:B$255,0))</f>
        <v>1474.6758017491509</v>
      </c>
      <c r="F63" s="5">
        <f>INDEX('2018 Data Lockdown'!E$5:E$255,MATCH(B63,'2018 Data Lockdown'!B$5:B$255,0))</f>
        <v>218449.94</v>
      </c>
      <c r="G63" s="5">
        <f>INDEX('2018 Data Lockdown'!F$5:F$255, MATCH(B63,'2018 Data Lockdown'!B$5:B$255,0))</f>
        <v>0</v>
      </c>
      <c r="H63" s="5">
        <f t="shared" si="2"/>
        <v>218449.94</v>
      </c>
      <c r="I63" s="103">
        <f t="shared" si="3"/>
        <v>148.13421345958949</v>
      </c>
      <c r="J63" s="6">
        <f t="shared" si="4"/>
        <v>148.13421345958949</v>
      </c>
      <c r="K63" s="5">
        <f t="shared" si="5"/>
        <v>218449.93999999997</v>
      </c>
      <c r="L63" s="140">
        <f>INDEX('2018 Best Practice Scores'!M$4:M$255,MATCH(B63,'2018 Best Practice Scores'!A$4:A$255,0))</f>
        <v>0.72198214285714279</v>
      </c>
      <c r="M63" s="105">
        <f t="shared" si="6"/>
        <v>48134.809405623193</v>
      </c>
      <c r="N63" s="105">
        <f t="shared" si="7"/>
        <v>83337.332851921354</v>
      </c>
      <c r="O63" s="105">
        <f t="shared" si="8"/>
        <v>10425.741852207595</v>
      </c>
      <c r="P63" s="105">
        <f t="shared" si="16"/>
        <v>2743.9621141830712</v>
      </c>
      <c r="Q63" s="105">
        <f t="shared" si="9"/>
        <v>144641.84622393522</v>
      </c>
      <c r="R63" s="112">
        <f t="shared" si="10"/>
        <v>0.66212811147457962</v>
      </c>
      <c r="S63" s="175">
        <f t="shared" si="11"/>
        <v>144641.84622393522</v>
      </c>
      <c r="T63" s="105"/>
      <c r="U63" s="105">
        <f>IFERROR(INDEX('Revised 2019 MFAM(2017 PYAs)'!AD$26:AD$270,MATCH(B63,'Revised 2019 MFAM(2017 PYAs)'!B$26:B$270,0)),0)</f>
        <v>11127.475724752352</v>
      </c>
      <c r="V63" s="105">
        <f>IFERROR(INDEX('Revised 2018 MFAM(2016 PYAs)'!AF$26:AF$266,MATCH(B63,'Revised 2018 MFAM(2016 PYAs)'!B$26:B$266,0)),0)</f>
        <v>5955.543119180802</v>
      </c>
      <c r="W63" s="105">
        <f t="shared" si="12"/>
        <v>5.4796755526231475</v>
      </c>
      <c r="X63" s="105">
        <f t="shared" si="13"/>
        <v>17088.498519485776</v>
      </c>
      <c r="Y63" s="105"/>
      <c r="Z63" s="106">
        <f t="shared" si="14"/>
        <v>161730.34474342101</v>
      </c>
      <c r="AA63" s="107">
        <v>0</v>
      </c>
      <c r="AB63" s="108">
        <f t="shared" si="15"/>
        <v>0</v>
      </c>
      <c r="AC63" s="108">
        <f>IFERROR(INDEX('Revised 2019 MFAM(2017 PYAs)'!AF$26:AF$270,MATCH(B63,'Revised 2019 MFAM(2017 PYAs)'!B$26:B$270,0)),0)</f>
        <v>259.36354755218616</v>
      </c>
      <c r="AD63" s="216">
        <f>AC63/AC$24*('Revised 2019 MFAM(2017 PYAs)'!AF$24-'2020 Funding'!AC$24)</f>
        <v>0.2376338957127358</v>
      </c>
      <c r="AE63" s="105">
        <f t="shared" si="17"/>
        <v>161989.94592486889</v>
      </c>
      <c r="AF63" s="111"/>
      <c r="AG63" s="105">
        <v>41674.127586922252</v>
      </c>
      <c r="AH63" s="214">
        <v>41674.127586922252</v>
      </c>
      <c r="AI63" s="105">
        <v>41674.127586922252</v>
      </c>
      <c r="AJ63" s="105">
        <f t="shared" si="18"/>
        <v>36967.563164102125</v>
      </c>
    </row>
    <row r="64" spans="2:36" x14ac:dyDescent="0.25">
      <c r="B64">
        <v>157</v>
      </c>
      <c r="C64" s="27">
        <v>5</v>
      </c>
      <c r="D64" s="39" t="s">
        <v>337</v>
      </c>
      <c r="E64" s="162">
        <f>INDEX('2018 Data Lockdown'!H$5:H$255, MATCH(B64,'2018 Data Lockdown'!B$5:B$255,0))</f>
        <v>446.65493195328992</v>
      </c>
      <c r="F64" s="5">
        <f>INDEX('2018 Data Lockdown'!E$5:E$255,MATCH(B64,'2018 Data Lockdown'!B$5:B$255,0))</f>
        <v>145211.09</v>
      </c>
      <c r="G64" s="5">
        <f>INDEX('2018 Data Lockdown'!F$5:F$255, MATCH(B64,'2018 Data Lockdown'!B$5:B$255,0))</f>
        <v>320</v>
      </c>
      <c r="H64" s="5">
        <f t="shared" si="2"/>
        <v>144891.09</v>
      </c>
      <c r="I64" s="103">
        <f t="shared" si="3"/>
        <v>324.39155964621108</v>
      </c>
      <c r="J64" s="6">
        <f t="shared" si="4"/>
        <v>324.39155964621108</v>
      </c>
      <c r="K64" s="5">
        <f t="shared" si="5"/>
        <v>144891.09</v>
      </c>
      <c r="L64" s="140">
        <f>INDEX('2018 Best Practice Scores'!M$4:M$255,MATCH(B64,'2018 Best Practice Scores'!A$4:A$255,0))</f>
        <v>0.64198511904761901</v>
      </c>
      <c r="M64" s="105">
        <f t="shared" si="6"/>
        <v>31926.330589621572</v>
      </c>
      <c r="N64" s="105">
        <f t="shared" si="7"/>
        <v>25241.501006521168</v>
      </c>
      <c r="O64" s="105">
        <f t="shared" si="8"/>
        <v>6148.868743299553</v>
      </c>
      <c r="P64" s="105">
        <f t="shared" si="16"/>
        <v>1819.985217861308</v>
      </c>
      <c r="Q64" s="105">
        <f t="shared" si="9"/>
        <v>65136.685557303601</v>
      </c>
      <c r="R64" s="112">
        <f t="shared" si="10"/>
        <v>0.44955618428506267</v>
      </c>
      <c r="S64" s="175">
        <f t="shared" si="11"/>
        <v>65136.685557303601</v>
      </c>
      <c r="T64" s="105"/>
      <c r="U64" s="105">
        <f>IFERROR(INDEX('Revised 2019 MFAM(2017 PYAs)'!AD$26:AD$270,MATCH(B64,'Revised 2019 MFAM(2017 PYAs)'!B$26:B$270,0)),0)</f>
        <v>824.31394469295628</v>
      </c>
      <c r="V64" s="105">
        <f>IFERROR(INDEX('Revised 2018 MFAM(2016 PYAs)'!AF$26:AF$266,MATCH(B64,'Revised 2018 MFAM(2016 PYAs)'!B$26:B$266,0)),0)</f>
        <v>2462.6304506077868</v>
      </c>
      <c r="W64" s="105">
        <f t="shared" si="12"/>
        <v>2.4676669494017673</v>
      </c>
      <c r="X64" s="105">
        <f t="shared" si="13"/>
        <v>3289.412062250145</v>
      </c>
      <c r="Y64" s="105"/>
      <c r="Z64" s="106">
        <f t="shared" si="14"/>
        <v>68426.097619553751</v>
      </c>
      <c r="AA64" s="107">
        <v>0</v>
      </c>
      <c r="AB64" s="108">
        <f t="shared" si="15"/>
        <v>0</v>
      </c>
      <c r="AC64" s="108">
        <f>IFERROR(INDEX('Revised 2019 MFAM(2017 PYAs)'!AF$26:AF$270,MATCH(B64,'Revised 2019 MFAM(2017 PYAs)'!B$26:B$270,0)),0)</f>
        <v>124.36560963388892</v>
      </c>
      <c r="AD64" s="216">
        <f>AC64/AC$24*('Revised 2019 MFAM(2017 PYAs)'!AF$24-'2020 Funding'!AC$24)</f>
        <v>0.11394617550889242</v>
      </c>
      <c r="AE64" s="105">
        <f t="shared" si="17"/>
        <v>68550.577175363142</v>
      </c>
      <c r="AF64" s="111"/>
      <c r="AG64" s="105">
        <v>17665.926363810551</v>
      </c>
      <c r="AH64" s="214">
        <v>17665.926363810551</v>
      </c>
      <c r="AI64" s="105">
        <v>17665.926363810551</v>
      </c>
      <c r="AJ64" s="105">
        <f t="shared" si="18"/>
        <v>15552.798083931495</v>
      </c>
    </row>
    <row r="65" spans="2:36" x14ac:dyDescent="0.25">
      <c r="B65">
        <v>214</v>
      </c>
      <c r="C65" s="27">
        <v>5</v>
      </c>
      <c r="D65" s="39" t="s">
        <v>338</v>
      </c>
      <c r="E65" s="162">
        <f>INDEX('2018 Data Lockdown'!H$5:H$255, MATCH(B65,'2018 Data Lockdown'!B$5:B$255,0))</f>
        <v>2922.96</v>
      </c>
      <c r="F65" s="5">
        <f>INDEX('2018 Data Lockdown'!E$5:E$255,MATCH(B65,'2018 Data Lockdown'!B$5:B$255,0))</f>
        <v>1677840.57</v>
      </c>
      <c r="G65" s="5">
        <f>INDEX('2018 Data Lockdown'!F$5:F$255, MATCH(B65,'2018 Data Lockdown'!B$5:B$255,0))</f>
        <v>291173.04000000004</v>
      </c>
      <c r="H65" s="5">
        <f t="shared" si="2"/>
        <v>1386667.53</v>
      </c>
      <c r="I65" s="103">
        <f t="shared" si="3"/>
        <v>474.40523647261682</v>
      </c>
      <c r="J65" s="6">
        <f t="shared" si="4"/>
        <v>460.0519258022382</v>
      </c>
      <c r="K65" s="5">
        <f t="shared" si="5"/>
        <v>1344713.3770429101</v>
      </c>
      <c r="L65" s="140">
        <f>INDEX('2018 Best Practice Scores'!M$4:M$255,MATCH(B65,'2018 Best Practice Scores'!A$4:A$255,0))</f>
        <v>0.65524702380952371</v>
      </c>
      <c r="M65" s="105">
        <f t="shared" si="6"/>
        <v>296303.68453821685</v>
      </c>
      <c r="N65" s="105">
        <f t="shared" si="7"/>
        <v>165183.21528292637</v>
      </c>
      <c r="O65" s="105">
        <f t="shared" si="8"/>
        <v>58245.632231238764</v>
      </c>
      <c r="P65" s="105">
        <f t="shared" si="16"/>
        <v>16891.021169614058</v>
      </c>
      <c r="Q65" s="105">
        <f t="shared" si="9"/>
        <v>536623.55322199606</v>
      </c>
      <c r="R65" s="112">
        <f t="shared" si="10"/>
        <v>0.3990616605614925</v>
      </c>
      <c r="S65" s="175">
        <f t="shared" si="11"/>
        <v>536623.55322199606</v>
      </c>
      <c r="T65" s="105"/>
      <c r="U65" s="105">
        <f>IFERROR(INDEX('Revised 2019 MFAM(2017 PYAs)'!AD$26:AD$270,MATCH(B65,'Revised 2019 MFAM(2017 PYAs)'!B$26:B$270,0)),0)</f>
        <v>7050.6507129417732</v>
      </c>
      <c r="V65" s="105">
        <f>IFERROR(INDEX('Revised 2018 MFAM(2016 PYAs)'!AF$26:AF$266,MATCH(B65,'Revised 2018 MFAM(2016 PYAs)'!B$26:B$266,0)),0)</f>
        <v>1960.4636946042301</v>
      </c>
      <c r="W65" s="105">
        <f t="shared" si="12"/>
        <v>20.329683575801472</v>
      </c>
      <c r="X65" s="105">
        <f t="shared" si="13"/>
        <v>9031.4440911218044</v>
      </c>
      <c r="Y65" s="105"/>
      <c r="Z65" s="106">
        <f t="shared" si="14"/>
        <v>545654.99731311784</v>
      </c>
      <c r="AA65" s="107">
        <v>0</v>
      </c>
      <c r="AB65" s="108">
        <f t="shared" si="15"/>
        <v>0</v>
      </c>
      <c r="AC65" s="108">
        <f>IFERROR(INDEX('Revised 2019 MFAM(2017 PYAs)'!AF$26:AF$270,MATCH(B65,'Revised 2019 MFAM(2017 PYAs)'!B$26:B$270,0)),0)</f>
        <v>1038.6393389203226</v>
      </c>
      <c r="AD65" s="216">
        <f>AC65/AC$24*('Revised 2019 MFAM(2017 PYAs)'!AF$24-'2020 Funding'!AC$24)</f>
        <v>0.95162143900917828</v>
      </c>
      <c r="AE65" s="105">
        <f t="shared" si="17"/>
        <v>546694.58827347716</v>
      </c>
      <c r="AF65" s="111"/>
      <c r="AG65" s="105">
        <v>141023.30535885185</v>
      </c>
      <c r="AH65" s="214">
        <v>141023.30535885185</v>
      </c>
      <c r="AI65" s="105">
        <v>141023.30535885185</v>
      </c>
      <c r="AJ65" s="105">
        <f t="shared" si="18"/>
        <v>123624.6721969216</v>
      </c>
    </row>
    <row r="66" spans="2:36" x14ac:dyDescent="0.25">
      <c r="B66">
        <v>223</v>
      </c>
      <c r="C66" s="27">
        <v>5</v>
      </c>
      <c r="D66" s="39" t="s">
        <v>339</v>
      </c>
      <c r="E66" s="162">
        <f>INDEX('2018 Data Lockdown'!H$5:H$255, MATCH(B66,'2018 Data Lockdown'!B$5:B$255,0))</f>
        <v>297.74</v>
      </c>
      <c r="F66" s="5">
        <f>INDEX('2018 Data Lockdown'!E$5:E$255,MATCH(B66,'2018 Data Lockdown'!B$5:B$255,0))</f>
        <v>244596.98</v>
      </c>
      <c r="G66" s="5">
        <f>INDEX('2018 Data Lockdown'!F$5:F$255, MATCH(B66,'2018 Data Lockdown'!B$5:B$255,0))</f>
        <v>1303.98</v>
      </c>
      <c r="H66" s="5">
        <f t="shared" si="2"/>
        <v>243293</v>
      </c>
      <c r="I66" s="103">
        <f t="shared" si="3"/>
        <v>817.13239739369919</v>
      </c>
      <c r="J66" s="6">
        <f t="shared" si="4"/>
        <v>460.0519258022382</v>
      </c>
      <c r="K66" s="5">
        <f t="shared" si="5"/>
        <v>136975.86038835841</v>
      </c>
      <c r="L66" s="140">
        <f>INDEX('2018 Best Practice Scores'!M$4:M$255,MATCH(B66,'2018 Best Practice Scores'!A$4:A$255,0))</f>
        <v>0.45243750000000005</v>
      </c>
      <c r="M66" s="105">
        <f t="shared" si="6"/>
        <v>30182.232748449755</v>
      </c>
      <c r="N66" s="105">
        <f t="shared" si="7"/>
        <v>16825.974532097087</v>
      </c>
      <c r="O66" s="105">
        <f t="shared" si="8"/>
        <v>4096.6721787380211</v>
      </c>
      <c r="P66" s="105">
        <f t="shared" si="16"/>
        <v>1720.5615687662132</v>
      </c>
      <c r="Q66" s="105">
        <f t="shared" si="9"/>
        <v>52825.441028051078</v>
      </c>
      <c r="R66" s="112">
        <f t="shared" si="10"/>
        <v>0.38565511381551953</v>
      </c>
      <c r="S66" s="175">
        <f t="shared" si="11"/>
        <v>52825.441028051078</v>
      </c>
      <c r="T66" s="105"/>
      <c r="U66" s="105">
        <f>IFERROR(INDEX('Revised 2019 MFAM(2017 PYAs)'!AD$26:AD$270,MATCH(B66,'Revised 2019 MFAM(2017 PYAs)'!B$26:B$270,0)),0)</f>
        <v>719.56646243503201</v>
      </c>
      <c r="V66" s="105">
        <f>IFERROR(INDEX('Revised 2018 MFAM(2016 PYAs)'!AF$26:AF$266,MATCH(B66,'Revised 2018 MFAM(2016 PYAs)'!B$26:B$266,0)),0)</f>
        <v>817.35898181351513</v>
      </c>
      <c r="W66" s="105">
        <f t="shared" si="12"/>
        <v>2.0012623270156147</v>
      </c>
      <c r="X66" s="105">
        <f t="shared" si="13"/>
        <v>1538.9267065755628</v>
      </c>
      <c r="Y66" s="105"/>
      <c r="Z66" s="106">
        <f t="shared" si="14"/>
        <v>54364.367734626641</v>
      </c>
      <c r="AA66" s="107">
        <v>0</v>
      </c>
      <c r="AB66" s="108">
        <f t="shared" si="15"/>
        <v>0</v>
      </c>
      <c r="AC66" s="108">
        <f>IFERROR(INDEX('Revised 2019 MFAM(2017 PYAs)'!AF$26:AF$270,MATCH(B66,'Revised 2019 MFAM(2017 PYAs)'!B$26:B$270,0)),0)</f>
        <v>108.13489152385968</v>
      </c>
      <c r="AD66" s="216">
        <f>AC66/AC$24*('Revised 2019 MFAM(2017 PYAs)'!AF$24-'2020 Funding'!AC$24)</f>
        <v>9.9075277839953624E-2</v>
      </c>
      <c r="AE66" s="105">
        <f t="shared" si="17"/>
        <v>54472.601701428342</v>
      </c>
      <c r="AF66" s="111"/>
      <c r="AG66" s="105">
        <v>14044.887942962208</v>
      </c>
      <c r="AH66" s="214">
        <v>14044.887942962208</v>
      </c>
      <c r="AI66" s="105">
        <v>14044.887942962208</v>
      </c>
      <c r="AJ66" s="105">
        <f t="shared" si="18"/>
        <v>12337.937872541714</v>
      </c>
    </row>
    <row r="67" spans="2:36" x14ac:dyDescent="0.25">
      <c r="B67">
        <v>224</v>
      </c>
      <c r="C67" s="27">
        <v>5</v>
      </c>
      <c r="D67" s="39" t="s">
        <v>340</v>
      </c>
      <c r="E67" s="162">
        <f>INDEX('2018 Data Lockdown'!H$5:H$255, MATCH(B67,'2018 Data Lockdown'!B$5:B$255,0))</f>
        <v>257.07384904737762</v>
      </c>
      <c r="F67" s="5">
        <f>INDEX('2018 Data Lockdown'!E$5:E$255,MATCH(B67,'2018 Data Lockdown'!B$5:B$255,0))</f>
        <v>73965.39</v>
      </c>
      <c r="G67" s="5">
        <f>INDEX('2018 Data Lockdown'!F$5:F$255, MATCH(B67,'2018 Data Lockdown'!B$5:B$255,0))</f>
        <v>245</v>
      </c>
      <c r="H67" s="5">
        <f t="shared" si="2"/>
        <v>73720.39</v>
      </c>
      <c r="I67" s="103">
        <f t="shared" si="3"/>
        <v>286.76736382631299</v>
      </c>
      <c r="J67" s="6">
        <f t="shared" si="4"/>
        <v>286.76736382631299</v>
      </c>
      <c r="K67" s="5">
        <f t="shared" si="5"/>
        <v>73720.39</v>
      </c>
      <c r="L67" s="140">
        <f>INDEX('2018 Best Practice Scores'!M$4:M$255,MATCH(B67,'2018 Best Practice Scores'!A$4:A$255,0))</f>
        <v>0.49276488095238091</v>
      </c>
      <c r="M67" s="105">
        <f t="shared" si="6"/>
        <v>16244.073685523603</v>
      </c>
      <c r="N67" s="105">
        <f t="shared" si="7"/>
        <v>14527.836491366113</v>
      </c>
      <c r="O67" s="105">
        <f t="shared" si="8"/>
        <v>2401.352710748622</v>
      </c>
      <c r="P67" s="105">
        <f t="shared" si="16"/>
        <v>926.00600944454607</v>
      </c>
      <c r="Q67" s="105">
        <f t="shared" si="9"/>
        <v>34099.268897082882</v>
      </c>
      <c r="R67" s="112">
        <f t="shared" si="10"/>
        <v>0.46254867747013928</v>
      </c>
      <c r="S67" s="175">
        <f t="shared" si="11"/>
        <v>34099.268897082882</v>
      </c>
      <c r="T67" s="105"/>
      <c r="U67" s="105">
        <f>IFERROR(INDEX('Revised 2019 MFAM(2017 PYAs)'!AD$26:AD$270,MATCH(B67,'Revised 2019 MFAM(2017 PYAs)'!B$26:B$270,0)),0)</f>
        <v>422.16559305124974</v>
      </c>
      <c r="V67" s="105">
        <f>IFERROR(INDEX('Revised 2018 MFAM(2016 PYAs)'!AF$26:AF$266,MATCH(B67,'Revised 2018 MFAM(2016 PYAs)'!B$26:B$266,0)),0)</f>
        <v>491.69173373761441</v>
      </c>
      <c r="W67" s="105">
        <f t="shared" si="12"/>
        <v>1.2918317555790966</v>
      </c>
      <c r="X67" s="105">
        <f t="shared" si="13"/>
        <v>915.14915854444325</v>
      </c>
      <c r="Y67" s="105"/>
      <c r="Z67" s="106">
        <f t="shared" si="14"/>
        <v>35014.418055627328</v>
      </c>
      <c r="AA67" s="107">
        <v>0</v>
      </c>
      <c r="AB67" s="108">
        <f t="shared" si="15"/>
        <v>0</v>
      </c>
      <c r="AC67" s="108">
        <f>IFERROR(INDEX('Revised 2019 MFAM(2017 PYAs)'!AF$26:AF$270,MATCH(B67,'Revised 2019 MFAM(2017 PYAs)'!B$26:B$270,0)),0)</f>
        <v>67.79400548919827</v>
      </c>
      <c r="AD67" s="216">
        <f>AC67/AC$24*('Revised 2019 MFAM(2017 PYAs)'!AF$24-'2020 Funding'!AC$24)</f>
        <v>6.2114178273750209E-2</v>
      </c>
      <c r="AE67" s="105">
        <f t="shared" si="17"/>
        <v>35082.274175294799</v>
      </c>
      <c r="AF67" s="111"/>
      <c r="AG67" s="105">
        <v>9046.4396480886135</v>
      </c>
      <c r="AH67" s="214">
        <v>9046.4396480886135</v>
      </c>
      <c r="AI67" s="105">
        <v>9046.4396480886135</v>
      </c>
      <c r="AJ67" s="105">
        <f t="shared" si="18"/>
        <v>7942.9552310289582</v>
      </c>
    </row>
    <row r="68" spans="2:36" x14ac:dyDescent="0.25">
      <c r="B68">
        <v>233</v>
      </c>
      <c r="C68" s="44">
        <v>5</v>
      </c>
      <c r="D68" s="39" t="s">
        <v>341</v>
      </c>
      <c r="E68" s="162">
        <f>INDEX('2018 Data Lockdown'!H$5:H$255, MATCH(B68,'2018 Data Lockdown'!B$5:B$255,0))</f>
        <v>2096.4900000000002</v>
      </c>
      <c r="F68" s="5">
        <f>INDEX('2018 Data Lockdown'!E$5:E$255,MATCH(B68,'2018 Data Lockdown'!B$5:B$255,0))</f>
        <v>657892.93999999994</v>
      </c>
      <c r="G68" s="5">
        <f>INDEX('2018 Data Lockdown'!F$5:F$255, MATCH(B68,'2018 Data Lockdown'!B$5:B$255,0))</f>
        <v>285320.61</v>
      </c>
      <c r="H68" s="5">
        <f t="shared" si="2"/>
        <v>372572.32999999996</v>
      </c>
      <c r="I68" s="103">
        <f t="shared" si="3"/>
        <v>177.71242886920516</v>
      </c>
      <c r="J68" s="6">
        <f t="shared" si="4"/>
        <v>177.71242886920516</v>
      </c>
      <c r="K68" s="5">
        <f t="shared" si="5"/>
        <v>372572.32999999996</v>
      </c>
      <c r="L68" s="140">
        <f>INDEX('2018 Best Practice Scores'!M$4:M$255,MATCH(B68,'2018 Best Practice Scores'!A$4:A$255,0))</f>
        <v>0.65013095238095242</v>
      </c>
      <c r="M68" s="105">
        <f t="shared" si="6"/>
        <v>82095.230121642264</v>
      </c>
      <c r="N68" s="105">
        <f t="shared" si="7"/>
        <v>118477.48823401702</v>
      </c>
      <c r="O68" s="105">
        <f t="shared" si="8"/>
        <v>16011.795043475018</v>
      </c>
      <c r="P68" s="105">
        <f t="shared" si="16"/>
        <v>4679.902216100003</v>
      </c>
      <c r="Q68" s="105">
        <f t="shared" si="9"/>
        <v>221264.41561523429</v>
      </c>
      <c r="R68" s="112">
        <f t="shared" si="10"/>
        <v>0.59388311422706652</v>
      </c>
      <c r="S68" s="175">
        <f t="shared" si="11"/>
        <v>221264.41561523429</v>
      </c>
      <c r="T68" s="105"/>
      <c r="U68" s="105">
        <f>IFERROR(INDEX('Revised 2019 MFAM(2017 PYAs)'!AD$26:AD$270,MATCH(B68,'Revised 2019 MFAM(2017 PYAs)'!B$26:B$270,0)),0)</f>
        <v>1818.1348322699487</v>
      </c>
      <c r="V68" s="105">
        <f>IFERROR(INDEX('Revised 2018 MFAM(2016 PYAs)'!AF$26:AF$266,MATCH(B68,'Revised 2018 MFAM(2016 PYAs)'!B$26:B$266,0)),0)</f>
        <v>5755.1644800467184</v>
      </c>
      <c r="W68" s="105">
        <f t="shared" si="12"/>
        <v>8.3824787954871276</v>
      </c>
      <c r="X68" s="105">
        <f t="shared" si="13"/>
        <v>7581.6817911121543</v>
      </c>
      <c r="Y68" s="105"/>
      <c r="Z68" s="106">
        <f t="shared" si="14"/>
        <v>228846.09740634644</v>
      </c>
      <c r="AA68" s="107">
        <v>0</v>
      </c>
      <c r="AB68" s="108">
        <f t="shared" si="15"/>
        <v>0</v>
      </c>
      <c r="AC68" s="108">
        <f>IFERROR(INDEX('Revised 2019 MFAM(2017 PYAs)'!AF$26:AF$270,MATCH(B68,'Revised 2019 MFAM(2017 PYAs)'!B$26:B$270,0)),0)</f>
        <v>369.59004520046813</v>
      </c>
      <c r="AD68" s="216">
        <f>AC68/AC$24*('Revised 2019 MFAM(2017 PYAs)'!AF$24-'2020 Funding'!AC$24)</f>
        <v>0.33862554351421253</v>
      </c>
      <c r="AE68" s="105">
        <f t="shared" si="17"/>
        <v>229216.02607709041</v>
      </c>
      <c r="AF68" s="111"/>
      <c r="AG68" s="105">
        <v>59111.00552426833</v>
      </c>
      <c r="AH68" s="214">
        <v>59111.00552426833</v>
      </c>
      <c r="AI68" s="105">
        <v>59111.00552426833</v>
      </c>
      <c r="AJ68" s="105">
        <f t="shared" si="18"/>
        <v>51883.009504285437</v>
      </c>
    </row>
    <row r="69" spans="2:36" x14ac:dyDescent="0.25">
      <c r="B69">
        <v>272</v>
      </c>
      <c r="C69" s="27">
        <v>5</v>
      </c>
      <c r="D69" s="39" t="s">
        <v>342</v>
      </c>
      <c r="E69" s="162">
        <f>INDEX('2018 Data Lockdown'!H$5:H$255, MATCH(B69,'2018 Data Lockdown'!B$5:B$255,0))</f>
        <v>365.3662530466043</v>
      </c>
      <c r="F69" s="5">
        <f>INDEX('2018 Data Lockdown'!E$5:E$255,MATCH(B69,'2018 Data Lockdown'!B$5:B$255,0))</f>
        <v>79352.12</v>
      </c>
      <c r="G69" s="5">
        <f>INDEX('2018 Data Lockdown'!F$5:F$255, MATCH(B69,'2018 Data Lockdown'!B$5:B$255,0))</f>
        <v>0</v>
      </c>
      <c r="H69" s="5">
        <f t="shared" si="2"/>
        <v>79352.12</v>
      </c>
      <c r="I69" s="103">
        <f t="shared" si="3"/>
        <v>217.18513775786028</v>
      </c>
      <c r="J69" s="6">
        <f t="shared" si="4"/>
        <v>217.18513775786028</v>
      </c>
      <c r="K69" s="5">
        <f t="shared" si="5"/>
        <v>79352.12</v>
      </c>
      <c r="L69" s="140">
        <f>INDEX('2018 Best Practice Scores'!M$4:M$255,MATCH(B69,'2018 Best Practice Scores'!A$4:A$255,0))</f>
        <v>0.44478571428571423</v>
      </c>
      <c r="M69" s="105">
        <f t="shared" si="6"/>
        <v>17485.009023724793</v>
      </c>
      <c r="N69" s="105">
        <f t="shared" si="7"/>
        <v>20647.690161382088</v>
      </c>
      <c r="O69" s="105">
        <f t="shared" si="8"/>
        <v>2333.1246683728768</v>
      </c>
      <c r="P69" s="105">
        <f t="shared" si="16"/>
        <v>996.74649011168754</v>
      </c>
      <c r="Q69" s="105">
        <f t="shared" si="9"/>
        <v>41462.570343591447</v>
      </c>
      <c r="R69" s="112">
        <f t="shared" si="10"/>
        <v>0.52251370654736695</v>
      </c>
      <c r="S69" s="175">
        <f t="shared" si="11"/>
        <v>41462.570343591447</v>
      </c>
      <c r="T69" s="105"/>
      <c r="U69" s="105">
        <f>IFERROR(INDEX('Revised 2019 MFAM(2017 PYAs)'!AD$26:AD$270,MATCH(B69,'Revised 2019 MFAM(2017 PYAs)'!B$26:B$270,0)),0)</f>
        <v>587.6132039685981</v>
      </c>
      <c r="V69" s="105">
        <f>IFERROR(INDEX('Revised 2018 MFAM(2016 PYAs)'!AF$26:AF$266,MATCH(B69,'Revised 2018 MFAM(2016 PYAs)'!B$26:B$266,0)),0)</f>
        <v>716.2028454027095</v>
      </c>
      <c r="W69" s="105">
        <f t="shared" si="12"/>
        <v>1.5707863180129851</v>
      </c>
      <c r="X69" s="105">
        <f t="shared" si="13"/>
        <v>1305.3868356893206</v>
      </c>
      <c r="Y69" s="105"/>
      <c r="Z69" s="106">
        <f t="shared" si="14"/>
        <v>42767.957179280769</v>
      </c>
      <c r="AA69" s="107">
        <v>0</v>
      </c>
      <c r="AB69" s="108">
        <f t="shared" si="15"/>
        <v>0</v>
      </c>
      <c r="AC69" s="108">
        <f>IFERROR(INDEX('Revised 2019 MFAM(2017 PYAs)'!AF$26:AF$270,MATCH(B69,'Revised 2019 MFAM(2017 PYAs)'!B$26:B$270,0)),0)</f>
        <v>94.276430771488322</v>
      </c>
      <c r="AD69" s="216">
        <f>AC69/AC$24*('Revised 2019 MFAM(2017 PYAs)'!AF$24-'2020 Funding'!AC$24)</f>
        <v>8.6377888217360546E-2</v>
      </c>
      <c r="AE69" s="105">
        <f t="shared" si="17"/>
        <v>42862.319987940478</v>
      </c>
      <c r="AF69" s="111"/>
      <c r="AG69" s="105">
        <v>11047.992627414715</v>
      </c>
      <c r="AH69" s="214">
        <v>11047.992627414715</v>
      </c>
      <c r="AI69" s="105">
        <v>11047.992627414715</v>
      </c>
      <c r="AJ69" s="105">
        <f t="shared" si="18"/>
        <v>9718.3421056963343</v>
      </c>
    </row>
    <row r="70" spans="2:36" x14ac:dyDescent="0.25">
      <c r="B70">
        <v>427</v>
      </c>
      <c r="C70" s="27">
        <v>5</v>
      </c>
      <c r="D70" s="39" t="s">
        <v>343</v>
      </c>
      <c r="E70" s="162">
        <f>INDEX('2018 Data Lockdown'!H$5:H$255, MATCH(B70,'2018 Data Lockdown'!B$5:B$255,0))</f>
        <v>444.9199999999999</v>
      </c>
      <c r="F70" s="5">
        <f>INDEX('2018 Data Lockdown'!E$5:E$255,MATCH(B70,'2018 Data Lockdown'!B$5:B$255,0))</f>
        <v>198493.19</v>
      </c>
      <c r="G70" s="5">
        <f>INDEX('2018 Data Lockdown'!F$5:F$255, MATCH(B70,'2018 Data Lockdown'!B$5:B$255,0))</f>
        <v>56867.6</v>
      </c>
      <c r="H70" s="5">
        <f t="shared" si="2"/>
        <v>141625.59</v>
      </c>
      <c r="I70" s="103">
        <f t="shared" si="3"/>
        <v>318.31697833318356</v>
      </c>
      <c r="J70" s="6">
        <f t="shared" si="4"/>
        <v>318.31697833318356</v>
      </c>
      <c r="K70" s="5">
        <f t="shared" si="5"/>
        <v>141625.59</v>
      </c>
      <c r="L70" s="140">
        <f>INDEX('2018 Best Practice Scores'!M$4:M$255,MATCH(B70,'2018 Best Practice Scores'!A$4:A$255,0))</f>
        <v>0.68625595238095238</v>
      </c>
      <c r="M70" s="105">
        <f t="shared" si="6"/>
        <v>31206.78715502936</v>
      </c>
      <c r="N70" s="105">
        <f t="shared" si="7"/>
        <v>25143.455997919777</v>
      </c>
      <c r="O70" s="105">
        <f t="shared" si="8"/>
        <v>6424.7530319473035</v>
      </c>
      <c r="P70" s="105">
        <f t="shared" si="16"/>
        <v>1778.9670867331199</v>
      </c>
      <c r="Q70" s="105">
        <f t="shared" si="9"/>
        <v>64553.96327162956</v>
      </c>
      <c r="R70" s="112">
        <f t="shared" si="10"/>
        <v>0.455807197496085</v>
      </c>
      <c r="S70" s="175">
        <f t="shared" si="11"/>
        <v>64553.96327162956</v>
      </c>
      <c r="T70" s="105"/>
      <c r="U70" s="105">
        <f>IFERROR(INDEX('Revised 2019 MFAM(2017 PYAs)'!AD$26:AD$270,MATCH(B70,'Revised 2019 MFAM(2017 PYAs)'!B$26:B$270,0)),0)</f>
        <v>675.43266076971486</v>
      </c>
      <c r="V70" s="105">
        <f>IFERROR(INDEX('Revised 2018 MFAM(2016 PYAs)'!AF$26:AF$266,MATCH(B70,'Revised 2018 MFAM(2016 PYAs)'!B$26:B$266,0)),0)</f>
        <v>1655.8750970175242</v>
      </c>
      <c r="W70" s="105">
        <f t="shared" si="12"/>
        <v>2.4455908410960627</v>
      </c>
      <c r="X70" s="105">
        <f t="shared" si="13"/>
        <v>2333.7533486283351</v>
      </c>
      <c r="Y70" s="105"/>
      <c r="Z70" s="106">
        <f t="shared" si="14"/>
        <v>66887.716620257896</v>
      </c>
      <c r="AA70" s="107">
        <v>0</v>
      </c>
      <c r="AB70" s="108">
        <f t="shared" si="15"/>
        <v>0</v>
      </c>
      <c r="AC70" s="108">
        <f>IFERROR(INDEX('Revised 2019 MFAM(2017 PYAs)'!AF$26:AF$270,MATCH(B70,'Revised 2019 MFAM(2017 PYAs)'!B$26:B$270,0)),0)</f>
        <v>108.97418101289814</v>
      </c>
      <c r="AD70" s="216">
        <f>AC70/AC$24*('Revised 2019 MFAM(2017 PYAs)'!AF$24-'2020 Funding'!AC$24)</f>
        <v>9.9844251093108391E-2</v>
      </c>
      <c r="AE70" s="105">
        <f t="shared" si="17"/>
        <v>66996.790645521891</v>
      </c>
      <c r="AF70" s="111"/>
      <c r="AG70" s="105">
        <v>17276.314025023879</v>
      </c>
      <c r="AH70" s="214">
        <v>17276.314025023879</v>
      </c>
      <c r="AI70" s="105">
        <v>17276.314025023879</v>
      </c>
      <c r="AJ70" s="105">
        <f t="shared" si="18"/>
        <v>15167.848570450253</v>
      </c>
    </row>
    <row r="71" spans="2:36" x14ac:dyDescent="0.25">
      <c r="B71">
        <v>524</v>
      </c>
      <c r="C71" s="27">
        <v>5</v>
      </c>
      <c r="D71" s="39" t="s">
        <v>344</v>
      </c>
      <c r="E71" s="162">
        <f>INDEX('2018 Data Lockdown'!H$5:H$255, MATCH(B71,'2018 Data Lockdown'!B$5:B$255,0))</f>
        <v>503.24541510407607</v>
      </c>
      <c r="F71" s="5">
        <f>INDEX('2018 Data Lockdown'!E$5:E$255,MATCH(B71,'2018 Data Lockdown'!B$5:B$255,0))</f>
        <v>234790.57</v>
      </c>
      <c r="G71" s="5">
        <f>INDEX('2018 Data Lockdown'!F$5:F$255, MATCH(B71,'2018 Data Lockdown'!B$5:B$255,0))</f>
        <v>453.75</v>
      </c>
      <c r="H71" s="5">
        <f t="shared" si="2"/>
        <v>234336.82</v>
      </c>
      <c r="I71" s="103">
        <f t="shared" si="3"/>
        <v>465.65117727210065</v>
      </c>
      <c r="J71" s="6">
        <f t="shared" si="4"/>
        <v>460.0519258022382</v>
      </c>
      <c r="K71" s="5">
        <f t="shared" si="5"/>
        <v>231519.02236977697</v>
      </c>
      <c r="L71" s="140">
        <f>INDEX('2018 Best Practice Scores'!M$4:M$255,MATCH(B71,'2018 Best Practice Scores'!A$4:A$255,0))</f>
        <v>0.65294642857142848</v>
      </c>
      <c r="M71" s="105">
        <f t="shared" si="6"/>
        <v>51014.543723589159</v>
      </c>
      <c r="N71" s="105">
        <f t="shared" si="7"/>
        <v>28439.55981035739</v>
      </c>
      <c r="O71" s="105">
        <f t="shared" si="8"/>
        <v>9992.929238855555</v>
      </c>
      <c r="P71" s="105">
        <f t="shared" si="16"/>
        <v>2908.1236007451912</v>
      </c>
      <c r="Q71" s="105">
        <f t="shared" si="9"/>
        <v>92355.156373547303</v>
      </c>
      <c r="R71" s="112">
        <f t="shared" si="10"/>
        <v>0.39890958171911994</v>
      </c>
      <c r="S71" s="175">
        <f t="shared" si="11"/>
        <v>92355.156373547303</v>
      </c>
      <c r="T71" s="105"/>
      <c r="U71" s="105">
        <f>IFERROR(INDEX('Revised 2019 MFAM(2017 PYAs)'!AD$26:AD$270,MATCH(B71,'Revised 2019 MFAM(2017 PYAs)'!B$26:B$270,0)),0)</f>
        <v>1208.1680862515495</v>
      </c>
      <c r="V71" s="105">
        <f>IFERROR(INDEX('Revised 2018 MFAM(2016 PYAs)'!AF$26:AF$266,MATCH(B71,'Revised 2018 MFAM(2016 PYAs)'!B$26:B$266,0)),0)</f>
        <v>1056.0370420909603</v>
      </c>
      <c r="W71" s="105">
        <f t="shared" si="12"/>
        <v>3.4988235130468759</v>
      </c>
      <c r="X71" s="105">
        <f t="shared" si="13"/>
        <v>2267.7039518555566</v>
      </c>
      <c r="Y71" s="105"/>
      <c r="Z71" s="106">
        <f t="shared" si="14"/>
        <v>94622.860325402857</v>
      </c>
      <c r="AA71" s="107">
        <v>0</v>
      </c>
      <c r="AB71" s="108">
        <f t="shared" si="15"/>
        <v>0</v>
      </c>
      <c r="AC71" s="108">
        <f>IFERROR(INDEX('Revised 2019 MFAM(2017 PYAs)'!AF$26:AF$270,MATCH(B71,'Revised 2019 MFAM(2017 PYAs)'!B$26:B$270,0)),0)</f>
        <v>177.75708392002795</v>
      </c>
      <c r="AD71" s="216">
        <f>AC71/AC$24*('Revised 2019 MFAM(2017 PYAs)'!AF$24-'2020 Funding'!AC$24)</f>
        <v>0.16286447629635648</v>
      </c>
      <c r="AE71" s="105">
        <f t="shared" si="17"/>
        <v>94800.780273799188</v>
      </c>
      <c r="AF71" s="111"/>
      <c r="AG71" s="105">
        <v>24449.039504651075</v>
      </c>
      <c r="AH71" s="214">
        <v>24449.039504651075</v>
      </c>
      <c r="AI71" s="105">
        <v>24449.039504651075</v>
      </c>
      <c r="AJ71" s="105">
        <f t="shared" si="18"/>
        <v>21453.661759845956</v>
      </c>
    </row>
    <row r="72" spans="2:36" x14ac:dyDescent="0.25">
      <c r="B72">
        <v>565</v>
      </c>
      <c r="C72" s="27">
        <v>5</v>
      </c>
      <c r="D72" s="39" t="s">
        <v>345</v>
      </c>
      <c r="E72" s="162">
        <f>INDEX('2018 Data Lockdown'!H$5:H$255, MATCH(B72,'2018 Data Lockdown'!B$5:B$255,0))</f>
        <v>471.64773139908056</v>
      </c>
      <c r="F72" s="5">
        <f>INDEX('2018 Data Lockdown'!E$5:E$255,MATCH(B72,'2018 Data Lockdown'!B$5:B$255,0))</f>
        <v>165733.01</v>
      </c>
      <c r="G72" s="5">
        <f>INDEX('2018 Data Lockdown'!F$5:F$255, MATCH(B72,'2018 Data Lockdown'!B$5:B$255,0))</f>
        <v>710</v>
      </c>
      <c r="H72" s="5">
        <f t="shared" si="2"/>
        <v>165023.01</v>
      </c>
      <c r="I72" s="103">
        <f t="shared" si="3"/>
        <v>349.8861523418783</v>
      </c>
      <c r="J72" s="6">
        <f t="shared" si="4"/>
        <v>349.8861523418783</v>
      </c>
      <c r="K72" s="5">
        <f t="shared" si="5"/>
        <v>165023.01</v>
      </c>
      <c r="L72" s="140">
        <f>INDEX('2018 Best Practice Scores'!M$4:M$255,MATCH(B72,'2018 Best Practice Scores'!A$4:A$255,0))</f>
        <v>0.55113095238095233</v>
      </c>
      <c r="M72" s="105">
        <f t="shared" si="6"/>
        <v>36362.340652930601</v>
      </c>
      <c r="N72" s="105">
        <f t="shared" si="7"/>
        <v>26653.901782233817</v>
      </c>
      <c r="O72" s="105">
        <f t="shared" si="8"/>
        <v>6012.1234304550781</v>
      </c>
      <c r="P72" s="105">
        <f t="shared" si="16"/>
        <v>2072.8634093854826</v>
      </c>
      <c r="Q72" s="105">
        <f t="shared" si="9"/>
        <v>71101.229275004967</v>
      </c>
      <c r="R72" s="112">
        <f t="shared" si="10"/>
        <v>0.43085645616938489</v>
      </c>
      <c r="S72" s="175">
        <f t="shared" si="11"/>
        <v>71101.229275004967</v>
      </c>
      <c r="T72" s="105"/>
      <c r="U72" s="105">
        <f>IFERROR(INDEX('Revised 2019 MFAM(2017 PYAs)'!AD$26:AD$270,MATCH(B72,'Revised 2019 MFAM(2017 PYAs)'!B$26:B$270,0)),0)</f>
        <v>1080.9852697788447</v>
      </c>
      <c r="V72" s="105">
        <f>IFERROR(INDEX('Revised 2018 MFAM(2016 PYAs)'!AF$26:AF$266,MATCH(B72,'Revised 2018 MFAM(2016 PYAs)'!B$26:B$266,0)),0)</f>
        <v>746.42829319155135</v>
      </c>
      <c r="W72" s="105">
        <f t="shared" si="12"/>
        <v>2.6936303565739839</v>
      </c>
      <c r="X72" s="105">
        <f t="shared" si="13"/>
        <v>1830.10719332697</v>
      </c>
      <c r="Y72" s="105"/>
      <c r="Z72" s="106">
        <f t="shared" si="14"/>
        <v>72931.336468331938</v>
      </c>
      <c r="AA72" s="107">
        <v>0</v>
      </c>
      <c r="AB72" s="108">
        <f t="shared" si="15"/>
        <v>0</v>
      </c>
      <c r="AC72" s="108">
        <f>IFERROR(INDEX('Revised 2019 MFAM(2017 PYAs)'!AF$26:AF$270,MATCH(B72,'Revised 2019 MFAM(2017 PYAs)'!B$26:B$270,0)),0)</f>
        <v>147.32455168075447</v>
      </c>
      <c r="AD72" s="216">
        <f>AC72/AC$24*('Revised 2019 MFAM(2017 PYAs)'!AF$24-'2020 Funding'!AC$24)</f>
        <v>0.13498160200398165</v>
      </c>
      <c r="AE72" s="105">
        <f t="shared" si="17"/>
        <v>73078.796001614697</v>
      </c>
      <c r="AF72" s="111"/>
      <c r="AG72" s="105">
        <v>18843.504230270148</v>
      </c>
      <c r="AH72" s="214">
        <v>18843.504230270148</v>
      </c>
      <c r="AI72" s="105">
        <v>18843.504230270148</v>
      </c>
      <c r="AJ72" s="105">
        <f t="shared" si="18"/>
        <v>16548.283310804254</v>
      </c>
    </row>
    <row r="73" spans="2:36" x14ac:dyDescent="0.25">
      <c r="B73">
        <v>696</v>
      </c>
      <c r="C73" s="27">
        <v>5</v>
      </c>
      <c r="D73" s="39" t="s">
        <v>347</v>
      </c>
      <c r="E73" s="162">
        <f>INDEX('2018 Data Lockdown'!H$5:H$255, MATCH(B73,'2018 Data Lockdown'!B$5:B$255,0))</f>
        <v>295.10104095842627</v>
      </c>
      <c r="F73" s="5">
        <f>INDEX('2018 Data Lockdown'!E$5:E$255,MATCH(B73,'2018 Data Lockdown'!B$5:B$255,0))</f>
        <v>126909.24</v>
      </c>
      <c r="G73" s="5">
        <f>INDEX('2018 Data Lockdown'!F$5:F$255, MATCH(B73,'2018 Data Lockdown'!B$5:B$255,0))</f>
        <v>38.94</v>
      </c>
      <c r="H73" s="5">
        <f t="shared" si="2"/>
        <v>126870.3</v>
      </c>
      <c r="I73" s="103">
        <f t="shared" si="3"/>
        <v>429.92156038471393</v>
      </c>
      <c r="J73" s="6">
        <f t="shared" si="4"/>
        <v>429.92156038471393</v>
      </c>
      <c r="K73" s="5">
        <f t="shared" si="5"/>
        <v>126870.3</v>
      </c>
      <c r="L73" s="140">
        <f>INDEX('2018 Best Practice Scores'!M$4:M$255,MATCH(B73,'2018 Best Practice Scores'!A$4:A$255,0))</f>
        <v>0.3619047619047619</v>
      </c>
      <c r="M73" s="105">
        <f t="shared" si="6"/>
        <v>27955.501886309681</v>
      </c>
      <c r="N73" s="105">
        <f t="shared" si="7"/>
        <v>16676.840866399609</v>
      </c>
      <c r="O73" s="105">
        <f t="shared" si="8"/>
        <v>3035.168776227908</v>
      </c>
      <c r="P73" s="105">
        <f t="shared" si="16"/>
        <v>1593.6250502748617</v>
      </c>
      <c r="Q73" s="105">
        <f t="shared" si="9"/>
        <v>49261.136579212056</v>
      </c>
      <c r="R73" s="112">
        <f t="shared" si="10"/>
        <v>0.38827949945110918</v>
      </c>
      <c r="S73" s="175">
        <f t="shared" si="11"/>
        <v>49261.136579212056</v>
      </c>
      <c r="T73" s="105"/>
      <c r="U73" s="105">
        <f>IFERROR(INDEX('Revised 2019 MFAM(2017 PYAs)'!AD$26:AD$270,MATCH(B73,'Revised 2019 MFAM(2017 PYAs)'!B$26:B$270,0)),0)</f>
        <v>694.04082762303733</v>
      </c>
      <c r="V73" s="105">
        <f>IFERROR(INDEX('Revised 2018 MFAM(2016 PYAs)'!AF$26:AF$266,MATCH(B73,'Revised 2018 MFAM(2016 PYAs)'!B$26:B$266,0)),0)</f>
        <v>864.19779504157486</v>
      </c>
      <c r="W73" s="105">
        <f t="shared" si="12"/>
        <v>1.8662306438596159</v>
      </c>
      <c r="X73" s="105">
        <f t="shared" si="13"/>
        <v>1560.1048533084718</v>
      </c>
      <c r="Y73" s="105"/>
      <c r="Z73" s="106">
        <f t="shared" si="14"/>
        <v>50821.241432520525</v>
      </c>
      <c r="AA73" s="107">
        <v>0</v>
      </c>
      <c r="AB73" s="108">
        <f t="shared" si="15"/>
        <v>0</v>
      </c>
      <c r="AC73" s="108">
        <f>IFERROR(INDEX('Revised 2019 MFAM(2017 PYAs)'!AF$26:AF$270,MATCH(B73,'Revised 2019 MFAM(2017 PYAs)'!B$26:B$270,0)),0)</f>
        <v>98.893484866421474</v>
      </c>
      <c r="AD73" s="216">
        <f>AC73/AC$24*('Revised 2019 MFAM(2017 PYAs)'!AF$24-'2020 Funding'!AC$24)</f>
        <v>9.0608122425869145E-2</v>
      </c>
      <c r="AE73" s="105">
        <f t="shared" si="17"/>
        <v>50920.22552550937</v>
      </c>
      <c r="AF73" s="111"/>
      <c r="AG73" s="105">
        <v>13128.481750757608</v>
      </c>
      <c r="AH73" s="214">
        <v>13128.481750757608</v>
      </c>
      <c r="AI73" s="105">
        <v>13128.481750757608</v>
      </c>
      <c r="AJ73" s="105">
        <f t="shared" si="18"/>
        <v>11534.780273236545</v>
      </c>
    </row>
    <row r="74" spans="2:36" x14ac:dyDescent="0.25">
      <c r="B74">
        <v>731</v>
      </c>
      <c r="C74" s="27">
        <v>5</v>
      </c>
      <c r="D74" s="39" t="s">
        <v>348</v>
      </c>
      <c r="E74" s="162">
        <f>INDEX('2018 Data Lockdown'!H$5:H$255, MATCH(B74,'2018 Data Lockdown'!B$5:B$255,0))</f>
        <v>859.8900000000001</v>
      </c>
      <c r="F74" s="5">
        <f>INDEX('2018 Data Lockdown'!E$5:E$255,MATCH(B74,'2018 Data Lockdown'!B$5:B$255,0))</f>
        <v>227370.13</v>
      </c>
      <c r="G74" s="5">
        <f>INDEX('2018 Data Lockdown'!F$5:F$255, MATCH(B74,'2018 Data Lockdown'!B$5:B$255,0))</f>
        <v>35311</v>
      </c>
      <c r="H74" s="5">
        <f t="shared" si="2"/>
        <v>192059.13</v>
      </c>
      <c r="I74" s="103">
        <f t="shared" si="3"/>
        <v>223.35313819209432</v>
      </c>
      <c r="J74" s="6">
        <f t="shared" si="4"/>
        <v>223.35313819209432</v>
      </c>
      <c r="K74" s="5">
        <f t="shared" si="5"/>
        <v>192059.13</v>
      </c>
      <c r="L74" s="140">
        <f>INDEX('2018 Best Practice Scores'!M$4:M$255,MATCH(B74,'2018 Best Practice Scores'!A$4:A$255,0))</f>
        <v>0.72269047619047611</v>
      </c>
      <c r="M74" s="105">
        <f t="shared" si="6"/>
        <v>42319.671120806015</v>
      </c>
      <c r="N74" s="105">
        <f t="shared" si="7"/>
        <v>48594.36837645249</v>
      </c>
      <c r="O74" s="105">
        <f t="shared" si="8"/>
        <v>9175.2069823558904</v>
      </c>
      <c r="P74" s="105">
        <f t="shared" si="16"/>
        <v>2412.4656495806835</v>
      </c>
      <c r="Q74" s="105">
        <f t="shared" si="9"/>
        <v>102501.71212919508</v>
      </c>
      <c r="R74" s="112">
        <f t="shared" si="10"/>
        <v>0.53369872147809416</v>
      </c>
      <c r="S74" s="175">
        <f t="shared" si="11"/>
        <v>102501.71212919508</v>
      </c>
      <c r="T74" s="105"/>
      <c r="U74" s="105">
        <f>IFERROR(INDEX('Revised 2019 MFAM(2017 PYAs)'!AD$26:AD$270,MATCH(B74,'Revised 2019 MFAM(2017 PYAs)'!B$26:B$270,0)),0)</f>
        <v>1147.9631276846776</v>
      </c>
      <c r="V74" s="105">
        <f>IFERROR(INDEX('Revised 2018 MFAM(2016 PYAs)'!AF$26:AF$266,MATCH(B74,'Revised 2018 MFAM(2016 PYAs)'!B$26:B$266,0)),0)</f>
        <v>1768.9883269817656</v>
      </c>
      <c r="W74" s="105">
        <f t="shared" si="12"/>
        <v>3.8832201103598756</v>
      </c>
      <c r="X74" s="105">
        <f t="shared" si="13"/>
        <v>2920.8346747768032</v>
      </c>
      <c r="Y74" s="105"/>
      <c r="Z74" s="106">
        <f t="shared" si="14"/>
        <v>105422.54680397188</v>
      </c>
      <c r="AA74" s="107">
        <v>0</v>
      </c>
      <c r="AB74" s="108">
        <f t="shared" si="15"/>
        <v>0</v>
      </c>
      <c r="AC74" s="108">
        <f>IFERROR(INDEX('Revised 2019 MFAM(2017 PYAs)'!AF$26:AF$270,MATCH(B74,'Revised 2019 MFAM(2017 PYAs)'!B$26:B$270,0)),0)</f>
        <v>191.65533297304796</v>
      </c>
      <c r="AD74" s="216">
        <f>AC74/AC$24*('Revised 2019 MFAM(2017 PYAs)'!AF$24-'2020 Funding'!AC$24)</f>
        <v>0.17559832072910375</v>
      </c>
      <c r="AE74" s="105">
        <f t="shared" si="17"/>
        <v>105614.37773526566</v>
      </c>
      <c r="AF74" s="111"/>
      <c r="AG74" s="105">
        <v>27235.704201940869</v>
      </c>
      <c r="AH74" s="214">
        <v>27235.704201940869</v>
      </c>
      <c r="AI74" s="105">
        <v>27235.704201940869</v>
      </c>
      <c r="AJ74" s="105">
        <f t="shared" si="18"/>
        <v>23907.265129443054</v>
      </c>
    </row>
    <row r="75" spans="2:36" x14ac:dyDescent="0.25">
      <c r="B75">
        <v>732</v>
      </c>
      <c r="C75" s="27">
        <v>5</v>
      </c>
      <c r="D75" s="39" t="s">
        <v>349</v>
      </c>
      <c r="E75" s="162">
        <f>INDEX('2018 Data Lockdown'!H$5:H$255, MATCH(B75,'2018 Data Lockdown'!B$5:B$255,0))</f>
        <v>215.10540422039867</v>
      </c>
      <c r="F75" s="5">
        <f>INDEX('2018 Data Lockdown'!E$5:E$255,MATCH(B75,'2018 Data Lockdown'!B$5:B$255,0))</f>
        <v>69856.94</v>
      </c>
      <c r="G75" s="5">
        <f>INDEX('2018 Data Lockdown'!F$5:F$255, MATCH(B75,'2018 Data Lockdown'!B$5:B$255,0))</f>
        <v>0</v>
      </c>
      <c r="H75" s="5">
        <f t="shared" si="2"/>
        <v>69856.94</v>
      </c>
      <c r="I75" s="103">
        <f t="shared" si="3"/>
        <v>324.75678727450304</v>
      </c>
      <c r="J75" s="6">
        <f t="shared" si="4"/>
        <v>324.75678727450304</v>
      </c>
      <c r="K75" s="5">
        <f t="shared" si="5"/>
        <v>69856.94</v>
      </c>
      <c r="L75" s="140">
        <f>INDEX('2018 Best Practice Scores'!M$4:M$255,MATCH(B75,'2018 Best Practice Scores'!A$4:A$255,0))</f>
        <v>0.46125595238095241</v>
      </c>
      <c r="M75" s="105">
        <f t="shared" si="6"/>
        <v>15392.773706232445</v>
      </c>
      <c r="N75" s="105">
        <f t="shared" si="7"/>
        <v>12156.102818327658</v>
      </c>
      <c r="O75" s="105">
        <f t="shared" si="8"/>
        <v>2130.0025486958184</v>
      </c>
      <c r="P75" s="105">
        <f t="shared" si="16"/>
        <v>877.47699437573647</v>
      </c>
      <c r="Q75" s="105">
        <f t="shared" si="9"/>
        <v>30556.356067631656</v>
      </c>
      <c r="R75" s="112">
        <f t="shared" si="10"/>
        <v>0.43741332024608659</v>
      </c>
      <c r="S75" s="175">
        <f t="shared" si="11"/>
        <v>30556.356067631656</v>
      </c>
      <c r="T75" s="105"/>
      <c r="U75" s="105">
        <f>IFERROR(INDEX('Revised 2019 MFAM(2017 PYAs)'!AD$26:AD$270,MATCH(B75,'Revised 2019 MFAM(2017 PYAs)'!B$26:B$270,0)),0)</f>
        <v>383.20831911540154</v>
      </c>
      <c r="V75" s="105">
        <f>IFERROR(INDEX('Revised 2018 MFAM(2016 PYAs)'!AF$26:AF$266,MATCH(B75,'Revised 2018 MFAM(2016 PYAs)'!B$26:B$266,0)),0)</f>
        <v>521.50675259222771</v>
      </c>
      <c r="W75" s="105">
        <f t="shared" si="12"/>
        <v>1.1576104819750392</v>
      </c>
      <c r="X75" s="105">
        <f t="shared" si="13"/>
        <v>905.87268218960423</v>
      </c>
      <c r="Y75" s="105"/>
      <c r="Z75" s="106">
        <f t="shared" si="14"/>
        <v>31462.228749821261</v>
      </c>
      <c r="AA75" s="107">
        <v>0</v>
      </c>
      <c r="AB75" s="108">
        <f t="shared" si="15"/>
        <v>0</v>
      </c>
      <c r="AC75" s="108">
        <f>IFERROR(INDEX('Revised 2019 MFAM(2017 PYAs)'!AF$26:AF$270,MATCH(B75,'Revised 2019 MFAM(2017 PYAs)'!B$26:B$270,0)),0)</f>
        <v>58.757642862463626</v>
      </c>
      <c r="AD75" s="216">
        <f>AC75/AC$24*('Revised 2019 MFAM(2017 PYAs)'!AF$24-'2020 Funding'!AC$24)</f>
        <v>5.3834888164056363E-2</v>
      </c>
      <c r="AE75" s="105">
        <f t="shared" si="17"/>
        <v>31521.040227571888</v>
      </c>
      <c r="AF75" s="111"/>
      <c r="AG75" s="105">
        <v>8127.9910451551295</v>
      </c>
      <c r="AH75" s="214">
        <v>8127.9910451551295</v>
      </c>
      <c r="AI75" s="105">
        <v>8127.9910451551295</v>
      </c>
      <c r="AJ75" s="105">
        <f t="shared" si="18"/>
        <v>7137.0670921064993</v>
      </c>
    </row>
    <row r="76" spans="2:36" x14ac:dyDescent="0.25">
      <c r="B76">
        <v>754</v>
      </c>
      <c r="C76" s="27">
        <v>5</v>
      </c>
      <c r="D76" s="39" t="s">
        <v>350</v>
      </c>
      <c r="E76" s="162">
        <f>INDEX('2018 Data Lockdown'!H$5:H$255, MATCH(B76,'2018 Data Lockdown'!B$5:B$255,0))</f>
        <v>114.00956480658041</v>
      </c>
      <c r="F76" s="5">
        <f>INDEX('2018 Data Lockdown'!E$5:E$255,MATCH(B76,'2018 Data Lockdown'!B$5:B$255,0))</f>
        <v>34950.230000000003</v>
      </c>
      <c r="G76" s="5">
        <f>INDEX('2018 Data Lockdown'!F$5:F$255, MATCH(B76,'2018 Data Lockdown'!B$5:B$255,0))</f>
        <v>0</v>
      </c>
      <c r="H76" s="5">
        <f t="shared" si="2"/>
        <v>34950.230000000003</v>
      </c>
      <c r="I76" s="103">
        <f t="shared" si="3"/>
        <v>306.55524437176643</v>
      </c>
      <c r="J76" s="6">
        <f t="shared" si="4"/>
        <v>306.55524437176643</v>
      </c>
      <c r="K76" s="5">
        <f t="shared" si="5"/>
        <v>34950.230000000003</v>
      </c>
      <c r="L76" s="140">
        <f>INDEX('2018 Best Practice Scores'!M$4:M$255,MATCH(B76,'2018 Best Practice Scores'!A$4:A$255,0))</f>
        <v>0.22241071428571429</v>
      </c>
      <c r="M76" s="105">
        <f t="shared" si="6"/>
        <v>7701.1816058759014</v>
      </c>
      <c r="N76" s="105">
        <f t="shared" si="7"/>
        <v>6442.9436214515817</v>
      </c>
      <c r="O76" s="105">
        <f t="shared" si="8"/>
        <v>513.84759054205904</v>
      </c>
      <c r="P76" s="105">
        <f t="shared" si="16"/>
        <v>439.0118257848211</v>
      </c>
      <c r="Q76" s="105">
        <f t="shared" si="9"/>
        <v>15096.984643654363</v>
      </c>
      <c r="R76" s="112">
        <f t="shared" si="10"/>
        <v>0.43195666076172778</v>
      </c>
      <c r="S76" s="175">
        <f t="shared" si="11"/>
        <v>15096.984643654363</v>
      </c>
      <c r="T76" s="105"/>
      <c r="U76" s="105">
        <f>IFERROR(INDEX('Revised 2019 MFAM(2017 PYAs)'!AD$26:AD$270,MATCH(B76,'Revised 2019 MFAM(2017 PYAs)'!B$26:B$270,0)),0)</f>
        <v>149.26765150643041</v>
      </c>
      <c r="V76" s="105">
        <f>IFERROR(INDEX('Revised 2018 MFAM(2016 PYAs)'!AF$26:AF$266,MATCH(B76,'Revised 2018 MFAM(2016 PYAs)'!B$26:B$266,0)),0)</f>
        <v>288.33017539132197</v>
      </c>
      <c r="W76" s="105">
        <f t="shared" si="12"/>
        <v>0.5719408306091599</v>
      </c>
      <c r="X76" s="105">
        <f t="shared" si="13"/>
        <v>438.16976772836153</v>
      </c>
      <c r="Y76" s="105"/>
      <c r="Z76" s="106">
        <f t="shared" si="14"/>
        <v>15535.154411382724</v>
      </c>
      <c r="AA76" s="107">
        <v>0</v>
      </c>
      <c r="AB76" s="108">
        <f t="shared" si="15"/>
        <v>0</v>
      </c>
      <c r="AC76" s="108">
        <f>IFERROR(INDEX('Revised 2019 MFAM(2017 PYAs)'!AF$26:AF$270,MATCH(B76,'Revised 2019 MFAM(2017 PYAs)'!B$26:B$270,0)),0)</f>
        <v>26.455655513359741</v>
      </c>
      <c r="AD76" s="216">
        <f>AC76/AC$24*('Revised 2019 MFAM(2017 PYAs)'!AF$24-'2020 Funding'!AC$24)</f>
        <v>2.423918296386212E-2</v>
      </c>
      <c r="AE76" s="105">
        <f t="shared" si="17"/>
        <v>15561.634306079048</v>
      </c>
      <c r="AF76" s="111"/>
      <c r="AG76" s="105">
        <v>4013.4521378203508</v>
      </c>
      <c r="AH76" s="214">
        <v>4013.4521378203508</v>
      </c>
      <c r="AI76" s="105">
        <v>4013.4521378203508</v>
      </c>
      <c r="AJ76" s="105">
        <f t="shared" si="18"/>
        <v>3521.2778926179944</v>
      </c>
    </row>
    <row r="77" spans="2:36" x14ac:dyDescent="0.25">
      <c r="B77">
        <v>885</v>
      </c>
      <c r="C77" s="27">
        <v>5</v>
      </c>
      <c r="D77" s="39" t="s">
        <v>351</v>
      </c>
      <c r="E77" s="162">
        <f>INDEX('2018 Data Lockdown'!H$5:H$255, MATCH(B77,'2018 Data Lockdown'!B$5:B$255,0))</f>
        <v>442.78000000000003</v>
      </c>
      <c r="F77" s="5">
        <f>INDEX('2018 Data Lockdown'!E$5:E$255,MATCH(B77,'2018 Data Lockdown'!B$5:B$255,0))</f>
        <v>148663.73000000001</v>
      </c>
      <c r="G77" s="5">
        <f>INDEX('2018 Data Lockdown'!F$5:F$255, MATCH(B77,'2018 Data Lockdown'!B$5:B$255,0))</f>
        <v>61071.180000000008</v>
      </c>
      <c r="H77" s="5">
        <f t="shared" si="2"/>
        <v>87592.55</v>
      </c>
      <c r="I77" s="103">
        <f t="shared" si="3"/>
        <v>197.82408871222728</v>
      </c>
      <c r="J77" s="6">
        <f t="shared" si="4"/>
        <v>197.82408871222728</v>
      </c>
      <c r="K77" s="5">
        <f t="shared" si="5"/>
        <v>87592.55</v>
      </c>
      <c r="L77" s="140">
        <f>INDEX('2018 Best Practice Scores'!M$4:M$255,MATCH(B77,'2018 Best Practice Scores'!A$4:A$255,0))</f>
        <v>0.4960654761904762</v>
      </c>
      <c r="M77" s="105">
        <f t="shared" si="6"/>
        <v>19300.76382535294</v>
      </c>
      <c r="N77" s="105">
        <f t="shared" si="7"/>
        <v>25022.519659172256</v>
      </c>
      <c r="O77" s="105">
        <f t="shared" si="8"/>
        <v>2872.3327793590865</v>
      </c>
      <c r="P77" s="105">
        <f t="shared" si="16"/>
        <v>1100.2549997710523</v>
      </c>
      <c r="Q77" s="105">
        <f t="shared" si="9"/>
        <v>48295.871263655332</v>
      </c>
      <c r="R77" s="112">
        <f t="shared" si="10"/>
        <v>0.55136962291490921</v>
      </c>
      <c r="S77" s="175">
        <f t="shared" si="11"/>
        <v>48295.871263655332</v>
      </c>
      <c r="T77" s="105"/>
      <c r="U77" s="105">
        <f>IFERROR(INDEX('Revised 2019 MFAM(2017 PYAs)'!AD$26:AD$270,MATCH(B77,'Revised 2019 MFAM(2017 PYAs)'!B$26:B$270,0)),0)</f>
        <v>-5344.6220096477555</v>
      </c>
      <c r="V77" s="105">
        <f>IFERROR(INDEX('Revised 2018 MFAM(2016 PYAs)'!AF$26:AF$266,MATCH(B77,'Revised 2018 MFAM(2016 PYAs)'!B$26:B$266,0)),0)</f>
        <v>2.3344558245953522</v>
      </c>
      <c r="W77" s="105">
        <f t="shared" si="12"/>
        <v>1.8296621065411536</v>
      </c>
      <c r="X77" s="105">
        <f t="shared" si="13"/>
        <v>-5340.4578917166191</v>
      </c>
      <c r="Y77" s="105"/>
      <c r="Z77" s="106">
        <f t="shared" si="14"/>
        <v>42955.41337193871</v>
      </c>
      <c r="AA77" s="107">
        <v>0</v>
      </c>
      <c r="AB77" s="108">
        <f t="shared" si="15"/>
        <v>0</v>
      </c>
      <c r="AC77" s="108">
        <f>IFERROR(INDEX('Revised 2019 MFAM(2017 PYAs)'!AF$26:AF$270,MATCH(B77,'Revised 2019 MFAM(2017 PYAs)'!B$26:B$270,0)),0)</f>
        <v>73.392431852296696</v>
      </c>
      <c r="AD77" s="216">
        <f>AC77/AC$24*('Revised 2019 MFAM(2017 PYAs)'!AF$24-'2020 Funding'!AC$24)</f>
        <v>6.7243564724081203E-2</v>
      </c>
      <c r="AE77" s="105">
        <f t="shared" si="17"/>
        <v>43028.87304735573</v>
      </c>
      <c r="AF77" s="111"/>
      <c r="AG77" s="105">
        <v>11153.497393031708</v>
      </c>
      <c r="AH77" s="214">
        <v>11153.497393031708</v>
      </c>
      <c r="AI77" s="105">
        <v>11153.497393031708</v>
      </c>
      <c r="AJ77" s="105">
        <f t="shared" si="18"/>
        <v>9568.3808682606086</v>
      </c>
    </row>
    <row r="78" spans="2:36" x14ac:dyDescent="0.25">
      <c r="B78">
        <v>909</v>
      </c>
      <c r="C78" s="27">
        <v>5</v>
      </c>
      <c r="D78" s="39" t="s">
        <v>352</v>
      </c>
      <c r="E78" s="162">
        <f>INDEX('2018 Data Lockdown'!H$5:H$255, MATCH(B78,'2018 Data Lockdown'!B$5:B$255,0))</f>
        <v>496.92000000000007</v>
      </c>
      <c r="F78" s="5">
        <f>INDEX('2018 Data Lockdown'!E$5:E$255,MATCH(B78,'2018 Data Lockdown'!B$5:B$255,0))</f>
        <v>238013.06</v>
      </c>
      <c r="G78" s="5">
        <f>INDEX('2018 Data Lockdown'!F$5:F$255, MATCH(B78,'2018 Data Lockdown'!B$5:B$255,0))</f>
        <v>67250.02</v>
      </c>
      <c r="H78" s="5">
        <f t="shared" si="2"/>
        <v>170763.03999999998</v>
      </c>
      <c r="I78" s="103">
        <f t="shared" si="3"/>
        <v>343.64292038959985</v>
      </c>
      <c r="J78" s="6">
        <f t="shared" si="4"/>
        <v>343.64292038959985</v>
      </c>
      <c r="K78" s="5">
        <f t="shared" si="5"/>
        <v>170763.03999999998</v>
      </c>
      <c r="L78" s="140">
        <f>INDEX('2018 Best Practice Scores'!M$4:M$255,MATCH(B78,'2018 Best Practice Scores'!A$4:A$255,0))</f>
        <v>0.70367261904761902</v>
      </c>
      <c r="M78" s="105">
        <f t="shared" si="6"/>
        <v>37627.139581383308</v>
      </c>
      <c r="N78" s="105">
        <f t="shared" si="7"/>
        <v>28082.096004868963</v>
      </c>
      <c r="O78" s="105">
        <f t="shared" si="8"/>
        <v>7943.1563569506961</v>
      </c>
      <c r="P78" s="105">
        <f t="shared" si="16"/>
        <v>2144.9642525089653</v>
      </c>
      <c r="Q78" s="105">
        <f t="shared" si="9"/>
        <v>75797.356195711924</v>
      </c>
      <c r="R78" s="112">
        <f t="shared" si="10"/>
        <v>0.44387448358679921</v>
      </c>
      <c r="S78" s="175">
        <f t="shared" si="11"/>
        <v>75797.356195711924</v>
      </c>
      <c r="T78" s="105"/>
      <c r="U78" s="105">
        <f>IFERROR(INDEX('Revised 2019 MFAM(2017 PYAs)'!AD$26:AD$270,MATCH(B78,'Revised 2019 MFAM(2017 PYAs)'!B$26:B$270,0)),0)</f>
        <v>3009.506120462218</v>
      </c>
      <c r="V78" s="105">
        <f>IFERROR(INDEX('Revised 2018 MFAM(2016 PYAs)'!AF$26:AF$266,MATCH(B78,'Revised 2018 MFAM(2016 PYAs)'!B$26:B$266,0)),0)</f>
        <v>1615.1931985193369</v>
      </c>
      <c r="W78" s="105">
        <f t="shared" si="12"/>
        <v>2.8715405018826452</v>
      </c>
      <c r="X78" s="105">
        <f t="shared" si="13"/>
        <v>4627.5708594834377</v>
      </c>
      <c r="Y78" s="105"/>
      <c r="Z78" s="106">
        <f t="shared" si="14"/>
        <v>80424.927055195367</v>
      </c>
      <c r="AA78" s="107">
        <v>0</v>
      </c>
      <c r="AB78" s="108">
        <f t="shared" si="15"/>
        <v>0</v>
      </c>
      <c r="AC78" s="108">
        <f>IFERROR(INDEX('Revised 2019 MFAM(2017 PYAs)'!AF$26:AF$270,MATCH(B78,'Revised 2019 MFAM(2017 PYAs)'!B$26:B$270,0)),0)</f>
        <v>128.16708356974922</v>
      </c>
      <c r="AD78" s="216">
        <f>AC78/AC$24*('Revised 2019 MFAM(2017 PYAs)'!AF$24-'2020 Funding'!AC$24)</f>
        <v>0.11742915941065737</v>
      </c>
      <c r="AE78" s="105">
        <f t="shared" si="17"/>
        <v>80553.211567924518</v>
      </c>
      <c r="AF78" s="111"/>
      <c r="AG78" s="105">
        <v>20757.202694277519</v>
      </c>
      <c r="AH78" s="214">
        <v>20757.202694277519</v>
      </c>
      <c r="AI78" s="105">
        <v>20757.202694277519</v>
      </c>
      <c r="AJ78" s="105">
        <f t="shared" si="18"/>
        <v>18281.60348509196</v>
      </c>
    </row>
    <row r="79" spans="2:36" x14ac:dyDescent="0.25">
      <c r="B79">
        <v>923</v>
      </c>
      <c r="C79" s="27">
        <v>5</v>
      </c>
      <c r="D79" s="39" t="s">
        <v>353</v>
      </c>
      <c r="E79" s="162">
        <f>INDEX('2018 Data Lockdown'!H$5:H$255, MATCH(B79,'2018 Data Lockdown'!B$5:B$255,0))</f>
        <v>49.064782259954448</v>
      </c>
      <c r="F79" s="5">
        <f>INDEX('2018 Data Lockdown'!E$5:E$255,MATCH(B79,'2018 Data Lockdown'!B$5:B$255,0))</f>
        <v>30138.59</v>
      </c>
      <c r="G79" s="5">
        <f>INDEX('2018 Data Lockdown'!F$5:F$255, MATCH(B79,'2018 Data Lockdown'!B$5:B$255,0))</f>
        <v>156</v>
      </c>
      <c r="H79" s="5">
        <f t="shared" si="2"/>
        <v>29982.59</v>
      </c>
      <c r="I79" s="103">
        <f t="shared" si="3"/>
        <v>611.0816887181237</v>
      </c>
      <c r="J79" s="6">
        <f t="shared" si="4"/>
        <v>460.0519258022382</v>
      </c>
      <c r="K79" s="5">
        <f t="shared" si="5"/>
        <v>22572.347567759538</v>
      </c>
      <c r="L79" s="140">
        <f>INDEX('2018 Best Practice Scores'!M$4:M$255,MATCH(B79,'2018 Best Practice Scores'!A$4:A$255,0))</f>
        <v>0.3797678571428571</v>
      </c>
      <c r="M79" s="105">
        <f t="shared" si="6"/>
        <v>4973.7511853360438</v>
      </c>
      <c r="N79" s="105">
        <f t="shared" si="7"/>
        <v>2772.7640784875475</v>
      </c>
      <c r="O79" s="105">
        <f t="shared" si="8"/>
        <v>566.66124888504442</v>
      </c>
      <c r="P79" s="105">
        <f t="shared" si="16"/>
        <v>283.53254092953551</v>
      </c>
      <c r="Q79" s="105">
        <f t="shared" si="9"/>
        <v>8596.7090536381711</v>
      </c>
      <c r="R79" s="112">
        <f t="shared" si="10"/>
        <v>0.38085135043361618</v>
      </c>
      <c r="S79" s="175">
        <f t="shared" si="11"/>
        <v>8596.7090536381711</v>
      </c>
      <c r="T79" s="105"/>
      <c r="U79" s="105">
        <f>IFERROR(INDEX('Revised 2019 MFAM(2017 PYAs)'!AD$26:AD$270,MATCH(B79,'Revised 2019 MFAM(2017 PYAs)'!B$26:B$270,0)),0)</f>
        <v>95.826041934962632</v>
      </c>
      <c r="V79" s="105">
        <f>IFERROR(INDEX('Revised 2018 MFAM(2016 PYAs)'!AF$26:AF$266,MATCH(B79,'Revised 2018 MFAM(2016 PYAs)'!B$26:B$266,0)),0)</f>
        <v>7.8343122145106463</v>
      </c>
      <c r="W79" s="105">
        <f t="shared" si="12"/>
        <v>0.32568152069425055</v>
      </c>
      <c r="X79" s="105">
        <f t="shared" si="13"/>
        <v>103.98603567016752</v>
      </c>
      <c r="Y79" s="105"/>
      <c r="Z79" s="106">
        <f t="shared" si="14"/>
        <v>8700.6950893083394</v>
      </c>
      <c r="AA79" s="107">
        <v>0</v>
      </c>
      <c r="AB79" s="108">
        <f t="shared" si="15"/>
        <v>0</v>
      </c>
      <c r="AC79" s="108">
        <f>IFERROR(INDEX('Revised 2019 MFAM(2017 PYAs)'!AF$26:AF$270,MATCH(B79,'Revised 2019 MFAM(2017 PYAs)'!B$26:B$270,0)),0)</f>
        <v>15.177383229340956</v>
      </c>
      <c r="AD79" s="216">
        <f>AC79/AC$24*('Revised 2019 MFAM(2017 PYAs)'!AF$24-'2020 Funding'!AC$24)</f>
        <v>1.390581189049993E-2</v>
      </c>
      <c r="AE79" s="105">
        <f t="shared" si="17"/>
        <v>8715.8863783495708</v>
      </c>
      <c r="AF79" s="111"/>
      <c r="AG79" s="105">
        <v>2249.025446778785</v>
      </c>
      <c r="AH79" s="214">
        <v>2249.025446778785</v>
      </c>
      <c r="AI79" s="105">
        <v>2249.025446778785</v>
      </c>
      <c r="AJ79" s="105">
        <f t="shared" si="18"/>
        <v>1968.810038013215</v>
      </c>
    </row>
    <row r="80" spans="2:36" x14ac:dyDescent="0.25">
      <c r="B80">
        <v>394</v>
      </c>
      <c r="C80" s="27">
        <v>6</v>
      </c>
      <c r="D80" s="39" t="s">
        <v>354</v>
      </c>
      <c r="E80" s="162">
        <f>INDEX('2018 Data Lockdown'!H$5:H$255, MATCH(B80,'2018 Data Lockdown'!B$5:B$255,0))</f>
        <v>634.74</v>
      </c>
      <c r="F80" s="5">
        <f>INDEX('2018 Data Lockdown'!E$5:E$255,MATCH(B80,'2018 Data Lockdown'!B$5:B$255,0))</f>
        <v>378356.65</v>
      </c>
      <c r="G80" s="5">
        <f>INDEX('2018 Data Lockdown'!F$5:F$255, MATCH(B80,'2018 Data Lockdown'!B$5:B$255,0))</f>
        <v>36610</v>
      </c>
      <c r="H80" s="5">
        <f t="shared" si="2"/>
        <v>341746.65</v>
      </c>
      <c r="I80" s="103">
        <f t="shared" si="3"/>
        <v>538.40414973059842</v>
      </c>
      <c r="J80" s="6">
        <f t="shared" si="4"/>
        <v>538.40414973059842</v>
      </c>
      <c r="K80" s="5">
        <f t="shared" si="5"/>
        <v>341746.65</v>
      </c>
      <c r="L80" s="140">
        <f>INDEX('2018 Best Practice Scores'!M$4:M$255,MATCH(B80,'2018 Best Practice Scores'!A$4:A$255,0))</f>
        <v>0.75294345238095228</v>
      </c>
      <c r="M80" s="105">
        <f t="shared" si="6"/>
        <v>75302.881121231796</v>
      </c>
      <c r="N80" s="105">
        <f t="shared" si="7"/>
        <v>35870.622269440806</v>
      </c>
      <c r="O80" s="105">
        <f t="shared" si="8"/>
        <v>17009.64338569581</v>
      </c>
      <c r="P80" s="105">
        <f t="shared" si="16"/>
        <v>4292.69909732629</v>
      </c>
      <c r="Q80" s="105">
        <f t="shared" si="9"/>
        <v>132475.84587369469</v>
      </c>
      <c r="R80" s="112">
        <f t="shared" si="10"/>
        <v>0.38764343666190931</v>
      </c>
      <c r="S80" s="175">
        <f t="shared" si="11"/>
        <v>132475.84587369469</v>
      </c>
      <c r="T80" s="105"/>
      <c r="U80" s="105">
        <f>IFERROR(INDEX('Revised 2019 MFAM(2017 PYAs)'!AD$26:AD$270,MATCH(B80,'Revised 2019 MFAM(2017 PYAs)'!B$26:B$270,0)),0)</f>
        <v>2011.7489785311336</v>
      </c>
      <c r="V80" s="105">
        <f>IFERROR(INDEX('Revised 2018 MFAM(2016 PYAs)'!AF$26:AF$266,MATCH(B80,'Revised 2018 MFAM(2016 PYAs)'!B$26:B$266,0)),0)</f>
        <v>2565.0956017515855</v>
      </c>
      <c r="W80" s="105">
        <f t="shared" si="12"/>
        <v>5.0187734248308526</v>
      </c>
      <c r="X80" s="105">
        <f t="shared" si="13"/>
        <v>4581.8633537075502</v>
      </c>
      <c r="Y80" s="105"/>
      <c r="Z80" s="106">
        <f t="shared" si="14"/>
        <v>137057.70922740223</v>
      </c>
      <c r="AA80" s="107">
        <v>0</v>
      </c>
      <c r="AB80" s="108">
        <f t="shared" si="15"/>
        <v>0</v>
      </c>
      <c r="AC80" s="108">
        <f>IFERROR(INDEX('Revised 2019 MFAM(2017 PYAs)'!AF$26:AF$270,MATCH(B80,'Revised 2019 MFAM(2017 PYAs)'!B$26:B$270,0)),0)</f>
        <v>262.5187469899999</v>
      </c>
      <c r="AD80" s="216">
        <f>AC80/AC$24*('Revised 2019 MFAM(2017 PYAs)'!AF$24-'2020 Funding'!AC$24)</f>
        <v>0.24052475042703392</v>
      </c>
      <c r="AE80" s="105">
        <f t="shared" si="17"/>
        <v>137320.46849914268</v>
      </c>
      <c r="AF80" s="105"/>
      <c r="AG80" s="105">
        <v>35402.447427730971</v>
      </c>
      <c r="AH80" s="105">
        <v>35402.447427730971</v>
      </c>
      <c r="AI80" s="105">
        <v>35402.447427730971</v>
      </c>
      <c r="AJ80" s="105">
        <f t="shared" si="18"/>
        <v>31113.126215949749</v>
      </c>
    </row>
    <row r="81" spans="2:36" x14ac:dyDescent="0.25">
      <c r="B81">
        <v>414</v>
      </c>
      <c r="C81" s="27">
        <v>6</v>
      </c>
      <c r="D81" s="39" t="s">
        <v>355</v>
      </c>
      <c r="E81" s="162">
        <f>INDEX('2018 Data Lockdown'!H$5:H$255, MATCH(B81,'2018 Data Lockdown'!B$5:B$255,0))</f>
        <v>248.32677336420244</v>
      </c>
      <c r="F81" s="5">
        <f>INDEX('2018 Data Lockdown'!E$5:E$255,MATCH(B81,'2018 Data Lockdown'!B$5:B$255,0))</f>
        <v>283141.53000000003</v>
      </c>
      <c r="G81" s="5">
        <f>INDEX('2018 Data Lockdown'!F$5:F$255, MATCH(B81,'2018 Data Lockdown'!B$5:B$255,0))</f>
        <v>10663.29</v>
      </c>
      <c r="H81" s="5">
        <f t="shared" si="2"/>
        <v>272478.24000000005</v>
      </c>
      <c r="I81" s="103">
        <f t="shared" si="3"/>
        <v>1097.2567971975234</v>
      </c>
      <c r="J81" s="6">
        <f t="shared" si="4"/>
        <v>1097.2567971975234</v>
      </c>
      <c r="K81" s="5">
        <f t="shared" si="5"/>
        <v>272478.24000000005</v>
      </c>
      <c r="L81" s="140">
        <f>INDEX('2018 Best Practice Scores'!M$4:M$255,MATCH(B81,'2018 Best Practice Scores'!A$4:A$255,0))</f>
        <v>0.60052083333333339</v>
      </c>
      <c r="M81" s="105">
        <f t="shared" si="6"/>
        <v>60039.788290075317</v>
      </c>
      <c r="N81" s="105">
        <f t="shared" si="7"/>
        <v>14033.519057781672</v>
      </c>
      <c r="O81" s="105">
        <f t="shared" si="8"/>
        <v>10816.543109133883</v>
      </c>
      <c r="P81" s="105">
        <f t="shared" si="16"/>
        <v>3422.6146617356931</v>
      </c>
      <c r="Q81" s="105">
        <f t="shared" si="9"/>
        <v>88312.465118726555</v>
      </c>
      <c r="R81" s="112">
        <f t="shared" si="10"/>
        <v>0.32410832189288413</v>
      </c>
      <c r="S81" s="175">
        <f t="shared" si="11"/>
        <v>88312.465118726555</v>
      </c>
      <c r="T81" s="105"/>
      <c r="U81" s="105">
        <f>IFERROR(INDEX('Revised 2019 MFAM(2017 PYAs)'!AD$26:AD$270,MATCH(B81,'Revised 2019 MFAM(2017 PYAs)'!B$26:B$270,0)),0)</f>
        <v>1148.0510887534183</v>
      </c>
      <c r="V81" s="105">
        <f>IFERROR(INDEX('Revised 2018 MFAM(2016 PYAs)'!AF$26:AF$266,MATCH(B81,'Revised 2018 MFAM(2016 PYAs)'!B$26:B$266,0)),0)</f>
        <v>1169.9626493705509</v>
      </c>
      <c r="W81" s="105">
        <f t="shared" si="12"/>
        <v>3.3456684129553862</v>
      </c>
      <c r="X81" s="105">
        <f t="shared" si="13"/>
        <v>2321.3594065369248</v>
      </c>
      <c r="Y81" s="105"/>
      <c r="Z81" s="106">
        <f t="shared" si="14"/>
        <v>90633.824525263481</v>
      </c>
      <c r="AA81" s="107">
        <v>0</v>
      </c>
      <c r="AB81" s="108">
        <f t="shared" si="15"/>
        <v>0</v>
      </c>
      <c r="AC81" s="108">
        <f>IFERROR(INDEX('Revised 2019 MFAM(2017 PYAs)'!AF$26:AF$270,MATCH(B81,'Revised 2019 MFAM(2017 PYAs)'!B$26:B$270,0)),0)</f>
        <v>141.02891861897689</v>
      </c>
      <c r="AD81" s="216">
        <f>AC81/AC$24*('Revised 2019 MFAM(2017 PYAs)'!AF$24-'2020 Funding'!AC$24)</f>
        <v>0.12921342129945501</v>
      </c>
      <c r="AE81" s="105">
        <f t="shared" si="17"/>
        <v>90774.982657303757</v>
      </c>
      <c r="AF81" s="111"/>
      <c r="AG81" s="105">
        <v>23417.380960505783</v>
      </c>
      <c r="AH81" s="214">
        <v>23417.380960505783</v>
      </c>
      <c r="AI81" s="105">
        <v>23417.380960505783</v>
      </c>
      <c r="AJ81" s="105">
        <f t="shared" si="18"/>
        <v>20522.8397757864</v>
      </c>
    </row>
    <row r="82" spans="2:36" x14ac:dyDescent="0.25">
      <c r="B82">
        <v>426</v>
      </c>
      <c r="C82" s="27">
        <v>6</v>
      </c>
      <c r="D82" s="39" t="s">
        <v>356</v>
      </c>
      <c r="E82" s="162">
        <f>INDEX('2018 Data Lockdown'!H$5:H$255, MATCH(B82,'2018 Data Lockdown'!B$5:B$255,0))</f>
        <v>398.46987658571351</v>
      </c>
      <c r="F82" s="5">
        <f>INDEX('2018 Data Lockdown'!E$5:E$255,MATCH(B82,'2018 Data Lockdown'!B$5:B$255,0))</f>
        <v>106980.28</v>
      </c>
      <c r="G82" s="5">
        <f>INDEX('2018 Data Lockdown'!F$5:F$255, MATCH(B82,'2018 Data Lockdown'!B$5:B$255,0))</f>
        <v>0</v>
      </c>
      <c r="H82" s="5">
        <f t="shared" si="2"/>
        <v>106980.28</v>
      </c>
      <c r="I82" s="103">
        <f t="shared" si="3"/>
        <v>268.47771007600329</v>
      </c>
      <c r="J82" s="6">
        <f t="shared" si="4"/>
        <v>268.47771007600329</v>
      </c>
      <c r="K82" s="5">
        <f t="shared" si="5"/>
        <v>106980.28</v>
      </c>
      <c r="L82" s="140">
        <f>INDEX('2018 Best Practice Scores'!M$4:M$255,MATCH(B82,'2018 Best Practice Scores'!A$4:A$255,0))</f>
        <v>0.59630654761904767</v>
      </c>
      <c r="M82" s="105">
        <f t="shared" si="6"/>
        <v>23572.793784975187</v>
      </c>
      <c r="N82" s="105">
        <f t="shared" si="7"/>
        <v>22518.452324978451</v>
      </c>
      <c r="O82" s="105">
        <f t="shared" si="8"/>
        <v>4216.9833838962886</v>
      </c>
      <c r="P82" s="105">
        <f t="shared" si="16"/>
        <v>1343.7853784015547</v>
      </c>
      <c r="Q82" s="105">
        <f t="shared" si="9"/>
        <v>51652.014872251479</v>
      </c>
      <c r="R82" s="112">
        <f t="shared" si="10"/>
        <v>0.48281809387909136</v>
      </c>
      <c r="S82" s="175">
        <f t="shared" si="11"/>
        <v>51652.014872251479</v>
      </c>
      <c r="T82" s="105"/>
      <c r="U82" s="105">
        <f>IFERROR(INDEX('Revised 2019 MFAM(2017 PYAs)'!AD$26:AD$270,MATCH(B82,'Revised 2019 MFAM(2017 PYAs)'!B$26:B$270,0)),0)</f>
        <v>726.88515857337916</v>
      </c>
      <c r="V82" s="105">
        <f>IFERROR(INDEX('Revised 2018 MFAM(2016 PYAs)'!AF$26:AF$266,MATCH(B82,'Revised 2018 MFAM(2016 PYAs)'!B$26:B$266,0)),0)</f>
        <v>2578.7306448436429</v>
      </c>
      <c r="W82" s="105">
        <f t="shared" si="12"/>
        <v>1.956807732535476</v>
      </c>
      <c r="X82" s="105">
        <f t="shared" si="13"/>
        <v>3307.5726111495574</v>
      </c>
      <c r="Y82" s="105"/>
      <c r="Z82" s="106">
        <f t="shared" si="14"/>
        <v>54959.587483401039</v>
      </c>
      <c r="AA82" s="107">
        <v>0</v>
      </c>
      <c r="AB82" s="108">
        <f t="shared" si="15"/>
        <v>0</v>
      </c>
      <c r="AC82" s="108">
        <f>IFERROR(INDEX('Revised 2019 MFAM(2017 PYAs)'!AF$26:AF$270,MATCH(B82,'Revised 2019 MFAM(2017 PYAs)'!B$26:B$270,0)),0)</f>
        <v>108.33780080164568</v>
      </c>
      <c r="AD82" s="216">
        <f>AC82/AC$24*('Revised 2019 MFAM(2017 PYAs)'!AF$24-'2020 Funding'!AC$24)</f>
        <v>9.9261187242456875E-2</v>
      </c>
      <c r="AE82" s="105">
        <f t="shared" si="17"/>
        <v>55068.024545389926</v>
      </c>
      <c r="AF82" s="111"/>
      <c r="AG82" s="105">
        <v>14183.440166341672</v>
      </c>
      <c r="AH82" s="214">
        <v>14183.440166341672</v>
      </c>
      <c r="AI82" s="105">
        <v>14183.440166341672</v>
      </c>
      <c r="AJ82" s="105">
        <f t="shared" si="18"/>
        <v>12517.70404636491</v>
      </c>
    </row>
    <row r="83" spans="2:36" x14ac:dyDescent="0.25">
      <c r="B83">
        <v>430</v>
      </c>
      <c r="C83" s="27">
        <v>6</v>
      </c>
      <c r="D83" s="39" t="s">
        <v>357</v>
      </c>
      <c r="E83" s="162">
        <f>INDEX('2018 Data Lockdown'!H$5:H$255, MATCH(B83,'2018 Data Lockdown'!B$5:B$255,0))</f>
        <v>2885.2977142676095</v>
      </c>
      <c r="F83" s="5">
        <f>INDEX('2018 Data Lockdown'!E$5:E$255,MATCH(B83,'2018 Data Lockdown'!B$5:B$255,0))</f>
        <v>1674152.86</v>
      </c>
      <c r="G83" s="5">
        <f>INDEX('2018 Data Lockdown'!F$5:F$255, MATCH(B83,'2018 Data Lockdown'!B$5:B$255,0))</f>
        <v>100</v>
      </c>
      <c r="H83" s="5">
        <f t="shared" si="2"/>
        <v>1674052.86</v>
      </c>
      <c r="I83" s="103">
        <f t="shared" si="3"/>
        <v>580.20108348678116</v>
      </c>
      <c r="J83" s="6">
        <f t="shared" si="4"/>
        <v>580.20108348678116</v>
      </c>
      <c r="K83" s="5">
        <f t="shared" si="5"/>
        <v>1674052.86</v>
      </c>
      <c r="L83" s="140">
        <f>INDEX('2018 Best Practice Scores'!M$4:M$255,MATCH(B83,'2018 Best Practice Scores'!A$4:A$255,0))</f>
        <v>0.64927380952380953</v>
      </c>
      <c r="M83" s="105">
        <f t="shared" si="6"/>
        <v>368872.68246005662</v>
      </c>
      <c r="N83" s="105">
        <f t="shared" si="7"/>
        <v>163054.8325981888</v>
      </c>
      <c r="O83" s="105">
        <f t="shared" si="8"/>
        <v>71849.811531032246</v>
      </c>
      <c r="P83" s="105">
        <f t="shared" si="16"/>
        <v>21027.873136425755</v>
      </c>
      <c r="Q83" s="105">
        <f t="shared" si="9"/>
        <v>624805.19972570334</v>
      </c>
      <c r="R83" s="112">
        <f t="shared" si="10"/>
        <v>0.37322907457396731</v>
      </c>
      <c r="S83" s="175">
        <f t="shared" si="11"/>
        <v>624805.19972570334</v>
      </c>
      <c r="T83" s="105"/>
      <c r="U83" s="105">
        <f>IFERROR(INDEX('Revised 2019 MFAM(2017 PYAs)'!AD$26:AD$270,MATCH(B83,'Revised 2019 MFAM(2017 PYAs)'!B$26:B$270,0)),0)</f>
        <v>9314.3018543955404</v>
      </c>
      <c r="V83" s="105">
        <f>IFERROR(INDEX('Revised 2018 MFAM(2016 PYAs)'!AF$26:AF$266,MATCH(B83,'Revised 2018 MFAM(2016 PYAs)'!B$26:B$266,0)),0)</f>
        <v>2175.7510907493997</v>
      </c>
      <c r="W83" s="105">
        <f t="shared" si="12"/>
        <v>23.670395998597282</v>
      </c>
      <c r="X83" s="105">
        <f t="shared" si="13"/>
        <v>11513.723341143537</v>
      </c>
      <c r="Y83" s="105"/>
      <c r="Z83" s="106">
        <f t="shared" si="14"/>
        <v>636318.92306684691</v>
      </c>
      <c r="AA83" s="107">
        <v>0</v>
      </c>
      <c r="AB83" s="108">
        <f t="shared" si="15"/>
        <v>0</v>
      </c>
      <c r="AC83" s="108">
        <f>IFERROR(INDEX('Revised 2019 MFAM(2017 PYAs)'!AF$26:AF$270,MATCH(B83,'Revised 2019 MFAM(2017 PYAs)'!B$26:B$270,0)),0)</f>
        <v>1197.472035396115</v>
      </c>
      <c r="AD83" s="216">
        <f>AC83/AC$24*('Revised 2019 MFAM(2017 PYAs)'!AF$24-'2020 Funding'!AC$24)</f>
        <v>1.0971470257245073</v>
      </c>
      <c r="AE83" s="105">
        <f t="shared" si="17"/>
        <v>637517.49224926881</v>
      </c>
      <c r="AF83" s="111"/>
      <c r="AG83" s="105">
        <v>164447.45374207472</v>
      </c>
      <c r="AH83" s="214">
        <v>164447.45374207472</v>
      </c>
      <c r="AI83" s="105">
        <v>164447.45374207472</v>
      </c>
      <c r="AJ83" s="105">
        <f t="shared" si="18"/>
        <v>144175.13102304464</v>
      </c>
    </row>
    <row r="84" spans="2:36" x14ac:dyDescent="0.25">
      <c r="B84">
        <v>443</v>
      </c>
      <c r="C84" s="27">
        <v>6</v>
      </c>
      <c r="D84" s="39" t="s">
        <v>358</v>
      </c>
      <c r="E84" s="162">
        <f>INDEX('2018 Data Lockdown'!H$5:H$255, MATCH(B84,'2018 Data Lockdown'!B$5:B$255,0))</f>
        <v>11.627319147048576</v>
      </c>
      <c r="F84" s="5">
        <f>INDEX('2018 Data Lockdown'!E$5:E$255,MATCH(B84,'2018 Data Lockdown'!B$5:B$255,0))</f>
        <v>15830.2</v>
      </c>
      <c r="G84" s="5">
        <f>INDEX('2018 Data Lockdown'!F$5:F$255, MATCH(B84,'2018 Data Lockdown'!B$5:B$255,0))</f>
        <v>0</v>
      </c>
      <c r="H84" s="5">
        <f t="shared" si="2"/>
        <v>15830.2</v>
      </c>
      <c r="I84" s="103">
        <f t="shared" si="3"/>
        <v>1361.4660266737637</v>
      </c>
      <c r="J84" s="6">
        <f t="shared" si="4"/>
        <v>1287.7074365492217</v>
      </c>
      <c r="K84" s="5">
        <f t="shared" si="5"/>
        <v>14972.585332785606</v>
      </c>
      <c r="L84" s="140">
        <f>INDEX('2018 Best Practice Scores'!M$4:M$255,MATCH(B84,'2018 Best Practice Scores'!A$4:A$255,0))</f>
        <v>0.36166071428571428</v>
      </c>
      <c r="M84" s="105">
        <f t="shared" si="6"/>
        <v>3299.1656637812052</v>
      </c>
      <c r="N84" s="105">
        <f t="shared" si="7"/>
        <v>657.08663882852204</v>
      </c>
      <c r="O84" s="105">
        <f t="shared" si="8"/>
        <v>357.95358315300399</v>
      </c>
      <c r="P84" s="105">
        <f t="shared" si="16"/>
        <v>188.07149548558738</v>
      </c>
      <c r="Q84" s="105">
        <f t="shared" si="9"/>
        <v>4502.2773812483192</v>
      </c>
      <c r="R84" s="112">
        <f t="shared" si="10"/>
        <v>0.30070140067190948</v>
      </c>
      <c r="S84" s="175">
        <f t="shared" si="11"/>
        <v>4502.2773812483192</v>
      </c>
      <c r="T84" s="105"/>
      <c r="U84" s="105">
        <f>IFERROR(INDEX('Revised 2019 MFAM(2017 PYAs)'!AD$26:AD$270,MATCH(B84,'Revised 2019 MFAM(2017 PYAs)'!B$26:B$270,0)),0)</f>
        <v>100.85360995959127</v>
      </c>
      <c r="V84" s="105">
        <f>IFERROR(INDEX('Revised 2018 MFAM(2016 PYAs)'!AF$26:AF$266,MATCH(B84,'Revised 2018 MFAM(2016 PYAs)'!B$26:B$266,0)),0)</f>
        <v>-53.626728640278998</v>
      </c>
      <c r="W84" s="105">
        <f t="shared" si="12"/>
        <v>0.17056626378343367</v>
      </c>
      <c r="X84" s="105">
        <f t="shared" si="13"/>
        <v>47.397447583095705</v>
      </c>
      <c r="Y84" s="105"/>
      <c r="Z84" s="106">
        <f t="shared" si="14"/>
        <v>4549.6748288314147</v>
      </c>
      <c r="AA84" s="107">
        <v>0</v>
      </c>
      <c r="AB84" s="108">
        <f t="shared" si="15"/>
        <v>0</v>
      </c>
      <c r="AC84" s="108">
        <f>IFERROR(INDEX('Revised 2019 MFAM(2017 PYAs)'!AF$26:AF$270,MATCH(B84,'Revised 2019 MFAM(2017 PYAs)'!B$26:B$270,0)),0)</f>
        <v>9.4181527940129257</v>
      </c>
      <c r="AD84" s="216">
        <f>AC84/AC$24*('Revised 2019 MFAM(2017 PYAs)'!AF$24-'2020 Funding'!AC$24)</f>
        <v>8.6290936408816646E-3</v>
      </c>
      <c r="AE84" s="105">
        <f t="shared" si="17"/>
        <v>4559.101610719068</v>
      </c>
      <c r="AF84" s="111"/>
      <c r="AG84" s="105">
        <v>1176.1165394717705</v>
      </c>
      <c r="AH84" s="214">
        <v>1176.1165394717705</v>
      </c>
      <c r="AI84" s="105">
        <v>1176.1165394717705</v>
      </c>
      <c r="AJ84" s="105">
        <f t="shared" si="18"/>
        <v>1030.7519923037567</v>
      </c>
    </row>
    <row r="85" spans="2:36" x14ac:dyDescent="0.25">
      <c r="B85">
        <v>562</v>
      </c>
      <c r="C85" s="27">
        <v>6</v>
      </c>
      <c r="D85" s="39" t="s">
        <v>359</v>
      </c>
      <c r="E85" s="162">
        <f>INDEX('2018 Data Lockdown'!H$5:H$255, MATCH(B85,'2018 Data Lockdown'!B$5:B$255,0))</f>
        <v>55.566474597654711</v>
      </c>
      <c r="F85" s="5">
        <f>INDEX('2018 Data Lockdown'!E$5:E$255,MATCH(B85,'2018 Data Lockdown'!B$5:B$255,0))</f>
        <v>47597.599999999999</v>
      </c>
      <c r="G85" s="5">
        <f>INDEX('2018 Data Lockdown'!F$5:F$255, MATCH(B85,'2018 Data Lockdown'!B$5:B$255,0))</f>
        <v>0</v>
      </c>
      <c r="H85" s="5">
        <f t="shared" si="2"/>
        <v>47597.599999999999</v>
      </c>
      <c r="I85" s="103">
        <f t="shared" si="3"/>
        <v>856.58844374497971</v>
      </c>
      <c r="J85" s="6">
        <f t="shared" si="4"/>
        <v>856.58844374497971</v>
      </c>
      <c r="K85" s="5">
        <f t="shared" si="5"/>
        <v>47597.599999999999</v>
      </c>
      <c r="L85" s="140">
        <f>INDEX('2018 Best Practice Scores'!M$4:M$255,MATCH(B85,'2018 Best Practice Scores'!A$4:A$255,0))</f>
        <v>0.43461011904761904</v>
      </c>
      <c r="M85" s="105">
        <f t="shared" si="6"/>
        <v>10487.992828769331</v>
      </c>
      <c r="N85" s="105">
        <f t="shared" si="7"/>
        <v>3140.1897172652575</v>
      </c>
      <c r="O85" s="105">
        <f t="shared" si="8"/>
        <v>1367.4563435646039</v>
      </c>
      <c r="P85" s="105">
        <f t="shared" si="16"/>
        <v>597.87615929782419</v>
      </c>
      <c r="Q85" s="105">
        <f t="shared" si="9"/>
        <v>15593.515048897016</v>
      </c>
      <c r="R85" s="112">
        <f t="shared" si="10"/>
        <v>0.32761137218887121</v>
      </c>
      <c r="S85" s="175">
        <f t="shared" si="11"/>
        <v>15593.515048897016</v>
      </c>
      <c r="T85" s="105"/>
      <c r="U85" s="105">
        <f>IFERROR(INDEX('Revised 2019 MFAM(2017 PYAs)'!AD$26:AD$270,MATCH(B85,'Revised 2019 MFAM(2017 PYAs)'!B$26:B$270,0)),0)</f>
        <v>240.44302856372633</v>
      </c>
      <c r="V85" s="105">
        <f>IFERROR(INDEX('Revised 2018 MFAM(2016 PYAs)'!AF$26:AF$266,MATCH(B85,'Revised 2018 MFAM(2016 PYAs)'!B$26:B$266,0)),0)</f>
        <v>158.12840025196783</v>
      </c>
      <c r="W85" s="105">
        <f t="shared" si="12"/>
        <v>0.59075160766830936</v>
      </c>
      <c r="X85" s="105">
        <f t="shared" si="13"/>
        <v>399.16218042336249</v>
      </c>
      <c r="Y85" s="105"/>
      <c r="Z85" s="106">
        <f t="shared" si="14"/>
        <v>15992.677229320378</v>
      </c>
      <c r="AA85" s="107">
        <v>0</v>
      </c>
      <c r="AB85" s="108">
        <f t="shared" si="15"/>
        <v>0</v>
      </c>
      <c r="AC85" s="108">
        <f>IFERROR(INDEX('Revised 2019 MFAM(2017 PYAs)'!AF$26:AF$270,MATCH(B85,'Revised 2019 MFAM(2017 PYAs)'!B$26:B$270,0)),0)</f>
        <v>28.904071811918822</v>
      </c>
      <c r="AD85" s="216">
        <f>AC85/AC$24*('Revised 2019 MFAM(2017 PYAs)'!AF$24-'2020 Funding'!AC$24)</f>
        <v>2.6482469303998574E-2</v>
      </c>
      <c r="AE85" s="105">
        <f t="shared" si="17"/>
        <v>16021.607783601601</v>
      </c>
      <c r="AF85" s="111"/>
      <c r="AG85" s="105">
        <v>4098.348177054103</v>
      </c>
      <c r="AH85" s="214">
        <v>4098.348177054103</v>
      </c>
      <c r="AI85" s="105">
        <v>4098.348177054103</v>
      </c>
      <c r="AJ85" s="105">
        <f t="shared" si="18"/>
        <v>3726.5632524392913</v>
      </c>
    </row>
    <row r="86" spans="2:36" x14ac:dyDescent="0.25">
      <c r="B86">
        <v>603</v>
      </c>
      <c r="C86" s="27">
        <v>6</v>
      </c>
      <c r="D86" s="39" t="s">
        <v>360</v>
      </c>
      <c r="E86" s="162">
        <f>INDEX('2018 Data Lockdown'!H$5:H$255, MATCH(B86,'2018 Data Lockdown'!B$5:B$255,0))</f>
        <v>109.56634963052151</v>
      </c>
      <c r="F86" s="5">
        <f>INDEX('2018 Data Lockdown'!E$5:E$255,MATCH(B86,'2018 Data Lockdown'!B$5:B$255,0))</f>
        <v>85628.45</v>
      </c>
      <c r="G86" s="5">
        <f>INDEX('2018 Data Lockdown'!F$5:F$255, MATCH(B86,'2018 Data Lockdown'!B$5:B$255,0))</f>
        <v>0</v>
      </c>
      <c r="H86" s="5">
        <f t="shared" si="2"/>
        <v>85628.45</v>
      </c>
      <c r="I86" s="103">
        <f t="shared" si="3"/>
        <v>781.52142778102359</v>
      </c>
      <c r="J86" s="6">
        <f t="shared" si="4"/>
        <v>781.52142778102359</v>
      </c>
      <c r="K86" s="5">
        <f t="shared" si="5"/>
        <v>85628.45</v>
      </c>
      <c r="L86" s="140">
        <f>INDEX('2018 Best Practice Scores'!M$4:M$255,MATCH(B86,'2018 Best Practice Scores'!A$4:A$255,0))</f>
        <v>0.31227827380952378</v>
      </c>
      <c r="M86" s="105">
        <f t="shared" si="6"/>
        <v>18867.980098547683</v>
      </c>
      <c r="N86" s="105">
        <f t="shared" si="7"/>
        <v>6191.8472776852286</v>
      </c>
      <c r="O86" s="105">
        <f t="shared" si="8"/>
        <v>1767.6180766340756</v>
      </c>
      <c r="P86" s="105">
        <f t="shared" si="16"/>
        <v>1075.5838280212822</v>
      </c>
      <c r="Q86" s="105">
        <f t="shared" si="9"/>
        <v>27903.02928088827</v>
      </c>
      <c r="R86" s="112">
        <f t="shared" si="10"/>
        <v>0.32586166491263441</v>
      </c>
      <c r="S86" s="175">
        <f t="shared" si="11"/>
        <v>27903.02928088827</v>
      </c>
      <c r="T86" s="105"/>
      <c r="U86" s="105">
        <f>IFERROR(INDEX('Revised 2019 MFAM(2017 PYAs)'!AD$26:AD$270,MATCH(B86,'Revised 2019 MFAM(2017 PYAs)'!B$26:B$270,0)),0)</f>
        <v>445.47314695065143</v>
      </c>
      <c r="V86" s="105">
        <f>IFERROR(INDEX('Revised 2018 MFAM(2016 PYAs)'!AF$26:AF$266,MATCH(B86,'Revised 2018 MFAM(2016 PYAs)'!B$26:B$266,0)),0)</f>
        <v>591.18714589026422</v>
      </c>
      <c r="W86" s="105">
        <f t="shared" si="12"/>
        <v>1.0570906787091991</v>
      </c>
      <c r="X86" s="105">
        <f t="shared" si="13"/>
        <v>1037.7173835196249</v>
      </c>
      <c r="Y86" s="105"/>
      <c r="Z86" s="106">
        <f t="shared" si="14"/>
        <v>28940.746664407896</v>
      </c>
      <c r="AA86" s="107">
        <v>0</v>
      </c>
      <c r="AB86" s="108">
        <f t="shared" si="15"/>
        <v>0</v>
      </c>
      <c r="AC86" s="108">
        <f>IFERROR(INDEX('Revised 2019 MFAM(2017 PYAs)'!AF$26:AF$270,MATCH(B86,'Revised 2019 MFAM(2017 PYAs)'!B$26:B$270,0)),0)</f>
        <v>54.494750459566305</v>
      </c>
      <c r="AD86" s="216">
        <f>AC86/AC$24*('Revised 2019 MFAM(2017 PYAs)'!AF$24-'2020 Funding'!AC$24)</f>
        <v>4.9929143743665569E-2</v>
      </c>
      <c r="AE86" s="105">
        <f t="shared" si="17"/>
        <v>28995.291344011206</v>
      </c>
      <c r="AF86" s="111"/>
      <c r="AG86" s="105">
        <v>7474.9720690946524</v>
      </c>
      <c r="AH86" s="214">
        <v>7474.9720690946524</v>
      </c>
      <c r="AI86" s="105">
        <v>7474.9720690946524</v>
      </c>
      <c r="AJ86" s="105">
        <f t="shared" si="18"/>
        <v>6570.3751367272489</v>
      </c>
    </row>
    <row r="87" spans="2:36" x14ac:dyDescent="0.25">
      <c r="B87">
        <v>618</v>
      </c>
      <c r="C87" s="27">
        <v>6</v>
      </c>
      <c r="D87" s="39" t="s">
        <v>361</v>
      </c>
      <c r="E87" s="162">
        <f>INDEX('2018 Data Lockdown'!H$5:H$255, MATCH(B87,'2018 Data Lockdown'!B$5:B$255,0))</f>
        <v>22.913731248399976</v>
      </c>
      <c r="F87" s="5">
        <f>INDEX('2018 Data Lockdown'!E$5:E$255,MATCH(B87,'2018 Data Lockdown'!B$5:B$255,0))</f>
        <v>16335.8</v>
      </c>
      <c r="G87" s="5">
        <f>INDEX('2018 Data Lockdown'!F$5:F$255, MATCH(B87,'2018 Data Lockdown'!B$5:B$255,0))</f>
        <v>0</v>
      </c>
      <c r="H87" s="5">
        <f t="shared" si="2"/>
        <v>16335.8</v>
      </c>
      <c r="I87" s="103">
        <f t="shared" si="3"/>
        <v>712.9262285094095</v>
      </c>
      <c r="J87" s="6">
        <f t="shared" si="4"/>
        <v>712.9262285094095</v>
      </c>
      <c r="K87" s="5">
        <f t="shared" si="5"/>
        <v>16335.8</v>
      </c>
      <c r="L87" s="140">
        <f>INDEX('2018 Best Practice Scores'!M$4:M$255,MATCH(B87,'2018 Best Practice Scores'!A$4:A$255,0))</f>
        <v>0.26351785714285714</v>
      </c>
      <c r="M87" s="105">
        <f t="shared" si="6"/>
        <v>3599.5460538390598</v>
      </c>
      <c r="N87" s="105">
        <f t="shared" si="7"/>
        <v>1294.9078337505714</v>
      </c>
      <c r="O87" s="105">
        <f t="shared" si="8"/>
        <v>284.56339883840894</v>
      </c>
      <c r="P87" s="105">
        <f t="shared" si="16"/>
        <v>205.19491241275605</v>
      </c>
      <c r="Q87" s="105">
        <f t="shared" si="9"/>
        <v>5384.2121988407962</v>
      </c>
      <c r="R87" s="112">
        <f t="shared" si="10"/>
        <v>0.32959586912430344</v>
      </c>
      <c r="S87" s="175">
        <f t="shared" si="11"/>
        <v>5384.2121988407962</v>
      </c>
      <c r="T87" s="105"/>
      <c r="U87" s="105">
        <f>IFERROR(INDEX('Revised 2019 MFAM(2017 PYAs)'!AD$26:AD$270,MATCH(B87,'Revised 2019 MFAM(2017 PYAs)'!B$26:B$270,0)),0)</f>
        <v>77.415192938902692</v>
      </c>
      <c r="V87" s="105">
        <f>IFERROR(INDEX('Revised 2018 MFAM(2016 PYAs)'!AF$26:AF$266,MATCH(B87,'Revised 2018 MFAM(2016 PYAs)'!B$26:B$266,0)),0)</f>
        <v>107.18188553844084</v>
      </c>
      <c r="W87" s="105">
        <f t="shared" si="12"/>
        <v>0.20397787173184587</v>
      </c>
      <c r="X87" s="105">
        <f t="shared" si="13"/>
        <v>184.80105634907537</v>
      </c>
      <c r="Y87" s="105"/>
      <c r="Z87" s="106">
        <f t="shared" si="14"/>
        <v>5569.0132551898714</v>
      </c>
      <c r="AA87" s="107">
        <v>0</v>
      </c>
      <c r="AB87" s="108">
        <f t="shared" si="15"/>
        <v>0</v>
      </c>
      <c r="AC87" s="108">
        <f>IFERROR(INDEX('Revised 2019 MFAM(2017 PYAs)'!AF$26:AF$270,MATCH(B87,'Revised 2019 MFAM(2017 PYAs)'!B$26:B$270,0)),0)</f>
        <v>9.8156613690959151</v>
      </c>
      <c r="AD87" s="216">
        <f>AC87/AC$24*('Revised 2019 MFAM(2017 PYAs)'!AF$24-'2020 Funding'!AC$24)</f>
        <v>8.9932986811338336E-3</v>
      </c>
      <c r="AE87" s="105">
        <f t="shared" si="17"/>
        <v>5578.8379098576488</v>
      </c>
      <c r="AF87" s="111"/>
      <c r="AG87" s="105">
        <v>1438.5214829136539</v>
      </c>
      <c r="AH87" s="214">
        <v>1438.5214829136539</v>
      </c>
      <c r="AI87" s="105">
        <v>1438.5214829136539</v>
      </c>
      <c r="AJ87" s="105">
        <f t="shared" si="18"/>
        <v>1263.273461116687</v>
      </c>
    </row>
    <row r="88" spans="2:36" x14ac:dyDescent="0.25">
      <c r="B88">
        <v>620</v>
      </c>
      <c r="C88" s="27">
        <v>6</v>
      </c>
      <c r="D88" s="39" t="s">
        <v>362</v>
      </c>
      <c r="E88" s="162">
        <f>INDEX('2018 Data Lockdown'!H$5:H$255, MATCH(B88,'2018 Data Lockdown'!B$5:B$255,0))</f>
        <v>247.11841445539267</v>
      </c>
      <c r="F88" s="5">
        <f>INDEX('2018 Data Lockdown'!E$5:E$255,MATCH(B88,'2018 Data Lockdown'!B$5:B$255,0))</f>
        <v>118610.13</v>
      </c>
      <c r="G88" s="5">
        <f>INDEX('2018 Data Lockdown'!F$5:F$255, MATCH(B88,'2018 Data Lockdown'!B$5:B$255,0))</f>
        <v>0</v>
      </c>
      <c r="H88" s="5">
        <f t="shared" si="2"/>
        <v>118610.13</v>
      </c>
      <c r="I88" s="103">
        <f t="shared" si="3"/>
        <v>479.97285132067856</v>
      </c>
      <c r="J88" s="6">
        <f t="shared" si="4"/>
        <v>479.97285132067856</v>
      </c>
      <c r="K88" s="5">
        <f t="shared" si="5"/>
        <v>118610.13</v>
      </c>
      <c r="L88" s="140">
        <f>INDEX('2018 Best Practice Scores'!M$4:M$255,MATCH(B88,'2018 Best Practice Scores'!A$4:A$255,0))</f>
        <v>0.51505357142857144</v>
      </c>
      <c r="M88" s="105">
        <f t="shared" si="6"/>
        <v>26135.397433051206</v>
      </c>
      <c r="N88" s="105">
        <f t="shared" si="7"/>
        <v>13965.23190716279</v>
      </c>
      <c r="O88" s="105">
        <f t="shared" si="8"/>
        <v>4038.3389365794424</v>
      </c>
      <c r="P88" s="105">
        <f t="shared" si="16"/>
        <v>1489.8685853533718</v>
      </c>
      <c r="Q88" s="105">
        <f t="shared" si="9"/>
        <v>45628.836862146818</v>
      </c>
      <c r="R88" s="112">
        <f t="shared" si="10"/>
        <v>0.38469595187313949</v>
      </c>
      <c r="S88" s="175">
        <f t="shared" si="11"/>
        <v>45628.836862146818</v>
      </c>
      <c r="T88" s="105"/>
      <c r="U88" s="105">
        <f>IFERROR(INDEX('Revised 2019 MFAM(2017 PYAs)'!AD$26:AD$270,MATCH(B88,'Revised 2019 MFAM(2017 PYAs)'!B$26:B$270,0)),0)</f>
        <v>627.17890146574791</v>
      </c>
      <c r="V88" s="105">
        <f>IFERROR(INDEX('Revised 2018 MFAM(2016 PYAs)'!AF$26:AF$266,MATCH(B88,'Revised 2018 MFAM(2016 PYAs)'!B$26:B$266,0)),0)</f>
        <v>775.62526918030198</v>
      </c>
      <c r="W88" s="105">
        <f t="shared" si="12"/>
        <v>1.728622997946502</v>
      </c>
      <c r="X88" s="105">
        <f t="shared" si="13"/>
        <v>1404.5327936439965</v>
      </c>
      <c r="Y88" s="105"/>
      <c r="Z88" s="106">
        <f t="shared" si="14"/>
        <v>47033.369655790812</v>
      </c>
      <c r="AA88" s="107">
        <v>0</v>
      </c>
      <c r="AB88" s="108">
        <f t="shared" si="15"/>
        <v>0</v>
      </c>
      <c r="AC88" s="108">
        <f>IFERROR(INDEX('Revised 2019 MFAM(2017 PYAs)'!AF$26:AF$270,MATCH(B88,'Revised 2019 MFAM(2017 PYAs)'!B$26:B$270,0)),0)</f>
        <v>85.690954492787654</v>
      </c>
      <c r="AD88" s="216">
        <f>AC88/AC$24*('Revised 2019 MFAM(2017 PYAs)'!AF$24-'2020 Funding'!AC$24)</f>
        <v>7.8511708895278226E-2</v>
      </c>
      <c r="AE88" s="105">
        <f t="shared" si="17"/>
        <v>47119.139121992499</v>
      </c>
      <c r="AF88" s="111"/>
      <c r="AG88" s="105">
        <v>12150.318010556328</v>
      </c>
      <c r="AH88" s="214">
        <v>12150.318010556328</v>
      </c>
      <c r="AI88" s="105">
        <v>12150.318010556328</v>
      </c>
      <c r="AJ88" s="105">
        <f t="shared" si="18"/>
        <v>10668.185090323512</v>
      </c>
    </row>
    <row r="89" spans="2:36" x14ac:dyDescent="0.25">
      <c r="B89">
        <v>622</v>
      </c>
      <c r="C89" s="27">
        <v>6</v>
      </c>
      <c r="D89" s="39" t="s">
        <v>363</v>
      </c>
      <c r="E89" s="162">
        <f>INDEX('2018 Data Lockdown'!H$5:H$255, MATCH(B89,'2018 Data Lockdown'!B$5:B$255,0))</f>
        <v>117.76088798616892</v>
      </c>
      <c r="F89" s="5">
        <f>INDEX('2018 Data Lockdown'!E$5:E$255,MATCH(B89,'2018 Data Lockdown'!B$5:B$255,0))</f>
        <v>80933.14</v>
      </c>
      <c r="G89" s="5">
        <f>INDEX('2018 Data Lockdown'!F$5:F$255, MATCH(B89,'2018 Data Lockdown'!B$5:B$255,0))</f>
        <v>715</v>
      </c>
      <c r="H89" s="5">
        <f t="shared" si="2"/>
        <v>80218.14</v>
      </c>
      <c r="I89" s="103">
        <f t="shared" si="3"/>
        <v>681.19510112238333</v>
      </c>
      <c r="J89" s="6">
        <f t="shared" si="4"/>
        <v>681.19510112238333</v>
      </c>
      <c r="K89" s="5">
        <f t="shared" si="5"/>
        <v>80218.14</v>
      </c>
      <c r="L89" s="140">
        <f>INDEX('2018 Best Practice Scores'!M$4:M$255,MATCH(B89,'2018 Best Practice Scores'!A$4:A$255,0))</f>
        <v>0.36095238095238091</v>
      </c>
      <c r="M89" s="105">
        <f t="shared" si="6"/>
        <v>17675.834013841333</v>
      </c>
      <c r="N89" s="105">
        <f t="shared" si="7"/>
        <v>6654.9395517310932</v>
      </c>
      <c r="O89" s="105">
        <f t="shared" si="8"/>
        <v>1914.0403117845324</v>
      </c>
      <c r="P89" s="105">
        <f t="shared" si="16"/>
        <v>1007.6246165608176</v>
      </c>
      <c r="Q89" s="105">
        <f t="shared" si="9"/>
        <v>27252.438493917773</v>
      </c>
      <c r="R89" s="112">
        <f t="shared" si="10"/>
        <v>0.33972912478297018</v>
      </c>
      <c r="S89" s="175">
        <f t="shared" si="11"/>
        <v>27252.438493917773</v>
      </c>
      <c r="T89" s="105"/>
      <c r="U89" s="105">
        <f>IFERROR(INDEX('Revised 2019 MFAM(2017 PYAs)'!AD$26:AD$270,MATCH(B89,'Revised 2019 MFAM(2017 PYAs)'!B$26:B$270,0)),0)</f>
        <v>414.33320093505972</v>
      </c>
      <c r="V89" s="105">
        <f>IFERROR(INDEX('Revised 2018 MFAM(2016 PYAs)'!AF$26:AF$266,MATCH(B89,'Revised 2018 MFAM(2016 PYAs)'!B$26:B$266,0)),0)</f>
        <v>529.52840987966556</v>
      </c>
      <c r="W89" s="105">
        <f t="shared" si="12"/>
        <v>1.0324434101407056</v>
      </c>
      <c r="X89" s="105">
        <f t="shared" si="13"/>
        <v>944.89405422486595</v>
      </c>
      <c r="Y89" s="105"/>
      <c r="Z89" s="106">
        <f t="shared" si="14"/>
        <v>28197.33254814264</v>
      </c>
      <c r="AA89" s="107">
        <v>0</v>
      </c>
      <c r="AB89" s="108">
        <f t="shared" si="15"/>
        <v>0</v>
      </c>
      <c r="AC89" s="108">
        <f>IFERROR(INDEX('Revised 2019 MFAM(2017 PYAs)'!AF$26:AF$270,MATCH(B89,'Revised 2019 MFAM(2017 PYAs)'!B$26:B$270,0)),0)</f>
        <v>52.928109382094</v>
      </c>
      <c r="AD89" s="216">
        <f>AC89/AC$24*('Revised 2019 MFAM(2017 PYAs)'!AF$24-'2020 Funding'!AC$24)</f>
        <v>4.8493756905627211E-2</v>
      </c>
      <c r="AE89" s="105">
        <f t="shared" si="17"/>
        <v>28250.309151281639</v>
      </c>
      <c r="AF89" s="111"/>
      <c r="AG89" s="105">
        <v>7283.5058333499428</v>
      </c>
      <c r="AH89" s="214">
        <v>7283.5058333499428</v>
      </c>
      <c r="AI89" s="105">
        <v>7283.5058333499428</v>
      </c>
      <c r="AJ89" s="105">
        <f t="shared" si="18"/>
        <v>6399.7916512318088</v>
      </c>
    </row>
    <row r="90" spans="2:36" x14ac:dyDescent="0.25">
      <c r="B90">
        <v>623</v>
      </c>
      <c r="C90" s="27">
        <v>6</v>
      </c>
      <c r="D90" s="39" t="s">
        <v>364</v>
      </c>
      <c r="E90" s="162">
        <f>INDEX('2018 Data Lockdown'!H$5:H$255, MATCH(B90,'2018 Data Lockdown'!B$5:B$255,0))</f>
        <v>238.88534218865161</v>
      </c>
      <c r="F90" s="5">
        <f>INDEX('2018 Data Lockdown'!E$5:E$255,MATCH(B90,'2018 Data Lockdown'!B$5:B$255,0))</f>
        <v>85871.33</v>
      </c>
      <c r="G90" s="5">
        <f>INDEX('2018 Data Lockdown'!F$5:F$255, MATCH(B90,'2018 Data Lockdown'!B$5:B$255,0))</f>
        <v>0</v>
      </c>
      <c r="H90" s="5">
        <f t="shared" ref="H90:H153" si="19">F90-G90</f>
        <v>85871.33</v>
      </c>
      <c r="I90" s="103">
        <f t="shared" ref="I90:I153" si="20">IFERROR(H90/E90,"n.a.")</f>
        <v>359.4667182726767</v>
      </c>
      <c r="J90" s="6">
        <f t="shared" ref="J90:J153" si="21">MIN(I90,INDEX($N$3:$N$11,MATCH(C90,$K$3:$K$11,0)))</f>
        <v>359.4667182726767</v>
      </c>
      <c r="K90" s="5">
        <f t="shared" ref="K90:K153" si="22">E90*J90</f>
        <v>85871.33</v>
      </c>
      <c r="L90" s="140">
        <f>INDEX('2018 Best Practice Scores'!M$4:M$255,MATCH(B90,'2018 Best Practice Scores'!A$4:A$255,0))</f>
        <v>0.43836607142857142</v>
      </c>
      <c r="M90" s="105">
        <f t="shared" ref="M90:M153" si="23">$E$14*(K90/$K$24)</f>
        <v>18921.498000674084</v>
      </c>
      <c r="N90" s="105">
        <f t="shared" ref="N90:N153" si="24">$E$15*(E90/$E$24)</f>
        <v>13499.961992871462</v>
      </c>
      <c r="O90" s="105">
        <f t="shared" ref="O90:O153" si="25">IFERROR(L90*$E$16*(K90/$K$24),0)</f>
        <v>2488.3628232297197</v>
      </c>
      <c r="P90" s="105">
        <f t="shared" ref="P90:P153" si="26">($O$23+$E$9)*(K90/$K$24)</f>
        <v>1078.6346575078583</v>
      </c>
      <c r="Q90" s="105">
        <f t="shared" ref="Q90:Q153" si="27">M90+N90+O90+P90</f>
        <v>35988.457474283125</v>
      </c>
      <c r="R90" s="112">
        <f t="shared" ref="R90:R153" si="28">IFERROR((Q90/K90),0)</f>
        <v>0.41909747379344331</v>
      </c>
      <c r="S90" s="175">
        <f t="shared" ref="S90:S153" si="29">IF(R90&gt;$R$19,$R$19*K90,Q90+($R$23*Q90/$R$22))</f>
        <v>35988.457474283125</v>
      </c>
      <c r="T90" s="105"/>
      <c r="U90" s="105">
        <f>IFERROR(INDEX('Revised 2019 MFAM(2017 PYAs)'!AD$26:AD$270,MATCH(B90,'Revised 2019 MFAM(2017 PYAs)'!B$26:B$270,0)),0)</f>
        <v>488.4619529962074</v>
      </c>
      <c r="V90" s="105">
        <f>IFERROR(INDEX('Revised 2018 MFAM(2016 PYAs)'!AF$26:AF$266,MATCH(B90,'Revised 2018 MFAM(2016 PYAs)'!B$26:B$266,0)),0)</f>
        <v>1058.4149188243537</v>
      </c>
      <c r="W90" s="105">
        <f t="shared" ref="W90:W153" si="30">-$W$22*(S90/$E$17)</f>
        <v>1.3634026095956571</v>
      </c>
      <c r="X90" s="105">
        <f t="shared" ref="X90:X153" si="31">SUM(U90:W90)</f>
        <v>1548.2402744301567</v>
      </c>
      <c r="Y90" s="105"/>
      <c r="Z90" s="106">
        <f t="shared" ref="Z90:Z153" si="32">S90+X90</f>
        <v>37536.697748713283</v>
      </c>
      <c r="AA90" s="107">
        <v>0</v>
      </c>
      <c r="AB90" s="108">
        <f t="shared" ref="AB90:AB153" si="33">-$AA$24*AA90*Z90</f>
        <v>0</v>
      </c>
      <c r="AC90" s="108">
        <f>IFERROR(INDEX('Revised 2019 MFAM(2017 PYAs)'!AF$26:AF$270,MATCH(B90,'Revised 2019 MFAM(2017 PYAs)'!B$26:B$270,0)),0)</f>
        <v>69.434939647816549</v>
      </c>
      <c r="AD90" s="216">
        <f>AC90/AC$24*('Revised 2019 MFAM(2017 PYAs)'!AF$24-'2020 Funding'!AC$24)</f>
        <v>6.3617633868804882E-2</v>
      </c>
      <c r="AE90" s="105">
        <f t="shared" si="17"/>
        <v>37606.196305994963</v>
      </c>
      <c r="AF90" s="111"/>
      <c r="AG90" s="105">
        <v>9632.264990793552</v>
      </c>
      <c r="AH90" s="214">
        <v>9632.264990793552</v>
      </c>
      <c r="AI90" s="105">
        <v>9632.264990793552</v>
      </c>
      <c r="AJ90" s="105">
        <f t="shared" si="18"/>
        <v>8709.4013336143071</v>
      </c>
    </row>
    <row r="91" spans="2:36" x14ac:dyDescent="0.25">
      <c r="B91">
        <v>626</v>
      </c>
      <c r="C91" s="27">
        <v>6</v>
      </c>
      <c r="D91" s="39" t="s">
        <v>365</v>
      </c>
      <c r="E91" s="162">
        <f>INDEX('2018 Data Lockdown'!H$5:H$255, MATCH(B91,'2018 Data Lockdown'!B$5:B$255,0))</f>
        <v>22.444815850951411</v>
      </c>
      <c r="F91" s="5">
        <f>INDEX('2018 Data Lockdown'!E$5:E$255,MATCH(B91,'2018 Data Lockdown'!B$5:B$255,0))</f>
        <v>17594.09</v>
      </c>
      <c r="G91" s="5">
        <f>INDEX('2018 Data Lockdown'!F$5:F$255, MATCH(B91,'2018 Data Lockdown'!B$5:B$255,0))</f>
        <v>0</v>
      </c>
      <c r="H91" s="5">
        <f t="shared" si="19"/>
        <v>17594.09</v>
      </c>
      <c r="I91" s="103">
        <f t="shared" si="20"/>
        <v>783.88212747373495</v>
      </c>
      <c r="J91" s="6">
        <f t="shared" si="21"/>
        <v>783.88212747373495</v>
      </c>
      <c r="K91" s="5">
        <f t="shared" si="22"/>
        <v>17594.09</v>
      </c>
      <c r="L91" s="140">
        <f>INDEX('2018 Best Practice Scores'!M$4:M$255,MATCH(B91,'2018 Best Practice Scores'!A$4:A$255,0))</f>
        <v>0.18083928571428573</v>
      </c>
      <c r="M91" s="105">
        <f t="shared" si="23"/>
        <v>3876.8065984150917</v>
      </c>
      <c r="N91" s="105">
        <f t="shared" si="24"/>
        <v>1268.4083424656324</v>
      </c>
      <c r="O91" s="105">
        <f t="shared" si="25"/>
        <v>210.32368083294446</v>
      </c>
      <c r="P91" s="105">
        <f t="shared" si="26"/>
        <v>221.00036463057498</v>
      </c>
      <c r="Q91" s="105">
        <f t="shared" si="27"/>
        <v>5576.5389863442433</v>
      </c>
      <c r="R91" s="112">
        <f t="shared" si="28"/>
        <v>0.3169552381705586</v>
      </c>
      <c r="S91" s="175">
        <f t="shared" si="29"/>
        <v>5576.5389863442433</v>
      </c>
      <c r="T91" s="105"/>
      <c r="U91" s="105">
        <f>IFERROR(INDEX('Revised 2019 MFAM(2017 PYAs)'!AD$26:AD$270,MATCH(B91,'Revised 2019 MFAM(2017 PYAs)'!B$26:B$270,0)),0)</f>
        <v>91.676307386978806</v>
      </c>
      <c r="V91" s="105">
        <f>IFERROR(INDEX('Revised 2018 MFAM(2016 PYAs)'!AF$26:AF$266,MATCH(B91,'Revised 2018 MFAM(2016 PYAs)'!B$26:B$266,0)),0)</f>
        <v>9.6626812058120777</v>
      </c>
      <c r="W91" s="105">
        <f t="shared" si="30"/>
        <v>0.21126406464980371</v>
      </c>
      <c r="X91" s="105">
        <f t="shared" si="31"/>
        <v>101.55025265744069</v>
      </c>
      <c r="Y91" s="105"/>
      <c r="Z91" s="106">
        <f t="shared" si="32"/>
        <v>5678.0892390016843</v>
      </c>
      <c r="AA91" s="107">
        <v>0</v>
      </c>
      <c r="AB91" s="108">
        <f t="shared" si="33"/>
        <v>0</v>
      </c>
      <c r="AC91" s="108">
        <f>IFERROR(INDEX('Revised 2019 MFAM(2017 PYAs)'!AF$26:AF$270,MATCH(B91,'Revised 2019 MFAM(2017 PYAs)'!B$26:B$270,0)),0)</f>
        <v>11.512290084955568</v>
      </c>
      <c r="AD91" s="216">
        <f>AC91/AC$24*('Revised 2019 MFAM(2017 PYAs)'!AF$24-'2020 Funding'!AC$24)</f>
        <v>1.0547782706097686E-2</v>
      </c>
      <c r="AE91" s="105">
        <f t="shared" ref="AE91:AE154" si="34">Z91+AB91+AC91+AD91</f>
        <v>5689.6120768693463</v>
      </c>
      <c r="AF91" s="111"/>
      <c r="AG91" s="105">
        <v>1467.4475177835161</v>
      </c>
      <c r="AH91" s="214">
        <v>1467.4475177835161</v>
      </c>
      <c r="AI91" s="105">
        <v>1467.4475177835161</v>
      </c>
      <c r="AJ91" s="105">
        <f t="shared" ref="AJ91:AJ154" si="35">AE91-AG91-AH91-AI91</f>
        <v>1287.2695235187975</v>
      </c>
    </row>
    <row r="92" spans="2:36" x14ac:dyDescent="0.25">
      <c r="B92">
        <v>627</v>
      </c>
      <c r="C92" s="27">
        <v>6</v>
      </c>
      <c r="D92" s="39" t="s">
        <v>366</v>
      </c>
      <c r="E92" s="162">
        <f>INDEX('2018 Data Lockdown'!H$5:H$255, MATCH(B92,'2018 Data Lockdown'!B$5:B$255,0))</f>
        <v>172.58791907246243</v>
      </c>
      <c r="F92" s="5">
        <f>INDEX('2018 Data Lockdown'!E$5:E$255,MATCH(B92,'2018 Data Lockdown'!B$5:B$255,0))</f>
        <v>78681.460000000006</v>
      </c>
      <c r="G92" s="5">
        <f>INDEX('2018 Data Lockdown'!F$5:F$255, MATCH(B92,'2018 Data Lockdown'!B$5:B$255,0))</f>
        <v>0</v>
      </c>
      <c r="H92" s="5">
        <f t="shared" si="19"/>
        <v>78681.460000000006</v>
      </c>
      <c r="I92" s="103">
        <f t="shared" si="20"/>
        <v>455.89204866051466</v>
      </c>
      <c r="J92" s="6">
        <f t="shared" si="21"/>
        <v>455.89204866051466</v>
      </c>
      <c r="K92" s="5">
        <f t="shared" si="22"/>
        <v>78681.460000000006</v>
      </c>
      <c r="L92" s="140">
        <f>INDEX('2018 Best Practice Scores'!M$4:M$255,MATCH(B92,'2018 Best Practice Scores'!A$4:A$255,0))</f>
        <v>0.30555357142857142</v>
      </c>
      <c r="M92" s="105">
        <f t="shared" si="23"/>
        <v>17337.231041840369</v>
      </c>
      <c r="N92" s="105">
        <f t="shared" si="24"/>
        <v>9753.3416096624078</v>
      </c>
      <c r="O92" s="105">
        <f t="shared" si="25"/>
        <v>1589.235859054985</v>
      </c>
      <c r="P92" s="105">
        <f t="shared" si="26"/>
        <v>988.32229172784753</v>
      </c>
      <c r="Q92" s="105">
        <f t="shared" si="27"/>
        <v>29668.13080228561</v>
      </c>
      <c r="R92" s="112">
        <f t="shared" si="28"/>
        <v>0.37706634831490937</v>
      </c>
      <c r="S92" s="175">
        <f t="shared" si="29"/>
        <v>29668.13080228561</v>
      </c>
      <c r="T92" s="105"/>
      <c r="U92" s="105">
        <f>IFERROR(INDEX('Revised 2019 MFAM(2017 PYAs)'!AD$26:AD$270,MATCH(B92,'Revised 2019 MFAM(2017 PYAs)'!B$26:B$270,0)),0)</f>
        <v>402.35452788767361</v>
      </c>
      <c r="V92" s="105">
        <f>IFERROR(INDEX('Revised 2018 MFAM(2016 PYAs)'!AF$26:AF$266,MATCH(B92,'Revised 2018 MFAM(2016 PYAs)'!B$26:B$266,0)),0)</f>
        <v>513.46552257840449</v>
      </c>
      <c r="W92" s="105">
        <f t="shared" si="30"/>
        <v>1.123960563927094</v>
      </c>
      <c r="X92" s="105">
        <f t="shared" si="31"/>
        <v>916.94401103000519</v>
      </c>
      <c r="Y92" s="105"/>
      <c r="Z92" s="106">
        <f t="shared" si="32"/>
        <v>30585.074813315616</v>
      </c>
      <c r="AA92" s="107">
        <v>0</v>
      </c>
      <c r="AB92" s="108">
        <f t="shared" si="33"/>
        <v>0</v>
      </c>
      <c r="AC92" s="108">
        <f>IFERROR(INDEX('Revised 2019 MFAM(2017 PYAs)'!AF$26:AF$270,MATCH(B92,'Revised 2019 MFAM(2017 PYAs)'!B$26:B$270,0)),0)</f>
        <v>57.009414132552521</v>
      </c>
      <c r="AD92" s="216">
        <f>AC92/AC$24*('Revised 2019 MFAM(2017 PYAs)'!AF$24-'2020 Funding'!AC$24)</f>
        <v>5.2233127208800641E-2</v>
      </c>
      <c r="AE92" s="105">
        <f t="shared" si="34"/>
        <v>30642.136460575377</v>
      </c>
      <c r="AF92" s="111"/>
      <c r="AG92" s="105">
        <v>7901.1434613482552</v>
      </c>
      <c r="AH92" s="214">
        <v>7901.1434613482552</v>
      </c>
      <c r="AI92" s="105">
        <v>7901.1434613482552</v>
      </c>
      <c r="AJ92" s="105">
        <f t="shared" si="35"/>
        <v>6938.7060765306096</v>
      </c>
    </row>
    <row r="93" spans="2:36" x14ac:dyDescent="0.25">
      <c r="B93">
        <v>634</v>
      </c>
      <c r="C93" s="27">
        <v>6</v>
      </c>
      <c r="D93" s="39" t="s">
        <v>367</v>
      </c>
      <c r="E93" s="162">
        <f>INDEX('2018 Data Lockdown'!H$5:H$255, MATCH(B93,'2018 Data Lockdown'!B$5:B$255,0))</f>
        <v>648.63374679368712</v>
      </c>
      <c r="F93" s="5">
        <f>INDEX('2018 Data Lockdown'!E$5:E$255,MATCH(B93,'2018 Data Lockdown'!B$5:B$255,0))</f>
        <v>582665.36</v>
      </c>
      <c r="G93" s="5">
        <f>INDEX('2018 Data Lockdown'!F$5:F$255, MATCH(B93,'2018 Data Lockdown'!B$5:B$255,0))</f>
        <v>0</v>
      </c>
      <c r="H93" s="5">
        <f t="shared" si="19"/>
        <v>582665.36</v>
      </c>
      <c r="I93" s="103">
        <f t="shared" si="20"/>
        <v>898.29640051912088</v>
      </c>
      <c r="J93" s="6">
        <f t="shared" si="21"/>
        <v>898.29640051912088</v>
      </c>
      <c r="K93" s="5">
        <f t="shared" si="22"/>
        <v>582665.36</v>
      </c>
      <c r="L93" s="140">
        <f>INDEX('2018 Best Practice Scores'!M$4:M$255,MATCH(B93,'2018 Best Practice Scores'!A$4:A$255,0))</f>
        <v>0.77350595238095232</v>
      </c>
      <c r="M93" s="105">
        <f t="shared" si="23"/>
        <v>128388.61869615904</v>
      </c>
      <c r="N93" s="105">
        <f t="shared" si="24"/>
        <v>36655.789965101394</v>
      </c>
      <c r="O93" s="105">
        <f t="shared" si="25"/>
        <v>29792.808233834232</v>
      </c>
      <c r="P93" s="105">
        <f t="shared" si="26"/>
        <v>7318.8927087223747</v>
      </c>
      <c r="Q93" s="105">
        <f t="shared" si="27"/>
        <v>202156.10960381705</v>
      </c>
      <c r="R93" s="112">
        <f t="shared" si="28"/>
        <v>0.34695062291641476</v>
      </c>
      <c r="S93" s="175">
        <f t="shared" si="29"/>
        <v>202156.10960381705</v>
      </c>
      <c r="T93" s="105"/>
      <c r="U93" s="105">
        <f>IFERROR(INDEX('Revised 2019 MFAM(2017 PYAs)'!AD$26:AD$270,MATCH(B93,'Revised 2019 MFAM(2017 PYAs)'!B$26:B$270,0)),0)</f>
        <v>3389.8536052046111</v>
      </c>
      <c r="V93" s="105">
        <f>IFERROR(INDEX('Revised 2018 MFAM(2016 PYAs)'!AF$26:AF$266,MATCH(B93,'Revised 2018 MFAM(2016 PYAs)'!B$26:B$266,0)),0)</f>
        <v>892.24569484064705</v>
      </c>
      <c r="W93" s="105">
        <f t="shared" si="30"/>
        <v>7.6585712954356095</v>
      </c>
      <c r="X93" s="105">
        <f t="shared" si="31"/>
        <v>4289.7578713406938</v>
      </c>
      <c r="Y93" s="105"/>
      <c r="Z93" s="106">
        <f t="shared" si="32"/>
        <v>206445.86747515775</v>
      </c>
      <c r="AA93" s="107">
        <v>0</v>
      </c>
      <c r="AB93" s="108">
        <f t="shared" si="33"/>
        <v>0</v>
      </c>
      <c r="AC93" s="108">
        <f>IFERROR(INDEX('Revised 2019 MFAM(2017 PYAs)'!AF$26:AF$270,MATCH(B93,'Revised 2019 MFAM(2017 PYAs)'!B$26:B$270,0)),0)</f>
        <v>394.25681598545827</v>
      </c>
      <c r="AD93" s="216">
        <f>AC93/AC$24*('Revised 2019 MFAM(2017 PYAs)'!AF$24-'2020 Funding'!AC$24)</f>
        <v>0.36122571571115897</v>
      </c>
      <c r="AE93" s="105">
        <f t="shared" si="34"/>
        <v>206840.48551685893</v>
      </c>
      <c r="AF93" s="111"/>
      <c r="AG93" s="105">
        <v>53348.45939752784</v>
      </c>
      <c r="AH93" s="214">
        <v>53348.45939752784</v>
      </c>
      <c r="AI93" s="105">
        <v>53348.45939752784</v>
      </c>
      <c r="AJ93" s="105">
        <f t="shared" si="35"/>
        <v>46795.107324275392</v>
      </c>
    </row>
    <row r="94" spans="2:36" x14ac:dyDescent="0.25">
      <c r="B94">
        <v>636</v>
      </c>
      <c r="C94" s="27">
        <v>6</v>
      </c>
      <c r="D94" s="39" t="s">
        <v>558</v>
      </c>
      <c r="E94" s="162">
        <f>INDEX('2018 Data Lockdown'!H$5:H$255, MATCH(B94,'2018 Data Lockdown'!B$5:B$255,0))</f>
        <v>72.113777565310741</v>
      </c>
      <c r="F94" s="5">
        <f>INDEX('2018 Data Lockdown'!E$5:E$255,MATCH(B94,'2018 Data Lockdown'!B$5:B$255,0))</f>
        <v>74827.44</v>
      </c>
      <c r="G94" s="5">
        <f>INDEX('2018 Data Lockdown'!F$5:F$255, MATCH(B94,'2018 Data Lockdown'!B$5:B$255,0))</f>
        <v>76212</v>
      </c>
      <c r="H94" s="5">
        <f t="shared" si="19"/>
        <v>-1384.5599999999977</v>
      </c>
      <c r="I94" s="103">
        <f t="shared" si="20"/>
        <v>-19.199659853431665</v>
      </c>
      <c r="J94" s="6">
        <f t="shared" si="21"/>
        <v>-19.199659853431665</v>
      </c>
      <c r="K94" s="5">
        <f t="shared" si="22"/>
        <v>-1384.5599999999977</v>
      </c>
      <c r="L94" s="140">
        <f>INDEX('2018 Best Practice Scores'!M$4:M$255,MATCH(B94,'2018 Best Practice Scores'!A$4:A$255,0))</f>
        <v>0.24942857142857144</v>
      </c>
      <c r="M94" s="105">
        <f t="shared" si="23"/>
        <v>-305.08377210197239</v>
      </c>
      <c r="N94" s="105">
        <f t="shared" si="24"/>
        <v>4075.3159962626205</v>
      </c>
      <c r="O94" s="105">
        <f t="shared" si="25"/>
        <v>-22.828982832430444</v>
      </c>
      <c r="P94" s="105">
        <f t="shared" si="26"/>
        <v>-17.391536865669575</v>
      </c>
      <c r="Q94" s="105">
        <f t="shared" si="27"/>
        <v>3730.0117044625481</v>
      </c>
      <c r="R94" s="112">
        <f t="shared" si="28"/>
        <v>-2.6940051023159373</v>
      </c>
      <c r="S94" s="175">
        <f t="shared" si="29"/>
        <v>3730.0117044625481</v>
      </c>
      <c r="T94" s="105"/>
      <c r="U94" s="105">
        <f>IFERROR(INDEX('Revised 2019 MFAM(2017 PYAs)'!AD$26:AD$270,MATCH(B94,'Revised 2019 MFAM(2017 PYAs)'!B$26:B$270,0)),0)</f>
        <v>0</v>
      </c>
      <c r="V94" s="105">
        <f>IFERROR(INDEX('Revised 2018 MFAM(2016 PYAs)'!AF$26:AF$266,MATCH(B94,'Revised 2018 MFAM(2016 PYAs)'!B$26:B$266,0)),0)</f>
        <v>0</v>
      </c>
      <c r="W94" s="105">
        <f t="shared" si="30"/>
        <v>0.14130940997736899</v>
      </c>
      <c r="X94" s="105">
        <f t="shared" si="31"/>
        <v>0.14130940997736899</v>
      </c>
      <c r="Y94" s="105"/>
      <c r="Z94" s="106">
        <f t="shared" si="32"/>
        <v>3730.1530138725257</v>
      </c>
      <c r="AA94" s="107">
        <v>0</v>
      </c>
      <c r="AB94" s="108">
        <f t="shared" si="33"/>
        <v>0</v>
      </c>
      <c r="AC94" s="108">
        <f>IFERROR(INDEX('Revised 2019 MFAM(2017 PYAs)'!AF$26:AF$270,MATCH(B94,'Revised 2019 MFAM(2017 PYAs)'!B$26:B$270,0)),0)</f>
        <v>0</v>
      </c>
      <c r="AD94" s="216">
        <f>AC94/AC$24*('Revised 2019 MFAM(2017 PYAs)'!AF$24-'2020 Funding'!AC$24)</f>
        <v>0</v>
      </c>
      <c r="AE94" s="105">
        <f t="shared" si="34"/>
        <v>3730.1530138725257</v>
      </c>
      <c r="AF94" s="111"/>
      <c r="AG94" s="105">
        <v>964.51012457652212</v>
      </c>
      <c r="AH94" s="214">
        <v>964.51012457652212</v>
      </c>
      <c r="AI94" s="105">
        <v>964.51012457652212</v>
      </c>
      <c r="AJ94" s="105">
        <f t="shared" si="35"/>
        <v>836.62264014295909</v>
      </c>
    </row>
    <row r="95" spans="2:36" x14ac:dyDescent="0.25">
      <c r="B95">
        <v>694</v>
      </c>
      <c r="C95" s="27">
        <v>6</v>
      </c>
      <c r="D95" s="39" t="s">
        <v>368</v>
      </c>
      <c r="E95" s="162">
        <f>INDEX('2018 Data Lockdown'!H$5:H$255, MATCH(B95,'2018 Data Lockdown'!B$5:B$255,0))</f>
        <v>10.25564638073009</v>
      </c>
      <c r="F95" s="5">
        <f>INDEX('2018 Data Lockdown'!E$5:E$255,MATCH(B95,'2018 Data Lockdown'!B$5:B$255,0))</f>
        <v>60191.32</v>
      </c>
      <c r="G95" s="5">
        <f>INDEX('2018 Data Lockdown'!F$5:F$255, MATCH(B95,'2018 Data Lockdown'!B$5:B$255,0))</f>
        <v>0</v>
      </c>
      <c r="H95" s="5">
        <f t="shared" si="19"/>
        <v>60191.32</v>
      </c>
      <c r="I95" s="103">
        <f t="shared" si="20"/>
        <v>5869.0908174346623</v>
      </c>
      <c r="J95" s="6">
        <f t="shared" si="21"/>
        <v>1287.7074365492217</v>
      </c>
      <c r="K95" s="5">
        <f t="shared" si="22"/>
        <v>13206.272111085247</v>
      </c>
      <c r="L95" s="140">
        <f>INDEX('2018 Best Practice Scores'!M$4:M$255,MATCH(B95,'2018 Best Practice Scores'!A$4:A$255,0))</f>
        <v>0.82007738095238081</v>
      </c>
      <c r="M95" s="105">
        <f t="shared" si="23"/>
        <v>2909.9636787535187</v>
      </c>
      <c r="N95" s="105">
        <f t="shared" si="24"/>
        <v>579.57024522186521</v>
      </c>
      <c r="O95" s="105">
        <f t="shared" si="25"/>
        <v>715.91861770162222</v>
      </c>
      <c r="P95" s="105">
        <f t="shared" si="26"/>
        <v>165.88473470127943</v>
      </c>
      <c r="Q95" s="105">
        <f t="shared" si="27"/>
        <v>4371.3372763782863</v>
      </c>
      <c r="R95" s="112">
        <f t="shared" si="28"/>
        <v>0.33100463473783931</v>
      </c>
      <c r="S95" s="175">
        <f t="shared" si="29"/>
        <v>4371.3372763782863</v>
      </c>
      <c r="T95" s="105"/>
      <c r="U95" s="105">
        <f>IFERROR(INDEX('Revised 2019 MFAM(2017 PYAs)'!AD$26:AD$270,MATCH(B95,'Revised 2019 MFAM(2017 PYAs)'!B$26:B$270,0)),0)</f>
        <v>108.40284999602409</v>
      </c>
      <c r="V95" s="105">
        <f>IFERROR(INDEX('Revised 2018 MFAM(2016 PYAs)'!AF$26:AF$266,MATCH(B95,'Revised 2018 MFAM(2016 PYAs)'!B$26:B$266,0)),0)</f>
        <v>-63.426026913202804</v>
      </c>
      <c r="W95" s="105">
        <f t="shared" si="30"/>
        <v>0.16560567104871857</v>
      </c>
      <c r="X95" s="105">
        <f t="shared" si="31"/>
        <v>45.14242875387</v>
      </c>
      <c r="Y95" s="105"/>
      <c r="Z95" s="106">
        <f t="shared" si="32"/>
        <v>4416.4797051321566</v>
      </c>
      <c r="AA95" s="107">
        <v>0</v>
      </c>
      <c r="AB95" s="108">
        <f t="shared" si="33"/>
        <v>0</v>
      </c>
      <c r="AC95" s="108">
        <f>IFERROR(INDEX('Revised 2019 MFAM(2017 PYAs)'!AF$26:AF$270,MATCH(B95,'Revised 2019 MFAM(2017 PYAs)'!B$26:B$270,0)),0)</f>
        <v>9.8187015298229614</v>
      </c>
      <c r="AD95" s="216">
        <f>AC95/AC$24*('Revised 2019 MFAM(2017 PYAs)'!AF$24-'2020 Funding'!AC$24)</f>
        <v>8.9960841351576521E-3</v>
      </c>
      <c r="AE95" s="105">
        <f t="shared" si="34"/>
        <v>4426.3074027461143</v>
      </c>
      <c r="AF95" s="111"/>
      <c r="AG95" s="105">
        <v>1141.6837927736692</v>
      </c>
      <c r="AH95" s="214">
        <v>1141.6837927736692</v>
      </c>
      <c r="AI95" s="105">
        <v>1141.6837927736692</v>
      </c>
      <c r="AJ95" s="105">
        <f t="shared" si="35"/>
        <v>1001.2560244251067</v>
      </c>
    </row>
    <row r="96" spans="2:36" x14ac:dyDescent="0.25">
      <c r="B96">
        <v>706</v>
      </c>
      <c r="C96" s="27">
        <v>6</v>
      </c>
      <c r="D96" s="39" t="s">
        <v>476</v>
      </c>
      <c r="E96" s="162">
        <f>INDEX('2018 Data Lockdown'!H$5:H$255, MATCH(B96,'2018 Data Lockdown'!B$5:B$255,0))</f>
        <v>61.701349959338025</v>
      </c>
      <c r="F96" s="5">
        <f>INDEX('2018 Data Lockdown'!E$5:E$255,MATCH(B96,'2018 Data Lockdown'!B$5:B$255,0))</f>
        <v>61219.35</v>
      </c>
      <c r="G96" s="5">
        <f>INDEX('2018 Data Lockdown'!F$5:F$255, MATCH(B96,'2018 Data Lockdown'!B$5:B$255,0))</f>
        <v>0</v>
      </c>
      <c r="H96" s="5">
        <f t="shared" si="19"/>
        <v>61219.35</v>
      </c>
      <c r="I96" s="103">
        <f t="shared" si="20"/>
        <v>992.18817806003153</v>
      </c>
      <c r="J96" s="6">
        <f t="shared" si="21"/>
        <v>992.18817806003153</v>
      </c>
      <c r="K96" s="5">
        <f t="shared" si="22"/>
        <v>61219.35</v>
      </c>
      <c r="L96" s="140">
        <f>INDEX('2018 Best Practice Scores'!M$4:M$255,MATCH(B96,'2018 Best Practice Scores'!A$4:A$255,0))</f>
        <v>0.32749702380952384</v>
      </c>
      <c r="M96" s="105">
        <f t="shared" si="23"/>
        <v>13489.50585285644</v>
      </c>
      <c r="N96" s="105">
        <f t="shared" si="24"/>
        <v>3486.8856821785153</v>
      </c>
      <c r="O96" s="105">
        <f t="shared" si="25"/>
        <v>1325.3319058414909</v>
      </c>
      <c r="P96" s="105">
        <f t="shared" si="26"/>
        <v>768.9797353797095</v>
      </c>
      <c r="Q96" s="105">
        <f t="shared" si="27"/>
        <v>19070.70317625616</v>
      </c>
      <c r="R96" s="112">
        <f t="shared" si="28"/>
        <v>0.31151430350462983</v>
      </c>
      <c r="S96" s="175">
        <f t="shared" si="29"/>
        <v>19070.70317625616</v>
      </c>
      <c r="T96" s="105"/>
      <c r="U96" s="105">
        <f>IFERROR(INDEX('Revised 2019 MFAM(2017 PYAs)'!AD$26:AD$270,MATCH(B96,'Revised 2019 MFAM(2017 PYAs)'!B$26:B$270,0)),0)</f>
        <v>97.19899981492199</v>
      </c>
      <c r="V96" s="105">
        <f>IFERROR(INDEX('Revised 2018 MFAM(2016 PYAs)'!AF$26:AF$266,MATCH(B96,'Revised 2018 MFAM(2016 PYAs)'!B$26:B$266,0)),0)</f>
        <v>226.44588518492128</v>
      </c>
      <c r="W96" s="105">
        <f t="shared" si="30"/>
        <v>0.72248293764498905</v>
      </c>
      <c r="X96" s="105">
        <f t="shared" si="31"/>
        <v>324.36736793748827</v>
      </c>
      <c r="Y96" s="105"/>
      <c r="Z96" s="106">
        <f t="shared" si="32"/>
        <v>19395.070544193648</v>
      </c>
      <c r="AA96" s="107">
        <v>0</v>
      </c>
      <c r="AB96" s="108">
        <f t="shared" si="33"/>
        <v>0</v>
      </c>
      <c r="AC96" s="108">
        <f>IFERROR(INDEX('Revised 2019 MFAM(2017 PYAs)'!AF$26:AF$270,MATCH(B96,'Revised 2019 MFAM(2017 PYAs)'!B$26:B$270,0)),0)</f>
        <v>15.984549244465935</v>
      </c>
      <c r="AD96" s="216">
        <f>AC96/AC$24*('Revised 2019 MFAM(2017 PYAs)'!AF$24-'2020 Funding'!AC$24)</f>
        <v>1.4645352995914828E-2</v>
      </c>
      <c r="AE96" s="105">
        <f t="shared" si="34"/>
        <v>19411.06973879111</v>
      </c>
      <c r="AF96" s="111"/>
      <c r="AG96" s="105">
        <v>5012.6694590887055</v>
      </c>
      <c r="AH96" s="214">
        <v>5012.6694590887055</v>
      </c>
      <c r="AI96" s="105">
        <v>5012.6694590887055</v>
      </c>
      <c r="AJ96" s="105">
        <f t="shared" si="35"/>
        <v>4373.0613615249931</v>
      </c>
    </row>
    <row r="97" spans="2:36" x14ac:dyDescent="0.25">
      <c r="B97">
        <v>710</v>
      </c>
      <c r="C97" s="27">
        <v>6</v>
      </c>
      <c r="D97" s="39" t="s">
        <v>370</v>
      </c>
      <c r="E97" s="162">
        <f>INDEX('2018 Data Lockdown'!H$5:H$255, MATCH(B97,'2018 Data Lockdown'!B$5:B$255,0))</f>
        <v>73.989999999999995</v>
      </c>
      <c r="F97" s="5">
        <f>INDEX('2018 Data Lockdown'!E$5:E$255,MATCH(B97,'2018 Data Lockdown'!B$5:B$255,0))</f>
        <v>49597.59</v>
      </c>
      <c r="G97" s="5">
        <f>INDEX('2018 Data Lockdown'!F$5:F$255, MATCH(B97,'2018 Data Lockdown'!B$5:B$255,0))</f>
        <v>0</v>
      </c>
      <c r="H97" s="5">
        <f t="shared" si="19"/>
        <v>49597.59</v>
      </c>
      <c r="I97" s="103">
        <f t="shared" si="20"/>
        <v>670.32828760643326</v>
      </c>
      <c r="J97" s="6">
        <f t="shared" si="21"/>
        <v>670.32828760643326</v>
      </c>
      <c r="K97" s="5">
        <f t="shared" si="22"/>
        <v>49597.59</v>
      </c>
      <c r="L97" s="140">
        <f>INDEX('2018 Best Practice Scores'!M$4:M$255,MATCH(B97,'2018 Best Practice Scores'!A$4:A$255,0))</f>
        <v>0.13926785714285714</v>
      </c>
      <c r="M97" s="105">
        <f t="shared" si="23"/>
        <v>10928.684812768741</v>
      </c>
      <c r="N97" s="105">
        <f t="shared" si="24"/>
        <v>4181.3456560417253</v>
      </c>
      <c r="O97" s="105">
        <f t="shared" si="25"/>
        <v>456.60435457919675</v>
      </c>
      <c r="P97" s="105">
        <f t="shared" si="26"/>
        <v>622.99814737777058</v>
      </c>
      <c r="Q97" s="105">
        <f t="shared" si="27"/>
        <v>16189.632970767432</v>
      </c>
      <c r="R97" s="112">
        <f t="shared" si="28"/>
        <v>0.32641975085417324</v>
      </c>
      <c r="S97" s="175">
        <f t="shared" si="29"/>
        <v>16189.632970767432</v>
      </c>
      <c r="T97" s="105"/>
      <c r="U97" s="105">
        <f>IFERROR(INDEX('Revised 2019 MFAM(2017 PYAs)'!AD$26:AD$270,MATCH(B97,'Revised 2019 MFAM(2017 PYAs)'!B$26:B$270,0)),0)</f>
        <v>15331.10843409006</v>
      </c>
      <c r="V97" s="105">
        <f>IFERROR(INDEX('Revised 2018 MFAM(2016 PYAs)'!AF$26:AF$266,MATCH(B97,'Revised 2018 MFAM(2016 PYAs)'!B$26:B$266,0)),0)</f>
        <v>445.88786999727381</v>
      </c>
      <c r="W97" s="105">
        <f t="shared" si="30"/>
        <v>0.61333520216900861</v>
      </c>
      <c r="X97" s="105">
        <f t="shared" si="31"/>
        <v>15777.609639289503</v>
      </c>
      <c r="Y97" s="105"/>
      <c r="Z97" s="106">
        <f t="shared" si="32"/>
        <v>31967.242610056936</v>
      </c>
      <c r="AA97" s="107">
        <v>0</v>
      </c>
      <c r="AB97" s="108">
        <f t="shared" si="33"/>
        <v>0</v>
      </c>
      <c r="AC97" s="108">
        <f>IFERROR(INDEX('Revised 2019 MFAM(2017 PYAs)'!AF$26:AF$270,MATCH(B97,'Revised 2019 MFAM(2017 PYAs)'!B$26:B$270,0)),0)</f>
        <v>27.336911012082496</v>
      </c>
      <c r="AD97" s="216">
        <f>AC97/AC$24*('Revised 2019 MFAM(2017 PYAs)'!AF$24-'2020 Funding'!AC$24)</f>
        <v>2.5046606286284176E-2</v>
      </c>
      <c r="AE97" s="105">
        <f t="shared" si="34"/>
        <v>31994.604567675306</v>
      </c>
      <c r="AF97" s="111"/>
      <c r="AG97" s="105">
        <v>8130.9361383231208</v>
      </c>
      <c r="AH97" s="214">
        <v>8130.9361383231208</v>
      </c>
      <c r="AI97" s="105">
        <v>8130.9361383231208</v>
      </c>
      <c r="AJ97" s="105">
        <f t="shared" si="35"/>
        <v>7601.7961527059415</v>
      </c>
    </row>
    <row r="98" spans="2:36" x14ac:dyDescent="0.25">
      <c r="B98">
        <v>743</v>
      </c>
      <c r="C98" s="27">
        <v>6</v>
      </c>
      <c r="D98" s="39" t="s">
        <v>371</v>
      </c>
      <c r="E98" s="162">
        <f>INDEX('2018 Data Lockdown'!H$5:H$255, MATCH(B98,'2018 Data Lockdown'!B$5:B$255,0))</f>
        <v>82.770881637323171</v>
      </c>
      <c r="F98" s="5">
        <f>INDEX('2018 Data Lockdown'!E$5:E$255,MATCH(B98,'2018 Data Lockdown'!B$5:B$255,0))</f>
        <v>136207.07999999999</v>
      </c>
      <c r="G98" s="5">
        <f>INDEX('2018 Data Lockdown'!F$5:F$255, MATCH(B98,'2018 Data Lockdown'!B$5:B$255,0))</f>
        <v>0</v>
      </c>
      <c r="H98" s="5">
        <f t="shared" si="19"/>
        <v>136207.07999999999</v>
      </c>
      <c r="I98" s="103">
        <f t="shared" si="20"/>
        <v>1645.5917504517831</v>
      </c>
      <c r="J98" s="6">
        <f t="shared" si="21"/>
        <v>1287.7074365492217</v>
      </c>
      <c r="K98" s="5">
        <f t="shared" si="22"/>
        <v>106584.67981411646</v>
      </c>
      <c r="L98" s="140">
        <f>INDEX('2018 Best Practice Scores'!M$4:M$255,MATCH(B98,'2018 Best Practice Scores'!A$4:A$255,0))</f>
        <v>0.67198363095238089</v>
      </c>
      <c r="M98" s="105">
        <f t="shared" si="23"/>
        <v>23485.624433734654</v>
      </c>
      <c r="N98" s="105">
        <f t="shared" si="24"/>
        <v>4677.5735421133268</v>
      </c>
      <c r="O98" s="105">
        <f t="shared" si="25"/>
        <v>4734.5865546494906</v>
      </c>
      <c r="P98" s="105">
        <f t="shared" si="26"/>
        <v>1338.8162219786773</v>
      </c>
      <c r="Q98" s="105">
        <f t="shared" si="27"/>
        <v>34236.600752476144</v>
      </c>
      <c r="R98" s="112">
        <f t="shared" si="28"/>
        <v>0.32121502651398615</v>
      </c>
      <c r="S98" s="175">
        <f t="shared" si="29"/>
        <v>34236.600752476144</v>
      </c>
      <c r="T98" s="105"/>
      <c r="U98" s="105">
        <f>IFERROR(INDEX('Revised 2019 MFAM(2017 PYAs)'!AD$26:AD$270,MATCH(B98,'Revised 2019 MFAM(2017 PYAs)'!B$26:B$270,0)),0)</f>
        <v>663.26251644017611</v>
      </c>
      <c r="V98" s="105">
        <f>IFERROR(INDEX('Revised 2018 MFAM(2016 PYAs)'!AF$26:AF$266,MATCH(B98,'Revised 2018 MFAM(2016 PYAs)'!B$26:B$266,0)),0)</f>
        <v>-379.12992330165071</v>
      </c>
      <c r="W98" s="105">
        <f t="shared" si="30"/>
        <v>1.2970344962121894</v>
      </c>
      <c r="X98" s="105">
        <f t="shared" si="31"/>
        <v>285.42962763473759</v>
      </c>
      <c r="Y98" s="105"/>
      <c r="Z98" s="106">
        <f t="shared" si="32"/>
        <v>34522.030380110882</v>
      </c>
      <c r="AA98" s="107">
        <v>1</v>
      </c>
      <c r="AB98" s="108">
        <f t="shared" si="33"/>
        <v>-3452.2030380110882</v>
      </c>
      <c r="AC98" s="108">
        <f>IFERROR(INDEX('Revised 2019 MFAM(2017 PYAs)'!AF$26:AF$270,MATCH(B98,'Revised 2019 MFAM(2017 PYAs)'!B$26:B$270,0)),0)</f>
        <v>59.927830796141627</v>
      </c>
      <c r="AD98" s="216">
        <f>AC98/AC$24*('Revised 2019 MFAM(2017 PYAs)'!AF$24-'2020 Funding'!AC$24)</f>
        <v>5.4907036968390513E-2</v>
      </c>
      <c r="AE98" s="105">
        <f t="shared" si="34"/>
        <v>31129.810079932904</v>
      </c>
      <c r="AF98" s="111"/>
      <c r="AG98" s="105">
        <v>8032.2573874871032</v>
      </c>
      <c r="AH98" s="214">
        <v>8032.2573874871032</v>
      </c>
      <c r="AI98" s="105">
        <v>8032.2573874871032</v>
      </c>
      <c r="AJ98" s="105">
        <f t="shared" si="35"/>
        <v>7033.0379174715963</v>
      </c>
    </row>
    <row r="99" spans="2:36" x14ac:dyDescent="0.25">
      <c r="B99">
        <v>747</v>
      </c>
      <c r="C99" s="27">
        <v>6</v>
      </c>
      <c r="D99" s="39" t="s">
        <v>372</v>
      </c>
      <c r="E99" s="162">
        <f>INDEX('2018 Data Lockdown'!H$5:H$255, MATCH(B99,'2018 Data Lockdown'!B$5:B$255,0))</f>
        <v>36.5</v>
      </c>
      <c r="F99" s="5">
        <f>INDEX('2018 Data Lockdown'!E$5:E$255,MATCH(B99,'2018 Data Lockdown'!B$5:B$255,0))</f>
        <v>58996.69</v>
      </c>
      <c r="G99" s="5">
        <f>INDEX('2018 Data Lockdown'!F$5:F$255, MATCH(B99,'2018 Data Lockdown'!B$5:B$255,0))</f>
        <v>0</v>
      </c>
      <c r="H99" s="5">
        <f t="shared" si="19"/>
        <v>58996.69</v>
      </c>
      <c r="I99" s="103">
        <f t="shared" si="20"/>
        <v>1616.3476712328768</v>
      </c>
      <c r="J99" s="6">
        <f t="shared" si="21"/>
        <v>1287.7074365492217</v>
      </c>
      <c r="K99" s="5">
        <f t="shared" si="22"/>
        <v>47001.321434046593</v>
      </c>
      <c r="L99" s="140">
        <f>INDEX('2018 Best Practice Scores'!M$4:M$255,MATCH(B99,'2018 Best Practice Scores'!A$4:A$255,0))</f>
        <v>0.30622619047619049</v>
      </c>
      <c r="M99" s="105">
        <f t="shared" si="23"/>
        <v>10356.604579704921</v>
      </c>
      <c r="N99" s="105">
        <f t="shared" si="24"/>
        <v>2062.6992356470196</v>
      </c>
      <c r="O99" s="105">
        <f t="shared" si="25"/>
        <v>951.43907001339164</v>
      </c>
      <c r="P99" s="105">
        <f t="shared" si="26"/>
        <v>590.38627033527496</v>
      </c>
      <c r="Q99" s="105">
        <f t="shared" si="27"/>
        <v>13961.129155700608</v>
      </c>
      <c r="R99" s="112">
        <f t="shared" si="28"/>
        <v>0.2970369498077029</v>
      </c>
      <c r="S99" s="175">
        <f t="shared" si="29"/>
        <v>13961.129155700608</v>
      </c>
      <c r="T99" s="105"/>
      <c r="U99" s="105">
        <f>IFERROR(INDEX('Revised 2019 MFAM(2017 PYAs)'!AD$26:AD$270,MATCH(B99,'Revised 2019 MFAM(2017 PYAs)'!B$26:B$270,0)),0)</f>
        <v>228.85019177303911</v>
      </c>
      <c r="V99" s="105">
        <f>IFERROR(INDEX('Revised 2018 MFAM(2016 PYAs)'!AF$26:AF$266,MATCH(B99,'Revised 2018 MFAM(2016 PYAs)'!B$26:B$266,0)),0)</f>
        <v>31.017698906553051</v>
      </c>
      <c r="W99" s="105">
        <f t="shared" si="30"/>
        <v>0.52890957989477949</v>
      </c>
      <c r="X99" s="105">
        <f t="shared" si="31"/>
        <v>260.39680025948695</v>
      </c>
      <c r="Y99" s="105"/>
      <c r="Z99" s="106">
        <f t="shared" si="32"/>
        <v>14221.525955960095</v>
      </c>
      <c r="AA99" s="107">
        <v>0</v>
      </c>
      <c r="AB99" s="108">
        <f t="shared" si="33"/>
        <v>0</v>
      </c>
      <c r="AC99" s="108">
        <f>IFERROR(INDEX('Revised 2019 MFAM(2017 PYAs)'!AF$26:AF$270,MATCH(B99,'Revised 2019 MFAM(2017 PYAs)'!B$26:B$270,0)),0)</f>
        <v>21.448999886849251</v>
      </c>
      <c r="AD99" s="216">
        <f>AC99/AC$24*('Revised 2019 MFAM(2017 PYAs)'!AF$24-'2020 Funding'!AC$24)</f>
        <v>1.9651988301202794E-2</v>
      </c>
      <c r="AE99" s="105">
        <f t="shared" si="34"/>
        <v>14242.994607835244</v>
      </c>
      <c r="AF99" s="111"/>
      <c r="AG99" s="105">
        <v>3675.3834091318968</v>
      </c>
      <c r="AH99" s="214">
        <v>3675.3834091318968</v>
      </c>
      <c r="AI99" s="105">
        <v>3675.3834091318968</v>
      </c>
      <c r="AJ99" s="105">
        <f t="shared" si="35"/>
        <v>3216.8443804395538</v>
      </c>
    </row>
    <row r="100" spans="2:36" x14ac:dyDescent="0.25">
      <c r="B100">
        <v>758</v>
      </c>
      <c r="C100" s="27">
        <v>6</v>
      </c>
      <c r="D100" s="39" t="s">
        <v>373</v>
      </c>
      <c r="E100" s="162">
        <f>INDEX('2018 Data Lockdown'!H$5:H$255, MATCH(B100,'2018 Data Lockdown'!B$5:B$255,0))</f>
        <v>306.60873748050523</v>
      </c>
      <c r="F100" s="5">
        <f>INDEX('2018 Data Lockdown'!E$5:E$255,MATCH(B100,'2018 Data Lockdown'!B$5:B$255,0))</f>
        <v>319509.06</v>
      </c>
      <c r="G100" s="5">
        <f>INDEX('2018 Data Lockdown'!F$5:F$255, MATCH(B100,'2018 Data Lockdown'!B$5:B$255,0))</f>
        <v>785.37</v>
      </c>
      <c r="H100" s="5">
        <f t="shared" si="19"/>
        <v>318723.69</v>
      </c>
      <c r="I100" s="103">
        <f t="shared" si="20"/>
        <v>1039.5127438932332</v>
      </c>
      <c r="J100" s="6">
        <f t="shared" si="21"/>
        <v>1039.5127438932332</v>
      </c>
      <c r="K100" s="5">
        <f t="shared" si="22"/>
        <v>318723.69</v>
      </c>
      <c r="L100" s="140">
        <f>INDEX('2018 Best Practice Scores'!M$4:M$255,MATCH(B100,'2018 Best Practice Scores'!A$4:A$255,0))</f>
        <v>0.68508184523809523</v>
      </c>
      <c r="M100" s="105">
        <f t="shared" si="23"/>
        <v>70229.838796050622</v>
      </c>
      <c r="N100" s="105">
        <f t="shared" si="24"/>
        <v>17327.167354622899</v>
      </c>
      <c r="O100" s="105">
        <f t="shared" si="25"/>
        <v>14433.956265951698</v>
      </c>
      <c r="P100" s="105">
        <f t="shared" si="26"/>
        <v>4003.5063880202015</v>
      </c>
      <c r="Q100" s="105">
        <f t="shared" si="27"/>
        <v>105994.46880464542</v>
      </c>
      <c r="R100" s="112">
        <f t="shared" si="28"/>
        <v>0.33255911665883831</v>
      </c>
      <c r="S100" s="175">
        <f t="shared" si="29"/>
        <v>105994.46880464542</v>
      </c>
      <c r="T100" s="105"/>
      <c r="U100" s="105">
        <f>IFERROR(INDEX('Revised 2019 MFAM(2017 PYAs)'!AD$26:AD$270,MATCH(B100,'Revised 2019 MFAM(2017 PYAs)'!B$26:B$270,0)),0)</f>
        <v>1703.2313004504686</v>
      </c>
      <c r="V100" s="105">
        <f>IFERROR(INDEX('Revised 2018 MFAM(2016 PYAs)'!AF$26:AF$266,MATCH(B100,'Revised 2018 MFAM(2016 PYAs)'!B$26:B$266,0)),0)</f>
        <v>2179.241742483704</v>
      </c>
      <c r="W100" s="105">
        <f t="shared" si="30"/>
        <v>4.0155412460849771</v>
      </c>
      <c r="X100" s="105">
        <f t="shared" si="31"/>
        <v>3886.4885841802575</v>
      </c>
      <c r="Y100" s="105"/>
      <c r="Z100" s="106">
        <f t="shared" si="32"/>
        <v>109880.95738882569</v>
      </c>
      <c r="AA100" s="107">
        <v>0</v>
      </c>
      <c r="AB100" s="108">
        <f t="shared" si="33"/>
        <v>0</v>
      </c>
      <c r="AC100" s="108">
        <f>IFERROR(INDEX('Revised 2019 MFAM(2017 PYAs)'!AF$26:AF$270,MATCH(B100,'Revised 2019 MFAM(2017 PYAs)'!B$26:B$270,0)),0)</f>
        <v>199.44638397820552</v>
      </c>
      <c r="AD100" s="216">
        <f>AC100/AC$24*('Revised 2019 MFAM(2017 PYAs)'!AF$24-'2020 Funding'!AC$24)</f>
        <v>0.18273663225948447</v>
      </c>
      <c r="AE100" s="105">
        <f t="shared" si="34"/>
        <v>110080.58650943615</v>
      </c>
      <c r="AF100" s="111"/>
      <c r="AG100" s="105">
        <v>28381.063648188225</v>
      </c>
      <c r="AH100" s="214">
        <v>28381.063648188225</v>
      </c>
      <c r="AI100" s="105">
        <v>28381.063648188225</v>
      </c>
      <c r="AJ100" s="105">
        <f t="shared" si="35"/>
        <v>24937.395564871476</v>
      </c>
    </row>
    <row r="101" spans="2:36" x14ac:dyDescent="0.25">
      <c r="B101">
        <v>765</v>
      </c>
      <c r="C101" s="27">
        <v>6</v>
      </c>
      <c r="D101" s="39" t="s">
        <v>374</v>
      </c>
      <c r="E101" s="162">
        <f>INDEX('2018 Data Lockdown'!H$5:H$255, MATCH(B101,'2018 Data Lockdown'!B$5:B$255,0))</f>
        <v>69.141877232449346</v>
      </c>
      <c r="F101" s="5">
        <f>INDEX('2018 Data Lockdown'!E$5:E$255,MATCH(B101,'2018 Data Lockdown'!B$5:B$255,0))</f>
        <v>86969.12</v>
      </c>
      <c r="G101" s="5">
        <f>INDEX('2018 Data Lockdown'!F$5:F$255, MATCH(B101,'2018 Data Lockdown'!B$5:B$255,0))</f>
        <v>0</v>
      </c>
      <c r="H101" s="5">
        <f t="shared" si="19"/>
        <v>86969.12</v>
      </c>
      <c r="I101" s="103">
        <f t="shared" si="20"/>
        <v>1257.8356776113687</v>
      </c>
      <c r="J101" s="6">
        <f t="shared" si="21"/>
        <v>1257.8356776113687</v>
      </c>
      <c r="K101" s="5">
        <f t="shared" si="22"/>
        <v>86969.12</v>
      </c>
      <c r="L101" s="140">
        <f>INDEX('2018 Best Practice Scores'!M$4:M$255,MATCH(B101,'2018 Best Practice Scores'!A$4:A$255,0))</f>
        <v>0.26465476190476189</v>
      </c>
      <c r="M101" s="105">
        <f t="shared" si="23"/>
        <v>19163.392836705618</v>
      </c>
      <c r="N101" s="105">
        <f t="shared" si="24"/>
        <v>3907.3670498239271</v>
      </c>
      <c r="O101" s="105">
        <f t="shared" si="25"/>
        <v>1521.5049505457234</v>
      </c>
      <c r="P101" s="105">
        <f t="shared" si="26"/>
        <v>1092.4240601020135</v>
      </c>
      <c r="Q101" s="105">
        <f t="shared" si="27"/>
        <v>25684.688897177282</v>
      </c>
      <c r="R101" s="112">
        <f t="shared" si="28"/>
        <v>0.29533113474273726</v>
      </c>
      <c r="S101" s="175">
        <f t="shared" si="29"/>
        <v>25684.688897177282</v>
      </c>
      <c r="T101" s="105"/>
      <c r="U101" s="105">
        <f>IFERROR(INDEX('Revised 2019 MFAM(2017 PYAs)'!AD$26:AD$270,MATCH(B101,'Revised 2019 MFAM(2017 PYAs)'!B$26:B$270,0)),0)</f>
        <v>546.94106719221236</v>
      </c>
      <c r="V101" s="105">
        <f>IFERROR(INDEX('Revised 2018 MFAM(2016 PYAs)'!AF$26:AF$266,MATCH(B101,'Revised 2018 MFAM(2016 PYAs)'!B$26:B$266,0)),0)</f>
        <v>66.25115903412734</v>
      </c>
      <c r="W101" s="105">
        <f t="shared" si="30"/>
        <v>0.97305009235497009</v>
      </c>
      <c r="X101" s="105">
        <f t="shared" si="31"/>
        <v>614.16527631869462</v>
      </c>
      <c r="Y101" s="105"/>
      <c r="Z101" s="106">
        <f t="shared" si="32"/>
        <v>26298.854173495976</v>
      </c>
      <c r="AA101" s="107">
        <v>0</v>
      </c>
      <c r="AB101" s="108">
        <f t="shared" si="33"/>
        <v>0</v>
      </c>
      <c r="AC101" s="108">
        <f>IFERROR(INDEX('Revised 2019 MFAM(2017 PYAs)'!AF$26:AF$270,MATCH(B101,'Revised 2019 MFAM(2017 PYAs)'!B$26:B$270,0)),0)</f>
        <v>51.262088956225895</v>
      </c>
      <c r="AD101" s="216">
        <f>AC101/AC$24*('Revised 2019 MFAM(2017 PYAs)'!AF$24-'2020 Funding'!AC$24)</f>
        <v>4.6967316787605733E-2</v>
      </c>
      <c r="AE101" s="105">
        <f t="shared" si="34"/>
        <v>26350.16322976899</v>
      </c>
      <c r="AF101" s="111"/>
      <c r="AG101" s="105">
        <v>6795.4877054374001</v>
      </c>
      <c r="AH101" s="214">
        <v>6795.4877054374001</v>
      </c>
      <c r="AI101" s="105">
        <v>6795.4877054374001</v>
      </c>
      <c r="AJ101" s="105">
        <f t="shared" si="35"/>
        <v>5963.7001134567881</v>
      </c>
    </row>
    <row r="102" spans="2:36" x14ac:dyDescent="0.25">
      <c r="B102">
        <v>770</v>
      </c>
      <c r="C102" s="27">
        <v>6</v>
      </c>
      <c r="D102" s="39" t="s">
        <v>375</v>
      </c>
      <c r="E102" s="162">
        <f>INDEX('2018 Data Lockdown'!H$5:H$255, MATCH(B102,'2018 Data Lockdown'!B$5:B$255,0))</f>
        <v>25.798612785118063</v>
      </c>
      <c r="F102" s="5">
        <f>INDEX('2018 Data Lockdown'!E$5:E$255,MATCH(B102,'2018 Data Lockdown'!B$5:B$255,0))</f>
        <v>24774.6</v>
      </c>
      <c r="G102" s="5">
        <f>INDEX('2018 Data Lockdown'!F$5:F$255, MATCH(B102,'2018 Data Lockdown'!B$5:B$255,0))</f>
        <v>0</v>
      </c>
      <c r="H102" s="5">
        <f t="shared" si="19"/>
        <v>24774.6</v>
      </c>
      <c r="I102" s="103">
        <f t="shared" si="20"/>
        <v>960.30744778227893</v>
      </c>
      <c r="J102" s="6">
        <f t="shared" si="21"/>
        <v>960.30744778227893</v>
      </c>
      <c r="K102" s="5">
        <f t="shared" si="22"/>
        <v>24774.6</v>
      </c>
      <c r="L102" s="140">
        <f>INDEX('2018 Best Practice Scores'!M$4:M$255,MATCH(B102,'2018 Best Practice Scores'!A$4:A$255,0))</f>
        <v>0.30622619047619049</v>
      </c>
      <c r="M102" s="105">
        <f t="shared" si="23"/>
        <v>5459.0111084514483</v>
      </c>
      <c r="N102" s="105">
        <f t="shared" si="24"/>
        <v>1457.9391471949714</v>
      </c>
      <c r="O102" s="105">
        <f t="shared" si="25"/>
        <v>501.50765265248782</v>
      </c>
      <c r="P102" s="105">
        <f t="shared" si="26"/>
        <v>311.19515891851427</v>
      </c>
      <c r="Q102" s="105">
        <f t="shared" si="27"/>
        <v>7729.6530672174222</v>
      </c>
      <c r="R102" s="112">
        <f t="shared" si="28"/>
        <v>0.31199910663411007</v>
      </c>
      <c r="S102" s="175">
        <f t="shared" si="29"/>
        <v>7729.6530672174222</v>
      </c>
      <c r="T102" s="105"/>
      <c r="U102" s="105">
        <f>IFERROR(INDEX('Revised 2019 MFAM(2017 PYAs)'!AD$26:AD$270,MATCH(B102,'Revised 2019 MFAM(2017 PYAs)'!B$26:B$270,0)),0)</f>
        <v>125.38299494268358</v>
      </c>
      <c r="V102" s="105">
        <f>IFERROR(INDEX('Revised 2018 MFAM(2016 PYAs)'!AF$26:AF$266,MATCH(B102,'Revised 2018 MFAM(2016 PYAs)'!B$26:B$266,0)),0)</f>
        <v>-44.667567927530399</v>
      </c>
      <c r="W102" s="105">
        <f t="shared" si="30"/>
        <v>0.29283358895401601</v>
      </c>
      <c r="X102" s="105">
        <f t="shared" si="31"/>
        <v>81.008260604107193</v>
      </c>
      <c r="Y102" s="105"/>
      <c r="Z102" s="106">
        <f t="shared" si="32"/>
        <v>7810.6613278215291</v>
      </c>
      <c r="AA102" s="107">
        <v>0</v>
      </c>
      <c r="AB102" s="108">
        <f t="shared" si="33"/>
        <v>0</v>
      </c>
      <c r="AC102" s="108">
        <f>IFERROR(INDEX('Revised 2019 MFAM(2017 PYAs)'!AF$26:AF$270,MATCH(B102,'Revised 2019 MFAM(2017 PYAs)'!B$26:B$270,0)),0)</f>
        <v>15.32912214079594</v>
      </c>
      <c r="AD102" s="216">
        <f>AC102/AC$24*('Revised 2019 MFAM(2017 PYAs)'!AF$24-'2020 Funding'!AC$24)</f>
        <v>1.4044838014257752E-2</v>
      </c>
      <c r="AE102" s="105">
        <f t="shared" si="34"/>
        <v>7826.0044948003397</v>
      </c>
      <c r="AF102" s="111"/>
      <c r="AG102" s="105">
        <v>2019.0970473364655</v>
      </c>
      <c r="AH102" s="214">
        <v>2019.0970473364655</v>
      </c>
      <c r="AI102" s="105">
        <v>2019.0970473364655</v>
      </c>
      <c r="AJ102" s="105">
        <f t="shared" si="35"/>
        <v>1768.7133527909436</v>
      </c>
    </row>
    <row r="103" spans="2:36" x14ac:dyDescent="0.25">
      <c r="B103">
        <v>774</v>
      </c>
      <c r="C103" s="27">
        <v>6</v>
      </c>
      <c r="D103" s="39" t="s">
        <v>376</v>
      </c>
      <c r="E103" s="162">
        <f>INDEX('2018 Data Lockdown'!H$5:H$255, MATCH(B103,'2018 Data Lockdown'!B$5:B$255,0))</f>
        <v>457.94097362750716</v>
      </c>
      <c r="F103" s="5">
        <f>INDEX('2018 Data Lockdown'!E$5:E$255,MATCH(B103,'2018 Data Lockdown'!B$5:B$255,0))</f>
        <v>290603.45</v>
      </c>
      <c r="G103" s="5">
        <f>INDEX('2018 Data Lockdown'!F$5:F$255, MATCH(B103,'2018 Data Lockdown'!B$5:B$255,0))</f>
        <v>0</v>
      </c>
      <c r="H103" s="5">
        <f t="shared" si="19"/>
        <v>290603.45</v>
      </c>
      <c r="I103" s="103">
        <f t="shared" si="20"/>
        <v>634.58713400993724</v>
      </c>
      <c r="J103" s="6">
        <f t="shared" si="21"/>
        <v>634.58713400993724</v>
      </c>
      <c r="K103" s="5">
        <f t="shared" si="22"/>
        <v>290603.45</v>
      </c>
      <c r="L103" s="140">
        <f>INDEX('2018 Best Practice Scores'!M$4:M$255,MATCH(B103,'2018 Best Practice Scores'!A$4:A$255,0))</f>
        <v>0.75681696428571421</v>
      </c>
      <c r="M103" s="105">
        <f t="shared" si="23"/>
        <v>64033.625636915036</v>
      </c>
      <c r="N103" s="105">
        <f t="shared" si="24"/>
        <v>25879.301267750987</v>
      </c>
      <c r="O103" s="105">
        <f t="shared" si="25"/>
        <v>14538.520250021375</v>
      </c>
      <c r="P103" s="105">
        <f t="shared" si="26"/>
        <v>3650.2864548779212</v>
      </c>
      <c r="Q103" s="105">
        <f t="shared" si="27"/>
        <v>108101.73360956532</v>
      </c>
      <c r="R103" s="112">
        <f t="shared" si="28"/>
        <v>0.37199053765385548</v>
      </c>
      <c r="S103" s="175">
        <f t="shared" si="29"/>
        <v>108101.73360956532</v>
      </c>
      <c r="T103" s="105"/>
      <c r="U103" s="105">
        <f>IFERROR(INDEX('Revised 2019 MFAM(2017 PYAs)'!AD$26:AD$270,MATCH(B103,'Revised 2019 MFAM(2017 PYAs)'!B$26:B$270,0)),0)</f>
        <v>1653.4463508818153</v>
      </c>
      <c r="V103" s="105">
        <f>IFERROR(INDEX('Revised 2018 MFAM(2016 PYAs)'!AF$26:AF$266,MATCH(B103,'Revised 2018 MFAM(2016 PYAs)'!B$26:B$266,0)),0)</f>
        <v>-525.82750129020133</v>
      </c>
      <c r="W103" s="105">
        <f t="shared" si="30"/>
        <v>4.0953737961794037</v>
      </c>
      <c r="X103" s="105">
        <f t="shared" si="31"/>
        <v>1131.7142233877935</v>
      </c>
      <c r="Y103" s="105"/>
      <c r="Z103" s="106">
        <f t="shared" si="32"/>
        <v>109233.44783295311</v>
      </c>
      <c r="AA103" s="107">
        <v>0</v>
      </c>
      <c r="AB103" s="108">
        <f t="shared" si="33"/>
        <v>0</v>
      </c>
      <c r="AC103" s="108">
        <f>IFERROR(INDEX('Revised 2019 MFAM(2017 PYAs)'!AF$26:AF$270,MATCH(B103,'Revised 2019 MFAM(2017 PYAs)'!B$26:B$270,0)),0)</f>
        <v>203.14697203181575</v>
      </c>
      <c r="AD103" s="216">
        <f>AC103/AC$24*('Revised 2019 MFAM(2017 PYAs)'!AF$24-'2020 Funding'!AC$24)</f>
        <v>0.186127182565828</v>
      </c>
      <c r="AE103" s="105">
        <f t="shared" si="34"/>
        <v>109436.78093216749</v>
      </c>
      <c r="AF103" s="111"/>
      <c r="AG103" s="105">
        <v>28237.073841247653</v>
      </c>
      <c r="AH103" s="214">
        <v>28237.073841247653</v>
      </c>
      <c r="AI103" s="105">
        <v>28237.073841247653</v>
      </c>
      <c r="AJ103" s="105">
        <f t="shared" si="35"/>
        <v>24725.559408424535</v>
      </c>
    </row>
    <row r="104" spans="2:36" x14ac:dyDescent="0.25">
      <c r="B104">
        <v>794</v>
      </c>
      <c r="C104" s="27">
        <v>6</v>
      </c>
      <c r="D104" s="39" t="s">
        <v>377</v>
      </c>
      <c r="E104" s="162">
        <f>INDEX('2018 Data Lockdown'!H$5:H$255, MATCH(B104,'2018 Data Lockdown'!B$5:B$255,0))</f>
        <v>19.568200239680415</v>
      </c>
      <c r="F104" s="5">
        <f>INDEX('2018 Data Lockdown'!E$5:E$255,MATCH(B104,'2018 Data Lockdown'!B$5:B$255,0))</f>
        <v>45369.11</v>
      </c>
      <c r="G104" s="5">
        <f>INDEX('2018 Data Lockdown'!F$5:F$255, MATCH(B104,'2018 Data Lockdown'!B$5:B$255,0))</f>
        <v>0</v>
      </c>
      <c r="H104" s="5">
        <f t="shared" si="19"/>
        <v>45369.11</v>
      </c>
      <c r="I104" s="103">
        <f t="shared" si="20"/>
        <v>2318.512149523106</v>
      </c>
      <c r="J104" s="6">
        <f t="shared" si="21"/>
        <v>1287.7074365492217</v>
      </c>
      <c r="K104" s="5">
        <f t="shared" si="22"/>
        <v>25198.116968520731</v>
      </c>
      <c r="L104" s="140">
        <f>INDEX('2018 Best Practice Scores'!M$4:M$255,MATCH(B104,'2018 Best Practice Scores'!A$4:A$255,0))</f>
        <v>0.61912946428571425</v>
      </c>
      <c r="M104" s="105">
        <f t="shared" si="23"/>
        <v>5552.331841612523</v>
      </c>
      <c r="N104" s="105">
        <f t="shared" si="24"/>
        <v>1105.8441555445647</v>
      </c>
      <c r="O104" s="105">
        <f t="shared" si="25"/>
        <v>1031.2836715902222</v>
      </c>
      <c r="P104" s="105">
        <f t="shared" si="26"/>
        <v>316.51497963503431</v>
      </c>
      <c r="Q104" s="105">
        <f t="shared" si="27"/>
        <v>8005.9746483823446</v>
      </c>
      <c r="R104" s="112">
        <f t="shared" si="28"/>
        <v>0.3177211479089479</v>
      </c>
      <c r="S104" s="175">
        <f t="shared" si="29"/>
        <v>8005.9746483823446</v>
      </c>
      <c r="T104" s="105"/>
      <c r="U104" s="105">
        <f>IFERROR(INDEX('Revised 2019 MFAM(2017 PYAs)'!AD$26:AD$270,MATCH(B104,'Revised 2019 MFAM(2017 PYAs)'!B$26:B$270,0)),0)</f>
        <v>141.69165209639141</v>
      </c>
      <c r="V104" s="105">
        <f>IFERROR(INDEX('Revised 2018 MFAM(2016 PYAs)'!AF$26:AF$266,MATCH(B104,'Revised 2018 MFAM(2016 PYAs)'!B$26:B$266,0)),0)</f>
        <v>-145.21903310002199</v>
      </c>
      <c r="W104" s="105">
        <f t="shared" si="30"/>
        <v>0.3033018777134624</v>
      </c>
      <c r="X104" s="105">
        <f t="shared" si="31"/>
        <v>-3.2240791259171182</v>
      </c>
      <c r="Y104" s="105"/>
      <c r="Z104" s="106">
        <f t="shared" si="32"/>
        <v>8002.7505692564273</v>
      </c>
      <c r="AA104" s="107">
        <v>0</v>
      </c>
      <c r="AB104" s="108">
        <f t="shared" si="33"/>
        <v>0</v>
      </c>
      <c r="AC104" s="108">
        <f>IFERROR(INDEX('Revised 2019 MFAM(2017 PYAs)'!AF$26:AF$270,MATCH(B104,'Revised 2019 MFAM(2017 PYAs)'!B$26:B$270,0)),0)</f>
        <v>12.809062200206572</v>
      </c>
      <c r="AD104" s="216">
        <f>AC104/AC$24*('Revised 2019 MFAM(2017 PYAs)'!AF$24-'2020 Funding'!AC$24)</f>
        <v>1.1735910384435895E-2</v>
      </c>
      <c r="AE104" s="105">
        <f t="shared" si="34"/>
        <v>8015.571367367018</v>
      </c>
      <c r="AF104" s="111"/>
      <c r="AG104" s="105">
        <v>2069.4912191079129</v>
      </c>
      <c r="AH104" s="214">
        <v>2069.4912191079129</v>
      </c>
      <c r="AI104" s="105">
        <v>2069.4912191079129</v>
      </c>
      <c r="AJ104" s="105">
        <f t="shared" si="35"/>
        <v>1807.0977100432792</v>
      </c>
    </row>
    <row r="105" spans="2:36" x14ac:dyDescent="0.25">
      <c r="B105">
        <v>806</v>
      </c>
      <c r="C105" s="27">
        <v>6</v>
      </c>
      <c r="D105" s="39" t="s">
        <v>378</v>
      </c>
      <c r="E105" s="162">
        <f>INDEX('2018 Data Lockdown'!H$5:H$255, MATCH(B105,'2018 Data Lockdown'!B$5:B$255,0))</f>
        <v>23.326411869078932</v>
      </c>
      <c r="F105" s="5">
        <f>INDEX('2018 Data Lockdown'!E$5:E$255,MATCH(B105,'2018 Data Lockdown'!B$5:B$255,0))</f>
        <v>37091.449999999997</v>
      </c>
      <c r="G105" s="5">
        <f>INDEX('2018 Data Lockdown'!F$5:F$255, MATCH(B105,'2018 Data Lockdown'!B$5:B$255,0))</f>
        <v>0</v>
      </c>
      <c r="H105" s="5">
        <f t="shared" si="19"/>
        <v>37091.449999999997</v>
      </c>
      <c r="I105" s="103">
        <f t="shared" si="20"/>
        <v>1590.1052509995225</v>
      </c>
      <c r="J105" s="6">
        <f t="shared" si="21"/>
        <v>1287.7074365492217</v>
      </c>
      <c r="K105" s="5">
        <f t="shared" si="22"/>
        <v>30037.59403182297</v>
      </c>
      <c r="L105" s="140">
        <f>INDEX('2018 Best Practice Scores'!M$4:M$255,MATCH(B105,'2018 Best Practice Scores'!A$4:A$255,0))</f>
        <v>0.22310119047619048</v>
      </c>
      <c r="M105" s="105">
        <f t="shared" si="23"/>
        <v>6618.6965477092072</v>
      </c>
      <c r="N105" s="105">
        <f t="shared" si="24"/>
        <v>1318.2293680201831</v>
      </c>
      <c r="O105" s="105">
        <f t="shared" si="25"/>
        <v>442.99172375837276</v>
      </c>
      <c r="P105" s="105">
        <f t="shared" si="26"/>
        <v>377.30392612849317</v>
      </c>
      <c r="Q105" s="105">
        <f t="shared" si="27"/>
        <v>8757.2215656162571</v>
      </c>
      <c r="R105" s="112">
        <f t="shared" si="28"/>
        <v>0.29154204415768198</v>
      </c>
      <c r="S105" s="175">
        <f t="shared" si="29"/>
        <v>8757.2215656162571</v>
      </c>
      <c r="T105" s="105"/>
      <c r="U105" s="105">
        <f>IFERROR(INDEX('Revised 2019 MFAM(2017 PYAs)'!AD$26:AD$270,MATCH(B105,'Revised 2019 MFAM(2017 PYAs)'!B$26:B$270,0)),0)</f>
        <v>186.02147774383775</v>
      </c>
      <c r="V105" s="105">
        <f>IFERROR(INDEX('Revised 2018 MFAM(2016 PYAs)'!AF$26:AF$266,MATCH(B105,'Revised 2018 MFAM(2016 PYAs)'!B$26:B$266,0)),0)</f>
        <v>26.715292671244242</v>
      </c>
      <c r="W105" s="105">
        <f t="shared" si="30"/>
        <v>0.33176244755420448</v>
      </c>
      <c r="X105" s="105">
        <f t="shared" si="31"/>
        <v>213.0685328626362</v>
      </c>
      <c r="Y105" s="105"/>
      <c r="Z105" s="106">
        <f t="shared" si="32"/>
        <v>8970.2900984788939</v>
      </c>
      <c r="AA105" s="107">
        <v>0</v>
      </c>
      <c r="AB105" s="108">
        <f t="shared" si="33"/>
        <v>0</v>
      </c>
      <c r="AC105" s="108">
        <f>IFERROR(INDEX('Revised 2019 MFAM(2017 PYAs)'!AF$26:AF$270,MATCH(B105,'Revised 2019 MFAM(2017 PYAs)'!B$26:B$270,0)),0)</f>
        <v>17.387155313669187</v>
      </c>
      <c r="AD105" s="216">
        <f>AC105/AC$24*('Revised 2019 MFAM(2017 PYAs)'!AF$24-'2020 Funding'!AC$24)</f>
        <v>1.593044778861322E-2</v>
      </c>
      <c r="AE105" s="105">
        <f t="shared" si="34"/>
        <v>8987.6931842403519</v>
      </c>
      <c r="AF105" s="111"/>
      <c r="AG105" s="105">
        <v>2317.8481715571625</v>
      </c>
      <c r="AH105" s="214">
        <v>2317.8481715571625</v>
      </c>
      <c r="AI105" s="105">
        <v>2317.8481715571625</v>
      </c>
      <c r="AJ105" s="105">
        <f t="shared" si="35"/>
        <v>2034.1486695688645</v>
      </c>
    </row>
    <row r="106" spans="2:36" x14ac:dyDescent="0.25">
      <c r="B106">
        <v>809</v>
      </c>
      <c r="C106" s="27">
        <v>6</v>
      </c>
      <c r="D106" s="39" t="s">
        <v>563</v>
      </c>
      <c r="E106" s="162">
        <f>INDEX('2018 Data Lockdown'!H$5:H$255, MATCH(B106,'2018 Data Lockdown'!B$5:B$255,0))</f>
        <v>477.2783239455166</v>
      </c>
      <c r="F106" s="5">
        <f>INDEX('2018 Data Lockdown'!E$5:E$255,MATCH(B106,'2018 Data Lockdown'!B$5:B$255,0))</f>
        <v>497452.38</v>
      </c>
      <c r="G106" s="5">
        <f>INDEX('2018 Data Lockdown'!F$5:F$255, MATCH(B106,'2018 Data Lockdown'!B$5:B$255,0))</f>
        <v>0</v>
      </c>
      <c r="H106" s="5">
        <f t="shared" si="19"/>
        <v>497452.38</v>
      </c>
      <c r="I106" s="103">
        <f t="shared" si="20"/>
        <v>1042.2689551197518</v>
      </c>
      <c r="J106" s="6">
        <f t="shared" si="21"/>
        <v>1042.2689551197518</v>
      </c>
      <c r="K106" s="5">
        <f t="shared" si="22"/>
        <v>497452.38</v>
      </c>
      <c r="L106" s="140">
        <f>INDEX('2018 Best Practice Scores'!M$4:M$255,MATCH(B106,'2018 Best Practice Scores'!A$4:A$255,0))</f>
        <v>0.57920535714285715</v>
      </c>
      <c r="M106" s="105">
        <f t="shared" si="23"/>
        <v>109612.18620464554</v>
      </c>
      <c r="N106" s="105">
        <f t="shared" si="24"/>
        <v>26972.099561460484</v>
      </c>
      <c r="O106" s="105">
        <f t="shared" si="25"/>
        <v>19046.389637361321</v>
      </c>
      <c r="P106" s="105">
        <f t="shared" si="26"/>
        <v>6248.5276229885922</v>
      </c>
      <c r="Q106" s="105">
        <f t="shared" si="27"/>
        <v>161879.20302645591</v>
      </c>
      <c r="R106" s="112">
        <f t="shared" si="28"/>
        <v>0.32541648112419508</v>
      </c>
      <c r="S106" s="175">
        <f t="shared" si="29"/>
        <v>161879.20302645591</v>
      </c>
      <c r="T106" s="105"/>
      <c r="U106" s="105">
        <f>IFERROR(INDEX('Revised 2019 MFAM(2017 PYAs)'!AD$26:AD$270,MATCH(B106,'Revised 2019 MFAM(2017 PYAs)'!B$26:B$270,0)),0)</f>
        <v>0</v>
      </c>
      <c r="V106" s="105">
        <f>IFERROR(INDEX('Revised 2018 MFAM(2016 PYAs)'!AF$26:AF$266,MATCH(B106,'Revised 2018 MFAM(2016 PYAs)'!B$26:B$266,0)),0)</f>
        <v>0</v>
      </c>
      <c r="W106" s="105">
        <f t="shared" si="30"/>
        <v>6.1327031869384561</v>
      </c>
      <c r="X106" s="105">
        <f t="shared" si="31"/>
        <v>6.1327031869384561</v>
      </c>
      <c r="Y106" s="105"/>
      <c r="Z106" s="106">
        <f t="shared" si="32"/>
        <v>161885.33572964286</v>
      </c>
      <c r="AA106" s="107">
        <v>0</v>
      </c>
      <c r="AB106" s="108">
        <f t="shared" si="33"/>
        <v>0</v>
      </c>
      <c r="AC106" s="108">
        <f>IFERROR(INDEX('Revised 2019 MFAM(2017 PYAs)'!AF$26:AF$270,MATCH(B106,'Revised 2019 MFAM(2017 PYAs)'!B$26:B$270,0)),0)</f>
        <v>0</v>
      </c>
      <c r="AD106" s="216">
        <f>AC106/AC$24*('Revised 2019 MFAM(2017 PYAs)'!AF$24-'2020 Funding'!AC$24)</f>
        <v>0</v>
      </c>
      <c r="AE106" s="105">
        <f t="shared" si="34"/>
        <v>161885.33572964286</v>
      </c>
      <c r="AF106" s="111"/>
      <c r="AG106" s="105">
        <v>41862.451393159608</v>
      </c>
      <c r="AH106" s="214">
        <v>41862.451393159608</v>
      </c>
      <c r="AI106" s="105">
        <v>41862.451393159608</v>
      </c>
      <c r="AJ106" s="105">
        <f t="shared" si="35"/>
        <v>36297.981550164048</v>
      </c>
    </row>
    <row r="107" spans="2:36" x14ac:dyDescent="0.25">
      <c r="B107">
        <v>811</v>
      </c>
      <c r="C107" s="27">
        <v>6</v>
      </c>
      <c r="D107" s="39" t="s">
        <v>379</v>
      </c>
      <c r="E107" s="162">
        <f>INDEX('2018 Data Lockdown'!H$5:H$255, MATCH(B107,'2018 Data Lockdown'!B$5:B$255,0))</f>
        <v>746.28568297723302</v>
      </c>
      <c r="F107" s="5">
        <f>INDEX('2018 Data Lockdown'!E$5:E$255,MATCH(B107,'2018 Data Lockdown'!B$5:B$255,0))</f>
        <v>505579.98</v>
      </c>
      <c r="G107" s="5">
        <f>INDEX('2018 Data Lockdown'!F$5:F$255, MATCH(B107,'2018 Data Lockdown'!B$5:B$255,0))</f>
        <v>3403.13</v>
      </c>
      <c r="H107" s="5">
        <f t="shared" si="19"/>
        <v>502176.85</v>
      </c>
      <c r="I107" s="103">
        <f t="shared" si="20"/>
        <v>672.9016266218789</v>
      </c>
      <c r="J107" s="6">
        <f t="shared" si="21"/>
        <v>672.9016266218789</v>
      </c>
      <c r="K107" s="5">
        <f t="shared" si="22"/>
        <v>502176.84999999992</v>
      </c>
      <c r="L107" s="140">
        <f>INDEX('2018 Best Practice Scores'!M$4:M$255,MATCH(B107,'2018 Best Practice Scores'!A$4:A$255,0))</f>
        <v>0.59270238095238093</v>
      </c>
      <c r="M107" s="105">
        <f t="shared" si="23"/>
        <v>110653.20943858453</v>
      </c>
      <c r="N107" s="105">
        <f t="shared" si="24"/>
        <v>42174.326242505544</v>
      </c>
      <c r="O107" s="105">
        <f t="shared" si="25"/>
        <v>19675.326208281454</v>
      </c>
      <c r="P107" s="105">
        <f t="shared" si="26"/>
        <v>6307.8719592223042</v>
      </c>
      <c r="Q107" s="105">
        <f t="shared" si="27"/>
        <v>178810.73384859384</v>
      </c>
      <c r="R107" s="112">
        <f t="shared" si="28"/>
        <v>0.35607124033812765</v>
      </c>
      <c r="S107" s="175">
        <f t="shared" si="29"/>
        <v>178810.73384859384</v>
      </c>
      <c r="T107" s="105"/>
      <c r="U107" s="105">
        <f>IFERROR(INDEX('Revised 2019 MFAM(2017 PYAs)'!AD$26:AD$270,MATCH(B107,'Revised 2019 MFAM(2017 PYAs)'!B$26:B$270,0)),0)</f>
        <v>2778.7650123532803</v>
      </c>
      <c r="V107" s="105">
        <f>IFERROR(INDEX('Revised 2018 MFAM(2016 PYAs)'!AF$26:AF$266,MATCH(B107,'Revised 2018 MFAM(2016 PYAs)'!B$26:B$266,0)),0)</f>
        <v>3699.6316856787598</v>
      </c>
      <c r="W107" s="105">
        <f t="shared" si="30"/>
        <v>6.7741447748100123</v>
      </c>
      <c r="X107" s="105">
        <f t="shared" si="31"/>
        <v>6485.1708428068505</v>
      </c>
      <c r="Y107" s="105"/>
      <c r="Z107" s="106">
        <f t="shared" si="32"/>
        <v>185295.90469140068</v>
      </c>
      <c r="AA107" s="107">
        <v>0</v>
      </c>
      <c r="AB107" s="108">
        <f t="shared" si="33"/>
        <v>0</v>
      </c>
      <c r="AC107" s="108">
        <f>IFERROR(INDEX('Revised 2019 MFAM(2017 PYAs)'!AF$26:AF$270,MATCH(B107,'Revised 2019 MFAM(2017 PYAs)'!B$26:B$270,0)),0)</f>
        <v>347.8135120472574</v>
      </c>
      <c r="AD107" s="216">
        <f>AC107/AC$24*('Revised 2019 MFAM(2017 PYAs)'!AF$24-'2020 Funding'!AC$24)</f>
        <v>0.31867346290321696</v>
      </c>
      <c r="AE107" s="105">
        <f t="shared" si="34"/>
        <v>185644.03687691083</v>
      </c>
      <c r="AF107" s="111"/>
      <c r="AG107" s="105">
        <v>47860.293020791498</v>
      </c>
      <c r="AH107" s="214">
        <v>47860.293020791498</v>
      </c>
      <c r="AI107" s="105">
        <v>47860.293020791498</v>
      </c>
      <c r="AJ107" s="105">
        <f t="shared" si="35"/>
        <v>42063.157814536353</v>
      </c>
    </row>
    <row r="108" spans="2:36" x14ac:dyDescent="0.25">
      <c r="B108">
        <v>824</v>
      </c>
      <c r="C108" s="27">
        <v>6</v>
      </c>
      <c r="D108" s="39" t="s">
        <v>380</v>
      </c>
      <c r="E108" s="162">
        <f>INDEX('2018 Data Lockdown'!H$5:H$255, MATCH(B108,'2018 Data Lockdown'!B$5:B$255,0))</f>
        <v>35.809199999999997</v>
      </c>
      <c r="F108" s="5">
        <f>INDEX('2018 Data Lockdown'!E$5:E$255,MATCH(B108,'2018 Data Lockdown'!B$5:B$255,0))</f>
        <v>54369.59</v>
      </c>
      <c r="G108" s="5">
        <f>INDEX('2018 Data Lockdown'!F$5:F$255, MATCH(B108,'2018 Data Lockdown'!B$5:B$255,0))</f>
        <v>0</v>
      </c>
      <c r="H108" s="5">
        <f t="shared" si="19"/>
        <v>54369.59</v>
      </c>
      <c r="I108" s="103">
        <f t="shared" si="20"/>
        <v>1518.3134501748154</v>
      </c>
      <c r="J108" s="6">
        <f t="shared" si="21"/>
        <v>1287.7074365492217</v>
      </c>
      <c r="K108" s="5">
        <f t="shared" si="22"/>
        <v>46111.773136878386</v>
      </c>
      <c r="L108" s="140">
        <f>INDEX('2018 Best Practice Scores'!M$4:M$255,MATCH(B108,'2018 Best Practice Scores'!A$4:A$255,0))</f>
        <v>0.27851785714285715</v>
      </c>
      <c r="M108" s="105">
        <f t="shared" si="23"/>
        <v>10160.595197686833</v>
      </c>
      <c r="N108" s="105">
        <f t="shared" si="24"/>
        <v>2023.6605334008561</v>
      </c>
      <c r="O108" s="105">
        <f t="shared" si="25"/>
        <v>848.9721605267224</v>
      </c>
      <c r="P108" s="105">
        <f t="shared" si="26"/>
        <v>579.21260360794315</v>
      </c>
      <c r="Q108" s="105">
        <f t="shared" si="27"/>
        <v>13612.440495222354</v>
      </c>
      <c r="R108" s="112">
        <f t="shared" si="28"/>
        <v>0.29520531459102922</v>
      </c>
      <c r="S108" s="175">
        <f t="shared" si="29"/>
        <v>13612.440495222354</v>
      </c>
      <c r="T108" s="105"/>
      <c r="U108" s="105">
        <f>IFERROR(INDEX('Revised 2019 MFAM(2017 PYAs)'!AD$26:AD$270,MATCH(B108,'Revised 2019 MFAM(2017 PYAs)'!B$26:B$270,0)),0)</f>
        <v>211.94827593402988</v>
      </c>
      <c r="V108" s="105">
        <f>IFERROR(INDEX('Revised 2018 MFAM(2016 PYAs)'!AF$26:AF$266,MATCH(B108,'Revised 2018 MFAM(2016 PYAs)'!B$26:B$266,0)),0)</f>
        <v>119.07254539036694</v>
      </c>
      <c r="W108" s="105">
        <f t="shared" si="30"/>
        <v>0.51569970475711391</v>
      </c>
      <c r="X108" s="105">
        <f t="shared" si="31"/>
        <v>331.53652102915396</v>
      </c>
      <c r="Y108" s="105"/>
      <c r="Z108" s="106">
        <f t="shared" si="32"/>
        <v>13943.977016251509</v>
      </c>
      <c r="AA108" s="107">
        <v>0</v>
      </c>
      <c r="AB108" s="108">
        <f t="shared" si="33"/>
        <v>0</v>
      </c>
      <c r="AC108" s="108">
        <f>IFERROR(INDEX('Revised 2019 MFAM(2017 PYAs)'!AF$26:AF$270,MATCH(B108,'Revised 2019 MFAM(2017 PYAs)'!B$26:B$270,0)),0)</f>
        <v>19.920575839271571</v>
      </c>
      <c r="AD108" s="216">
        <f>AC108/AC$24*('Revised 2019 MFAM(2017 PYAs)'!AF$24-'2020 Funding'!AC$24)</f>
        <v>1.8251616644681432E-2</v>
      </c>
      <c r="AE108" s="105">
        <f t="shared" si="34"/>
        <v>13963.915843707424</v>
      </c>
      <c r="AF108" s="111"/>
      <c r="AG108" s="105">
        <v>3603.0008638673298</v>
      </c>
      <c r="AH108" s="214">
        <v>3603.0008638673298</v>
      </c>
      <c r="AI108" s="105">
        <v>3603.0008638673298</v>
      </c>
      <c r="AJ108" s="105">
        <f t="shared" si="35"/>
        <v>3154.9132521054344</v>
      </c>
    </row>
    <row r="109" spans="2:36" x14ac:dyDescent="0.25">
      <c r="B109">
        <v>826</v>
      </c>
      <c r="C109" s="27">
        <v>6</v>
      </c>
      <c r="D109" s="39" t="s">
        <v>381</v>
      </c>
      <c r="E109" s="162">
        <f>INDEX('2018 Data Lockdown'!H$5:H$255, MATCH(B109,'2018 Data Lockdown'!B$5:B$255,0))</f>
        <v>41.71</v>
      </c>
      <c r="F109" s="5">
        <f>INDEX('2018 Data Lockdown'!E$5:E$255,MATCH(B109,'2018 Data Lockdown'!B$5:B$255,0))</f>
        <v>33872.559999999998</v>
      </c>
      <c r="G109" s="5">
        <f>INDEX('2018 Data Lockdown'!F$5:F$255, MATCH(B109,'2018 Data Lockdown'!B$5:B$255,0))</f>
        <v>0</v>
      </c>
      <c r="H109" s="5">
        <f t="shared" si="19"/>
        <v>33872.559999999998</v>
      </c>
      <c r="I109" s="103">
        <f t="shared" si="20"/>
        <v>812.09685926636291</v>
      </c>
      <c r="J109" s="6">
        <f t="shared" si="21"/>
        <v>812.09685926636291</v>
      </c>
      <c r="K109" s="5">
        <f t="shared" si="22"/>
        <v>33872.559999999998</v>
      </c>
      <c r="L109" s="140">
        <f>INDEX('2018 Best Practice Scores'!M$4:M$255,MATCH(B109,'2018 Best Practice Scores'!A$4:A$255,0))</f>
        <v>0.54403422619047614</v>
      </c>
      <c r="M109" s="105">
        <f t="shared" si="23"/>
        <v>7463.7201533703146</v>
      </c>
      <c r="N109" s="105">
        <f t="shared" si="24"/>
        <v>2357.1283594201968</v>
      </c>
      <c r="O109" s="105">
        <f t="shared" si="25"/>
        <v>1218.1557654423241</v>
      </c>
      <c r="P109" s="105">
        <f t="shared" si="26"/>
        <v>425.47515165439245</v>
      </c>
      <c r="Q109" s="105">
        <f t="shared" si="27"/>
        <v>11464.479429887228</v>
      </c>
      <c r="R109" s="112">
        <f t="shared" si="28"/>
        <v>0.33845919617198195</v>
      </c>
      <c r="S109" s="175">
        <f t="shared" si="29"/>
        <v>11464.479429887228</v>
      </c>
      <c r="T109" s="105"/>
      <c r="U109" s="105">
        <f>IFERROR(INDEX('Revised 2019 MFAM(2017 PYAs)'!AD$26:AD$270,MATCH(B109,'Revised 2019 MFAM(2017 PYAs)'!B$26:B$270,0)),0)</f>
        <v>150.60908637459761</v>
      </c>
      <c r="V109" s="105">
        <f>IFERROR(INDEX('Revised 2018 MFAM(2016 PYAs)'!AF$26:AF$266,MATCH(B109,'Revised 2018 MFAM(2016 PYAs)'!B$26:B$266,0)),0)</f>
        <v>-147.42609103084396</v>
      </c>
      <c r="W109" s="105">
        <f t="shared" si="30"/>
        <v>0.43432539956827743</v>
      </c>
      <c r="X109" s="105">
        <f t="shared" si="31"/>
        <v>3.6173207433219234</v>
      </c>
      <c r="Y109" s="105"/>
      <c r="Z109" s="106">
        <f t="shared" si="32"/>
        <v>11468.09675063055</v>
      </c>
      <c r="AA109" s="107">
        <v>0</v>
      </c>
      <c r="AB109" s="108">
        <f t="shared" si="33"/>
        <v>0</v>
      </c>
      <c r="AC109" s="108">
        <f>IFERROR(INDEX('Revised 2019 MFAM(2017 PYAs)'!AF$26:AF$270,MATCH(B109,'Revised 2019 MFAM(2017 PYAs)'!B$26:B$270,0)),0)</f>
        <v>18.991649342694043</v>
      </c>
      <c r="AD109" s="216">
        <f>AC109/AC$24*('Revised 2019 MFAM(2017 PYAs)'!AF$24-'2020 Funding'!AC$24)</f>
        <v>1.7400516232553988E-2</v>
      </c>
      <c r="AE109" s="105">
        <f t="shared" si="34"/>
        <v>11487.105800489475</v>
      </c>
      <c r="AF109" s="111"/>
      <c r="AG109" s="105">
        <v>2965.5361110676909</v>
      </c>
      <c r="AH109" s="214">
        <v>2965.5361110676909</v>
      </c>
      <c r="AI109" s="105">
        <v>2965.5361110676909</v>
      </c>
      <c r="AJ109" s="105">
        <f t="shared" si="35"/>
        <v>2590.4974672864014</v>
      </c>
    </row>
    <row r="110" spans="2:36" x14ac:dyDescent="0.25">
      <c r="B110">
        <v>840</v>
      </c>
      <c r="C110" s="27">
        <v>6</v>
      </c>
      <c r="D110" s="39" t="s">
        <v>382</v>
      </c>
      <c r="E110" s="162">
        <f>INDEX('2018 Data Lockdown'!H$5:H$255, MATCH(B110,'2018 Data Lockdown'!B$5:B$255,0))</f>
        <v>161.72</v>
      </c>
      <c r="F110" s="5">
        <f>INDEX('2018 Data Lockdown'!E$5:E$255,MATCH(B110,'2018 Data Lockdown'!B$5:B$255,0))</f>
        <v>88518.53</v>
      </c>
      <c r="G110" s="5">
        <f>INDEX('2018 Data Lockdown'!F$5:F$255, MATCH(B110,'2018 Data Lockdown'!B$5:B$255,0))</f>
        <v>0</v>
      </c>
      <c r="H110" s="5">
        <f t="shared" si="19"/>
        <v>88518.53</v>
      </c>
      <c r="I110" s="103">
        <f t="shared" si="20"/>
        <v>547.35672767746723</v>
      </c>
      <c r="J110" s="6">
        <f t="shared" si="21"/>
        <v>547.35672767746723</v>
      </c>
      <c r="K110" s="5">
        <f t="shared" si="22"/>
        <v>88518.53</v>
      </c>
      <c r="L110" s="140">
        <f>INDEX('2018 Best Practice Scores'!M$4:M$255,MATCH(B110,'2018 Best Practice Scores'!A$4:A$255,0))</f>
        <v>0.48061904761904756</v>
      </c>
      <c r="M110" s="105">
        <f t="shared" si="23"/>
        <v>19504.800827209834</v>
      </c>
      <c r="N110" s="105">
        <f t="shared" si="24"/>
        <v>9139.1704216119451</v>
      </c>
      <c r="O110" s="105">
        <f t="shared" si="25"/>
        <v>2812.3136392718407</v>
      </c>
      <c r="P110" s="105">
        <f t="shared" si="26"/>
        <v>1111.8862871886238</v>
      </c>
      <c r="Q110" s="105">
        <f t="shared" si="27"/>
        <v>32568.171175282241</v>
      </c>
      <c r="R110" s="112">
        <f t="shared" si="28"/>
        <v>0.367924898609164</v>
      </c>
      <c r="S110" s="175">
        <f t="shared" si="29"/>
        <v>32568.171175282241</v>
      </c>
      <c r="T110" s="105"/>
      <c r="U110" s="105">
        <f>IFERROR(INDEX('Revised 2019 MFAM(2017 PYAs)'!AD$26:AD$270,MATCH(B110,'Revised 2019 MFAM(2017 PYAs)'!B$26:B$270,0)),0)</f>
        <v>463.35029569738981</v>
      </c>
      <c r="V110" s="105">
        <f>IFERROR(INDEX('Revised 2018 MFAM(2016 PYAs)'!AF$26:AF$266,MATCH(B110,'Revised 2018 MFAM(2016 PYAs)'!B$26:B$266,0)),0)</f>
        <v>798.78548390460128</v>
      </c>
      <c r="W110" s="105">
        <f t="shared" si="30"/>
        <v>1.2338269736030794</v>
      </c>
      <c r="X110" s="105">
        <f t="shared" si="31"/>
        <v>1263.3696065755942</v>
      </c>
      <c r="Y110" s="105"/>
      <c r="Z110" s="106">
        <f t="shared" si="32"/>
        <v>33831.540781857839</v>
      </c>
      <c r="AA110" s="107">
        <v>0</v>
      </c>
      <c r="AB110" s="108">
        <f t="shared" si="33"/>
        <v>0</v>
      </c>
      <c r="AC110" s="108">
        <f>IFERROR(INDEX('Revised 2019 MFAM(2017 PYAs)'!AF$26:AF$270,MATCH(B110,'Revised 2019 MFAM(2017 PYAs)'!B$26:B$270,0)),0)</f>
        <v>60.509565062884263</v>
      </c>
      <c r="AD110" s="216">
        <f>AC110/AC$24*('Revised 2019 MFAM(2017 PYAs)'!AF$24-'2020 Funding'!AC$24)</f>
        <v>5.5440033148386969E-2</v>
      </c>
      <c r="AE110" s="105">
        <f t="shared" si="34"/>
        <v>33892.105786953871</v>
      </c>
      <c r="AF110" s="111"/>
      <c r="AG110" s="105">
        <v>8737.6875222973267</v>
      </c>
      <c r="AH110" s="214">
        <v>8737.6875222973267</v>
      </c>
      <c r="AI110" s="105">
        <v>8737.6875222973267</v>
      </c>
      <c r="AJ110" s="105">
        <f t="shared" si="35"/>
        <v>7679.0432200618943</v>
      </c>
    </row>
    <row r="111" spans="2:36" x14ac:dyDescent="0.25">
      <c r="B111">
        <v>843</v>
      </c>
      <c r="C111" s="27">
        <v>6</v>
      </c>
      <c r="D111" s="39" t="s">
        <v>383</v>
      </c>
      <c r="E111" s="162">
        <f>INDEX('2018 Data Lockdown'!H$5:H$255, MATCH(B111,'2018 Data Lockdown'!B$5:B$255,0))</f>
        <v>19.13961999514169</v>
      </c>
      <c r="F111" s="5">
        <f>INDEX('2018 Data Lockdown'!E$5:E$255,MATCH(B111,'2018 Data Lockdown'!B$5:B$255,0))</f>
        <v>32653.86</v>
      </c>
      <c r="G111" s="5">
        <f>INDEX('2018 Data Lockdown'!F$5:F$255, MATCH(B111,'2018 Data Lockdown'!B$5:B$255,0))</f>
        <v>0</v>
      </c>
      <c r="H111" s="5">
        <f t="shared" si="19"/>
        <v>32653.86</v>
      </c>
      <c r="I111" s="103">
        <f t="shared" si="20"/>
        <v>1706.0871641280601</v>
      </c>
      <c r="J111" s="6">
        <f t="shared" si="21"/>
        <v>1287.7074365492217</v>
      </c>
      <c r="K111" s="5">
        <f t="shared" si="22"/>
        <v>24646.231000470132</v>
      </c>
      <c r="L111" s="140">
        <f>INDEX('2018 Best Practice Scores'!M$4:M$255,MATCH(B111,'2018 Best Practice Scores'!A$4:A$255,0))</f>
        <v>0.19537500000000002</v>
      </c>
      <c r="M111" s="105">
        <f t="shared" si="23"/>
        <v>5430.72537247935</v>
      </c>
      <c r="N111" s="105">
        <f t="shared" si="24"/>
        <v>1081.6240968370732</v>
      </c>
      <c r="O111" s="105">
        <f t="shared" si="25"/>
        <v>318.30839089444589</v>
      </c>
      <c r="P111" s="105">
        <f t="shared" si="26"/>
        <v>309.58270861825082</v>
      </c>
      <c r="Q111" s="105">
        <f t="shared" si="27"/>
        <v>7140.2405688291201</v>
      </c>
      <c r="R111" s="112">
        <f t="shared" si="28"/>
        <v>0.28970922851014902</v>
      </c>
      <c r="S111" s="175">
        <f t="shared" si="29"/>
        <v>7140.2405688291201</v>
      </c>
      <c r="T111" s="105"/>
      <c r="U111" s="105">
        <f>IFERROR(INDEX('Revised 2019 MFAM(2017 PYAs)'!AD$26:AD$270,MATCH(B111,'Revised 2019 MFAM(2017 PYAs)'!B$26:B$270,0)),0)</f>
        <v>127.34785360150636</v>
      </c>
      <c r="V111" s="105">
        <f>IFERROR(INDEX('Revised 2018 MFAM(2016 PYAs)'!AF$26:AF$266,MATCH(B111,'Revised 2018 MFAM(2016 PYAs)'!B$26:B$266,0)),0)</f>
        <v>159.80113874829658</v>
      </c>
      <c r="W111" s="105">
        <f t="shared" si="30"/>
        <v>0.27050402567653586</v>
      </c>
      <c r="X111" s="105">
        <f t="shared" si="31"/>
        <v>287.41949637547947</v>
      </c>
      <c r="Y111" s="105"/>
      <c r="Z111" s="106">
        <f t="shared" si="32"/>
        <v>7427.6600652046</v>
      </c>
      <c r="AA111" s="107">
        <v>0</v>
      </c>
      <c r="AB111" s="108">
        <f t="shared" si="33"/>
        <v>0</v>
      </c>
      <c r="AC111" s="108">
        <f>IFERROR(INDEX('Revised 2019 MFAM(2017 PYAs)'!AF$26:AF$270,MATCH(B111,'Revised 2019 MFAM(2017 PYAs)'!B$26:B$270,0)),0)</f>
        <v>12.050558613890585</v>
      </c>
      <c r="AD111" s="216">
        <f>AC111/AC$24*('Revised 2019 MFAM(2017 PYAs)'!AF$24-'2020 Funding'!AC$24)</f>
        <v>1.1040954736930796E-2</v>
      </c>
      <c r="AE111" s="105">
        <f t="shared" si="34"/>
        <v>7439.7216647732275</v>
      </c>
      <c r="AF111" s="111"/>
      <c r="AG111" s="105">
        <v>1918.2923497264221</v>
      </c>
      <c r="AH111" s="214">
        <v>1918.2923497264221</v>
      </c>
      <c r="AI111" s="105">
        <v>1918.2923497264221</v>
      </c>
      <c r="AJ111" s="105">
        <f t="shared" si="35"/>
        <v>1684.8446155939616</v>
      </c>
    </row>
    <row r="112" spans="2:36" x14ac:dyDescent="0.25">
      <c r="B112">
        <v>846</v>
      </c>
      <c r="C112" s="27">
        <v>6</v>
      </c>
      <c r="D112" s="39" t="s">
        <v>384</v>
      </c>
      <c r="E112" s="162">
        <f>INDEX('2018 Data Lockdown'!H$5:H$255, MATCH(B112,'2018 Data Lockdown'!B$5:B$255,0))</f>
        <v>24.91</v>
      </c>
      <c r="F112" s="5">
        <f>INDEX('2018 Data Lockdown'!E$5:E$255,MATCH(B112,'2018 Data Lockdown'!B$5:B$255,0))</f>
        <v>42522.03</v>
      </c>
      <c r="G112" s="5">
        <f>INDEX('2018 Data Lockdown'!F$5:F$255, MATCH(B112,'2018 Data Lockdown'!B$5:B$255,0))</f>
        <v>0</v>
      </c>
      <c r="H112" s="5">
        <f t="shared" si="19"/>
        <v>42522.03</v>
      </c>
      <c r="I112" s="103">
        <f t="shared" si="20"/>
        <v>1707.0264953833801</v>
      </c>
      <c r="J112" s="6">
        <f t="shared" si="21"/>
        <v>1287.7074365492217</v>
      </c>
      <c r="K112" s="5">
        <f t="shared" si="22"/>
        <v>32076.792244441112</v>
      </c>
      <c r="L112" s="140">
        <f>INDEX('2018 Best Practice Scores'!M$4:M$255,MATCH(B112,'2018 Best Practice Scores'!A$4:A$255,0))</f>
        <v>0.23694642857142856</v>
      </c>
      <c r="M112" s="105">
        <f t="shared" si="23"/>
        <v>7068.0279474095769</v>
      </c>
      <c r="N112" s="105">
        <f t="shared" si="24"/>
        <v>1407.7215879443083</v>
      </c>
      <c r="O112" s="105">
        <f t="shared" si="25"/>
        <v>502.4231937545232</v>
      </c>
      <c r="P112" s="105">
        <f t="shared" si="26"/>
        <v>402.91841079593695</v>
      </c>
      <c r="Q112" s="105">
        <f t="shared" si="27"/>
        <v>9381.0911399043453</v>
      </c>
      <c r="R112" s="112">
        <f t="shared" si="28"/>
        <v>0.29245727155058909</v>
      </c>
      <c r="S112" s="175">
        <f t="shared" si="29"/>
        <v>9381.0911399043453</v>
      </c>
      <c r="T112" s="105"/>
      <c r="U112" s="105">
        <f>IFERROR(INDEX('Revised 2019 MFAM(2017 PYAs)'!AD$26:AD$270,MATCH(B112,'Revised 2019 MFAM(2017 PYAs)'!B$26:B$270,0)),0)</f>
        <v>134.40849009647809</v>
      </c>
      <c r="V112" s="105">
        <f>IFERROR(INDEX('Revised 2018 MFAM(2016 PYAs)'!AF$26:AF$266,MATCH(B112,'Revised 2018 MFAM(2016 PYAs)'!B$26:B$266,0)),0)</f>
        <v>95.253798193301918</v>
      </c>
      <c r="W112" s="105">
        <f t="shared" si="30"/>
        <v>0.35539739790570329</v>
      </c>
      <c r="X112" s="105">
        <f t="shared" si="31"/>
        <v>230.01768568768571</v>
      </c>
      <c r="Y112" s="105"/>
      <c r="Z112" s="106">
        <f t="shared" si="32"/>
        <v>9611.1088255920313</v>
      </c>
      <c r="AA112" s="107">
        <v>0</v>
      </c>
      <c r="AB112" s="108">
        <f t="shared" si="33"/>
        <v>0</v>
      </c>
      <c r="AC112" s="108">
        <f>IFERROR(INDEX('Revised 2019 MFAM(2017 PYAs)'!AF$26:AF$270,MATCH(B112,'Revised 2019 MFAM(2017 PYAs)'!B$26:B$270,0)),0)</f>
        <v>12.668981670216967</v>
      </c>
      <c r="AD112" s="216">
        <f>AC112/AC$24*('Revised 2019 MFAM(2017 PYAs)'!AF$24-'2020 Funding'!AC$24)</f>
        <v>1.1607565895130834E-2</v>
      </c>
      <c r="AE112" s="105">
        <f t="shared" si="34"/>
        <v>9623.789414828143</v>
      </c>
      <c r="AF112" s="111"/>
      <c r="AG112" s="105">
        <v>2483.4148901868816</v>
      </c>
      <c r="AH112" s="214">
        <v>2483.4148901868816</v>
      </c>
      <c r="AI112" s="105">
        <v>2483.4148901868816</v>
      </c>
      <c r="AJ112" s="105">
        <f t="shared" si="35"/>
        <v>2173.544744267499</v>
      </c>
    </row>
    <row r="113" spans="2:36" x14ac:dyDescent="0.25">
      <c r="B113">
        <v>888</v>
      </c>
      <c r="C113" s="27">
        <v>6</v>
      </c>
      <c r="D113" s="39" t="s">
        <v>385</v>
      </c>
      <c r="E113" s="162">
        <f>INDEX('2018 Data Lockdown'!H$5:H$255, MATCH(B113,'2018 Data Lockdown'!B$5:B$255,0))</f>
        <v>110.31234724977445</v>
      </c>
      <c r="F113" s="5">
        <f>INDEX('2018 Data Lockdown'!E$5:E$255,MATCH(B113,'2018 Data Lockdown'!B$5:B$255,0))</f>
        <v>48959.88</v>
      </c>
      <c r="G113" s="5">
        <f>INDEX('2018 Data Lockdown'!F$5:F$255, MATCH(B113,'2018 Data Lockdown'!B$5:B$255,0))</f>
        <v>0</v>
      </c>
      <c r="H113" s="5">
        <f t="shared" si="19"/>
        <v>48959.88</v>
      </c>
      <c r="I113" s="103">
        <f t="shared" si="20"/>
        <v>443.82955508273898</v>
      </c>
      <c r="J113" s="6">
        <f t="shared" si="21"/>
        <v>443.82955508273898</v>
      </c>
      <c r="K113" s="5">
        <f t="shared" si="22"/>
        <v>48959.88</v>
      </c>
      <c r="L113" s="140">
        <f>INDEX('2018 Best Practice Scores'!M$4:M$255,MATCH(B113,'2018 Best Practice Scores'!A$4:A$255,0))</f>
        <v>0.49433779761904761</v>
      </c>
      <c r="M113" s="105">
        <f t="shared" si="23"/>
        <v>10788.167267622883</v>
      </c>
      <c r="N113" s="105">
        <f t="shared" si="24"/>
        <v>6234.0053247818732</v>
      </c>
      <c r="O113" s="105">
        <f t="shared" si="25"/>
        <v>1599.8996542267782</v>
      </c>
      <c r="P113" s="105">
        <f t="shared" si="26"/>
        <v>614.98783581698149</v>
      </c>
      <c r="Q113" s="105">
        <f t="shared" si="27"/>
        <v>19237.060082448515</v>
      </c>
      <c r="R113" s="112">
        <f t="shared" si="28"/>
        <v>0.39291477189994167</v>
      </c>
      <c r="S113" s="175">
        <f t="shared" si="29"/>
        <v>19237.060082448515</v>
      </c>
      <c r="T113" s="105"/>
      <c r="U113" s="105">
        <f>IFERROR(INDEX('Revised 2019 MFAM(2017 PYAs)'!AD$26:AD$270,MATCH(B113,'Revised 2019 MFAM(2017 PYAs)'!B$26:B$270,0)),0)</f>
        <v>245.57481645383814</v>
      </c>
      <c r="V113" s="105">
        <f>IFERROR(INDEX('Revised 2018 MFAM(2016 PYAs)'!AF$26:AF$266,MATCH(B113,'Revised 2018 MFAM(2016 PYAs)'!B$26:B$266,0)),0)</f>
        <v>590.71389367400116</v>
      </c>
      <c r="W113" s="105">
        <f t="shared" si="30"/>
        <v>0.72878527611528876</v>
      </c>
      <c r="X113" s="105">
        <f t="shared" si="31"/>
        <v>837.01749540395463</v>
      </c>
      <c r="Y113" s="105"/>
      <c r="Z113" s="106">
        <f t="shared" si="32"/>
        <v>20074.077577852469</v>
      </c>
      <c r="AA113" s="107">
        <v>0</v>
      </c>
      <c r="AB113" s="108">
        <f t="shared" si="33"/>
        <v>0</v>
      </c>
      <c r="AC113" s="108">
        <f>IFERROR(INDEX('Revised 2019 MFAM(2017 PYAs)'!AF$26:AF$270,MATCH(B113,'Revised 2019 MFAM(2017 PYAs)'!B$26:B$270,0)),0)</f>
        <v>33.983274903058685</v>
      </c>
      <c r="AD113" s="216">
        <f>AC113/AC$24*('Revised 2019 MFAM(2017 PYAs)'!AF$24-'2020 Funding'!AC$24)</f>
        <v>3.1136133356079287E-2</v>
      </c>
      <c r="AE113" s="105">
        <f t="shared" si="34"/>
        <v>20108.091988888882</v>
      </c>
      <c r="AF113" s="111"/>
      <c r="AG113" s="105">
        <v>5183.7691204496896</v>
      </c>
      <c r="AH113" s="214">
        <v>5183.7691204496896</v>
      </c>
      <c r="AI113" s="105">
        <v>5183.7691204496896</v>
      </c>
      <c r="AJ113" s="105">
        <f t="shared" si="35"/>
        <v>4556.7846275398133</v>
      </c>
    </row>
    <row r="114" spans="2:36" x14ac:dyDescent="0.25">
      <c r="B114">
        <v>889</v>
      </c>
      <c r="C114" s="27">
        <v>6</v>
      </c>
      <c r="D114" s="39" t="s">
        <v>386</v>
      </c>
      <c r="E114" s="162">
        <f>INDEX('2018 Data Lockdown'!H$5:H$255, MATCH(B114,'2018 Data Lockdown'!B$5:B$255,0))</f>
        <v>36.972175568059775</v>
      </c>
      <c r="F114" s="5">
        <f>INDEX('2018 Data Lockdown'!E$5:E$255,MATCH(B114,'2018 Data Lockdown'!B$5:B$255,0))</f>
        <v>50376.82</v>
      </c>
      <c r="G114" s="5">
        <f>INDEX('2018 Data Lockdown'!F$5:F$255, MATCH(B114,'2018 Data Lockdown'!B$5:B$255,0))</f>
        <v>0</v>
      </c>
      <c r="H114" s="5">
        <f t="shared" si="19"/>
        <v>50376.82</v>
      </c>
      <c r="I114" s="103">
        <f t="shared" si="20"/>
        <v>1362.5603369556777</v>
      </c>
      <c r="J114" s="6">
        <f t="shared" si="21"/>
        <v>1287.7074365492217</v>
      </c>
      <c r="K114" s="5">
        <f t="shared" si="22"/>
        <v>47609.345424394021</v>
      </c>
      <c r="L114" s="140">
        <f>INDEX('2018 Best Practice Scores'!M$4:M$255,MATCH(B114,'2018 Best Practice Scores'!A$4:A$255,0))</f>
        <v>0.4957395833333334</v>
      </c>
      <c r="M114" s="105">
        <f t="shared" si="23"/>
        <v>10490.580898899239</v>
      </c>
      <c r="N114" s="105">
        <f t="shared" si="24"/>
        <v>2089.3829666971046</v>
      </c>
      <c r="O114" s="105">
        <f t="shared" si="25"/>
        <v>1560.1788611234804</v>
      </c>
      <c r="P114" s="105">
        <f t="shared" si="26"/>
        <v>598.02369424130927</v>
      </c>
      <c r="Q114" s="105">
        <f t="shared" si="27"/>
        <v>14738.166420961134</v>
      </c>
      <c r="R114" s="112">
        <f t="shared" si="28"/>
        <v>0.30956456740969196</v>
      </c>
      <c r="S114" s="175">
        <f t="shared" si="29"/>
        <v>14738.166420961134</v>
      </c>
      <c r="T114" s="105"/>
      <c r="U114" s="105">
        <f>IFERROR(INDEX('Revised 2019 MFAM(2017 PYAs)'!AD$26:AD$270,MATCH(B114,'Revised 2019 MFAM(2017 PYAs)'!B$26:B$270,0)),0)</f>
        <v>1412.6143578715109</v>
      </c>
      <c r="V114" s="105">
        <f>IFERROR(INDEX('Revised 2018 MFAM(2016 PYAs)'!AF$26:AF$266,MATCH(B114,'Revised 2018 MFAM(2016 PYAs)'!B$26:B$266,0)),0)</f>
        <v>180.95079235829871</v>
      </c>
      <c r="W114" s="105">
        <f t="shared" si="30"/>
        <v>0.55834720266497784</v>
      </c>
      <c r="X114" s="105">
        <f t="shared" si="31"/>
        <v>1594.1234974324746</v>
      </c>
      <c r="Y114" s="105"/>
      <c r="Z114" s="106">
        <f t="shared" si="32"/>
        <v>16332.289918393608</v>
      </c>
      <c r="AA114" s="107">
        <v>0</v>
      </c>
      <c r="AB114" s="108">
        <f t="shared" si="33"/>
        <v>0</v>
      </c>
      <c r="AC114" s="108">
        <f>IFERROR(INDEX('Revised 2019 MFAM(2017 PYAs)'!AF$26:AF$270,MATCH(B114,'Revised 2019 MFAM(2017 PYAs)'!B$26:B$270,0)),0)</f>
        <v>21.153970021185316</v>
      </c>
      <c r="AD114" s="216">
        <f>AC114/AC$24*('Revised 2019 MFAM(2017 PYAs)'!AF$24-'2020 Funding'!AC$24)</f>
        <v>1.938167623541329E-2</v>
      </c>
      <c r="AE114" s="105">
        <f t="shared" si="34"/>
        <v>16353.463270091028</v>
      </c>
      <c r="AF114" s="111"/>
      <c r="AG114" s="105">
        <v>4209.7405250642769</v>
      </c>
      <c r="AH114" s="214">
        <v>4209.7405250642769</v>
      </c>
      <c r="AI114" s="105">
        <v>4209.7405250642769</v>
      </c>
      <c r="AJ114" s="105">
        <f t="shared" si="35"/>
        <v>3724.2416948981972</v>
      </c>
    </row>
    <row r="115" spans="2:36" x14ac:dyDescent="0.25">
      <c r="B115">
        <v>891</v>
      </c>
      <c r="C115" s="27">
        <v>6</v>
      </c>
      <c r="D115" s="39" t="s">
        <v>387</v>
      </c>
      <c r="E115" s="162">
        <f>INDEX('2018 Data Lockdown'!H$5:H$255, MATCH(B115,'2018 Data Lockdown'!B$5:B$255,0))</f>
        <v>291.67983388429468</v>
      </c>
      <c r="F115" s="5">
        <f>INDEX('2018 Data Lockdown'!E$5:E$255,MATCH(B115,'2018 Data Lockdown'!B$5:B$255,0))</f>
        <v>78385.320000000007</v>
      </c>
      <c r="G115" s="5">
        <f>INDEX('2018 Data Lockdown'!F$5:F$255, MATCH(B115,'2018 Data Lockdown'!B$5:B$255,0))</f>
        <v>0</v>
      </c>
      <c r="H115" s="5">
        <f t="shared" si="19"/>
        <v>78385.320000000007</v>
      </c>
      <c r="I115" s="103">
        <f t="shared" si="20"/>
        <v>268.73753648356222</v>
      </c>
      <c r="J115" s="6">
        <f t="shared" si="21"/>
        <v>268.73753648356222</v>
      </c>
      <c r="K115" s="5">
        <f t="shared" si="22"/>
        <v>78385.320000000007</v>
      </c>
      <c r="L115" s="140">
        <f>INDEX('2018 Best Practice Scores'!M$4:M$255,MATCH(B115,'2018 Best Practice Scores'!A$4:A$255,0))</f>
        <v>0.47252976190476192</v>
      </c>
      <c r="M115" s="105">
        <f t="shared" si="23"/>
        <v>17271.977453501633</v>
      </c>
      <c r="N115" s="105">
        <f t="shared" si="24"/>
        <v>16483.500559089978</v>
      </c>
      <c r="O115" s="105">
        <f t="shared" si="25"/>
        <v>2448.4570181182626</v>
      </c>
      <c r="P115" s="105">
        <f t="shared" si="26"/>
        <v>984.60246035369289</v>
      </c>
      <c r="Q115" s="105">
        <f t="shared" si="27"/>
        <v>37188.537491063573</v>
      </c>
      <c r="R115" s="112">
        <f t="shared" si="28"/>
        <v>0.47443242549834036</v>
      </c>
      <c r="S115" s="175">
        <f t="shared" si="29"/>
        <v>37188.537491063573</v>
      </c>
      <c r="T115" s="105"/>
      <c r="U115" s="105">
        <f>IFERROR(INDEX('Revised 2019 MFAM(2017 PYAs)'!AD$26:AD$270,MATCH(B115,'Revised 2019 MFAM(2017 PYAs)'!B$26:B$270,0)),0)</f>
        <v>472.17946552858484</v>
      </c>
      <c r="V115" s="105">
        <f>IFERROR(INDEX('Revised 2018 MFAM(2016 PYAs)'!AF$26:AF$266,MATCH(B115,'Revised 2018 MFAM(2016 PYAs)'!B$26:B$266,0)),0)</f>
        <v>686.99185545319779</v>
      </c>
      <c r="W115" s="105">
        <f t="shared" si="30"/>
        <v>1.4088669707111972</v>
      </c>
      <c r="X115" s="105">
        <f t="shared" si="31"/>
        <v>1160.5801879524938</v>
      </c>
      <c r="Y115" s="105"/>
      <c r="Z115" s="106">
        <f t="shared" si="32"/>
        <v>38349.117679016068</v>
      </c>
      <c r="AA115" s="107">
        <v>0</v>
      </c>
      <c r="AB115" s="108">
        <f t="shared" si="33"/>
        <v>0</v>
      </c>
      <c r="AC115" s="108">
        <f>IFERROR(INDEX('Revised 2019 MFAM(2017 PYAs)'!AF$26:AF$270,MATCH(B115,'Revised 2019 MFAM(2017 PYAs)'!B$26:B$270,0)),0)</f>
        <v>81.265205466368428</v>
      </c>
      <c r="AD115" s="216">
        <f>AC115/AC$24*('Revised 2019 MFAM(2017 PYAs)'!AF$24-'2020 Funding'!AC$24)</f>
        <v>7.4456752088430736E-2</v>
      </c>
      <c r="AE115" s="105">
        <f t="shared" si="34"/>
        <v>38430.457341234527</v>
      </c>
      <c r="AF115" s="111"/>
      <c r="AG115" s="105">
        <v>9906.6314595036201</v>
      </c>
      <c r="AH115" s="214">
        <v>9906.6314595036201</v>
      </c>
      <c r="AI115" s="105">
        <v>9906.6314595036201</v>
      </c>
      <c r="AJ115" s="105">
        <f t="shared" si="35"/>
        <v>8710.5629627236667</v>
      </c>
    </row>
    <row r="116" spans="2:36" x14ac:dyDescent="0.25">
      <c r="B116">
        <v>897</v>
      </c>
      <c r="C116" s="27">
        <v>6</v>
      </c>
      <c r="D116" s="39" t="s">
        <v>497</v>
      </c>
      <c r="E116" s="162">
        <f>INDEX('2018 Data Lockdown'!H$5:H$255, MATCH(B116,'2018 Data Lockdown'!B$5:B$255,0))</f>
        <v>75.298454997553264</v>
      </c>
      <c r="F116" s="5">
        <f>INDEX('2018 Data Lockdown'!E$5:E$255,MATCH(B116,'2018 Data Lockdown'!B$5:B$255,0))</f>
        <v>296933.45</v>
      </c>
      <c r="G116" s="5">
        <f>INDEX('2018 Data Lockdown'!F$5:F$255, MATCH(B116,'2018 Data Lockdown'!B$5:B$255,0))</f>
        <v>119</v>
      </c>
      <c r="H116" s="5">
        <f t="shared" si="19"/>
        <v>296814.45</v>
      </c>
      <c r="I116" s="103">
        <f t="shared" si="20"/>
        <v>3941.8398426587191</v>
      </c>
      <c r="J116" s="6">
        <f t="shared" si="21"/>
        <v>1287.7074365492217</v>
      </c>
      <c r="K116" s="5">
        <f t="shared" si="22"/>
        <v>96962.380461016248</v>
      </c>
      <c r="L116" s="140">
        <f>INDEX('2018 Best Practice Scores'!M$4:M$255,MATCH(B116,'2018 Best Practice Scores'!A$4:A$255,0))</f>
        <v>0.48670833333333341</v>
      </c>
      <c r="M116" s="105">
        <f t="shared" si="23"/>
        <v>21365.378736229177</v>
      </c>
      <c r="N116" s="105">
        <f t="shared" si="24"/>
        <v>4255.2894676398528</v>
      </c>
      <c r="O116" s="105">
        <f t="shared" si="25"/>
        <v>3119.612362723663</v>
      </c>
      <c r="P116" s="105">
        <f t="shared" si="26"/>
        <v>1217.9499728223018</v>
      </c>
      <c r="Q116" s="105">
        <f t="shared" si="27"/>
        <v>29958.230539414995</v>
      </c>
      <c r="R116" s="112">
        <f t="shared" si="28"/>
        <v>0.30896756450260326</v>
      </c>
      <c r="S116" s="175">
        <f t="shared" si="29"/>
        <v>29958.230539414995</v>
      </c>
      <c r="T116" s="105"/>
      <c r="U116" s="105">
        <f>IFERROR(INDEX('Revised 2019 MFAM(2017 PYAs)'!AD$26:AD$270,MATCH(B116,'Revised 2019 MFAM(2017 PYAs)'!B$26:B$270,0)),0)</f>
        <v>570.50518793283118</v>
      </c>
      <c r="V116" s="105">
        <f>IFERROR(INDEX('Revised 2018 MFAM(2016 PYAs)'!AF$26:AF$266,MATCH(B116,'Revised 2018 MFAM(2016 PYAs)'!B$26:B$266,0)),0)</f>
        <v>1354.6486462713219</v>
      </c>
      <c r="W116" s="105">
        <f t="shared" si="30"/>
        <v>1.1349508304292872</v>
      </c>
      <c r="X116" s="105">
        <f t="shared" si="31"/>
        <v>1926.2887850345824</v>
      </c>
      <c r="Y116" s="105"/>
      <c r="Z116" s="106">
        <f t="shared" si="32"/>
        <v>31884.519324449579</v>
      </c>
      <c r="AA116" s="107">
        <v>1</v>
      </c>
      <c r="AB116" s="108">
        <f t="shared" si="33"/>
        <v>-3188.4519324449579</v>
      </c>
      <c r="AC116" s="108">
        <f>IFERROR(INDEX('Revised 2019 MFAM(2017 PYAs)'!AF$26:AF$270,MATCH(B116,'Revised 2019 MFAM(2017 PYAs)'!B$26:B$270,0)),0)</f>
        <v>70.549069318660685</v>
      </c>
      <c r="AD116" s="216">
        <f>AC116/AC$24*('Revised 2019 MFAM(2017 PYAs)'!AF$24-'2020 Funding'!AC$24)</f>
        <v>6.4638421009135638E-2</v>
      </c>
      <c r="AE116" s="105">
        <f t="shared" si="34"/>
        <v>28766.681099744292</v>
      </c>
      <c r="AF116" s="111"/>
      <c r="AG116" s="105">
        <v>7405.7479349295199</v>
      </c>
      <c r="AH116" s="214">
        <v>7405.7479349295199</v>
      </c>
      <c r="AI116" s="105">
        <v>7405.7479349295199</v>
      </c>
      <c r="AJ116" s="105">
        <f t="shared" si="35"/>
        <v>6549.4372949557301</v>
      </c>
    </row>
    <row r="117" spans="2:36" x14ac:dyDescent="0.25">
      <c r="B117">
        <v>904</v>
      </c>
      <c r="C117" s="27">
        <v>6</v>
      </c>
      <c r="D117" s="39" t="s">
        <v>388</v>
      </c>
      <c r="E117" s="162">
        <f>INDEX('2018 Data Lockdown'!H$5:H$255, MATCH(B117,'2018 Data Lockdown'!B$5:B$255,0))</f>
        <v>26.962939668155855</v>
      </c>
      <c r="F117" s="5">
        <f>INDEX('2018 Data Lockdown'!E$5:E$255,MATCH(B117,'2018 Data Lockdown'!B$5:B$255,0))</f>
        <v>14117.02</v>
      </c>
      <c r="G117" s="5">
        <f>INDEX('2018 Data Lockdown'!F$5:F$255, MATCH(B117,'2018 Data Lockdown'!B$5:B$255,0))</f>
        <v>0</v>
      </c>
      <c r="H117" s="5">
        <f t="shared" si="19"/>
        <v>14117.02</v>
      </c>
      <c r="I117" s="103">
        <f t="shared" si="20"/>
        <v>523.57124904569218</v>
      </c>
      <c r="J117" s="6">
        <f t="shared" si="21"/>
        <v>523.57124904569218</v>
      </c>
      <c r="K117" s="5">
        <f t="shared" si="22"/>
        <v>14117.020000000002</v>
      </c>
      <c r="L117" s="140">
        <f>INDEX('2018 Best Practice Scores'!M$4:M$255,MATCH(B117,'2018 Best Practice Scores'!A$4:A$255,0))</f>
        <v>9.3424107142857149E-2</v>
      </c>
      <c r="M117" s="105">
        <f t="shared" si="23"/>
        <v>3110.64432920133</v>
      </c>
      <c r="N117" s="105">
        <f t="shared" si="24"/>
        <v>1523.737946419227</v>
      </c>
      <c r="O117" s="105">
        <f t="shared" si="25"/>
        <v>87.182750728387816</v>
      </c>
      <c r="P117" s="105">
        <f t="shared" si="26"/>
        <v>177.32469070563585</v>
      </c>
      <c r="Q117" s="105">
        <f t="shared" si="27"/>
        <v>4898.8897170545806</v>
      </c>
      <c r="R117" s="112">
        <f t="shared" si="28"/>
        <v>0.34702010176755294</v>
      </c>
      <c r="S117" s="175">
        <f t="shared" si="29"/>
        <v>4898.8897170545806</v>
      </c>
      <c r="T117" s="105"/>
      <c r="U117" s="105">
        <f>IFERROR(INDEX('Revised 2019 MFAM(2017 PYAs)'!AD$26:AD$270,MATCH(B117,'Revised 2019 MFAM(2017 PYAs)'!B$26:B$270,0)),0)</f>
        <v>64.180477930929555</v>
      </c>
      <c r="V117" s="105">
        <f>IFERROR(INDEX('Revised 2018 MFAM(2016 PYAs)'!AF$26:AF$266,MATCH(B117,'Revised 2018 MFAM(2016 PYAs)'!B$26:B$266,0)),0)</f>
        <v>152.37684155644001</v>
      </c>
      <c r="W117" s="105">
        <f t="shared" si="30"/>
        <v>0.18559170059251315</v>
      </c>
      <c r="X117" s="105">
        <f t="shared" si="31"/>
        <v>216.74291118796208</v>
      </c>
      <c r="Y117" s="105"/>
      <c r="Z117" s="106">
        <f t="shared" si="32"/>
        <v>5115.6326282425425</v>
      </c>
      <c r="AA117" s="107">
        <v>0</v>
      </c>
      <c r="AB117" s="108">
        <f t="shared" si="33"/>
        <v>0</v>
      </c>
      <c r="AC117" s="108">
        <f>IFERROR(INDEX('Revised 2019 MFAM(2017 PYAs)'!AF$26:AF$270,MATCH(B117,'Revised 2019 MFAM(2017 PYAs)'!B$26:B$270,0)),0)</f>
        <v>9.1915019652548651</v>
      </c>
      <c r="AD117" s="216">
        <f>AC117/AC$24*('Revised 2019 MFAM(2017 PYAs)'!AF$24-'2020 Funding'!AC$24)</f>
        <v>8.4214317704584089E-3</v>
      </c>
      <c r="AE117" s="105">
        <f t="shared" si="34"/>
        <v>5124.832551639568</v>
      </c>
      <c r="AF117" s="111"/>
      <c r="AG117" s="105">
        <v>1321.0010287450334</v>
      </c>
      <c r="AH117" s="214">
        <v>1321.0010287450334</v>
      </c>
      <c r="AI117" s="105">
        <v>1321.0010287450334</v>
      </c>
      <c r="AJ117" s="105">
        <f t="shared" si="35"/>
        <v>1161.8294654044682</v>
      </c>
    </row>
    <row r="118" spans="2:36" x14ac:dyDescent="0.25">
      <c r="B118">
        <v>906</v>
      </c>
      <c r="C118" s="27">
        <v>6</v>
      </c>
      <c r="D118" s="39" t="s">
        <v>565</v>
      </c>
      <c r="E118" s="162">
        <f>INDEX('2018 Data Lockdown'!H$5:H$255, MATCH(B118,'2018 Data Lockdown'!B$5:B$255,0))</f>
        <v>185.1</v>
      </c>
      <c r="F118" s="5">
        <f>INDEX('2018 Data Lockdown'!E$5:E$255,MATCH(B118,'2018 Data Lockdown'!B$5:B$255,0))</f>
        <v>218001.44</v>
      </c>
      <c r="G118" s="5">
        <f>INDEX('2018 Data Lockdown'!F$5:F$255, MATCH(B118,'2018 Data Lockdown'!B$5:B$255,0))</f>
        <v>29.22</v>
      </c>
      <c r="H118" s="5">
        <f t="shared" si="19"/>
        <v>217972.22</v>
      </c>
      <c r="I118" s="103">
        <f t="shared" si="20"/>
        <v>1177.5916801728795</v>
      </c>
      <c r="J118" s="6">
        <f t="shared" si="21"/>
        <v>1177.5916801728795</v>
      </c>
      <c r="K118" s="5">
        <f t="shared" si="22"/>
        <v>217972.21999999997</v>
      </c>
      <c r="L118" s="140">
        <f>INDEX('2018 Best Practice Scores'!M$4:M$255,MATCH(B118,'2018 Best Practice Scores'!A$4:A$255,0))</f>
        <v>0.66749999999999998</v>
      </c>
      <c r="M118" s="105">
        <f t="shared" si="23"/>
        <v>48029.545192004021</v>
      </c>
      <c r="N118" s="105">
        <f t="shared" si="24"/>
        <v>10460.428178582557</v>
      </c>
      <c r="O118" s="105">
        <f t="shared" si="25"/>
        <v>9617.9164246988039</v>
      </c>
      <c r="P118" s="105">
        <f t="shared" si="26"/>
        <v>2737.9614461069546</v>
      </c>
      <c r="Q118" s="105">
        <f t="shared" si="27"/>
        <v>70845.851241392345</v>
      </c>
      <c r="R118" s="112">
        <f t="shared" si="28"/>
        <v>0.32502238698762786</v>
      </c>
      <c r="S118" s="175">
        <f t="shared" si="29"/>
        <v>70845.851241392345</v>
      </c>
      <c r="T118" s="105"/>
      <c r="U118" s="105">
        <f>IFERROR(INDEX('Revised 2019 MFAM(2017 PYAs)'!AD$26:AD$270,MATCH(B118,'Revised 2019 MFAM(2017 PYAs)'!B$26:B$270,0)),0)</f>
        <v>705.53731053339288</v>
      </c>
      <c r="V118" s="105">
        <f>IFERROR(INDEX('Revised 2018 MFAM(2016 PYAs)'!AF$26:AF$266,MATCH(B118,'Revised 2018 MFAM(2016 PYAs)'!B$26:B$266,0)),0)</f>
        <v>1347.5666031892979</v>
      </c>
      <c r="W118" s="105">
        <f t="shared" si="30"/>
        <v>2.6839555024152673</v>
      </c>
      <c r="X118" s="105">
        <f t="shared" si="31"/>
        <v>2055.7878692251061</v>
      </c>
      <c r="Y118" s="105"/>
      <c r="Z118" s="106">
        <f t="shared" si="32"/>
        <v>72901.639110617456</v>
      </c>
      <c r="AA118" s="107">
        <v>0</v>
      </c>
      <c r="AB118" s="108">
        <f t="shared" si="33"/>
        <v>0</v>
      </c>
      <c r="AC118" s="108">
        <f>IFERROR(INDEX('Revised 2019 MFAM(2017 PYAs)'!AF$26:AF$270,MATCH(B118,'Revised 2019 MFAM(2017 PYAs)'!B$26:B$270,0)),0)</f>
        <v>90.826334928697989</v>
      </c>
      <c r="AD118" s="216">
        <f>AC118/AC$24*('Revised 2019 MFAM(2017 PYAs)'!AF$24-'2020 Funding'!AC$24)</f>
        <v>8.3216843716534469E-2</v>
      </c>
      <c r="AE118" s="105">
        <f t="shared" si="34"/>
        <v>72992.548662389876</v>
      </c>
      <c r="AF118" s="111"/>
      <c r="AG118" s="105">
        <v>18834.22902186021</v>
      </c>
      <c r="AH118" s="214">
        <v>18834.22902186021</v>
      </c>
      <c r="AI118" s="105">
        <v>18834.22902186021</v>
      </c>
      <c r="AJ118" s="105">
        <f t="shared" si="35"/>
        <v>16489.861596809238</v>
      </c>
    </row>
    <row r="119" spans="2:36" x14ac:dyDescent="0.25">
      <c r="B119">
        <v>917</v>
      </c>
      <c r="C119" s="27">
        <v>6</v>
      </c>
      <c r="D119" s="39" t="s">
        <v>390</v>
      </c>
      <c r="E119" s="162">
        <f>INDEX('2018 Data Lockdown'!H$5:H$255, MATCH(B119,'2018 Data Lockdown'!B$5:B$255,0))</f>
        <v>98.170300891747573</v>
      </c>
      <c r="F119" s="5">
        <f>INDEX('2018 Data Lockdown'!E$5:E$255,MATCH(B119,'2018 Data Lockdown'!B$5:B$255,0))</f>
        <v>54501.95</v>
      </c>
      <c r="G119" s="5">
        <f>INDEX('2018 Data Lockdown'!F$5:F$255, MATCH(B119,'2018 Data Lockdown'!B$5:B$255,0))</f>
        <v>0</v>
      </c>
      <c r="H119" s="5">
        <f t="shared" si="19"/>
        <v>54501.95</v>
      </c>
      <c r="I119" s="103">
        <f t="shared" si="20"/>
        <v>555.17757921613497</v>
      </c>
      <c r="J119" s="6">
        <f t="shared" si="21"/>
        <v>555.17757921613497</v>
      </c>
      <c r="K119" s="5">
        <f t="shared" si="22"/>
        <v>54501.95</v>
      </c>
      <c r="L119" s="140">
        <f>INDEX('2018 Best Practice Scores'!M$4:M$255,MATCH(B119,'2018 Best Practice Scores'!A$4:A$255,0))</f>
        <v>0.37409523809523809</v>
      </c>
      <c r="M119" s="105">
        <f t="shared" si="23"/>
        <v>12009.346285399781</v>
      </c>
      <c r="N119" s="105">
        <f t="shared" si="24"/>
        <v>5547.8302633601543</v>
      </c>
      <c r="O119" s="105">
        <f t="shared" si="25"/>
        <v>1347.7917774014381</v>
      </c>
      <c r="P119" s="105">
        <f t="shared" si="26"/>
        <v>684.6020921273772</v>
      </c>
      <c r="Q119" s="105">
        <f t="shared" si="27"/>
        <v>19589.570418288749</v>
      </c>
      <c r="R119" s="112">
        <f t="shared" si="28"/>
        <v>0.35942879875470052</v>
      </c>
      <c r="S119" s="175">
        <f t="shared" si="29"/>
        <v>19589.570418288749</v>
      </c>
      <c r="T119" s="105"/>
      <c r="U119" s="105">
        <f>IFERROR(INDEX('Revised 2019 MFAM(2017 PYAs)'!AD$26:AD$270,MATCH(B119,'Revised 2019 MFAM(2017 PYAs)'!B$26:B$270,0)),0)</f>
        <v>322.79554387188182</v>
      </c>
      <c r="V119" s="105">
        <f>IFERROR(INDEX('Revised 2018 MFAM(2016 PYAs)'!AF$26:AF$266,MATCH(B119,'Revised 2018 MFAM(2016 PYAs)'!B$26:B$266,0)),0)</f>
        <v>217.86271763289187</v>
      </c>
      <c r="W119" s="105">
        <f t="shared" si="30"/>
        <v>0.74213993328939687</v>
      </c>
      <c r="X119" s="105">
        <f t="shared" si="31"/>
        <v>541.40040143806311</v>
      </c>
      <c r="Y119" s="105"/>
      <c r="Z119" s="106">
        <f t="shared" si="32"/>
        <v>20130.970819726812</v>
      </c>
      <c r="AA119" s="107">
        <v>0</v>
      </c>
      <c r="AB119" s="108">
        <f t="shared" si="33"/>
        <v>0</v>
      </c>
      <c r="AC119" s="108">
        <f>IFERROR(INDEX('Revised 2019 MFAM(2017 PYAs)'!AF$26:AF$270,MATCH(B119,'Revised 2019 MFAM(2017 PYAs)'!B$26:B$270,0)),0)</f>
        <v>39.948155984300506</v>
      </c>
      <c r="AD119" s="216">
        <f>AC119/AC$24*('Revised 2019 MFAM(2017 PYAs)'!AF$24-'2020 Funding'!AC$24)</f>
        <v>3.6601272702669559E-2</v>
      </c>
      <c r="AE119" s="105">
        <f t="shared" si="34"/>
        <v>20170.955576983815</v>
      </c>
      <c r="AF119" s="111"/>
      <c r="AG119" s="105">
        <v>5201.0502700206616</v>
      </c>
      <c r="AH119" s="214">
        <v>5201.0502700206616</v>
      </c>
      <c r="AI119" s="105">
        <v>5201.0502700206616</v>
      </c>
      <c r="AJ119" s="105">
        <f t="shared" si="35"/>
        <v>4567.8047669218304</v>
      </c>
    </row>
    <row r="120" spans="2:36" x14ac:dyDescent="0.25">
      <c r="B120">
        <v>957</v>
      </c>
      <c r="C120" s="27">
        <v>6</v>
      </c>
      <c r="D120" s="39" t="s">
        <v>391</v>
      </c>
      <c r="E120" s="162">
        <f>INDEX('2018 Data Lockdown'!H$5:H$255, MATCH(B120,'2018 Data Lockdown'!B$5:B$255,0))</f>
        <v>104.75750331076839</v>
      </c>
      <c r="F120" s="5">
        <f>INDEX('2018 Data Lockdown'!E$5:E$255,MATCH(B120,'2018 Data Lockdown'!B$5:B$255,0))</f>
        <v>36421.629999999997</v>
      </c>
      <c r="G120" s="5">
        <f>INDEX('2018 Data Lockdown'!F$5:F$255, MATCH(B120,'2018 Data Lockdown'!B$5:B$255,0))</f>
        <v>0</v>
      </c>
      <c r="H120" s="5">
        <f t="shared" si="19"/>
        <v>36421.629999999997</v>
      </c>
      <c r="I120" s="103">
        <f t="shared" si="20"/>
        <v>347.67562082835639</v>
      </c>
      <c r="J120" s="6">
        <f t="shared" si="21"/>
        <v>347.67562082835639</v>
      </c>
      <c r="K120" s="5">
        <f t="shared" si="22"/>
        <v>36421.629999999997</v>
      </c>
      <c r="L120" s="140">
        <f>INDEX('2018 Best Practice Scores'!M$4:M$255,MATCH(B120,'2018 Best Practice Scores'!A$4:A$255,0))</f>
        <v>0.5130818452380953</v>
      </c>
      <c r="M120" s="105">
        <f t="shared" si="23"/>
        <v>8025.4003195978339</v>
      </c>
      <c r="N120" s="105">
        <f t="shared" si="24"/>
        <v>5920.0882741756732</v>
      </c>
      <c r="O120" s="105">
        <f t="shared" si="25"/>
        <v>1235.3061614260969</v>
      </c>
      <c r="P120" s="105">
        <f t="shared" si="26"/>
        <v>457.49416482693272</v>
      </c>
      <c r="Q120" s="105">
        <f t="shared" si="27"/>
        <v>15638.288920026536</v>
      </c>
      <c r="R120" s="112">
        <f t="shared" si="28"/>
        <v>0.42936817819593842</v>
      </c>
      <c r="S120" s="175">
        <f t="shared" si="29"/>
        <v>15638.288920026536</v>
      </c>
      <c r="T120" s="105"/>
      <c r="U120" s="105">
        <f>IFERROR(INDEX('Revised 2019 MFAM(2017 PYAs)'!AD$26:AD$270,MATCH(B120,'Revised 2019 MFAM(2017 PYAs)'!B$26:B$270,0)),0)</f>
        <v>201.15836866771861</v>
      </c>
      <c r="V120" s="105">
        <f>IFERROR(INDEX('Revised 2018 MFAM(2016 PYAs)'!AF$26:AF$266,MATCH(B120,'Revised 2018 MFAM(2016 PYAs)'!B$26:B$266,0)),0)</f>
        <v>143.24354256299011</v>
      </c>
      <c r="W120" s="105">
        <f t="shared" si="30"/>
        <v>0.5924478407670275</v>
      </c>
      <c r="X120" s="105">
        <f t="shared" si="31"/>
        <v>344.99435907147574</v>
      </c>
      <c r="Y120" s="105"/>
      <c r="Z120" s="106">
        <f t="shared" si="32"/>
        <v>15983.283279098012</v>
      </c>
      <c r="AA120" s="107">
        <v>0</v>
      </c>
      <c r="AB120" s="108">
        <f t="shared" si="33"/>
        <v>0</v>
      </c>
      <c r="AC120" s="108">
        <f>IFERROR(INDEX('Revised 2019 MFAM(2017 PYAs)'!AF$26:AF$270,MATCH(B120,'Revised 2019 MFAM(2017 PYAs)'!B$26:B$270,0)),0)</f>
        <v>29.823498462371756</v>
      </c>
      <c r="AD120" s="216">
        <f>AC120/AC$24*('Revised 2019 MFAM(2017 PYAs)'!AF$24-'2020 Funding'!AC$24)</f>
        <v>2.7324865773476543E-2</v>
      </c>
      <c r="AE120" s="105">
        <f t="shared" si="34"/>
        <v>16013.134102426158</v>
      </c>
      <c r="AF120" s="111"/>
      <c r="AG120" s="105">
        <v>4130.1348532205484</v>
      </c>
      <c r="AH120" s="214">
        <v>4130.1348532205484</v>
      </c>
      <c r="AI120" s="105">
        <v>4130.1348532205484</v>
      </c>
      <c r="AJ120" s="105">
        <f t="shared" si="35"/>
        <v>3622.7295427645131</v>
      </c>
    </row>
    <row r="121" spans="2:36" x14ac:dyDescent="0.25">
      <c r="B121">
        <v>959</v>
      </c>
      <c r="C121" s="27">
        <v>6</v>
      </c>
      <c r="D121" s="39" t="s">
        <v>392</v>
      </c>
      <c r="E121" s="162">
        <f>INDEX('2018 Data Lockdown'!H$5:H$255, MATCH(B121,'2018 Data Lockdown'!B$5:B$255,0))</f>
        <v>326.68938879207468</v>
      </c>
      <c r="F121" s="5">
        <f>INDEX('2018 Data Lockdown'!E$5:E$255,MATCH(B121,'2018 Data Lockdown'!B$5:B$255,0))</f>
        <v>116655.67</v>
      </c>
      <c r="G121" s="5">
        <f>INDEX('2018 Data Lockdown'!F$5:F$255, MATCH(B121,'2018 Data Lockdown'!B$5:B$255,0))</f>
        <v>240.45</v>
      </c>
      <c r="H121" s="5">
        <f t="shared" si="19"/>
        <v>116415.22</v>
      </c>
      <c r="I121" s="103">
        <f t="shared" si="20"/>
        <v>356.34833574008076</v>
      </c>
      <c r="J121" s="6">
        <f t="shared" si="21"/>
        <v>356.34833574008076</v>
      </c>
      <c r="K121" s="5">
        <f t="shared" si="22"/>
        <v>116415.22</v>
      </c>
      <c r="L121" s="140">
        <f>INDEX('2018 Best Practice Scores'!M$4:M$255,MATCH(B121,'2018 Best Practice Scores'!A$4:A$255,0))</f>
        <v>0.7970624999999999</v>
      </c>
      <c r="M121" s="105">
        <f t="shared" si="23"/>
        <v>25651.755393540934</v>
      </c>
      <c r="N121" s="105">
        <f t="shared" si="24"/>
        <v>18461.971302887792</v>
      </c>
      <c r="O121" s="105">
        <f t="shared" si="25"/>
        <v>6133.8156850092646</v>
      </c>
      <c r="P121" s="105">
        <f t="shared" si="26"/>
        <v>1462.2981960731477</v>
      </c>
      <c r="Q121" s="105">
        <f t="shared" si="27"/>
        <v>51709.840577511139</v>
      </c>
      <c r="R121" s="112">
        <f t="shared" si="28"/>
        <v>0.44418453684587922</v>
      </c>
      <c r="S121" s="175">
        <f t="shared" si="29"/>
        <v>51709.840577511139</v>
      </c>
      <c r="T121" s="105"/>
      <c r="U121" s="105">
        <f>IFERROR(INDEX('Revised 2019 MFAM(2017 PYAs)'!AD$26:AD$270,MATCH(B121,'Revised 2019 MFAM(2017 PYAs)'!B$26:B$270,0)),0)</f>
        <v>730.28561380792235</v>
      </c>
      <c r="V121" s="105">
        <f>IFERROR(INDEX('Revised 2018 MFAM(2016 PYAs)'!AF$26:AF$266,MATCH(B121,'Revised 2018 MFAM(2016 PYAs)'!B$26:B$266,0)),0)</f>
        <v>1194.8412183515829</v>
      </c>
      <c r="W121" s="105">
        <f t="shared" si="30"/>
        <v>1.9589984270799439</v>
      </c>
      <c r="X121" s="105">
        <f t="shared" si="31"/>
        <v>1927.0858305865852</v>
      </c>
      <c r="Y121" s="105"/>
      <c r="Z121" s="106">
        <f t="shared" si="32"/>
        <v>53636.926408097723</v>
      </c>
      <c r="AA121" s="107">
        <v>0</v>
      </c>
      <c r="AB121" s="108">
        <f t="shared" si="33"/>
        <v>0</v>
      </c>
      <c r="AC121" s="108">
        <f>IFERROR(INDEX('Revised 2019 MFAM(2017 PYAs)'!AF$26:AF$270,MATCH(B121,'Revised 2019 MFAM(2017 PYAs)'!B$26:B$270,0)),0)</f>
        <v>103.57165000116636</v>
      </c>
      <c r="AD121" s="216">
        <f>AC121/AC$24*('Revised 2019 MFAM(2017 PYAs)'!AF$24-'2020 Funding'!AC$24)</f>
        <v>9.4894347750317409E-2</v>
      </c>
      <c r="AE121" s="105">
        <f t="shared" si="34"/>
        <v>53740.592952446641</v>
      </c>
      <c r="AF121" s="111"/>
      <c r="AG121" s="105">
        <v>13853.331044223456</v>
      </c>
      <c r="AH121" s="214">
        <v>13853.331044223456</v>
      </c>
      <c r="AI121" s="105">
        <v>13853.331044223456</v>
      </c>
      <c r="AJ121" s="105">
        <f t="shared" si="35"/>
        <v>12180.599819776269</v>
      </c>
    </row>
    <row r="122" spans="2:36" x14ac:dyDescent="0.25">
      <c r="B122">
        <v>969</v>
      </c>
      <c r="C122" s="27">
        <v>6</v>
      </c>
      <c r="D122" s="39" t="s">
        <v>393</v>
      </c>
      <c r="E122" s="162">
        <f>INDEX('2018 Data Lockdown'!H$5:H$255, MATCH(B122,'2018 Data Lockdown'!B$5:B$255,0))</f>
        <v>21.452324077887976</v>
      </c>
      <c r="F122" s="5">
        <f>INDEX('2018 Data Lockdown'!E$5:E$255,MATCH(B122,'2018 Data Lockdown'!B$5:B$255,0))</f>
        <v>66251.19</v>
      </c>
      <c r="G122" s="5">
        <f>INDEX('2018 Data Lockdown'!F$5:F$255, MATCH(B122,'2018 Data Lockdown'!B$5:B$255,0))</f>
        <v>0</v>
      </c>
      <c r="H122" s="5">
        <f t="shared" si="19"/>
        <v>66251.19</v>
      </c>
      <c r="I122" s="103">
        <f t="shared" si="20"/>
        <v>3088.2989535053939</v>
      </c>
      <c r="J122" s="6">
        <f t="shared" si="21"/>
        <v>1287.7074365492217</v>
      </c>
      <c r="K122" s="5">
        <f t="shared" si="22"/>
        <v>27624.317246360271</v>
      </c>
      <c r="L122" s="140">
        <f>INDEX('2018 Best Practice Scores'!M$4:M$255,MATCH(B122,'2018 Best Practice Scores'!A$4:A$255,0))</f>
        <v>0.43101785714285717</v>
      </c>
      <c r="M122" s="105">
        <f t="shared" si="23"/>
        <v>6086.9380216539375</v>
      </c>
      <c r="N122" s="105">
        <f t="shared" si="24"/>
        <v>1212.320341871553</v>
      </c>
      <c r="O122" s="105">
        <f t="shared" si="25"/>
        <v>787.07369479639874</v>
      </c>
      <c r="P122" s="105">
        <f t="shared" si="26"/>
        <v>346.99061924295609</v>
      </c>
      <c r="Q122" s="105">
        <f t="shared" si="27"/>
        <v>8433.3226775648454</v>
      </c>
      <c r="R122" s="112">
        <f t="shared" si="28"/>
        <v>0.30528619412941344</v>
      </c>
      <c r="S122" s="175">
        <f t="shared" si="29"/>
        <v>8433.3226775648454</v>
      </c>
      <c r="T122" s="105"/>
      <c r="U122" s="105">
        <f>IFERROR(INDEX('Revised 2019 MFAM(2017 PYAs)'!AD$26:AD$270,MATCH(B122,'Revised 2019 MFAM(2017 PYAs)'!B$26:B$270,0)),0)</f>
        <v>140.41587998618797</v>
      </c>
      <c r="V122" s="105">
        <f>IFERROR(INDEX('Revised 2018 MFAM(2016 PYAs)'!AF$26:AF$266,MATCH(B122,'Revised 2018 MFAM(2016 PYAs)'!B$26:B$266,0)),0)</f>
        <v>74.667543400237264</v>
      </c>
      <c r="W122" s="105">
        <f t="shared" si="30"/>
        <v>0.31949171909828239</v>
      </c>
      <c r="X122" s="105">
        <f t="shared" si="31"/>
        <v>215.40291510552353</v>
      </c>
      <c r="Y122" s="105"/>
      <c r="Z122" s="106">
        <f t="shared" si="32"/>
        <v>8648.7255926703692</v>
      </c>
      <c r="AA122" s="107">
        <v>0</v>
      </c>
      <c r="AB122" s="108">
        <f t="shared" si="33"/>
        <v>0</v>
      </c>
      <c r="AC122" s="108">
        <f>IFERROR(INDEX('Revised 2019 MFAM(2017 PYAs)'!AF$26:AF$270,MATCH(B122,'Revised 2019 MFAM(2017 PYAs)'!B$26:B$270,0)),0)</f>
        <v>12.922219724240691</v>
      </c>
      <c r="AD122" s="216">
        <f>AC122/AC$24*('Revised 2019 MFAM(2017 PYAs)'!AF$24-'2020 Funding'!AC$24)</f>
        <v>1.183958749526823E-2</v>
      </c>
      <c r="AE122" s="105">
        <f t="shared" si="34"/>
        <v>8661.6596519821069</v>
      </c>
      <c r="AF122" s="111"/>
      <c r="AG122" s="105">
        <v>2234.6645323978059</v>
      </c>
      <c r="AH122" s="214">
        <v>2234.6645323978059</v>
      </c>
      <c r="AI122" s="105">
        <v>2234.6645323978059</v>
      </c>
      <c r="AJ122" s="105">
        <f t="shared" si="35"/>
        <v>1957.6660547886881</v>
      </c>
    </row>
    <row r="123" spans="2:36" x14ac:dyDescent="0.25">
      <c r="B123">
        <v>970</v>
      </c>
      <c r="C123" s="27">
        <v>6</v>
      </c>
      <c r="D123" s="39" t="s">
        <v>394</v>
      </c>
      <c r="E123" s="162">
        <f>INDEX('2018 Data Lockdown'!H$5:H$255, MATCH(B123,'2018 Data Lockdown'!B$5:B$255,0))</f>
        <v>167.59129758245945</v>
      </c>
      <c r="F123" s="5">
        <f>INDEX('2018 Data Lockdown'!E$5:E$255,MATCH(B123,'2018 Data Lockdown'!B$5:B$255,0))</f>
        <v>72830</v>
      </c>
      <c r="G123" s="5">
        <f>INDEX('2018 Data Lockdown'!F$5:F$255, MATCH(B123,'2018 Data Lockdown'!B$5:B$255,0))</f>
        <v>408</v>
      </c>
      <c r="H123" s="5">
        <f t="shared" si="19"/>
        <v>72422</v>
      </c>
      <c r="I123" s="103">
        <f t="shared" si="20"/>
        <v>432.134609879528</v>
      </c>
      <c r="J123" s="6">
        <f t="shared" si="21"/>
        <v>432.134609879528</v>
      </c>
      <c r="K123" s="5">
        <f t="shared" si="22"/>
        <v>72422</v>
      </c>
      <c r="L123" s="140">
        <f>INDEX('2018 Best Practice Scores'!M$4:M$255,MATCH(B123,'2018 Best Practice Scores'!A$4:A$255,0))</f>
        <v>0.38936904761904761</v>
      </c>
      <c r="M123" s="105">
        <f t="shared" si="23"/>
        <v>15957.977222488789</v>
      </c>
      <c r="N123" s="105">
        <f t="shared" si="24"/>
        <v>9470.970997929624</v>
      </c>
      <c r="O123" s="105">
        <f t="shared" si="25"/>
        <v>1864.062717914074</v>
      </c>
      <c r="P123" s="105">
        <f t="shared" si="26"/>
        <v>909.69685884723231</v>
      </c>
      <c r="Q123" s="105">
        <f t="shared" si="27"/>
        <v>28202.707797179723</v>
      </c>
      <c r="R123" s="112">
        <f t="shared" si="28"/>
        <v>0.3894218303440905</v>
      </c>
      <c r="S123" s="175">
        <f t="shared" si="29"/>
        <v>28202.707797179723</v>
      </c>
      <c r="T123" s="105"/>
      <c r="U123" s="105">
        <f>IFERROR(INDEX('Revised 2019 MFAM(2017 PYAs)'!AD$26:AD$270,MATCH(B123,'Revised 2019 MFAM(2017 PYAs)'!B$26:B$270,0)),0)</f>
        <v>352.42983492398344</v>
      </c>
      <c r="V123" s="105">
        <f>IFERROR(INDEX('Revised 2018 MFAM(2016 PYAs)'!AF$26:AF$266,MATCH(B123,'Revised 2018 MFAM(2016 PYAs)'!B$26:B$266,0)),0)</f>
        <v>641.0354994624613</v>
      </c>
      <c r="W123" s="105">
        <f t="shared" si="30"/>
        <v>1.0684438319095966</v>
      </c>
      <c r="X123" s="105">
        <f t="shared" si="31"/>
        <v>994.53377821835431</v>
      </c>
      <c r="Y123" s="105"/>
      <c r="Z123" s="106">
        <f t="shared" si="32"/>
        <v>29197.241575398079</v>
      </c>
      <c r="AA123" s="107">
        <v>0</v>
      </c>
      <c r="AB123" s="108">
        <f t="shared" si="33"/>
        <v>0</v>
      </c>
      <c r="AC123" s="108">
        <f>IFERROR(INDEX('Revised 2019 MFAM(2017 PYAs)'!AF$26:AF$270,MATCH(B123,'Revised 2019 MFAM(2017 PYAs)'!B$26:B$270,0)),0)</f>
        <v>51.213368374369459</v>
      </c>
      <c r="AD123" s="216">
        <f>AC123/AC$24*('Revised 2019 MFAM(2017 PYAs)'!AF$24-'2020 Funding'!AC$24)</f>
        <v>4.6922678048749777E-2</v>
      </c>
      <c r="AE123" s="105">
        <f t="shared" si="34"/>
        <v>29248.501866450497</v>
      </c>
      <c r="AF123" s="111"/>
      <c r="AG123" s="105">
        <v>7541.5807274348626</v>
      </c>
      <c r="AH123" s="214">
        <v>7541.5807274348626</v>
      </c>
      <c r="AI123" s="105">
        <v>7541.5807274348626</v>
      </c>
      <c r="AJ123" s="105">
        <f t="shared" si="35"/>
        <v>6623.759684145909</v>
      </c>
    </row>
    <row r="124" spans="2:36" x14ac:dyDescent="0.25">
      <c r="B124">
        <v>978</v>
      </c>
      <c r="C124" s="27">
        <v>6</v>
      </c>
      <c r="D124" s="39" t="s">
        <v>507</v>
      </c>
      <c r="E124" s="162">
        <f>INDEX('2018 Data Lockdown'!H$5:H$255, MATCH(B124,'2018 Data Lockdown'!B$5:B$255,0))</f>
        <v>0</v>
      </c>
      <c r="F124" s="5">
        <f>INDEX('2018 Data Lockdown'!E$5:E$255,MATCH(B124,'2018 Data Lockdown'!B$5:B$255,0))</f>
        <v>31329.48</v>
      </c>
      <c r="G124" s="5">
        <f>INDEX('2018 Data Lockdown'!F$5:F$255, MATCH(B124,'2018 Data Lockdown'!B$5:B$255,0))</f>
        <v>0</v>
      </c>
      <c r="H124" s="5">
        <f t="shared" si="19"/>
        <v>31329.48</v>
      </c>
      <c r="I124" s="103" t="str">
        <f t="shared" si="20"/>
        <v>n.a.</v>
      </c>
      <c r="J124" s="6">
        <f t="shared" si="21"/>
        <v>1287.7074365492217</v>
      </c>
      <c r="K124" s="5">
        <f t="shared" si="22"/>
        <v>0</v>
      </c>
      <c r="L124" s="140">
        <f>INDEX('2018 Best Practice Scores'!M$4:M$255,MATCH(B124,'2018 Best Practice Scores'!A$4:A$255,0))</f>
        <v>0.22310119047619048</v>
      </c>
      <c r="M124" s="105">
        <f t="shared" si="23"/>
        <v>0</v>
      </c>
      <c r="N124" s="105">
        <f t="shared" si="24"/>
        <v>0</v>
      </c>
      <c r="O124" s="105">
        <f t="shared" si="25"/>
        <v>0</v>
      </c>
      <c r="P124" s="105">
        <f t="shared" si="26"/>
        <v>0</v>
      </c>
      <c r="Q124" s="105">
        <f t="shared" si="27"/>
        <v>0</v>
      </c>
      <c r="R124" s="112">
        <f t="shared" si="28"/>
        <v>0</v>
      </c>
      <c r="S124" s="175">
        <f t="shared" si="29"/>
        <v>0</v>
      </c>
      <c r="T124" s="105"/>
      <c r="U124" s="105">
        <f>IFERROR(INDEX('Revised 2019 MFAM(2017 PYAs)'!AD$26:AD$270,MATCH(B124,'Revised 2019 MFAM(2017 PYAs)'!B$26:B$270,0)),0)</f>
        <v>279.69921190383684</v>
      </c>
      <c r="V124" s="105">
        <f>IFERROR(INDEX('Revised 2018 MFAM(2016 PYAs)'!AF$26:AF$266,MATCH(B124,'Revised 2018 MFAM(2016 PYAs)'!B$26:B$266,0)),0)</f>
        <v>733.30673988749004</v>
      </c>
      <c r="W124" s="105">
        <f t="shared" si="30"/>
        <v>0</v>
      </c>
      <c r="X124" s="105">
        <f t="shared" si="31"/>
        <v>1013.0059517913269</v>
      </c>
      <c r="Y124" s="105"/>
      <c r="Z124" s="106">
        <f t="shared" si="32"/>
        <v>1013.0059517913269</v>
      </c>
      <c r="AA124" s="107">
        <v>1</v>
      </c>
      <c r="AB124" s="108">
        <f t="shared" si="33"/>
        <v>-101.3005951791327</v>
      </c>
      <c r="AC124" s="108">
        <f>IFERROR(INDEX('Revised 2019 MFAM(2017 PYAs)'!AF$26:AF$270,MATCH(B124,'Revised 2019 MFAM(2017 PYAs)'!B$26:B$270,0)),0)</f>
        <v>31.334121276345542</v>
      </c>
      <c r="AD124" s="216">
        <f>AC124/AC$24*('Revised 2019 MFAM(2017 PYAs)'!AF$24-'2020 Funding'!AC$24)</f>
        <v>2.8708927595675737E-2</v>
      </c>
      <c r="AE124" s="105">
        <f t="shared" si="34"/>
        <v>943.06818681613538</v>
      </c>
      <c r="AF124" s="111"/>
      <c r="AG124" s="105">
        <v>227.92633915304856</v>
      </c>
      <c r="AH124" s="214">
        <v>227.92633915304856</v>
      </c>
      <c r="AI124" s="105">
        <v>227.92633915304856</v>
      </c>
      <c r="AJ124" s="105">
        <f t="shared" si="35"/>
        <v>259.28916935698965</v>
      </c>
    </row>
    <row r="125" spans="2:36" x14ac:dyDescent="0.25">
      <c r="B125">
        <v>980</v>
      </c>
      <c r="C125" s="27">
        <v>6</v>
      </c>
      <c r="D125" s="39" t="s">
        <v>395</v>
      </c>
      <c r="E125" s="162">
        <f>INDEX('2018 Data Lockdown'!H$5:H$255, MATCH(B125,'2018 Data Lockdown'!B$5:B$255,0))</f>
        <v>38.773680173491201</v>
      </c>
      <c r="F125" s="5">
        <f>INDEX('2018 Data Lockdown'!E$5:E$255,MATCH(B125,'2018 Data Lockdown'!B$5:B$255,0))</f>
        <v>37348.19</v>
      </c>
      <c r="G125" s="5">
        <f>INDEX('2018 Data Lockdown'!F$5:F$255, MATCH(B125,'2018 Data Lockdown'!B$5:B$255,0))</f>
        <v>0</v>
      </c>
      <c r="H125" s="5">
        <f t="shared" si="19"/>
        <v>37348.19</v>
      </c>
      <c r="I125" s="103">
        <f t="shared" si="20"/>
        <v>963.23562356957336</v>
      </c>
      <c r="J125" s="6">
        <f t="shared" si="21"/>
        <v>963.23562356957336</v>
      </c>
      <c r="K125" s="5">
        <f t="shared" si="22"/>
        <v>37348.19</v>
      </c>
      <c r="L125" s="140">
        <f>INDEX('2018 Best Practice Scores'!M$4:M$255,MATCH(B125,'2018 Best Practice Scores'!A$4:A$255,0))</f>
        <v>0.40134821428571427</v>
      </c>
      <c r="M125" s="105">
        <f t="shared" si="23"/>
        <v>8229.5651227690996</v>
      </c>
      <c r="N125" s="105">
        <f t="shared" si="24"/>
        <v>2191.1901495091038</v>
      </c>
      <c r="O125" s="105">
        <f t="shared" si="25"/>
        <v>990.87637991141185</v>
      </c>
      <c r="P125" s="105">
        <f t="shared" si="26"/>
        <v>469.13273765747454</v>
      </c>
      <c r="Q125" s="105">
        <f t="shared" si="27"/>
        <v>11880.764389847089</v>
      </c>
      <c r="R125" s="112">
        <f t="shared" si="28"/>
        <v>0.3181081704320099</v>
      </c>
      <c r="S125" s="175">
        <f t="shared" si="29"/>
        <v>11880.764389847089</v>
      </c>
      <c r="T125" s="105"/>
      <c r="U125" s="105">
        <f>IFERROR(INDEX('Revised 2019 MFAM(2017 PYAs)'!AD$26:AD$270,MATCH(B125,'Revised 2019 MFAM(2017 PYAs)'!B$26:B$270,0)),0)</f>
        <v>907.3954021431764</v>
      </c>
      <c r="V125" s="105">
        <f>IFERROR(INDEX('Revised 2018 MFAM(2016 PYAs)'!AF$26:AF$266,MATCH(B125,'Revised 2018 MFAM(2016 PYAs)'!B$26:B$266,0)),0)</f>
        <v>0</v>
      </c>
      <c r="W125" s="105">
        <f t="shared" si="30"/>
        <v>0.45009612275501787</v>
      </c>
      <c r="X125" s="105">
        <f t="shared" si="31"/>
        <v>907.84549826593138</v>
      </c>
      <c r="Y125" s="105"/>
      <c r="Z125" s="106">
        <f t="shared" si="32"/>
        <v>12788.60988811302</v>
      </c>
      <c r="AA125" s="107">
        <v>0</v>
      </c>
      <c r="AB125" s="108">
        <f t="shared" si="33"/>
        <v>0</v>
      </c>
      <c r="AC125" s="108">
        <f>IFERROR(INDEX('Revised 2019 MFAM(2017 PYAs)'!AF$26:AF$270,MATCH(B125,'Revised 2019 MFAM(2017 PYAs)'!B$26:B$270,0)),0)</f>
        <v>16.703459928716125</v>
      </c>
      <c r="AD125" s="216">
        <f>AC125/AC$24*('Revised 2019 MFAM(2017 PYAs)'!AF$24-'2020 Funding'!AC$24)</f>
        <v>1.530403286122438E-2</v>
      </c>
      <c r="AE125" s="105">
        <f t="shared" si="34"/>
        <v>12805.328652074597</v>
      </c>
      <c r="AF125" s="111"/>
      <c r="AG125" s="105">
        <v>3299.2558124711632</v>
      </c>
      <c r="AH125" s="214">
        <v>3299.2558124711632</v>
      </c>
      <c r="AI125" s="105">
        <v>3299.2558124711632</v>
      </c>
      <c r="AJ125" s="105">
        <f t="shared" si="35"/>
        <v>2907.5612146611074</v>
      </c>
    </row>
    <row r="126" spans="2:36" x14ac:dyDescent="0.25">
      <c r="B126">
        <v>986</v>
      </c>
      <c r="C126" s="27">
        <v>6</v>
      </c>
      <c r="D126" s="39" t="s">
        <v>396</v>
      </c>
      <c r="E126" s="162">
        <f>INDEX('2018 Data Lockdown'!H$5:H$255, MATCH(B126,'2018 Data Lockdown'!B$5:B$255,0))</f>
        <v>8.1183888146059324</v>
      </c>
      <c r="F126" s="5">
        <f>INDEX('2018 Data Lockdown'!E$5:E$255,MATCH(B126,'2018 Data Lockdown'!B$5:B$255,0))</f>
        <v>42773.26</v>
      </c>
      <c r="G126" s="5">
        <f>INDEX('2018 Data Lockdown'!F$5:F$255, MATCH(B126,'2018 Data Lockdown'!B$5:B$255,0))</f>
        <v>0</v>
      </c>
      <c r="H126" s="5">
        <f t="shared" si="19"/>
        <v>42773.26</v>
      </c>
      <c r="I126" s="103">
        <f t="shared" si="20"/>
        <v>5268.6882800003241</v>
      </c>
      <c r="J126" s="6">
        <f t="shared" si="21"/>
        <v>1287.7074365492217</v>
      </c>
      <c r="K126" s="5">
        <f t="shared" si="22"/>
        <v>10454.109649366081</v>
      </c>
      <c r="L126" s="140">
        <f>INDEX('2018 Best Practice Scores'!M$4:M$255,MATCH(B126,'2018 Best Practice Scores'!A$4:A$255,0))</f>
        <v>0.22635416666666669</v>
      </c>
      <c r="M126" s="105">
        <f t="shared" si="23"/>
        <v>2303.532678826658</v>
      </c>
      <c r="N126" s="105">
        <f t="shared" si="24"/>
        <v>458.78888774172526</v>
      </c>
      <c r="O126" s="105">
        <f t="shared" si="25"/>
        <v>156.42426597157271</v>
      </c>
      <c r="P126" s="105">
        <f t="shared" si="26"/>
        <v>131.31466557224141</v>
      </c>
      <c r="Q126" s="105">
        <f t="shared" si="27"/>
        <v>3050.0604981121974</v>
      </c>
      <c r="R126" s="112">
        <f t="shared" si="28"/>
        <v>0.29175707931255035</v>
      </c>
      <c r="S126" s="175">
        <f t="shared" si="29"/>
        <v>3050.0604981121974</v>
      </c>
      <c r="T126" s="105"/>
      <c r="U126" s="105">
        <f>IFERROR(INDEX('Revised 2019 MFAM(2017 PYAs)'!AD$26:AD$270,MATCH(B126,'Revised 2019 MFAM(2017 PYAs)'!B$26:B$270,0)),0)</f>
        <v>55.379102527117084</v>
      </c>
      <c r="V126" s="105">
        <f>IFERROR(INDEX('Revised 2018 MFAM(2016 PYAs)'!AF$26:AF$266,MATCH(B126,'Revised 2018 MFAM(2016 PYAs)'!B$26:B$266,0)),0)</f>
        <v>58.819840492820731</v>
      </c>
      <c r="W126" s="105">
        <f t="shared" si="30"/>
        <v>0.1155498383203109</v>
      </c>
      <c r="X126" s="105">
        <f t="shared" si="31"/>
        <v>114.31449285825812</v>
      </c>
      <c r="Y126" s="105"/>
      <c r="Z126" s="106">
        <f t="shared" si="32"/>
        <v>3164.3749909704557</v>
      </c>
      <c r="AA126" s="107">
        <v>0</v>
      </c>
      <c r="AB126" s="108">
        <f t="shared" si="33"/>
        <v>0</v>
      </c>
      <c r="AC126" s="108">
        <f>IFERROR(INDEX('Revised 2019 MFAM(2017 PYAs)'!AF$26:AF$270,MATCH(B126,'Revised 2019 MFAM(2017 PYAs)'!B$26:B$270,0)),0)</f>
        <v>5.1327383783343077</v>
      </c>
      <c r="AD126" s="216">
        <f>AC126/AC$24*('Revised 2019 MFAM(2017 PYAs)'!AF$24-'2020 Funding'!AC$24)</f>
        <v>4.7027141170346417E-3</v>
      </c>
      <c r="AE126" s="105">
        <f t="shared" si="34"/>
        <v>3169.512432062907</v>
      </c>
      <c r="AF126" s="111"/>
      <c r="AG126" s="105">
        <v>817.31152052816697</v>
      </c>
      <c r="AH126" s="214">
        <v>817.31152052816697</v>
      </c>
      <c r="AI126" s="105">
        <v>817.31152052816697</v>
      </c>
      <c r="AJ126" s="105">
        <f t="shared" si="35"/>
        <v>717.57787047840611</v>
      </c>
    </row>
    <row r="127" spans="2:36" x14ac:dyDescent="0.25">
      <c r="B127">
        <v>988</v>
      </c>
      <c r="C127" s="27">
        <v>6</v>
      </c>
      <c r="D127" s="39" t="s">
        <v>397</v>
      </c>
      <c r="E127" s="162">
        <f>INDEX('2018 Data Lockdown'!H$5:H$255, MATCH(B127,'2018 Data Lockdown'!B$5:B$255,0))</f>
        <v>144.72352333946131</v>
      </c>
      <c r="F127" s="5">
        <f>INDEX('2018 Data Lockdown'!E$5:E$255,MATCH(B127,'2018 Data Lockdown'!B$5:B$255,0))</f>
        <v>80859.64</v>
      </c>
      <c r="G127" s="5">
        <f>INDEX('2018 Data Lockdown'!F$5:F$255, MATCH(B127,'2018 Data Lockdown'!B$5:B$255,0))</f>
        <v>155</v>
      </c>
      <c r="H127" s="5">
        <f t="shared" si="19"/>
        <v>80704.639999999999</v>
      </c>
      <c r="I127" s="103">
        <f t="shared" si="20"/>
        <v>557.64700953762997</v>
      </c>
      <c r="J127" s="6">
        <f t="shared" si="21"/>
        <v>557.64700953762997</v>
      </c>
      <c r="K127" s="5">
        <f t="shared" si="22"/>
        <v>80704.639999999999</v>
      </c>
      <c r="L127" s="140">
        <f>INDEX('2018 Best Practice Scores'!M$4:M$255,MATCH(B127,'2018 Best Practice Scores'!A$4:A$255,0))</f>
        <v>0.77836904761904746</v>
      </c>
      <c r="M127" s="105">
        <f t="shared" si="23"/>
        <v>17783.032874943496</v>
      </c>
      <c r="N127" s="105">
        <f t="shared" si="24"/>
        <v>8178.6603006150808</v>
      </c>
      <c r="O127" s="105">
        <f t="shared" si="25"/>
        <v>4152.5287087943934</v>
      </c>
      <c r="P127" s="105">
        <f t="shared" si="26"/>
        <v>1013.7355707160352</v>
      </c>
      <c r="Q127" s="105">
        <f t="shared" si="27"/>
        <v>31127.957455069005</v>
      </c>
      <c r="R127" s="112">
        <f t="shared" si="28"/>
        <v>0.38570220318272908</v>
      </c>
      <c r="S127" s="175">
        <f t="shared" si="29"/>
        <v>31127.957455069005</v>
      </c>
      <c r="T127" s="105"/>
      <c r="U127" s="105">
        <f>IFERROR(INDEX('Revised 2019 MFAM(2017 PYAs)'!AD$26:AD$270,MATCH(B127,'Revised 2019 MFAM(2017 PYAs)'!B$26:B$270,0)),0)</f>
        <v>556.68400268100231</v>
      </c>
      <c r="V127" s="105">
        <f>IFERROR(INDEX('Revised 2018 MFAM(2016 PYAs)'!AF$26:AF$266,MATCH(B127,'Revised 2018 MFAM(2016 PYAs)'!B$26:B$266,0)),0)</f>
        <v>590.83794544418561</v>
      </c>
      <c r="W127" s="105">
        <f t="shared" si="30"/>
        <v>1.1792652812627684</v>
      </c>
      <c r="X127" s="105">
        <f t="shared" si="31"/>
        <v>1148.7012134064507</v>
      </c>
      <c r="Y127" s="105"/>
      <c r="Z127" s="106">
        <f t="shared" si="32"/>
        <v>32276.658668475455</v>
      </c>
      <c r="AA127" s="107">
        <v>0</v>
      </c>
      <c r="AB127" s="108">
        <f t="shared" si="33"/>
        <v>0</v>
      </c>
      <c r="AC127" s="108">
        <f>IFERROR(INDEX('Revised 2019 MFAM(2017 PYAs)'!AF$26:AF$270,MATCH(B127,'Revised 2019 MFAM(2017 PYAs)'!B$26:B$270,0)),0)</f>
        <v>56.672025491770533</v>
      </c>
      <c r="AD127" s="216">
        <f>AC127/AC$24*('Revised 2019 MFAM(2017 PYAs)'!AF$24-'2020 Funding'!AC$24)</f>
        <v>5.192400521446134E-2</v>
      </c>
      <c r="AE127" s="105">
        <f t="shared" si="34"/>
        <v>32333.382617972442</v>
      </c>
      <c r="AF127" s="111"/>
      <c r="AG127" s="105">
        <v>8336.5687676065045</v>
      </c>
      <c r="AH127" s="214">
        <v>8336.5687676065045</v>
      </c>
      <c r="AI127" s="105">
        <v>8336.5687676065045</v>
      </c>
      <c r="AJ127" s="105">
        <f t="shared" si="35"/>
        <v>7323.6763151529267</v>
      </c>
    </row>
    <row r="128" spans="2:36" x14ac:dyDescent="0.25">
      <c r="B128">
        <v>989</v>
      </c>
      <c r="C128" s="27">
        <v>6</v>
      </c>
      <c r="D128" s="39" t="s">
        <v>398</v>
      </c>
      <c r="E128" s="162">
        <f>INDEX('2018 Data Lockdown'!H$5:H$255, MATCH(B128,'2018 Data Lockdown'!B$5:B$255,0))</f>
        <v>456.51183625078789</v>
      </c>
      <c r="F128" s="5">
        <f>INDEX('2018 Data Lockdown'!E$5:E$255,MATCH(B128,'2018 Data Lockdown'!B$5:B$255,0))</f>
        <v>266398.28999999998</v>
      </c>
      <c r="G128" s="5">
        <f>INDEX('2018 Data Lockdown'!F$5:F$255, MATCH(B128,'2018 Data Lockdown'!B$5:B$255,0))</f>
        <v>36564.799999999996</v>
      </c>
      <c r="H128" s="5">
        <f t="shared" si="19"/>
        <v>229833.49</v>
      </c>
      <c r="I128" s="103">
        <f t="shared" si="20"/>
        <v>503.4557085913965</v>
      </c>
      <c r="J128" s="6">
        <f t="shared" si="21"/>
        <v>503.4557085913965</v>
      </c>
      <c r="K128" s="5">
        <f t="shared" si="22"/>
        <v>229833.49</v>
      </c>
      <c r="L128" s="140">
        <f>INDEX('2018 Best Practice Scores'!M$4:M$255,MATCH(B128,'2018 Best Practice Scores'!A$4:A$255,0))</f>
        <v>0.69499999999999995</v>
      </c>
      <c r="M128" s="105">
        <f t="shared" si="23"/>
        <v>50643.14156451224</v>
      </c>
      <c r="N128" s="105">
        <f t="shared" si="24"/>
        <v>25798.537416392264</v>
      </c>
      <c r="O128" s="105">
        <f t="shared" si="25"/>
        <v>10559.095016200799</v>
      </c>
      <c r="P128" s="105">
        <f t="shared" si="26"/>
        <v>2886.9515328339012</v>
      </c>
      <c r="Q128" s="105">
        <f t="shared" si="27"/>
        <v>89887.725529939198</v>
      </c>
      <c r="R128" s="112">
        <f t="shared" si="28"/>
        <v>0.39109933687183362</v>
      </c>
      <c r="S128" s="175">
        <f t="shared" si="29"/>
        <v>89887.725529939198</v>
      </c>
      <c r="T128" s="105"/>
      <c r="U128" s="105">
        <f>IFERROR(INDEX('Revised 2019 MFAM(2017 PYAs)'!AD$26:AD$270,MATCH(B128,'Revised 2019 MFAM(2017 PYAs)'!B$26:B$270,0)),0)</f>
        <v>1724.1163248539378</v>
      </c>
      <c r="V128" s="105">
        <f>IFERROR(INDEX('Revised 2018 MFAM(2016 PYAs)'!AF$26:AF$266,MATCH(B128,'Revised 2018 MFAM(2016 PYAs)'!B$26:B$266,0)),0)</f>
        <v>436.34677152957011</v>
      </c>
      <c r="W128" s="105">
        <f t="shared" si="30"/>
        <v>3.4053462737521372</v>
      </c>
      <c r="X128" s="105">
        <f t="shared" si="31"/>
        <v>2163.8684426572599</v>
      </c>
      <c r="Y128" s="105"/>
      <c r="Z128" s="106">
        <f t="shared" si="32"/>
        <v>92051.593972596456</v>
      </c>
      <c r="AA128" s="107">
        <v>0</v>
      </c>
      <c r="AB128" s="108">
        <f t="shared" si="33"/>
        <v>0</v>
      </c>
      <c r="AC128" s="108">
        <f>IFERROR(INDEX('Revised 2019 MFAM(2017 PYAs)'!AF$26:AF$270,MATCH(B128,'Revised 2019 MFAM(2017 PYAs)'!B$26:B$270,0)),0)</f>
        <v>212.52627933755019</v>
      </c>
      <c r="AD128" s="216">
        <f>AC128/AC$24*('Revised 2019 MFAM(2017 PYAs)'!AF$24-'2020 Funding'!AC$24)</f>
        <v>0.19472068521947339</v>
      </c>
      <c r="AE128" s="105">
        <f t="shared" si="34"/>
        <v>92264.31497261922</v>
      </c>
      <c r="AF128" s="111"/>
      <c r="AG128" s="105">
        <v>23621.737372829259</v>
      </c>
      <c r="AH128" s="214">
        <v>23621.737372829259</v>
      </c>
      <c r="AI128" s="105">
        <v>23621.737372829259</v>
      </c>
      <c r="AJ128" s="105">
        <f t="shared" si="35"/>
        <v>21399.102854131444</v>
      </c>
    </row>
    <row r="129" spans="2:36" x14ac:dyDescent="0.25">
      <c r="B129">
        <v>39</v>
      </c>
      <c r="C129" s="27">
        <v>7</v>
      </c>
      <c r="D129" s="39" t="s">
        <v>399</v>
      </c>
      <c r="E129" s="162">
        <f>INDEX('2018 Data Lockdown'!H$5:H$255, MATCH(B129,'2018 Data Lockdown'!B$5:B$255,0))</f>
        <v>383.36</v>
      </c>
      <c r="F129" s="5">
        <f>INDEX('2018 Data Lockdown'!E$5:E$255,MATCH(B129,'2018 Data Lockdown'!B$5:B$255,0))</f>
        <v>108160.35</v>
      </c>
      <c r="G129" s="5">
        <f>INDEX('2018 Data Lockdown'!F$5:F$255, MATCH(B129,'2018 Data Lockdown'!B$5:B$255,0))</f>
        <v>1756.13</v>
      </c>
      <c r="H129" s="5">
        <f t="shared" si="19"/>
        <v>106404.22</v>
      </c>
      <c r="I129" s="103">
        <f t="shared" si="20"/>
        <v>277.55691777963273</v>
      </c>
      <c r="J129" s="6">
        <f t="shared" si="21"/>
        <v>277.55691777963273</v>
      </c>
      <c r="K129" s="5">
        <f t="shared" si="22"/>
        <v>106404.22</v>
      </c>
      <c r="L129" s="140">
        <f>INDEX('2018 Best Practice Scores'!M$4:M$255,MATCH(B129,'2018 Best Practice Scores'!A$4:A$255,0))</f>
        <v>0.60305059523809523</v>
      </c>
      <c r="M129" s="105">
        <f t="shared" si="23"/>
        <v>23445.860638158105</v>
      </c>
      <c r="N129" s="105">
        <f t="shared" si="24"/>
        <v>21664.558328154562</v>
      </c>
      <c r="O129" s="105">
        <f t="shared" si="25"/>
        <v>4241.7120641132014</v>
      </c>
      <c r="P129" s="105">
        <f t="shared" si="26"/>
        <v>1336.5494559952758</v>
      </c>
      <c r="Q129" s="105">
        <f t="shared" si="27"/>
        <v>50688.680486421144</v>
      </c>
      <c r="R129" s="112">
        <f t="shared" si="28"/>
        <v>0.47637847903420694</v>
      </c>
      <c r="S129" s="175">
        <f t="shared" si="29"/>
        <v>50688.680486421144</v>
      </c>
      <c r="T129" s="105"/>
      <c r="U129" s="105">
        <f>IFERROR(INDEX('Revised 2019 MFAM(2017 PYAs)'!AD$26:AD$270,MATCH(B129,'Revised 2019 MFAM(2017 PYAs)'!B$26:B$270,0)),0)</f>
        <v>687.45197573587211</v>
      </c>
      <c r="V129" s="105">
        <f>IFERROR(INDEX('Revised 2018 MFAM(2016 PYAs)'!AF$26:AF$266,MATCH(B129,'Revised 2018 MFAM(2016 PYAs)'!B$26:B$266,0)),0)</f>
        <v>935.59798710623727</v>
      </c>
      <c r="W129" s="105">
        <f t="shared" si="30"/>
        <v>1.9203123474111521</v>
      </c>
      <c r="X129" s="105">
        <f t="shared" si="31"/>
        <v>1624.9702751895206</v>
      </c>
      <c r="Y129" s="105"/>
      <c r="Z129" s="106">
        <f t="shared" si="32"/>
        <v>52313.650761610668</v>
      </c>
      <c r="AA129" s="107">
        <v>0</v>
      </c>
      <c r="AB129" s="108">
        <f t="shared" si="33"/>
        <v>0</v>
      </c>
      <c r="AC129" s="108">
        <f>IFERROR(INDEX('Revised 2019 MFAM(2017 PYAs)'!AF$26:AF$270,MATCH(B129,'Revised 2019 MFAM(2017 PYAs)'!B$26:B$270,0)),0)</f>
        <v>105.81727086157231</v>
      </c>
      <c r="AD129" s="216">
        <f>AC129/AC$24*('Revised 2019 MFAM(2017 PYAs)'!AF$24-'2020 Funding'!AC$24)</f>
        <v>9.6951828990022762E-2</v>
      </c>
      <c r="AE129" s="105">
        <f t="shared" si="34"/>
        <v>52419.564984301236</v>
      </c>
      <c r="AF129" s="105"/>
      <c r="AG129" s="105">
        <v>13513.692773121806</v>
      </c>
      <c r="AH129" s="105">
        <v>13513.692773121806</v>
      </c>
      <c r="AI129" s="105">
        <v>13513.692773121806</v>
      </c>
      <c r="AJ129" s="105">
        <f t="shared" si="35"/>
        <v>11878.486664935823</v>
      </c>
    </row>
    <row r="130" spans="2:36" x14ac:dyDescent="0.25">
      <c r="B130">
        <v>59</v>
      </c>
      <c r="C130" s="27">
        <v>7</v>
      </c>
      <c r="D130" s="39" t="s">
        <v>400</v>
      </c>
      <c r="E130" s="162">
        <f>INDEX('2018 Data Lockdown'!H$5:H$255, MATCH(B130,'2018 Data Lockdown'!B$5:B$255,0))</f>
        <v>233.31196774077719</v>
      </c>
      <c r="F130" s="5">
        <f>INDEX('2018 Data Lockdown'!E$5:E$255,MATCH(B130,'2018 Data Lockdown'!B$5:B$255,0))</f>
        <v>172265.9</v>
      </c>
      <c r="G130" s="5">
        <f>INDEX('2018 Data Lockdown'!F$5:F$255, MATCH(B130,'2018 Data Lockdown'!B$5:B$255,0))</f>
        <v>0</v>
      </c>
      <c r="H130" s="5">
        <f t="shared" si="19"/>
        <v>172265.9</v>
      </c>
      <c r="I130" s="103">
        <f t="shared" si="20"/>
        <v>738.35003694022748</v>
      </c>
      <c r="J130" s="6">
        <f t="shared" si="21"/>
        <v>728.05685840676222</v>
      </c>
      <c r="K130" s="5">
        <f t="shared" si="22"/>
        <v>169864.3782620501</v>
      </c>
      <c r="L130" s="140">
        <f>INDEX('2018 Best Practice Scores'!M$4:M$255,MATCH(B130,'2018 Best Practice Scores'!A$4:A$255,0))</f>
        <v>9.7696428571428573E-2</v>
      </c>
      <c r="M130" s="105">
        <f t="shared" si="23"/>
        <v>37429.122079175053</v>
      </c>
      <c r="N130" s="105">
        <f t="shared" si="24"/>
        <v>13184.997740443923</v>
      </c>
      <c r="O130" s="105">
        <f t="shared" si="25"/>
        <v>1097.0074655098215</v>
      </c>
      <c r="P130" s="105">
        <f t="shared" si="26"/>
        <v>2133.6761113339189</v>
      </c>
      <c r="Q130" s="105">
        <f t="shared" si="27"/>
        <v>53844.803396462718</v>
      </c>
      <c r="R130" s="112">
        <f t="shared" si="28"/>
        <v>0.31698702192519868</v>
      </c>
      <c r="S130" s="175">
        <f t="shared" si="29"/>
        <v>53844.803396462718</v>
      </c>
      <c r="T130" s="105"/>
      <c r="U130" s="105">
        <f>IFERROR(INDEX('Revised 2019 MFAM(2017 PYAs)'!AD$26:AD$270,MATCH(B130,'Revised 2019 MFAM(2017 PYAs)'!B$26:B$270,0)),0)</f>
        <v>772.17316229614516</v>
      </c>
      <c r="V130" s="105">
        <f>IFERROR(INDEX('Revised 2018 MFAM(2016 PYAs)'!AF$26:AF$266,MATCH(B130,'Revised 2018 MFAM(2016 PYAs)'!B$26:B$266,0)),0)</f>
        <v>435.13428304198169</v>
      </c>
      <c r="W130" s="105">
        <f t="shared" si="30"/>
        <v>2.039880300964878</v>
      </c>
      <c r="X130" s="105">
        <f t="shared" si="31"/>
        <v>1209.3473256390917</v>
      </c>
      <c r="Y130" s="105"/>
      <c r="Z130" s="106">
        <f t="shared" si="32"/>
        <v>55054.150722101811</v>
      </c>
      <c r="AA130" s="107">
        <v>0</v>
      </c>
      <c r="AB130" s="108">
        <f t="shared" si="33"/>
        <v>0</v>
      </c>
      <c r="AC130" s="108">
        <f>IFERROR(INDEX('Revised 2019 MFAM(2017 PYAs)'!AF$26:AF$270,MATCH(B130,'Revised 2019 MFAM(2017 PYAs)'!B$26:B$270,0)),0)</f>
        <v>106.00010653662065</v>
      </c>
      <c r="AD130" s="216">
        <f>AC130/AC$24*('Revised 2019 MFAM(2017 PYAs)'!AF$24-'2020 Funding'!AC$24)</f>
        <v>9.7119346569679035E-2</v>
      </c>
      <c r="AE130" s="105">
        <f t="shared" si="34"/>
        <v>55160.247947985001</v>
      </c>
      <c r="AF130" s="111"/>
      <c r="AG130" s="105">
        <v>14226.283983017174</v>
      </c>
      <c r="AH130" s="214">
        <v>14226.283983017174</v>
      </c>
      <c r="AI130" s="105">
        <v>14226.283983017174</v>
      </c>
      <c r="AJ130" s="105">
        <f t="shared" si="35"/>
        <v>12481.395998933482</v>
      </c>
    </row>
    <row r="131" spans="2:36" x14ac:dyDescent="0.25">
      <c r="B131">
        <v>100</v>
      </c>
      <c r="C131" s="27">
        <v>7</v>
      </c>
      <c r="D131" s="39" t="s">
        <v>509</v>
      </c>
      <c r="E131" s="162">
        <f>INDEX('2018 Data Lockdown'!H$5:H$255, MATCH(B131,'2018 Data Lockdown'!B$5:B$255,0))</f>
        <v>31.644171725300925</v>
      </c>
      <c r="F131" s="5">
        <f>INDEX('2018 Data Lockdown'!E$5:E$255,MATCH(B131,'2018 Data Lockdown'!B$5:B$255,0))</f>
        <v>30401.27</v>
      </c>
      <c r="G131" s="5">
        <f>INDEX('2018 Data Lockdown'!F$5:F$255, MATCH(B131,'2018 Data Lockdown'!B$5:B$255,0))</f>
        <v>0</v>
      </c>
      <c r="H131" s="5">
        <f t="shared" si="19"/>
        <v>30401.27</v>
      </c>
      <c r="I131" s="103">
        <f t="shared" si="20"/>
        <v>960.72257045972322</v>
      </c>
      <c r="J131" s="6">
        <f t="shared" si="21"/>
        <v>728.05685840676222</v>
      </c>
      <c r="K131" s="5">
        <f t="shared" si="22"/>
        <v>23038.756253206684</v>
      </c>
      <c r="L131" s="140">
        <f>INDEX('2018 Best Practice Scores'!M$4:M$255,MATCH(B131,'2018 Best Practice Scores'!A$4:A$255,0))</f>
        <v>0</v>
      </c>
      <c r="M131" s="105">
        <f t="shared" si="23"/>
        <v>5076.5229836671651</v>
      </c>
      <c r="N131" s="105">
        <f t="shared" si="24"/>
        <v>1788.2851734372946</v>
      </c>
      <c r="O131" s="105">
        <f t="shared" si="25"/>
        <v>0</v>
      </c>
      <c r="P131" s="105">
        <f t="shared" si="26"/>
        <v>289.39112694055888</v>
      </c>
      <c r="Q131" s="105">
        <f t="shared" si="27"/>
        <v>7154.1992840450184</v>
      </c>
      <c r="R131" s="112">
        <f t="shared" si="28"/>
        <v>0.31052888469399254</v>
      </c>
      <c r="S131" s="175">
        <f t="shared" si="29"/>
        <v>7154.1992840450184</v>
      </c>
      <c r="T131" s="105"/>
      <c r="U131" s="105">
        <f>IFERROR(INDEX('Revised 2019 MFAM(2017 PYAs)'!AD$26:AD$270,MATCH(B131,'Revised 2019 MFAM(2017 PYAs)'!B$26:B$270,0)),0)</f>
        <v>144.22506001076908</v>
      </c>
      <c r="V131" s="105">
        <f>IFERROR(INDEX('Revised 2018 MFAM(2016 PYAs)'!AF$26:AF$266,MATCH(B131,'Revised 2018 MFAM(2016 PYAs)'!B$26:B$266,0)),0)</f>
        <v>189.97886572991956</v>
      </c>
      <c r="W131" s="105">
        <f t="shared" si="30"/>
        <v>0.27103284380566955</v>
      </c>
      <c r="X131" s="105">
        <f t="shared" si="31"/>
        <v>334.47495858449429</v>
      </c>
      <c r="Y131" s="105"/>
      <c r="Z131" s="106">
        <f t="shared" si="32"/>
        <v>7488.6742426295132</v>
      </c>
      <c r="AA131" s="107">
        <v>0</v>
      </c>
      <c r="AB131" s="108">
        <f t="shared" si="33"/>
        <v>0</v>
      </c>
      <c r="AC131" s="108">
        <f>IFERROR(INDEX('Revised 2019 MFAM(2017 PYAs)'!AF$26:AF$270,MATCH(B131,'Revised 2019 MFAM(2017 PYAs)'!B$26:B$270,0)),0)</f>
        <v>17.958391628380728</v>
      </c>
      <c r="AD131" s="216">
        <f>AC131/AC$24*('Revised 2019 MFAM(2017 PYAs)'!AF$24-'2020 Funding'!AC$24)</f>
        <v>1.6453825542035477E-2</v>
      </c>
      <c r="AE131" s="105">
        <f t="shared" si="34"/>
        <v>7506.6490880834363</v>
      </c>
      <c r="AF131" s="111"/>
      <c r="AG131" s="105">
        <v>1950.0265908092695</v>
      </c>
      <c r="AH131" s="214">
        <v>1950.0265908092695</v>
      </c>
      <c r="AI131" s="105">
        <v>1950.0265908092695</v>
      </c>
      <c r="AJ131" s="105">
        <f t="shared" si="35"/>
        <v>1656.5693156556274</v>
      </c>
    </row>
    <row r="132" spans="2:36" x14ac:dyDescent="0.25">
      <c r="B132">
        <v>128</v>
      </c>
      <c r="C132" s="27">
        <v>7</v>
      </c>
      <c r="D132" s="39" t="s">
        <v>401</v>
      </c>
      <c r="E132" s="162">
        <f>INDEX('2018 Data Lockdown'!H$5:H$255, MATCH(B132,'2018 Data Lockdown'!B$5:B$255,0))</f>
        <v>144.8151497882408</v>
      </c>
      <c r="F132" s="5">
        <f>INDEX('2018 Data Lockdown'!E$5:E$255,MATCH(B132,'2018 Data Lockdown'!B$5:B$255,0))</f>
        <v>96271.57</v>
      </c>
      <c r="G132" s="5">
        <f>INDEX('2018 Data Lockdown'!F$5:F$255, MATCH(B132,'2018 Data Lockdown'!B$5:B$255,0))</f>
        <v>119.44</v>
      </c>
      <c r="H132" s="5">
        <f t="shared" si="19"/>
        <v>96152.13</v>
      </c>
      <c r="I132" s="103">
        <f t="shared" si="20"/>
        <v>663.96457926260211</v>
      </c>
      <c r="J132" s="6">
        <f t="shared" si="21"/>
        <v>663.96457926260211</v>
      </c>
      <c r="K132" s="5">
        <f t="shared" si="22"/>
        <v>96152.13</v>
      </c>
      <c r="L132" s="140">
        <f>INDEX('2018 Best Practice Scores'!M$4:M$255,MATCH(B132,'2018 Best Practice Scores'!A$4:A$255,0))</f>
        <v>9.7696428571428573E-2</v>
      </c>
      <c r="M132" s="105">
        <f t="shared" si="23"/>
        <v>21186.842401946666</v>
      </c>
      <c r="N132" s="105">
        <f t="shared" si="24"/>
        <v>8183.8383226935057</v>
      </c>
      <c r="O132" s="105">
        <f t="shared" si="25"/>
        <v>620.9636506127689</v>
      </c>
      <c r="P132" s="105">
        <f t="shared" si="26"/>
        <v>1207.7723707225809</v>
      </c>
      <c r="Q132" s="105">
        <f t="shared" si="27"/>
        <v>31199.416745975523</v>
      </c>
      <c r="R132" s="112">
        <f t="shared" si="28"/>
        <v>0.32447972547228565</v>
      </c>
      <c r="S132" s="175">
        <f t="shared" si="29"/>
        <v>31199.416745975523</v>
      </c>
      <c r="T132" s="105"/>
      <c r="U132" s="105">
        <f>IFERROR(INDEX('Revised 2019 MFAM(2017 PYAs)'!AD$26:AD$270,MATCH(B132,'Revised 2019 MFAM(2017 PYAs)'!B$26:B$270,0)),0)</f>
        <v>457.38900220414507</v>
      </c>
      <c r="V132" s="105">
        <f>IFERROR(INDEX('Revised 2018 MFAM(2016 PYAs)'!AF$26:AF$266,MATCH(B132,'Revised 2018 MFAM(2016 PYAs)'!B$26:B$266,0)),0)</f>
        <v>576.89404564941651</v>
      </c>
      <c r="W132" s="105">
        <f t="shared" si="30"/>
        <v>1.1819724765842525</v>
      </c>
      <c r="X132" s="105">
        <f t="shared" si="31"/>
        <v>1035.4650203301458</v>
      </c>
      <c r="Y132" s="105"/>
      <c r="Z132" s="106">
        <f t="shared" si="32"/>
        <v>32234.881766305669</v>
      </c>
      <c r="AA132" s="107">
        <v>0</v>
      </c>
      <c r="AB132" s="108">
        <f t="shared" si="33"/>
        <v>0</v>
      </c>
      <c r="AC132" s="108">
        <f>IFERROR(INDEX('Revised 2019 MFAM(2017 PYAs)'!AF$26:AF$270,MATCH(B132,'Revised 2019 MFAM(2017 PYAs)'!B$26:B$270,0)),0)</f>
        <v>63.21741107065877</v>
      </c>
      <c r="AD132" s="216">
        <f>AC132/AC$24*('Revised 2019 MFAM(2017 PYAs)'!AF$24-'2020 Funding'!AC$24)</f>
        <v>5.7921014002830916E-2</v>
      </c>
      <c r="AE132" s="105">
        <f t="shared" si="34"/>
        <v>32298.157098390329</v>
      </c>
      <c r="AF132" s="111"/>
      <c r="AG132" s="105">
        <v>8258.510511558592</v>
      </c>
      <c r="AH132" s="214">
        <v>8258.510511558592</v>
      </c>
      <c r="AI132" s="105">
        <v>8258.510511558592</v>
      </c>
      <c r="AJ132" s="105">
        <f t="shared" si="35"/>
        <v>7522.625563714555</v>
      </c>
    </row>
    <row r="133" spans="2:36" x14ac:dyDescent="0.25">
      <c r="B133">
        <v>152</v>
      </c>
      <c r="C133" s="27">
        <v>7</v>
      </c>
      <c r="D133" s="39" t="s">
        <v>402</v>
      </c>
      <c r="E133" s="162">
        <f>INDEX('2018 Data Lockdown'!H$5:H$255, MATCH(B133,'2018 Data Lockdown'!B$5:B$255,0))</f>
        <v>355.34</v>
      </c>
      <c r="F133" s="5">
        <f>INDEX('2018 Data Lockdown'!E$5:E$255,MATCH(B133,'2018 Data Lockdown'!B$5:B$255,0))</f>
        <v>157814.06</v>
      </c>
      <c r="G133" s="5">
        <f>INDEX('2018 Data Lockdown'!F$5:F$255, MATCH(B133,'2018 Data Lockdown'!B$5:B$255,0))</f>
        <v>22795.199999999997</v>
      </c>
      <c r="H133" s="5">
        <f t="shared" si="19"/>
        <v>135018.85999999999</v>
      </c>
      <c r="I133" s="103">
        <f t="shared" si="20"/>
        <v>379.97090110879719</v>
      </c>
      <c r="J133" s="6">
        <f t="shared" si="21"/>
        <v>379.97090110879719</v>
      </c>
      <c r="K133" s="5">
        <f t="shared" si="22"/>
        <v>135018.85999999999</v>
      </c>
      <c r="L133" s="140">
        <f>INDEX('2018 Best Practice Scores'!M$4:M$255,MATCH(B133,'2018 Best Practice Scores'!A$4:A$255,0))</f>
        <v>0.25982738095238095</v>
      </c>
      <c r="M133" s="105">
        <f t="shared" si="23"/>
        <v>29751.013400436368</v>
      </c>
      <c r="N133" s="105">
        <f t="shared" si="24"/>
        <v>20081.083462871557</v>
      </c>
      <c r="O133" s="105">
        <f t="shared" si="25"/>
        <v>2319.0383677543709</v>
      </c>
      <c r="P133" s="105">
        <f t="shared" si="26"/>
        <v>1695.9795756418523</v>
      </c>
      <c r="Q133" s="105">
        <f t="shared" si="27"/>
        <v>53847.11480670415</v>
      </c>
      <c r="R133" s="112">
        <f t="shared" si="28"/>
        <v>0.39881180160093305</v>
      </c>
      <c r="S133" s="175">
        <f t="shared" si="29"/>
        <v>53847.11480670415</v>
      </c>
      <c r="T133" s="105"/>
      <c r="U133" s="105">
        <f>IFERROR(INDEX('Revised 2019 MFAM(2017 PYAs)'!AD$26:AD$270,MATCH(B133,'Revised 2019 MFAM(2017 PYAs)'!B$26:B$270,0)),0)</f>
        <v>601.01032516553096</v>
      </c>
      <c r="V133" s="105">
        <f>IFERROR(INDEX('Revised 2018 MFAM(2016 PYAs)'!AF$26:AF$266,MATCH(B133,'Revised 2018 MFAM(2016 PYAs)'!B$26:B$266,0)),0)</f>
        <v>1295.7559691406277</v>
      </c>
      <c r="W133" s="105">
        <f t="shared" si="30"/>
        <v>2.0399678674508066</v>
      </c>
      <c r="X133" s="105">
        <f t="shared" si="31"/>
        <v>1898.8062621736094</v>
      </c>
      <c r="Y133" s="105"/>
      <c r="Z133" s="106">
        <f t="shared" si="32"/>
        <v>55745.92106887776</v>
      </c>
      <c r="AA133" s="107">
        <v>0</v>
      </c>
      <c r="AB133" s="108">
        <f t="shared" si="33"/>
        <v>0</v>
      </c>
      <c r="AC133" s="108">
        <f>IFERROR(INDEX('Revised 2019 MFAM(2017 PYAs)'!AF$26:AF$270,MATCH(B133,'Revised 2019 MFAM(2017 PYAs)'!B$26:B$270,0)),0)</f>
        <v>93.645108370322703</v>
      </c>
      <c r="AD133" s="216">
        <f>AC133/AC$24*('Revised 2019 MFAM(2017 PYAs)'!AF$24-'2020 Funding'!AC$24)</f>
        <v>8.5799458430077039E-2</v>
      </c>
      <c r="AE133" s="105">
        <f t="shared" si="34"/>
        <v>55839.651976706511</v>
      </c>
      <c r="AF133" s="111"/>
      <c r="AG133" s="105">
        <v>14303.079319689103</v>
      </c>
      <c r="AH133" s="214">
        <v>14303.079319689103</v>
      </c>
      <c r="AI133" s="105">
        <v>14303.079319689103</v>
      </c>
      <c r="AJ133" s="105">
        <f t="shared" si="35"/>
        <v>12930.414017639203</v>
      </c>
    </row>
    <row r="134" spans="2:36" x14ac:dyDescent="0.25">
      <c r="B134">
        <v>162</v>
      </c>
      <c r="C134" s="27">
        <v>7</v>
      </c>
      <c r="D134" s="39" t="s">
        <v>403</v>
      </c>
      <c r="E134" s="162">
        <f>INDEX('2018 Data Lockdown'!H$5:H$255, MATCH(B134,'2018 Data Lockdown'!B$5:B$255,0))</f>
        <v>789.80000000000007</v>
      </c>
      <c r="F134" s="5">
        <f>INDEX('2018 Data Lockdown'!E$5:E$255,MATCH(B134,'2018 Data Lockdown'!B$5:B$255,0))</f>
        <v>386975.44</v>
      </c>
      <c r="G134" s="5">
        <f>INDEX('2018 Data Lockdown'!F$5:F$255, MATCH(B134,'2018 Data Lockdown'!B$5:B$255,0))</f>
        <v>24452.720000000001</v>
      </c>
      <c r="H134" s="5">
        <f t="shared" si="19"/>
        <v>362522.72</v>
      </c>
      <c r="I134" s="103">
        <f t="shared" si="20"/>
        <v>459.00572296783986</v>
      </c>
      <c r="J134" s="6">
        <f t="shared" si="21"/>
        <v>459.00572296783986</v>
      </c>
      <c r="K134" s="5">
        <f t="shared" si="22"/>
        <v>362522.72</v>
      </c>
      <c r="L134" s="140">
        <f>INDEX('2018 Best Practice Scores'!M$4:M$255,MATCH(B134,'2018 Best Practice Scores'!A$4:A$255,0))</f>
        <v>0.82153273809523808</v>
      </c>
      <c r="M134" s="105">
        <f t="shared" si="23"/>
        <v>79880.827764970338</v>
      </c>
      <c r="N134" s="105">
        <f t="shared" si="24"/>
        <v>44633.42072093195</v>
      </c>
      <c r="O134" s="105">
        <f t="shared" si="25"/>
        <v>19687.414546521057</v>
      </c>
      <c r="P134" s="105">
        <f t="shared" si="26"/>
        <v>4553.6684936173369</v>
      </c>
      <c r="Q134" s="105">
        <f t="shared" si="27"/>
        <v>148755.33152604068</v>
      </c>
      <c r="R134" s="112">
        <f t="shared" si="28"/>
        <v>0.41033381721851997</v>
      </c>
      <c r="S134" s="175">
        <f t="shared" si="29"/>
        <v>148755.33152604068</v>
      </c>
      <c r="T134" s="105"/>
      <c r="U134" s="105">
        <f>IFERROR(INDEX('Revised 2019 MFAM(2017 PYAs)'!AD$26:AD$270,MATCH(B134,'Revised 2019 MFAM(2017 PYAs)'!B$26:B$270,0)),0)</f>
        <v>2110.3075095823733</v>
      </c>
      <c r="V134" s="105">
        <f>IFERROR(INDEX('Revised 2018 MFAM(2016 PYAs)'!AF$26:AF$266,MATCH(B134,'Revised 2018 MFAM(2016 PYAs)'!B$26:B$266,0)),0)</f>
        <v>603.18387342587812</v>
      </c>
      <c r="W134" s="105">
        <f t="shared" si="30"/>
        <v>5.6355126456530895</v>
      </c>
      <c r="X134" s="105">
        <f t="shared" si="31"/>
        <v>2719.1268956539047</v>
      </c>
      <c r="Y134" s="105"/>
      <c r="Z134" s="106">
        <f t="shared" si="32"/>
        <v>151474.45842169458</v>
      </c>
      <c r="AA134" s="107">
        <v>0</v>
      </c>
      <c r="AB134" s="108">
        <f t="shared" si="33"/>
        <v>0</v>
      </c>
      <c r="AC134" s="108">
        <f>IFERROR(INDEX('Revised 2019 MFAM(2017 PYAs)'!AF$26:AF$270,MATCH(B134,'Revised 2019 MFAM(2017 PYAs)'!B$26:B$270,0)),0)</f>
        <v>280.38792712169345</v>
      </c>
      <c r="AD134" s="216">
        <f>AC134/AC$24*('Revised 2019 MFAM(2017 PYAs)'!AF$24-'2020 Funding'!AC$24)</f>
        <v>0.2568968386713642</v>
      </c>
      <c r="AE134" s="105">
        <f t="shared" si="34"/>
        <v>151755.10324565493</v>
      </c>
      <c r="AF134" s="111"/>
      <c r="AG134" s="105">
        <v>39146.3462286586</v>
      </c>
      <c r="AH134" s="214">
        <v>39146.3462286586</v>
      </c>
      <c r="AI134" s="105">
        <v>39146.3462286586</v>
      </c>
      <c r="AJ134" s="105">
        <f t="shared" si="35"/>
        <v>34316.064559679129</v>
      </c>
    </row>
    <row r="135" spans="2:36" x14ac:dyDescent="0.25">
      <c r="B135">
        <v>166</v>
      </c>
      <c r="C135" s="27">
        <v>7</v>
      </c>
      <c r="D135" s="39" t="s">
        <v>404</v>
      </c>
      <c r="E135" s="162">
        <f>INDEX('2018 Data Lockdown'!H$5:H$255, MATCH(B135,'2018 Data Lockdown'!B$5:B$255,0))</f>
        <v>860.3599999999999</v>
      </c>
      <c r="F135" s="5">
        <f>INDEX('2018 Data Lockdown'!E$5:E$255,MATCH(B135,'2018 Data Lockdown'!B$5:B$255,0))</f>
        <v>451775.31</v>
      </c>
      <c r="G135" s="5">
        <f>INDEX('2018 Data Lockdown'!F$5:F$255, MATCH(B135,'2018 Data Lockdown'!B$5:B$255,0))</f>
        <v>109930.31</v>
      </c>
      <c r="H135" s="5">
        <f t="shared" si="19"/>
        <v>341845</v>
      </c>
      <c r="I135" s="103">
        <f t="shared" si="20"/>
        <v>397.32786275512581</v>
      </c>
      <c r="J135" s="6">
        <f t="shared" si="21"/>
        <v>397.32786275512581</v>
      </c>
      <c r="K135" s="5">
        <f t="shared" si="22"/>
        <v>341845</v>
      </c>
      <c r="L135" s="140">
        <f>INDEX('2018 Best Practice Scores'!M$4:M$255,MATCH(B135,'2018 Best Practice Scores'!A$4:A$255,0))</f>
        <v>0.83794047619047607</v>
      </c>
      <c r="M135" s="105">
        <f t="shared" si="23"/>
        <v>75324.55225790065</v>
      </c>
      <c r="N135" s="105">
        <f t="shared" si="24"/>
        <v>48620.929161130676</v>
      </c>
      <c r="O135" s="105">
        <f t="shared" si="25"/>
        <v>18935.247356345899</v>
      </c>
      <c r="P135" s="105">
        <f t="shared" si="26"/>
        <v>4293.9344772670202</v>
      </c>
      <c r="Q135" s="105">
        <f t="shared" si="27"/>
        <v>147174.66325264427</v>
      </c>
      <c r="R135" s="112">
        <f t="shared" si="28"/>
        <v>0.43053039609368066</v>
      </c>
      <c r="S135" s="175">
        <f t="shared" si="29"/>
        <v>147174.66325264427</v>
      </c>
      <c r="T135" s="105"/>
      <c r="U135" s="105">
        <f>IFERROR(INDEX('Revised 2019 MFAM(2017 PYAs)'!AD$26:AD$270,MATCH(B135,'Revised 2019 MFAM(2017 PYAs)'!B$26:B$270,0)),0)</f>
        <v>2475.9775951766933</v>
      </c>
      <c r="V135" s="105">
        <f>IFERROR(INDEX('Revised 2018 MFAM(2016 PYAs)'!AF$26:AF$266,MATCH(B135,'Revised 2018 MFAM(2016 PYAs)'!B$26:B$266,0)),0)</f>
        <v>3003.9224244822544</v>
      </c>
      <c r="W135" s="105">
        <f t="shared" si="30"/>
        <v>5.5756299110181384</v>
      </c>
      <c r="X135" s="105">
        <f t="shared" si="31"/>
        <v>5485.4756495699658</v>
      </c>
      <c r="Y135" s="105"/>
      <c r="Z135" s="106">
        <f t="shared" si="32"/>
        <v>152660.13890221424</v>
      </c>
      <c r="AA135" s="107">
        <v>0</v>
      </c>
      <c r="AB135" s="108">
        <f t="shared" si="33"/>
        <v>0</v>
      </c>
      <c r="AC135" s="108">
        <f>IFERROR(INDEX('Revised 2019 MFAM(2017 PYAs)'!AF$26:AF$270,MATCH(B135,'Revised 2019 MFAM(2017 PYAs)'!B$26:B$270,0)),0)</f>
        <v>252.88795880762439</v>
      </c>
      <c r="AD135" s="216">
        <f>AC135/AC$24*('Revised 2019 MFAM(2017 PYAs)'!AF$24-'2020 Funding'!AC$24)</f>
        <v>0.23170083613313497</v>
      </c>
      <c r="AE135" s="105">
        <f t="shared" si="34"/>
        <v>152913.25856185801</v>
      </c>
      <c r="AF135" s="111"/>
      <c r="AG135" s="105">
        <v>39186.167141879516</v>
      </c>
      <c r="AH135" s="214">
        <v>39186.167141879516</v>
      </c>
      <c r="AI135" s="105">
        <v>39186.167141879516</v>
      </c>
      <c r="AJ135" s="105">
        <f t="shared" si="35"/>
        <v>35354.757136219458</v>
      </c>
    </row>
    <row r="136" spans="2:36" x14ac:dyDescent="0.25">
      <c r="B136">
        <v>192</v>
      </c>
      <c r="C136" s="27">
        <v>7</v>
      </c>
      <c r="D136" s="39" t="s">
        <v>405</v>
      </c>
      <c r="E136" s="162">
        <f>INDEX('2018 Data Lockdown'!H$5:H$255, MATCH(B136,'2018 Data Lockdown'!B$5:B$255,0))</f>
        <v>166.06</v>
      </c>
      <c r="F136" s="5">
        <f>INDEX('2018 Data Lockdown'!E$5:E$255,MATCH(B136,'2018 Data Lockdown'!B$5:B$255,0))</f>
        <v>119649.47</v>
      </c>
      <c r="G136" s="5">
        <f>INDEX('2018 Data Lockdown'!F$5:F$255, MATCH(B136,'2018 Data Lockdown'!B$5:B$255,0))</f>
        <v>21552.310000000005</v>
      </c>
      <c r="H136" s="5">
        <f t="shared" si="19"/>
        <v>98097.16</v>
      </c>
      <c r="I136" s="103">
        <f t="shared" si="20"/>
        <v>590.73322895339038</v>
      </c>
      <c r="J136" s="6">
        <f t="shared" si="21"/>
        <v>590.73322895339038</v>
      </c>
      <c r="K136" s="5">
        <f t="shared" si="22"/>
        <v>98097.16</v>
      </c>
      <c r="L136" s="140">
        <f>INDEX('2018 Best Practice Scores'!M$4:M$255,MATCH(B136,'2018 Best Practice Scores'!A$4:A$255,0))</f>
        <v>0.57625892857142857</v>
      </c>
      <c r="M136" s="105">
        <f t="shared" si="23"/>
        <v>21615.42410967439</v>
      </c>
      <c r="N136" s="105">
        <f t="shared" si="24"/>
        <v>9384.4338375765492</v>
      </c>
      <c r="O136" s="105">
        <f t="shared" si="25"/>
        <v>3736.8243414173967</v>
      </c>
      <c r="P136" s="105">
        <f t="shared" si="26"/>
        <v>1232.2040031183119</v>
      </c>
      <c r="Q136" s="105">
        <f t="shared" si="27"/>
        <v>35968.88629178665</v>
      </c>
      <c r="R136" s="112">
        <f t="shared" si="28"/>
        <v>0.36666592887894661</v>
      </c>
      <c r="S136" s="175">
        <f t="shared" si="29"/>
        <v>35968.88629178665</v>
      </c>
      <c r="T136" s="105"/>
      <c r="U136" s="105">
        <f>IFERROR(INDEX('Revised 2019 MFAM(2017 PYAs)'!AD$26:AD$270,MATCH(B136,'Revised 2019 MFAM(2017 PYAs)'!B$26:B$270,0)),0)</f>
        <v>403.6873492746854</v>
      </c>
      <c r="V136" s="105">
        <f>IFERROR(INDEX('Revised 2018 MFAM(2016 PYAs)'!AF$26:AF$266,MATCH(B136,'Revised 2018 MFAM(2016 PYAs)'!B$26:B$266,0)),0)</f>
        <v>845.88870840453092</v>
      </c>
      <c r="W136" s="105">
        <f t="shared" si="30"/>
        <v>1.3626611662785149</v>
      </c>
      <c r="X136" s="105">
        <f t="shared" si="31"/>
        <v>1250.9387188454948</v>
      </c>
      <c r="Y136" s="105"/>
      <c r="Z136" s="106">
        <f t="shared" si="32"/>
        <v>37219.825010632143</v>
      </c>
      <c r="AA136" s="107">
        <v>0</v>
      </c>
      <c r="AB136" s="108">
        <f t="shared" si="33"/>
        <v>0</v>
      </c>
      <c r="AC136" s="108">
        <f>IFERROR(INDEX('Revised 2019 MFAM(2017 PYAs)'!AF$26:AF$270,MATCH(B136,'Revised 2019 MFAM(2017 PYAs)'!B$26:B$270,0)),0)</f>
        <v>56.586572811795321</v>
      </c>
      <c r="AD136" s="216">
        <f>AC136/AC$24*('Revised 2019 MFAM(2017 PYAs)'!AF$24-'2020 Funding'!AC$24)</f>
        <v>5.1845711817284861E-2</v>
      </c>
      <c r="AE136" s="105">
        <f t="shared" si="34"/>
        <v>37276.463429155752</v>
      </c>
      <c r="AF136" s="111"/>
      <c r="AG136" s="105">
        <v>9613.9772276689255</v>
      </c>
      <c r="AH136" s="214">
        <v>9613.9772276689255</v>
      </c>
      <c r="AI136" s="105">
        <v>9613.9772276689255</v>
      </c>
      <c r="AJ136" s="105">
        <f t="shared" si="35"/>
        <v>8434.5317461489758</v>
      </c>
    </row>
    <row r="137" spans="2:36" x14ac:dyDescent="0.25">
      <c r="B137">
        <v>205</v>
      </c>
      <c r="C137" s="27">
        <v>7</v>
      </c>
      <c r="D137" s="39" t="s">
        <v>406</v>
      </c>
      <c r="E137" s="162">
        <f>INDEX('2018 Data Lockdown'!H$5:H$255, MATCH(B137,'2018 Data Lockdown'!B$5:B$255,0))</f>
        <v>611.51978389570877</v>
      </c>
      <c r="F137" s="5">
        <f>INDEX('2018 Data Lockdown'!E$5:E$255,MATCH(B137,'2018 Data Lockdown'!B$5:B$255,0))</f>
        <v>424199.53</v>
      </c>
      <c r="G137" s="5">
        <f>INDEX('2018 Data Lockdown'!F$5:F$255, MATCH(B137,'2018 Data Lockdown'!B$5:B$255,0))</f>
        <v>18066.25</v>
      </c>
      <c r="H137" s="5">
        <f t="shared" si="19"/>
        <v>406133.28</v>
      </c>
      <c r="I137" s="103">
        <f t="shared" si="20"/>
        <v>664.13759733612108</v>
      </c>
      <c r="J137" s="6">
        <f t="shared" si="21"/>
        <v>664.13759733612108</v>
      </c>
      <c r="K137" s="5">
        <f t="shared" si="22"/>
        <v>406133.28</v>
      </c>
      <c r="L137" s="140">
        <f>INDEX('2018 Best Practice Scores'!M$4:M$255,MATCH(B137,'2018 Best Practice Scores'!A$4:A$255,0))</f>
        <v>0.54729761904761909</v>
      </c>
      <c r="M137" s="105">
        <f t="shared" si="23"/>
        <v>89490.287917133785</v>
      </c>
      <c r="N137" s="105">
        <f t="shared" si="24"/>
        <v>34558.394269170116</v>
      </c>
      <c r="O137" s="105">
        <f t="shared" si="25"/>
        <v>14693.346451479969</v>
      </c>
      <c r="P137" s="105">
        <f t="shared" si="26"/>
        <v>5101.4632168308462</v>
      </c>
      <c r="Q137" s="105">
        <f t="shared" si="27"/>
        <v>143843.49185461472</v>
      </c>
      <c r="R137" s="112">
        <f t="shared" si="28"/>
        <v>0.35417804680920195</v>
      </c>
      <c r="S137" s="175">
        <f t="shared" si="29"/>
        <v>143843.49185461472</v>
      </c>
      <c r="T137" s="105"/>
      <c r="U137" s="105">
        <f>IFERROR(INDEX('Revised 2019 MFAM(2017 PYAs)'!AD$26:AD$270,MATCH(B137,'Revised 2019 MFAM(2017 PYAs)'!B$26:B$270,0)),0)</f>
        <v>2120.9090572005953</v>
      </c>
      <c r="V137" s="105">
        <f>IFERROR(INDEX('Revised 2018 MFAM(2016 PYAs)'!AF$26:AF$266,MATCH(B137,'Revised 2018 MFAM(2016 PYAs)'!B$26:B$266,0)),0)</f>
        <v>1433.688313981198</v>
      </c>
      <c r="W137" s="105">
        <f t="shared" si="30"/>
        <v>5.4494303432725815</v>
      </c>
      <c r="X137" s="105">
        <f t="shared" si="31"/>
        <v>3560.0468015250658</v>
      </c>
      <c r="Y137" s="105"/>
      <c r="Z137" s="106">
        <f t="shared" si="32"/>
        <v>147403.53865613978</v>
      </c>
      <c r="AA137" s="107">
        <v>0</v>
      </c>
      <c r="AB137" s="108">
        <f t="shared" si="33"/>
        <v>0</v>
      </c>
      <c r="AC137" s="108">
        <f>IFERROR(INDEX('Revised 2019 MFAM(2017 PYAs)'!AF$26:AF$270,MATCH(B137,'Revised 2019 MFAM(2017 PYAs)'!B$26:B$270,0)),0)</f>
        <v>277.26921058523152</v>
      </c>
      <c r="AD137" s="216">
        <f>AC137/AC$24*('Revised 2019 MFAM(2017 PYAs)'!AF$24-'2020 Funding'!AC$24)</f>
        <v>0.25403941029649185</v>
      </c>
      <c r="AE137" s="105">
        <f t="shared" si="34"/>
        <v>147681.06190613529</v>
      </c>
      <c r="AF137" s="111"/>
      <c r="AG137" s="105">
        <v>37798.184081115491</v>
      </c>
      <c r="AH137" s="214">
        <v>37798.184081115491</v>
      </c>
      <c r="AI137" s="105">
        <v>37798.184081115491</v>
      </c>
      <c r="AJ137" s="105">
        <f t="shared" si="35"/>
        <v>34286.509662788805</v>
      </c>
    </row>
    <row r="138" spans="2:36" x14ac:dyDescent="0.25">
      <c r="B138">
        <v>212</v>
      </c>
      <c r="C138" s="27">
        <v>7</v>
      </c>
      <c r="D138" s="39" t="s">
        <v>407</v>
      </c>
      <c r="E138" s="162">
        <f>INDEX('2018 Data Lockdown'!H$5:H$255, MATCH(B138,'2018 Data Lockdown'!B$5:B$255,0))</f>
        <v>456.16891805920824</v>
      </c>
      <c r="F138" s="5">
        <f>INDEX('2018 Data Lockdown'!E$5:E$255,MATCH(B138,'2018 Data Lockdown'!B$5:B$255,0))</f>
        <v>245644.58</v>
      </c>
      <c r="G138" s="5">
        <f>INDEX('2018 Data Lockdown'!F$5:F$255, MATCH(B138,'2018 Data Lockdown'!B$5:B$255,0))</f>
        <v>630</v>
      </c>
      <c r="H138" s="5">
        <f t="shared" si="19"/>
        <v>245014.58</v>
      </c>
      <c r="I138" s="103">
        <f t="shared" si="20"/>
        <v>537.11371007570142</v>
      </c>
      <c r="J138" s="6">
        <f t="shared" si="21"/>
        <v>537.11371007570142</v>
      </c>
      <c r="K138" s="5">
        <f t="shared" si="22"/>
        <v>245014.57999999996</v>
      </c>
      <c r="L138" s="140">
        <f>INDEX('2018 Best Practice Scores'!M$4:M$255,MATCH(B138,'2018 Best Practice Scores'!A$4:A$255,0))</f>
        <v>0.26951785714285714</v>
      </c>
      <c r="M138" s="105">
        <f t="shared" si="23"/>
        <v>53988.250625744346</v>
      </c>
      <c r="N138" s="105">
        <f t="shared" si="24"/>
        <v>25779.158317990597</v>
      </c>
      <c r="O138" s="105">
        <f t="shared" si="25"/>
        <v>4365.2392858626399</v>
      </c>
      <c r="P138" s="105">
        <f t="shared" si="26"/>
        <v>3077.6420672968698</v>
      </c>
      <c r="Q138" s="105">
        <f t="shared" si="27"/>
        <v>87210.290296894455</v>
      </c>
      <c r="R138" s="112">
        <f t="shared" si="28"/>
        <v>0.35593918654512097</v>
      </c>
      <c r="S138" s="175">
        <f t="shared" si="29"/>
        <v>87210.290296894455</v>
      </c>
      <c r="T138" s="105"/>
      <c r="U138" s="105">
        <f>IFERROR(INDEX('Revised 2019 MFAM(2017 PYAs)'!AD$26:AD$270,MATCH(B138,'Revised 2019 MFAM(2017 PYAs)'!B$26:B$270,0)),0)</f>
        <v>1199.5392329873721</v>
      </c>
      <c r="V138" s="105">
        <f>IFERROR(INDEX('Revised 2018 MFAM(2016 PYAs)'!AF$26:AF$266,MATCH(B138,'Revised 2018 MFAM(2016 PYAs)'!B$26:B$266,0)),0)</f>
        <v>2239.5402081853681</v>
      </c>
      <c r="W138" s="105">
        <f t="shared" si="30"/>
        <v>3.3039131354642537</v>
      </c>
      <c r="X138" s="105">
        <f t="shared" si="31"/>
        <v>3442.3833543082046</v>
      </c>
      <c r="Y138" s="105"/>
      <c r="Z138" s="106">
        <f t="shared" si="32"/>
        <v>90652.673651202655</v>
      </c>
      <c r="AA138" s="107">
        <v>0</v>
      </c>
      <c r="AB138" s="108">
        <f t="shared" si="33"/>
        <v>0</v>
      </c>
      <c r="AC138" s="108">
        <f>IFERROR(INDEX('Revised 2019 MFAM(2017 PYAs)'!AF$26:AF$270,MATCH(B138,'Revised 2019 MFAM(2017 PYAs)'!B$26:B$270,0)),0)</f>
        <v>165.98984061125535</v>
      </c>
      <c r="AD138" s="216">
        <f>AC138/AC$24*('Revised 2019 MFAM(2017 PYAs)'!AF$24-'2020 Funding'!AC$24)</f>
        <v>0.15208310051840288</v>
      </c>
      <c r="AE138" s="105">
        <f t="shared" si="34"/>
        <v>90818.815574914435</v>
      </c>
      <c r="AF138" s="111"/>
      <c r="AG138" s="105">
        <v>23412.467626283968</v>
      </c>
      <c r="AH138" s="214">
        <v>23412.467626283968</v>
      </c>
      <c r="AI138" s="105">
        <v>23412.467626283968</v>
      </c>
      <c r="AJ138" s="105">
        <f t="shared" si="35"/>
        <v>20581.41269606254</v>
      </c>
    </row>
    <row r="139" spans="2:36" x14ac:dyDescent="0.25">
      <c r="B139">
        <v>216</v>
      </c>
      <c r="C139" s="27">
        <v>7</v>
      </c>
      <c r="D139" s="39" t="s">
        <v>408</v>
      </c>
      <c r="E139" s="162">
        <f>INDEX('2018 Data Lockdown'!H$5:H$255, MATCH(B139,'2018 Data Lockdown'!B$5:B$255,0))</f>
        <v>764.6477139740557</v>
      </c>
      <c r="F139" s="5">
        <f>INDEX('2018 Data Lockdown'!E$5:E$255,MATCH(B139,'2018 Data Lockdown'!B$5:B$255,0))</f>
        <v>319371.06</v>
      </c>
      <c r="G139" s="5">
        <f>INDEX('2018 Data Lockdown'!F$5:F$255, MATCH(B139,'2018 Data Lockdown'!B$5:B$255,0))</f>
        <v>285</v>
      </c>
      <c r="H139" s="5">
        <f t="shared" si="19"/>
        <v>319086.06</v>
      </c>
      <c r="I139" s="103">
        <f t="shared" si="20"/>
        <v>417.2981284958455</v>
      </c>
      <c r="J139" s="6">
        <f t="shared" si="21"/>
        <v>417.2981284958455</v>
      </c>
      <c r="K139" s="5">
        <f t="shared" si="22"/>
        <v>319086.06</v>
      </c>
      <c r="L139" s="140">
        <f>INDEX('2018 Best Practice Scores'!M$4:M$255,MATCH(B139,'2018 Best Practice Scores'!A$4:A$255,0))</f>
        <v>0.63541071428571427</v>
      </c>
      <c r="M139" s="105">
        <f t="shared" si="23"/>
        <v>70309.685972407431</v>
      </c>
      <c r="N139" s="105">
        <f t="shared" si="24"/>
        <v>43212.006990507543</v>
      </c>
      <c r="O139" s="105">
        <f t="shared" si="25"/>
        <v>13402.6583354795</v>
      </c>
      <c r="P139" s="105">
        <f t="shared" si="26"/>
        <v>4008.0581381892175</v>
      </c>
      <c r="Q139" s="105">
        <f t="shared" si="27"/>
        <v>130932.40943658368</v>
      </c>
      <c r="R139" s="112">
        <f t="shared" si="28"/>
        <v>0.41033572396294493</v>
      </c>
      <c r="S139" s="175">
        <f t="shared" si="29"/>
        <v>130932.40943658368</v>
      </c>
      <c r="T139" s="105"/>
      <c r="U139" s="105">
        <f>IFERROR(INDEX('Revised 2019 MFAM(2017 PYAs)'!AD$26:AD$270,MATCH(B139,'Revised 2019 MFAM(2017 PYAs)'!B$26:B$270,0)),0)</f>
        <v>-121.13471580305486</v>
      </c>
      <c r="V139" s="105">
        <f>IFERROR(INDEX('Revised 2018 MFAM(2016 PYAs)'!AF$26:AF$266,MATCH(B139,'Revised 2018 MFAM(2016 PYAs)'!B$26:B$266,0)),0)</f>
        <v>1664.1846230993397</v>
      </c>
      <c r="W139" s="105">
        <f t="shared" si="30"/>
        <v>4.9603011975172508</v>
      </c>
      <c r="X139" s="105">
        <f t="shared" si="31"/>
        <v>1548.0102084938021</v>
      </c>
      <c r="Y139" s="105"/>
      <c r="Z139" s="106">
        <f t="shared" si="32"/>
        <v>132480.41964507749</v>
      </c>
      <c r="AA139" s="107">
        <v>0</v>
      </c>
      <c r="AB139" s="108">
        <f t="shared" si="33"/>
        <v>0</v>
      </c>
      <c r="AC139" s="108">
        <f>IFERROR(INDEX('Revised 2019 MFAM(2017 PYAs)'!AF$26:AF$270,MATCH(B139,'Revised 2019 MFAM(2017 PYAs)'!B$26:B$270,0)),0)</f>
        <v>263.47519339285213</v>
      </c>
      <c r="AD139" s="216">
        <f>AC139/AC$24*('Revised 2019 MFAM(2017 PYAs)'!AF$24-'2020 Funding'!AC$24)</f>
        <v>0.2414010651092445</v>
      </c>
      <c r="AE139" s="105">
        <f t="shared" si="34"/>
        <v>132744.13623953547</v>
      </c>
      <c r="AF139" s="111"/>
      <c r="AG139" s="105">
        <v>34244.746810932891</v>
      </c>
      <c r="AH139" s="214">
        <v>34244.746810932891</v>
      </c>
      <c r="AI139" s="105">
        <v>34244.746810932891</v>
      </c>
      <c r="AJ139" s="105">
        <f t="shared" si="35"/>
        <v>30009.895806736793</v>
      </c>
    </row>
    <row r="140" spans="2:36" x14ac:dyDescent="0.25">
      <c r="B140">
        <v>218</v>
      </c>
      <c r="C140" s="27">
        <v>7</v>
      </c>
      <c r="D140" s="39" t="s">
        <v>513</v>
      </c>
      <c r="E140" s="162">
        <f>INDEX('2018 Data Lockdown'!H$5:H$255, MATCH(B140,'2018 Data Lockdown'!B$5:B$255,0))</f>
        <v>290.41193028521099</v>
      </c>
      <c r="F140" s="5">
        <f>INDEX('2018 Data Lockdown'!E$5:E$255,MATCH(B140,'2018 Data Lockdown'!B$5:B$255,0))</f>
        <v>189204.88</v>
      </c>
      <c r="G140" s="5">
        <f>INDEX('2018 Data Lockdown'!F$5:F$255, MATCH(B140,'2018 Data Lockdown'!B$5:B$255,0))</f>
        <v>110</v>
      </c>
      <c r="H140" s="5">
        <f t="shared" si="19"/>
        <v>189094.88</v>
      </c>
      <c r="I140" s="103">
        <f t="shared" si="20"/>
        <v>651.12641830620248</v>
      </c>
      <c r="J140" s="6">
        <f t="shared" si="21"/>
        <v>651.12641830620248</v>
      </c>
      <c r="K140" s="5">
        <f t="shared" si="22"/>
        <v>189094.88</v>
      </c>
      <c r="L140" s="140">
        <f>INDEX('2018 Best Practice Scores'!M$4:M$255,MATCH(B140,'2018 Best Practice Scores'!A$4:A$255,0))</f>
        <v>0.44010309523809527</v>
      </c>
      <c r="M140" s="105">
        <f t="shared" si="23"/>
        <v>41666.507248201531</v>
      </c>
      <c r="N140" s="105">
        <f t="shared" si="24"/>
        <v>16411.848400604937</v>
      </c>
      <c r="O140" s="105">
        <f t="shared" si="25"/>
        <v>5501.2676423082075</v>
      </c>
      <c r="P140" s="105">
        <f t="shared" si="26"/>
        <v>2375.2315368271293</v>
      </c>
      <c r="Q140" s="105">
        <f t="shared" si="27"/>
        <v>65954.854827941803</v>
      </c>
      <c r="R140" s="112">
        <f t="shared" si="28"/>
        <v>0.34879238839222831</v>
      </c>
      <c r="S140" s="175">
        <f t="shared" si="29"/>
        <v>65954.854827941803</v>
      </c>
      <c r="T140" s="105"/>
      <c r="U140" s="105">
        <f>IFERROR(INDEX('Revised 2019 MFAM(2017 PYAs)'!AD$26:AD$270,MATCH(B140,'Revised 2019 MFAM(2017 PYAs)'!B$26:B$270,0)),0)</f>
        <v>2331.7748341206607</v>
      </c>
      <c r="V140" s="105">
        <f>IFERROR(INDEX('Revised 2018 MFAM(2016 PYAs)'!AF$26:AF$266,MATCH(B140,'Revised 2018 MFAM(2016 PYAs)'!B$26:B$266,0)),0)</f>
        <v>1899.2493290973071</v>
      </c>
      <c r="W140" s="105">
        <f t="shared" si="30"/>
        <v>2.4986628352208866</v>
      </c>
      <c r="X140" s="105">
        <f t="shared" si="31"/>
        <v>4233.5228260531885</v>
      </c>
      <c r="Y140" s="105"/>
      <c r="Z140" s="106">
        <f t="shared" si="32"/>
        <v>70188.37765399499</v>
      </c>
      <c r="AA140" s="107">
        <v>0</v>
      </c>
      <c r="AB140" s="108">
        <f t="shared" si="33"/>
        <v>0</v>
      </c>
      <c r="AC140" s="108">
        <f>IFERROR(INDEX('Revised 2019 MFAM(2017 PYAs)'!AF$26:AF$270,MATCH(B140,'Revised 2019 MFAM(2017 PYAs)'!B$26:B$270,0)),0)</f>
        <v>147.14026091768264</v>
      </c>
      <c r="AD140" s="216">
        <f>AC140/AC$24*('Revised 2019 MFAM(2017 PYAs)'!AF$24-'2020 Funding'!AC$24)</f>
        <v>0.13481275124455172</v>
      </c>
      <c r="AE140" s="105">
        <f t="shared" si="34"/>
        <v>70335.652727663924</v>
      </c>
      <c r="AF140" s="111"/>
      <c r="AG140" s="105">
        <v>18248.164525780488</v>
      </c>
      <c r="AH140" s="214">
        <v>18248.164525780488</v>
      </c>
      <c r="AI140" s="105">
        <v>18248.164525780488</v>
      </c>
      <c r="AJ140" s="105">
        <f t="shared" si="35"/>
        <v>15591.159150322452</v>
      </c>
    </row>
    <row r="141" spans="2:36" x14ac:dyDescent="0.25">
      <c r="B141">
        <v>229</v>
      </c>
      <c r="C141" s="27">
        <v>7</v>
      </c>
      <c r="D141" s="39" t="s">
        <v>409</v>
      </c>
      <c r="E141" s="162">
        <f>INDEX('2018 Data Lockdown'!H$5:H$255, MATCH(B141,'2018 Data Lockdown'!B$5:B$255,0))</f>
        <v>816</v>
      </c>
      <c r="F141" s="5">
        <f>INDEX('2018 Data Lockdown'!E$5:E$255,MATCH(B141,'2018 Data Lockdown'!B$5:B$255,0))</f>
        <v>449836.67</v>
      </c>
      <c r="G141" s="5">
        <f>INDEX('2018 Data Lockdown'!F$5:F$255, MATCH(B141,'2018 Data Lockdown'!B$5:B$255,0))</f>
        <v>104238</v>
      </c>
      <c r="H141" s="5">
        <f t="shared" si="19"/>
        <v>345598.67</v>
      </c>
      <c r="I141" s="103">
        <f t="shared" si="20"/>
        <v>423.52778186274509</v>
      </c>
      <c r="J141" s="6">
        <f t="shared" si="21"/>
        <v>423.52778186274509</v>
      </c>
      <c r="K141" s="5">
        <f t="shared" si="22"/>
        <v>345598.67</v>
      </c>
      <c r="L141" s="140">
        <f>INDEX('2018 Best Practice Scores'!M$4:M$255,MATCH(B141,'2018 Best Practice Scores'!A$4:A$255,0))</f>
        <v>0.68411904761904752</v>
      </c>
      <c r="M141" s="105">
        <f t="shared" si="23"/>
        <v>76151.662533241557</v>
      </c>
      <c r="N141" s="105">
        <f t="shared" si="24"/>
        <v>46114.043185971728</v>
      </c>
      <c r="O141" s="105">
        <f t="shared" si="25"/>
        <v>15629.040854054492</v>
      </c>
      <c r="P141" s="105">
        <f t="shared" si="26"/>
        <v>4341.0845395153574</v>
      </c>
      <c r="Q141" s="105">
        <f t="shared" si="27"/>
        <v>142235.83111278314</v>
      </c>
      <c r="R141" s="112">
        <f t="shared" si="28"/>
        <v>0.41156359517466645</v>
      </c>
      <c r="S141" s="175">
        <f t="shared" si="29"/>
        <v>142235.83111278314</v>
      </c>
      <c r="T141" s="105"/>
      <c r="U141" s="105">
        <f>IFERROR(INDEX('Revised 2019 MFAM(2017 PYAs)'!AD$26:AD$270,MATCH(B141,'Revised 2019 MFAM(2017 PYAs)'!B$26:B$270,0)),0)</f>
        <v>1779.9079358263698</v>
      </c>
      <c r="V141" s="105">
        <f>IFERROR(INDEX('Revised 2018 MFAM(2016 PYAs)'!AF$26:AF$266,MATCH(B141,'Revised 2018 MFAM(2016 PYAs)'!B$26:B$266,0)),0)</f>
        <v>2986.1427110263612</v>
      </c>
      <c r="W141" s="105">
        <f t="shared" si="30"/>
        <v>5.3885250140479544</v>
      </c>
      <c r="X141" s="105">
        <f t="shared" si="31"/>
        <v>4771.4391718667794</v>
      </c>
      <c r="Y141" s="105"/>
      <c r="Z141" s="106">
        <f t="shared" si="32"/>
        <v>147007.27028464992</v>
      </c>
      <c r="AA141" s="107">
        <v>1</v>
      </c>
      <c r="AB141" s="108">
        <f t="shared" si="33"/>
        <v>-14700.727028464993</v>
      </c>
      <c r="AC141" s="108">
        <f>IFERROR(INDEX('Revised 2019 MFAM(2017 PYAs)'!AF$26:AF$270,MATCH(B141,'Revised 2019 MFAM(2017 PYAs)'!B$26:B$270,0)),0)</f>
        <v>253.5258308027999</v>
      </c>
      <c r="AD141" s="216">
        <f>AC141/AC$24*('Revised 2019 MFAM(2017 PYAs)'!AF$24-'2020 Funding'!AC$24)</f>
        <v>0.23228526678505265</v>
      </c>
      <c r="AE141" s="105">
        <f t="shared" si="34"/>
        <v>132560.3013722545</v>
      </c>
      <c r="AF141" s="111"/>
      <c r="AG141" s="105">
        <v>34176.189078436822</v>
      </c>
      <c r="AH141" s="214">
        <v>34176.189078436822</v>
      </c>
      <c r="AI141" s="105">
        <v>34176.189078436822</v>
      </c>
      <c r="AJ141" s="105">
        <f t="shared" si="35"/>
        <v>30031.73413694404</v>
      </c>
    </row>
    <row r="142" spans="2:36" x14ac:dyDescent="0.25">
      <c r="B142">
        <v>236</v>
      </c>
      <c r="C142" s="27">
        <v>7</v>
      </c>
      <c r="D142" s="39" t="s">
        <v>410</v>
      </c>
      <c r="E142" s="162">
        <f>INDEX('2018 Data Lockdown'!H$5:H$255, MATCH(B142,'2018 Data Lockdown'!B$5:B$255,0))</f>
        <v>1084.1000000000001</v>
      </c>
      <c r="F142" s="5">
        <f>INDEX('2018 Data Lockdown'!E$5:E$255,MATCH(B142,'2018 Data Lockdown'!B$5:B$255,0))</f>
        <v>616356.31999999995</v>
      </c>
      <c r="G142" s="5">
        <f>INDEX('2018 Data Lockdown'!F$5:F$255, MATCH(B142,'2018 Data Lockdown'!B$5:B$255,0))</f>
        <v>145860.79</v>
      </c>
      <c r="H142" s="5">
        <f t="shared" si="19"/>
        <v>470495.52999999991</v>
      </c>
      <c r="I142" s="103">
        <f t="shared" si="20"/>
        <v>433.99643021861436</v>
      </c>
      <c r="J142" s="6">
        <f t="shared" si="21"/>
        <v>433.99643021861436</v>
      </c>
      <c r="K142" s="5">
        <f t="shared" si="22"/>
        <v>470495.52999999991</v>
      </c>
      <c r="L142" s="140">
        <f>INDEX('2018 Best Practice Scores'!M$4:M$255,MATCH(B142,'2018 Best Practice Scores'!A$4:A$255,0))</f>
        <v>0.68411904761904752</v>
      </c>
      <c r="M142" s="105">
        <f t="shared" si="23"/>
        <v>103672.32265089048</v>
      </c>
      <c r="N142" s="105">
        <f t="shared" si="24"/>
        <v>61264.992914107781</v>
      </c>
      <c r="O142" s="105">
        <f t="shared" si="25"/>
        <v>21277.263190914538</v>
      </c>
      <c r="P142" s="105">
        <f t="shared" si="26"/>
        <v>5909.9210977695138</v>
      </c>
      <c r="Q142" s="105">
        <f t="shared" si="27"/>
        <v>192124.4998536823</v>
      </c>
      <c r="R142" s="112">
        <f t="shared" si="28"/>
        <v>0.40834500564475573</v>
      </c>
      <c r="S142" s="175">
        <f t="shared" si="29"/>
        <v>192124.4998536823</v>
      </c>
      <c r="T142" s="105"/>
      <c r="U142" s="105">
        <f>IFERROR(INDEX('Revised 2019 MFAM(2017 PYAs)'!AD$26:AD$270,MATCH(B142,'Revised 2019 MFAM(2017 PYAs)'!B$26:B$270,0)),0)</f>
        <v>2711.9745495940733</v>
      </c>
      <c r="V142" s="105">
        <f>IFERROR(INDEX('Revised 2018 MFAM(2016 PYAs)'!AF$26:AF$266,MATCH(B142,'Revised 2018 MFAM(2016 PYAs)'!B$26:B$266,0)),0)</f>
        <v>4602.4850023380714</v>
      </c>
      <c r="W142" s="105">
        <f t="shared" si="30"/>
        <v>7.2785293633368964</v>
      </c>
      <c r="X142" s="105">
        <f t="shared" si="31"/>
        <v>7321.7380812954816</v>
      </c>
      <c r="Y142" s="105"/>
      <c r="Z142" s="106">
        <f t="shared" si="32"/>
        <v>199446.23793497778</v>
      </c>
      <c r="AA142" s="107">
        <v>0</v>
      </c>
      <c r="AB142" s="108">
        <f t="shared" si="33"/>
        <v>0</v>
      </c>
      <c r="AC142" s="108">
        <f>IFERROR(INDEX('Revised 2019 MFAM(2017 PYAs)'!AF$26:AF$270,MATCH(B142,'Revised 2019 MFAM(2017 PYAs)'!B$26:B$270,0)),0)</f>
        <v>370.70159940439123</v>
      </c>
      <c r="AD142" s="216">
        <f>AC142/AC$24*('Revised 2019 MFAM(2017 PYAs)'!AF$24-'2020 Funding'!AC$24)</f>
        <v>0.33964397096196702</v>
      </c>
      <c r="AE142" s="105">
        <f t="shared" si="34"/>
        <v>199817.27917835314</v>
      </c>
      <c r="AF142" s="111"/>
      <c r="AG142" s="105">
        <v>51511.824496389745</v>
      </c>
      <c r="AH142" s="214">
        <v>51511.824496389745</v>
      </c>
      <c r="AI142" s="105">
        <v>51511.824496389745</v>
      </c>
      <c r="AJ142" s="105">
        <f t="shared" si="35"/>
        <v>45281.805689183908</v>
      </c>
    </row>
    <row r="143" spans="2:36" x14ac:dyDescent="0.25">
      <c r="B143">
        <v>238</v>
      </c>
      <c r="C143" s="27">
        <v>7</v>
      </c>
      <c r="D143" s="39" t="s">
        <v>556</v>
      </c>
      <c r="E143" s="162">
        <f>INDEX('2018 Data Lockdown'!H$5:H$255, MATCH(B143,'2018 Data Lockdown'!B$5:B$255,0))</f>
        <v>67.316412345260062</v>
      </c>
      <c r="F143" s="5">
        <f>INDEX('2018 Data Lockdown'!E$5:E$255,MATCH(B143,'2018 Data Lockdown'!B$5:B$255,0))</f>
        <v>56188.56</v>
      </c>
      <c r="G143" s="5">
        <f>INDEX('2018 Data Lockdown'!F$5:F$255, MATCH(B143,'2018 Data Lockdown'!B$5:B$255,0))</f>
        <v>0</v>
      </c>
      <c r="H143" s="5">
        <f t="shared" si="19"/>
        <v>56188.56</v>
      </c>
      <c r="I143" s="103">
        <f t="shared" si="20"/>
        <v>834.69332429383985</v>
      </c>
      <c r="J143" s="6">
        <f t="shared" si="21"/>
        <v>728.05685840676222</v>
      </c>
      <c r="K143" s="5">
        <f t="shared" si="22"/>
        <v>49010.175691304226</v>
      </c>
      <c r="L143" s="140">
        <f>INDEX('2018 Best Practice Scores'!M$4:M$255,MATCH(B143,'2018 Best Practice Scores'!A$4:A$255,0))</f>
        <v>0.37378571428571428</v>
      </c>
      <c r="M143" s="105">
        <f t="shared" si="23"/>
        <v>10799.249777029172</v>
      </c>
      <c r="N143" s="105">
        <f t="shared" si="24"/>
        <v>3804.2058161936311</v>
      </c>
      <c r="O143" s="105">
        <f t="shared" si="25"/>
        <v>1210.9815874970068</v>
      </c>
      <c r="P143" s="105">
        <f t="shared" si="26"/>
        <v>615.6196028545254</v>
      </c>
      <c r="Q143" s="105">
        <f t="shared" si="27"/>
        <v>16430.056783574335</v>
      </c>
      <c r="R143" s="112">
        <f t="shared" si="28"/>
        <v>0.33523766344076761</v>
      </c>
      <c r="S143" s="175">
        <f t="shared" si="29"/>
        <v>16430.056783574335</v>
      </c>
      <c r="T143" s="105"/>
      <c r="U143" s="105">
        <f>IFERROR(INDEX('Revised 2019 MFAM(2017 PYAs)'!AD$26:AD$270,MATCH(B143,'Revised 2019 MFAM(2017 PYAs)'!B$26:B$270,0)),0)</f>
        <v>0</v>
      </c>
      <c r="V143" s="105">
        <f>IFERROR(INDEX('Revised 2018 MFAM(2016 PYAs)'!AF$26:AF$266,MATCH(B143,'Revised 2018 MFAM(2016 PYAs)'!B$26:B$266,0)),0)</f>
        <v>0</v>
      </c>
      <c r="W143" s="105">
        <f t="shared" si="30"/>
        <v>0.6224435240253734</v>
      </c>
      <c r="X143" s="105">
        <f t="shared" si="31"/>
        <v>0.6224435240253734</v>
      </c>
      <c r="Y143" s="105"/>
      <c r="Z143" s="106">
        <f t="shared" si="32"/>
        <v>16430.679227098361</v>
      </c>
      <c r="AA143" s="107">
        <v>0</v>
      </c>
      <c r="AB143" s="108">
        <f t="shared" si="33"/>
        <v>0</v>
      </c>
      <c r="AC143" s="108">
        <f>IFERROR(INDEX('Revised 2019 MFAM(2017 PYAs)'!AF$26:AF$270,MATCH(B143,'Revised 2019 MFAM(2017 PYAs)'!B$26:B$270,0)),0)</f>
        <v>0</v>
      </c>
      <c r="AD143" s="216">
        <f>AC143/AC$24*('Revised 2019 MFAM(2017 PYAs)'!AF$24-'2020 Funding'!AC$24)</f>
        <v>0</v>
      </c>
      <c r="AE143" s="105">
        <f t="shared" si="34"/>
        <v>16430.679227098361</v>
      </c>
      <c r="AF143" s="111"/>
      <c r="AG143" s="105">
        <v>4248.8529033906107</v>
      </c>
      <c r="AH143" s="214">
        <v>4248.8529033906107</v>
      </c>
      <c r="AI143" s="105">
        <v>4248.8529033906107</v>
      </c>
      <c r="AJ143" s="105">
        <f t="shared" si="35"/>
        <v>3684.1205169265286</v>
      </c>
    </row>
    <row r="144" spans="2:36" x14ac:dyDescent="0.25">
      <c r="B144">
        <v>239</v>
      </c>
      <c r="C144" s="27">
        <v>7</v>
      </c>
      <c r="D144" s="39" t="s">
        <v>411</v>
      </c>
      <c r="E144" s="162">
        <f>INDEX('2018 Data Lockdown'!H$5:H$255, MATCH(B144,'2018 Data Lockdown'!B$5:B$255,0))</f>
        <v>3252.7579008551165</v>
      </c>
      <c r="F144" s="5">
        <f>INDEX('2018 Data Lockdown'!E$5:E$255,MATCH(B144,'2018 Data Lockdown'!B$5:B$255,0))</f>
        <v>1786444.75</v>
      </c>
      <c r="G144" s="5">
        <f>INDEX('2018 Data Lockdown'!F$5:F$255, MATCH(B144,'2018 Data Lockdown'!B$5:B$255,0))</f>
        <v>419175.63</v>
      </c>
      <c r="H144" s="5">
        <f t="shared" si="19"/>
        <v>1367269.12</v>
      </c>
      <c r="I144" s="103">
        <f t="shared" si="20"/>
        <v>420.34149533248666</v>
      </c>
      <c r="J144" s="6">
        <f t="shared" si="21"/>
        <v>420.34149533248666</v>
      </c>
      <c r="K144" s="5">
        <f t="shared" si="22"/>
        <v>1367269.12</v>
      </c>
      <c r="L144" s="140">
        <f>INDEX('2018 Best Practice Scores'!M$4:M$255,MATCH(B144,'2018 Best Practice Scores'!A$4:A$255,0))</f>
        <v>0.833095238095238</v>
      </c>
      <c r="M144" s="105">
        <f t="shared" si="23"/>
        <v>301273.77694584924</v>
      </c>
      <c r="N144" s="105">
        <f t="shared" si="24"/>
        <v>183820.85577640144</v>
      </c>
      <c r="O144" s="105">
        <f t="shared" si="25"/>
        <v>75296.924680966171</v>
      </c>
      <c r="P144" s="105">
        <f t="shared" si="26"/>
        <v>17174.345139085082</v>
      </c>
      <c r="Q144" s="105">
        <f t="shared" si="27"/>
        <v>577565.90254230192</v>
      </c>
      <c r="R144" s="112">
        <f t="shared" si="28"/>
        <v>0.42242298468812189</v>
      </c>
      <c r="S144" s="175">
        <f t="shared" si="29"/>
        <v>577565.90254230192</v>
      </c>
      <c r="T144" s="105"/>
      <c r="U144" s="105">
        <f>IFERROR(INDEX('Revised 2019 MFAM(2017 PYAs)'!AD$26:AD$270,MATCH(B144,'Revised 2019 MFAM(2017 PYAs)'!B$26:B$270,0)),0)</f>
        <v>7381.4439035610994</v>
      </c>
      <c r="V144" s="105">
        <f>IFERROR(INDEX('Revised 2018 MFAM(2016 PYAs)'!AF$26:AF$266,MATCH(B144,'Revised 2018 MFAM(2016 PYAs)'!B$26:B$266,0)),0)</f>
        <v>2186.1069031907246</v>
      </c>
      <c r="W144" s="105">
        <f t="shared" si="30"/>
        <v>21.880761610923454</v>
      </c>
      <c r="X144" s="105">
        <f t="shared" si="31"/>
        <v>9589.4315683627483</v>
      </c>
      <c r="Y144" s="105"/>
      <c r="Z144" s="106">
        <f t="shared" si="32"/>
        <v>587155.33411066467</v>
      </c>
      <c r="AA144" s="107">
        <v>0</v>
      </c>
      <c r="AB144" s="108">
        <f t="shared" si="33"/>
        <v>0</v>
      </c>
      <c r="AC144" s="108">
        <f>IFERROR(INDEX('Revised 2019 MFAM(2017 PYAs)'!AF$26:AF$270,MATCH(B144,'Revised 2019 MFAM(2017 PYAs)'!B$26:B$270,0)),0)</f>
        <v>1035.9100436096555</v>
      </c>
      <c r="AD144" s="216">
        <f>AC144/AC$24*('Revised 2019 MFAM(2017 PYAs)'!AF$24-'2020 Funding'!AC$24)</f>
        <v>0.94912080588881342</v>
      </c>
      <c r="AE144" s="105">
        <f t="shared" si="34"/>
        <v>588192.19327508018</v>
      </c>
      <c r="AF144" s="111"/>
      <c r="AG144" s="105">
        <v>151749.56924478067</v>
      </c>
      <c r="AH144" s="214">
        <v>151749.56924478067</v>
      </c>
      <c r="AI144" s="105">
        <v>151749.56924478067</v>
      </c>
      <c r="AJ144" s="105">
        <f t="shared" si="35"/>
        <v>132943.48554073813</v>
      </c>
    </row>
    <row r="145" spans="2:36" x14ac:dyDescent="0.25">
      <c r="B145">
        <v>249</v>
      </c>
      <c r="C145" s="44">
        <v>7</v>
      </c>
      <c r="D145" s="39" t="s">
        <v>412</v>
      </c>
      <c r="E145" s="162">
        <f>INDEX('2018 Data Lockdown'!H$5:H$255, MATCH(B145,'2018 Data Lockdown'!B$5:B$255,0))</f>
        <v>1154.9883434484898</v>
      </c>
      <c r="F145" s="5">
        <f>INDEX('2018 Data Lockdown'!E$5:E$255,MATCH(B145,'2018 Data Lockdown'!B$5:B$255,0))</f>
        <v>606310.29</v>
      </c>
      <c r="G145" s="5">
        <f>INDEX('2018 Data Lockdown'!F$5:F$255, MATCH(B145,'2018 Data Lockdown'!B$5:B$255,0))</f>
        <v>0</v>
      </c>
      <c r="H145" s="5">
        <f t="shared" si="19"/>
        <v>606310.29</v>
      </c>
      <c r="I145" s="103">
        <f t="shared" si="20"/>
        <v>524.94927194651837</v>
      </c>
      <c r="J145" s="6">
        <f t="shared" si="21"/>
        <v>524.94927194651837</v>
      </c>
      <c r="K145" s="5">
        <f t="shared" si="22"/>
        <v>606310.29</v>
      </c>
      <c r="L145" s="140">
        <f>INDEX('2018 Best Practice Scores'!M$4:M$255,MATCH(B145,'2018 Best Practice Scores'!A$4:A$255,0))</f>
        <v>0.70709970238095232</v>
      </c>
      <c r="M145" s="105">
        <f t="shared" si="23"/>
        <v>133598.71030323071</v>
      </c>
      <c r="N145" s="105">
        <f t="shared" si="24"/>
        <v>65271.0568003402</v>
      </c>
      <c r="O145" s="105">
        <f t="shared" si="25"/>
        <v>28340.28248816805</v>
      </c>
      <c r="P145" s="105">
        <f t="shared" si="26"/>
        <v>7615.8980185545079</v>
      </c>
      <c r="Q145" s="105">
        <f t="shared" si="27"/>
        <v>234825.94761029346</v>
      </c>
      <c r="R145" s="112">
        <f t="shared" si="28"/>
        <v>0.38730325294379125</v>
      </c>
      <c r="S145" s="175">
        <f t="shared" si="29"/>
        <v>234825.94761029346</v>
      </c>
      <c r="T145" s="105"/>
      <c r="U145" s="105">
        <f>IFERROR(INDEX('Revised 2019 MFAM(2017 PYAs)'!AD$26:AD$270,MATCH(B145,'Revised 2019 MFAM(2017 PYAs)'!B$26:B$270,0)),0)</f>
        <v>3190.9206957342394</v>
      </c>
      <c r="V145" s="105">
        <f>IFERROR(INDEX('Revised 2018 MFAM(2016 PYAs)'!AF$26:AF$266,MATCH(B145,'Revised 2018 MFAM(2016 PYAs)'!B$26:B$266,0)),0)</f>
        <v>4212.4535810332454</v>
      </c>
      <c r="W145" s="105">
        <f t="shared" si="30"/>
        <v>8.8962498601511584</v>
      </c>
      <c r="X145" s="105">
        <f t="shared" si="31"/>
        <v>7412.2705266276362</v>
      </c>
      <c r="Y145" s="105"/>
      <c r="Z145" s="106">
        <f t="shared" si="32"/>
        <v>242238.21813692109</v>
      </c>
      <c r="AA145" s="107">
        <v>0</v>
      </c>
      <c r="AB145" s="108">
        <f t="shared" si="33"/>
        <v>0</v>
      </c>
      <c r="AC145" s="108">
        <f>IFERROR(INDEX('Revised 2019 MFAM(2017 PYAs)'!AF$26:AF$270,MATCH(B145,'Revised 2019 MFAM(2017 PYAs)'!B$26:B$270,0)),0)</f>
        <v>431.52729961054126</v>
      </c>
      <c r="AD145" s="216">
        <f>AC145/AC$24*('Revised 2019 MFAM(2017 PYAs)'!AF$24-'2020 Funding'!AC$24)</f>
        <v>0.39537365323944307</v>
      </c>
      <c r="AE145" s="105">
        <f t="shared" si="34"/>
        <v>242670.14081018488</v>
      </c>
      <c r="AF145" s="111"/>
      <c r="AG145" s="105">
        <v>62576.806074925466</v>
      </c>
      <c r="AH145" s="214">
        <v>62576.806074925466</v>
      </c>
      <c r="AI145" s="105">
        <v>62576.806074925466</v>
      </c>
      <c r="AJ145" s="105">
        <f t="shared" si="35"/>
        <v>54939.722585408483</v>
      </c>
    </row>
    <row r="146" spans="2:36" x14ac:dyDescent="0.25">
      <c r="B146">
        <v>271</v>
      </c>
      <c r="C146" s="27">
        <v>7</v>
      </c>
      <c r="D146" s="39" t="s">
        <v>413</v>
      </c>
      <c r="E146" s="162">
        <f>INDEX('2018 Data Lockdown'!H$5:H$255, MATCH(B146,'2018 Data Lockdown'!B$5:B$255,0))</f>
        <v>1048.2</v>
      </c>
      <c r="F146" s="5">
        <f>INDEX('2018 Data Lockdown'!E$5:E$255,MATCH(B146,'2018 Data Lockdown'!B$5:B$255,0))</f>
        <v>988965.82</v>
      </c>
      <c r="G146" s="5">
        <f>INDEX('2018 Data Lockdown'!F$5:F$255, MATCH(B146,'2018 Data Lockdown'!B$5:B$255,0))</f>
        <v>90489.709999999992</v>
      </c>
      <c r="H146" s="5">
        <f t="shared" si="19"/>
        <v>898476.11</v>
      </c>
      <c r="I146" s="103">
        <f t="shared" si="20"/>
        <v>857.16095210837625</v>
      </c>
      <c r="J146" s="6">
        <f t="shared" si="21"/>
        <v>728.05685840676222</v>
      </c>
      <c r="K146" s="5">
        <f t="shared" si="22"/>
        <v>763149.19898196822</v>
      </c>
      <c r="L146" s="140">
        <f>INDEX('2018 Best Practice Scores'!M$4:M$255,MATCH(B146,'2018 Best Practice Scores'!A$4:A$255,0))</f>
        <v>0.53657738095238094</v>
      </c>
      <c r="M146" s="105">
        <f t="shared" si="23"/>
        <v>168157.70808200291</v>
      </c>
      <c r="N146" s="105">
        <f t="shared" si="24"/>
        <v>59236.201063156332</v>
      </c>
      <c r="O146" s="105">
        <f t="shared" si="25"/>
        <v>27068.88677687884</v>
      </c>
      <c r="P146" s="105">
        <f t="shared" si="26"/>
        <v>9585.9604698251642</v>
      </c>
      <c r="Q146" s="105">
        <f t="shared" si="27"/>
        <v>264048.75639186322</v>
      </c>
      <c r="R146" s="112">
        <f t="shared" si="28"/>
        <v>0.34599886463105911</v>
      </c>
      <c r="S146" s="175">
        <f t="shared" si="29"/>
        <v>264048.75639186322</v>
      </c>
      <c r="T146" s="105"/>
      <c r="U146" s="105">
        <f>IFERROR(INDEX('Revised 2019 MFAM(2017 PYAs)'!AD$26:AD$270,MATCH(B146,'Revised 2019 MFAM(2017 PYAs)'!B$26:B$270,0)),0)</f>
        <v>2796.9131184465368</v>
      </c>
      <c r="V146" s="105">
        <f>IFERROR(INDEX('Revised 2018 MFAM(2016 PYAs)'!AF$26:AF$266,MATCH(B146,'Revised 2018 MFAM(2016 PYAs)'!B$26:B$266,0)),0)</f>
        <v>-605.89247664698632</v>
      </c>
      <c r="W146" s="105">
        <f t="shared" si="30"/>
        <v>10.003339648063797</v>
      </c>
      <c r="X146" s="105">
        <f t="shared" si="31"/>
        <v>2201.0239814476145</v>
      </c>
      <c r="Y146" s="105"/>
      <c r="Z146" s="106">
        <f t="shared" si="32"/>
        <v>266249.78037331084</v>
      </c>
      <c r="AA146" s="107">
        <v>0</v>
      </c>
      <c r="AB146" s="108">
        <f t="shared" si="33"/>
        <v>0</v>
      </c>
      <c r="AC146" s="108">
        <f>IFERROR(INDEX('Revised 2019 MFAM(2017 PYAs)'!AF$26:AF$270,MATCH(B146,'Revised 2019 MFAM(2017 PYAs)'!B$26:B$270,0)),0)</f>
        <v>358.76561491057777</v>
      </c>
      <c r="AD146" s="216">
        <f>AC146/AC$24*('Revised 2019 MFAM(2017 PYAs)'!AF$24-'2020 Funding'!AC$24)</f>
        <v>0.32870799124854572</v>
      </c>
      <c r="AE146" s="105">
        <f t="shared" si="34"/>
        <v>266608.87469621265</v>
      </c>
      <c r="AF146" s="111"/>
      <c r="AG146" s="105">
        <v>68831.253220074097</v>
      </c>
      <c r="AH146" s="214">
        <v>68831.253220074097</v>
      </c>
      <c r="AI146" s="105">
        <v>68831.253220074097</v>
      </c>
      <c r="AJ146" s="105">
        <f t="shared" si="35"/>
        <v>60115.11503599034</v>
      </c>
    </row>
    <row r="147" spans="2:36" x14ac:dyDescent="0.25">
      <c r="B147">
        <v>275</v>
      </c>
      <c r="C147" s="27">
        <v>7</v>
      </c>
      <c r="D147" s="39" t="s">
        <v>414</v>
      </c>
      <c r="E147" s="162">
        <f>INDEX('2018 Data Lockdown'!H$5:H$255, MATCH(B147,'2018 Data Lockdown'!B$5:B$255,0))</f>
        <v>710.94999999999993</v>
      </c>
      <c r="F147" s="5">
        <f>INDEX('2018 Data Lockdown'!E$5:E$255,MATCH(B147,'2018 Data Lockdown'!B$5:B$255,0))</f>
        <v>324500.11</v>
      </c>
      <c r="G147" s="5">
        <f>INDEX('2018 Data Lockdown'!F$5:F$255, MATCH(B147,'2018 Data Lockdown'!B$5:B$255,0))</f>
        <v>62912.880000000005</v>
      </c>
      <c r="H147" s="5">
        <f t="shared" si="19"/>
        <v>261587.22999999998</v>
      </c>
      <c r="I147" s="103">
        <f t="shared" si="20"/>
        <v>367.94040368520996</v>
      </c>
      <c r="J147" s="6">
        <f t="shared" si="21"/>
        <v>367.94040368520996</v>
      </c>
      <c r="K147" s="5">
        <f t="shared" si="22"/>
        <v>261587.22999999998</v>
      </c>
      <c r="L147" s="140">
        <f>INDEX('2018 Best Practice Scores'!M$4:M$255,MATCH(B147,'2018 Best Practice Scores'!A$4:A$255,0))</f>
        <v>0.58043154761904758</v>
      </c>
      <c r="M147" s="105">
        <f t="shared" si="23"/>
        <v>57639.985888734591</v>
      </c>
      <c r="N147" s="105">
        <f t="shared" si="24"/>
        <v>40177.425248856125</v>
      </c>
      <c r="O147" s="105">
        <f t="shared" si="25"/>
        <v>10036.819864241483</v>
      </c>
      <c r="P147" s="105">
        <f t="shared" si="26"/>
        <v>3285.8120660234254</v>
      </c>
      <c r="Q147" s="105">
        <f t="shared" si="27"/>
        <v>111140.04306785561</v>
      </c>
      <c r="R147" s="112">
        <f t="shared" si="28"/>
        <v>0.4248679993585911</v>
      </c>
      <c r="S147" s="175">
        <f t="shared" si="29"/>
        <v>111140.04306785561</v>
      </c>
      <c r="T147" s="105"/>
      <c r="U147" s="105">
        <f>IFERROR(INDEX('Revised 2019 MFAM(2017 PYAs)'!AD$26:AD$270,MATCH(B147,'Revised 2019 MFAM(2017 PYAs)'!B$26:B$270,0)),0)</f>
        <v>1409.828638273757</v>
      </c>
      <c r="V147" s="105">
        <f>IFERROR(INDEX('Revised 2018 MFAM(2016 PYAs)'!AF$26:AF$266,MATCH(B147,'Revised 2018 MFAM(2016 PYAs)'!B$26:B$266,0)),0)</f>
        <v>2910.3836853227549</v>
      </c>
      <c r="W147" s="105">
        <f t="shared" si="30"/>
        <v>4.210478452919757</v>
      </c>
      <c r="X147" s="105">
        <f t="shared" si="31"/>
        <v>4324.422802049432</v>
      </c>
      <c r="Y147" s="105"/>
      <c r="Z147" s="106">
        <f t="shared" si="32"/>
        <v>115464.46586990505</v>
      </c>
      <c r="AA147" s="107">
        <v>0</v>
      </c>
      <c r="AB147" s="108">
        <f t="shared" si="33"/>
        <v>0</v>
      </c>
      <c r="AC147" s="108">
        <f>IFERROR(INDEX('Revised 2019 MFAM(2017 PYAs)'!AF$26:AF$270,MATCH(B147,'Revised 2019 MFAM(2017 PYAs)'!B$26:B$270,0)),0)</f>
        <v>204.17382780423566</v>
      </c>
      <c r="AD147" s="216">
        <f>AC147/AC$24*('Revised 2019 MFAM(2017 PYAs)'!AF$24-'2020 Funding'!AC$24)</f>
        <v>0.18706800767343551</v>
      </c>
      <c r="AE147" s="105">
        <f t="shared" si="34"/>
        <v>115668.82676571695</v>
      </c>
      <c r="AF147" s="111"/>
      <c r="AG147" s="105">
        <v>29820.692879893621</v>
      </c>
      <c r="AH147" s="214">
        <v>29820.692879893621</v>
      </c>
      <c r="AI147" s="105">
        <v>29820.692879893621</v>
      </c>
      <c r="AJ147" s="105">
        <f t="shared" si="35"/>
        <v>26206.748126036095</v>
      </c>
    </row>
    <row r="148" spans="2:36" x14ac:dyDescent="0.25">
      <c r="B148">
        <v>282</v>
      </c>
      <c r="C148" s="27">
        <v>7</v>
      </c>
      <c r="D148" s="39" t="s">
        <v>415</v>
      </c>
      <c r="E148" s="162">
        <f>INDEX('2018 Data Lockdown'!H$5:H$255, MATCH(B148,'2018 Data Lockdown'!B$5:B$255,0))</f>
        <v>145.34946417977184</v>
      </c>
      <c r="F148" s="5">
        <f>INDEX('2018 Data Lockdown'!E$5:E$255,MATCH(B148,'2018 Data Lockdown'!B$5:B$255,0))</f>
        <v>55222.87</v>
      </c>
      <c r="G148" s="5">
        <f>INDEX('2018 Data Lockdown'!F$5:F$255, MATCH(B148,'2018 Data Lockdown'!B$5:B$255,0))</f>
        <v>0</v>
      </c>
      <c r="H148" s="5">
        <f t="shared" si="19"/>
        <v>55222.87</v>
      </c>
      <c r="I148" s="103">
        <f t="shared" si="20"/>
        <v>379.93170674299137</v>
      </c>
      <c r="J148" s="6">
        <f t="shared" si="21"/>
        <v>379.93170674299137</v>
      </c>
      <c r="K148" s="5">
        <f t="shared" si="22"/>
        <v>55222.87</v>
      </c>
      <c r="L148" s="140">
        <f>INDEX('2018 Best Practice Scores'!M$4:M$255,MATCH(B148,'2018 Best Practice Scores'!A$4:A$255,0))</f>
        <v>0.27853571428571428</v>
      </c>
      <c r="M148" s="105">
        <f t="shared" si="23"/>
        <v>12168.198912215343</v>
      </c>
      <c r="N148" s="105">
        <f t="shared" si="24"/>
        <v>8214.0336620635408</v>
      </c>
      <c r="O148" s="105">
        <f t="shared" si="25"/>
        <v>1016.7833926753655</v>
      </c>
      <c r="P148" s="105">
        <f t="shared" si="26"/>
        <v>693.6576092282603</v>
      </c>
      <c r="Q148" s="105">
        <f t="shared" si="27"/>
        <v>22092.673576182508</v>
      </c>
      <c r="R148" s="112">
        <f t="shared" si="28"/>
        <v>0.40006384268297729</v>
      </c>
      <c r="S148" s="175">
        <f t="shared" si="29"/>
        <v>22092.673576182508</v>
      </c>
      <c r="T148" s="105"/>
      <c r="U148" s="105">
        <f>IFERROR(INDEX('Revised 2019 MFAM(2017 PYAs)'!AD$26:AD$270,MATCH(B148,'Revised 2019 MFAM(2017 PYAs)'!B$26:B$270,0)),0)</f>
        <v>275.89211980585969</v>
      </c>
      <c r="V148" s="105">
        <f>IFERROR(INDEX('Revised 2018 MFAM(2016 PYAs)'!AF$26:AF$266,MATCH(B148,'Revised 2018 MFAM(2016 PYAs)'!B$26:B$266,0)),0)</f>
        <v>776.94689961220502</v>
      </c>
      <c r="W148" s="105">
        <f t="shared" si="30"/>
        <v>0.83696859828561609</v>
      </c>
      <c r="X148" s="105">
        <f t="shared" si="31"/>
        <v>1053.6759880163504</v>
      </c>
      <c r="Y148" s="105"/>
      <c r="Z148" s="106">
        <f t="shared" si="32"/>
        <v>23146.349564198859</v>
      </c>
      <c r="AA148" s="107">
        <v>0</v>
      </c>
      <c r="AB148" s="108">
        <f t="shared" si="33"/>
        <v>0</v>
      </c>
      <c r="AC148" s="108">
        <f>IFERROR(INDEX('Revised 2019 MFAM(2017 PYAs)'!AF$26:AF$270,MATCH(B148,'Revised 2019 MFAM(2017 PYAs)'!B$26:B$270,0)),0)</f>
        <v>42.710861000402765</v>
      </c>
      <c r="AD148" s="216">
        <f>AC148/AC$24*('Revised 2019 MFAM(2017 PYAs)'!AF$24-'2020 Funding'!AC$24)</f>
        <v>3.9132516440957027E-2</v>
      </c>
      <c r="AE148" s="105">
        <f t="shared" si="34"/>
        <v>23189.099557715705</v>
      </c>
      <c r="AF148" s="111"/>
      <c r="AG148" s="105">
        <v>5897.87836495383</v>
      </c>
      <c r="AH148" s="214">
        <v>5897.87836495383</v>
      </c>
      <c r="AI148" s="105">
        <v>5897.87836495383</v>
      </c>
      <c r="AJ148" s="105">
        <f t="shared" si="35"/>
        <v>5495.4644628542128</v>
      </c>
    </row>
    <row r="149" spans="2:36" x14ac:dyDescent="0.25">
      <c r="B149" s="17">
        <v>287</v>
      </c>
      <c r="C149" s="27">
        <v>7</v>
      </c>
      <c r="D149" s="39" t="s">
        <v>416</v>
      </c>
      <c r="E149" s="162">
        <f>INDEX('2018 Data Lockdown'!H$5:H$255, MATCH(B149,'2018 Data Lockdown'!B$5:B$255,0))</f>
        <v>147.07202997933462</v>
      </c>
      <c r="F149" s="5">
        <f>INDEX('2018 Data Lockdown'!E$5:E$255,MATCH(B149,'2018 Data Lockdown'!B$5:B$255,0))</f>
        <v>102363.95</v>
      </c>
      <c r="G149" s="5">
        <f>INDEX('2018 Data Lockdown'!F$5:F$255, MATCH(B149,'2018 Data Lockdown'!B$5:B$255,0))</f>
        <v>282</v>
      </c>
      <c r="H149" s="5">
        <f t="shared" si="19"/>
        <v>102081.95</v>
      </c>
      <c r="I149" s="103">
        <f t="shared" si="20"/>
        <v>694.09492759665955</v>
      </c>
      <c r="J149" s="6">
        <f t="shared" si="21"/>
        <v>694.09492759665955</v>
      </c>
      <c r="K149" s="5">
        <f t="shared" si="22"/>
        <v>102081.95</v>
      </c>
      <c r="L149" s="140">
        <f>INDEX('2018 Best Practice Scores'!M$4:M$255,MATCH(B149,'2018 Best Practice Scores'!A$4:A$255,0))</f>
        <v>0.20193749999999999</v>
      </c>
      <c r="M149" s="105">
        <f t="shared" si="23"/>
        <v>22493.461005319372</v>
      </c>
      <c r="N149" s="105">
        <f t="shared" si="24"/>
        <v>8311.3798307788784</v>
      </c>
      <c r="O149" s="105">
        <f t="shared" si="25"/>
        <v>1362.681984528504</v>
      </c>
      <c r="P149" s="105">
        <f t="shared" si="26"/>
        <v>1282.2571768247249</v>
      </c>
      <c r="Q149" s="105">
        <f t="shared" si="27"/>
        <v>33449.779997451478</v>
      </c>
      <c r="R149" s="112">
        <f t="shared" si="28"/>
        <v>0.32767575460158704</v>
      </c>
      <c r="S149" s="175">
        <f t="shared" si="29"/>
        <v>33449.779997451478</v>
      </c>
      <c r="T149" s="105"/>
      <c r="U149" s="105">
        <f>IFERROR(INDEX('Revised 2019 MFAM(2017 PYAs)'!AD$26:AD$270,MATCH(B149,'Revised 2019 MFAM(2017 PYAs)'!B$26:B$270,0)),0)</f>
        <v>615.0906549417632</v>
      </c>
      <c r="V149" s="105">
        <f>IFERROR(INDEX('Revised 2018 MFAM(2016 PYAs)'!AF$26:AF$266,MATCH(B149,'Revised 2018 MFAM(2016 PYAs)'!B$26:B$266,0)),0)</f>
        <v>651.57747902024857</v>
      </c>
      <c r="W149" s="105">
        <f t="shared" si="30"/>
        <v>1.2672262313969709</v>
      </c>
      <c r="X149" s="105">
        <f t="shared" si="31"/>
        <v>1267.9353601934088</v>
      </c>
      <c r="Y149" s="105"/>
      <c r="Z149" s="106">
        <f t="shared" si="32"/>
        <v>34717.715357644884</v>
      </c>
      <c r="AA149" s="107">
        <v>0</v>
      </c>
      <c r="AB149" s="108">
        <f t="shared" si="33"/>
        <v>0</v>
      </c>
      <c r="AC149" s="108">
        <f>IFERROR(INDEX('Revised 2019 MFAM(2017 PYAs)'!AF$26:AF$270,MATCH(B149,'Revised 2019 MFAM(2017 PYAs)'!B$26:B$270,0)),0)</f>
        <v>80.107339695489856</v>
      </c>
      <c r="AD149" s="216">
        <f>AC149/AC$24*('Revised 2019 MFAM(2017 PYAs)'!AF$24-'2020 Funding'!AC$24)</f>
        <v>7.3395893087838365E-2</v>
      </c>
      <c r="AE149" s="105">
        <f t="shared" si="34"/>
        <v>34797.896093233459</v>
      </c>
      <c r="AF149" s="111"/>
      <c r="AG149" s="105">
        <v>8966.876752604554</v>
      </c>
      <c r="AH149" s="214">
        <v>8966.876752604554</v>
      </c>
      <c r="AI149" s="105">
        <v>8966.876752604554</v>
      </c>
      <c r="AJ149" s="105">
        <f t="shared" si="35"/>
        <v>7897.2658354197938</v>
      </c>
    </row>
    <row r="150" spans="2:36" x14ac:dyDescent="0.25">
      <c r="B150">
        <v>290</v>
      </c>
      <c r="C150" s="27">
        <v>7</v>
      </c>
      <c r="D150" s="39" t="s">
        <v>417</v>
      </c>
      <c r="E150" s="162">
        <f>INDEX('2018 Data Lockdown'!H$5:H$255, MATCH(B150,'2018 Data Lockdown'!B$5:B$255,0))</f>
        <v>335.89235607307199</v>
      </c>
      <c r="F150" s="5">
        <f>INDEX('2018 Data Lockdown'!E$5:E$255,MATCH(B150,'2018 Data Lockdown'!B$5:B$255,0))</f>
        <v>134939.94</v>
      </c>
      <c r="G150" s="5">
        <f>INDEX('2018 Data Lockdown'!F$5:F$255, MATCH(B150,'2018 Data Lockdown'!B$5:B$255,0))</f>
        <v>423.97</v>
      </c>
      <c r="H150" s="5">
        <f t="shared" si="19"/>
        <v>134515.97</v>
      </c>
      <c r="I150" s="103">
        <f t="shared" si="20"/>
        <v>400.4734480195691</v>
      </c>
      <c r="J150" s="6">
        <f t="shared" si="21"/>
        <v>400.4734480195691</v>
      </c>
      <c r="K150" s="5">
        <f t="shared" si="22"/>
        <v>134515.97</v>
      </c>
      <c r="L150" s="140">
        <f>INDEX('2018 Best Practice Scores'!M$4:M$255,MATCH(B150,'2018 Best Practice Scores'!A$4:A$255,0))</f>
        <v>0.83378571428571424</v>
      </c>
      <c r="M150" s="105">
        <f t="shared" si="23"/>
        <v>29640.203050467888</v>
      </c>
      <c r="N150" s="105">
        <f t="shared" si="24"/>
        <v>18982.052222783619</v>
      </c>
      <c r="O150" s="105">
        <f t="shared" si="25"/>
        <v>7414.0733616023917</v>
      </c>
      <c r="P150" s="105">
        <f t="shared" si="26"/>
        <v>1689.6627457649408</v>
      </c>
      <c r="Q150" s="105">
        <f t="shared" si="27"/>
        <v>57725.991380618834</v>
      </c>
      <c r="R150" s="112">
        <f t="shared" si="28"/>
        <v>0.42913857277034717</v>
      </c>
      <c r="S150" s="175">
        <f t="shared" si="29"/>
        <v>57725.991380618834</v>
      </c>
      <c r="T150" s="105"/>
      <c r="U150" s="105">
        <f>IFERROR(INDEX('Revised 2019 MFAM(2017 PYAs)'!AD$26:AD$270,MATCH(B150,'Revised 2019 MFAM(2017 PYAs)'!B$26:B$270,0)),0)</f>
        <v>998.17903227792704</v>
      </c>
      <c r="V150" s="105">
        <f>IFERROR(INDEX('Revised 2018 MFAM(2016 PYAs)'!AF$26:AF$266,MATCH(B150,'Revised 2018 MFAM(2016 PYAs)'!B$26:B$266,0)),0)</f>
        <v>1679.0836444744782</v>
      </c>
      <c r="W150" s="105">
        <f t="shared" si="30"/>
        <v>2.186916939856975</v>
      </c>
      <c r="X150" s="105">
        <f t="shared" si="31"/>
        <v>2679.4495936922622</v>
      </c>
      <c r="Y150" s="105"/>
      <c r="Z150" s="106">
        <f t="shared" si="32"/>
        <v>60405.440974311095</v>
      </c>
      <c r="AA150" s="107">
        <v>0</v>
      </c>
      <c r="AB150" s="108">
        <f t="shared" si="33"/>
        <v>0</v>
      </c>
      <c r="AC150" s="108">
        <f>IFERROR(INDEX('Revised 2019 MFAM(2017 PYAs)'!AF$26:AF$270,MATCH(B150,'Revised 2019 MFAM(2017 PYAs)'!B$26:B$270,0)),0)</f>
        <v>132.89027771451435</v>
      </c>
      <c r="AD150" s="216">
        <f>AC150/AC$24*('Revised 2019 MFAM(2017 PYAs)'!AF$24-'2020 Funding'!AC$24)</f>
        <v>0.12175664118448794</v>
      </c>
      <c r="AE150" s="105">
        <f t="shared" si="34"/>
        <v>60538.453008666795</v>
      </c>
      <c r="AF150" s="111"/>
      <c r="AG150" s="105">
        <v>15501.570511662732</v>
      </c>
      <c r="AH150" s="214">
        <v>15501.570511662732</v>
      </c>
      <c r="AI150" s="105">
        <v>15501.570511662732</v>
      </c>
      <c r="AJ150" s="105">
        <f t="shared" si="35"/>
        <v>14033.741473678594</v>
      </c>
    </row>
    <row r="151" spans="2:36" x14ac:dyDescent="0.25">
      <c r="B151">
        <v>294</v>
      </c>
      <c r="C151" s="27">
        <v>7</v>
      </c>
      <c r="D151" s="39" t="s">
        <v>418</v>
      </c>
      <c r="E151" s="162">
        <f>INDEX('2018 Data Lockdown'!H$5:H$255, MATCH(B151,'2018 Data Lockdown'!B$5:B$255,0))</f>
        <v>1221.8972650148394</v>
      </c>
      <c r="F151" s="5">
        <f>INDEX('2018 Data Lockdown'!E$5:E$255,MATCH(B151,'2018 Data Lockdown'!B$5:B$255,0))</f>
        <v>632461</v>
      </c>
      <c r="G151" s="5">
        <f>INDEX('2018 Data Lockdown'!F$5:F$255, MATCH(B151,'2018 Data Lockdown'!B$5:B$255,0))</f>
        <v>637</v>
      </c>
      <c r="H151" s="5">
        <f t="shared" si="19"/>
        <v>631824</v>
      </c>
      <c r="I151" s="103">
        <f t="shared" si="20"/>
        <v>517.08438842632711</v>
      </c>
      <c r="J151" s="6">
        <f t="shared" si="21"/>
        <v>517.08438842632711</v>
      </c>
      <c r="K151" s="5">
        <f t="shared" si="22"/>
        <v>631824</v>
      </c>
      <c r="L151" s="140">
        <f>INDEX('2018 Best Practice Scores'!M$4:M$255,MATCH(B151,'2018 Best Practice Scores'!A$4:A$255,0))</f>
        <v>0.77281547619047608</v>
      </c>
      <c r="M151" s="105">
        <f t="shared" si="23"/>
        <v>139220.58215213273</v>
      </c>
      <c r="N151" s="105">
        <f t="shared" si="24"/>
        <v>69052.234372199804</v>
      </c>
      <c r="O151" s="105">
        <f t="shared" si="25"/>
        <v>32277.546147424724</v>
      </c>
      <c r="P151" s="105">
        <f t="shared" si="26"/>
        <v>7936.3771801979201</v>
      </c>
      <c r="Q151" s="105">
        <f t="shared" si="27"/>
        <v>248486.73985195518</v>
      </c>
      <c r="R151" s="112">
        <f t="shared" si="28"/>
        <v>0.3932847436184051</v>
      </c>
      <c r="S151" s="175">
        <f t="shared" si="29"/>
        <v>248486.73985195518</v>
      </c>
      <c r="T151" s="105"/>
      <c r="U151" s="105">
        <f>IFERROR(INDEX('Revised 2019 MFAM(2017 PYAs)'!AD$26:AD$270,MATCH(B151,'Revised 2019 MFAM(2017 PYAs)'!B$26:B$270,0)),0)</f>
        <v>3713.4936432383838</v>
      </c>
      <c r="V151" s="105">
        <f>IFERROR(INDEX('Revised 2018 MFAM(2016 PYAs)'!AF$26:AF$266,MATCH(B151,'Revised 2018 MFAM(2016 PYAs)'!B$26:B$266,0)),0)</f>
        <v>2799.2233915076067</v>
      </c>
      <c r="W151" s="105">
        <f t="shared" si="30"/>
        <v>9.4137813438146356</v>
      </c>
      <c r="X151" s="105">
        <f t="shared" si="31"/>
        <v>6522.1308160898052</v>
      </c>
      <c r="Y151" s="105"/>
      <c r="Z151" s="106">
        <f t="shared" si="32"/>
        <v>255008.87066804498</v>
      </c>
      <c r="AA151" s="107">
        <v>0</v>
      </c>
      <c r="AB151" s="108">
        <f t="shared" si="33"/>
        <v>0</v>
      </c>
      <c r="AC151" s="108">
        <f>IFERROR(INDEX('Revised 2019 MFAM(2017 PYAs)'!AF$26:AF$270,MATCH(B151,'Revised 2019 MFAM(2017 PYAs)'!B$26:B$270,0)),0)</f>
        <v>483.66147821243965</v>
      </c>
      <c r="AD151" s="216">
        <f>AC151/AC$24*('Revised 2019 MFAM(2017 PYAs)'!AF$24-'2020 Funding'!AC$24)</f>
        <v>0.44313999541773214</v>
      </c>
      <c r="AE151" s="105">
        <f t="shared" si="34"/>
        <v>255492.97528625285</v>
      </c>
      <c r="AF151" s="111"/>
      <c r="AG151" s="105">
        <v>65886.758614751918</v>
      </c>
      <c r="AH151" s="214">
        <v>65886.758614751918</v>
      </c>
      <c r="AI151" s="105">
        <v>65886.758614751918</v>
      </c>
      <c r="AJ151" s="105">
        <f t="shared" si="35"/>
        <v>57832.699441997102</v>
      </c>
    </row>
    <row r="152" spans="2:36" x14ac:dyDescent="0.25">
      <c r="B152">
        <v>296</v>
      </c>
      <c r="C152" s="27">
        <v>7</v>
      </c>
      <c r="D152" s="39" t="s">
        <v>419</v>
      </c>
      <c r="E152" s="162">
        <f>INDEX('2018 Data Lockdown'!H$5:H$255, MATCH(B152,'2018 Data Lockdown'!B$5:B$255,0))</f>
        <v>869.4000000000002</v>
      </c>
      <c r="F152" s="5">
        <f>INDEX('2018 Data Lockdown'!E$5:E$255,MATCH(B152,'2018 Data Lockdown'!B$5:B$255,0))</f>
        <v>836673.68</v>
      </c>
      <c r="G152" s="5">
        <f>INDEX('2018 Data Lockdown'!F$5:F$255, MATCH(B152,'2018 Data Lockdown'!B$5:B$255,0))</f>
        <v>180195.59000000003</v>
      </c>
      <c r="H152" s="5">
        <f t="shared" si="19"/>
        <v>656478.09000000008</v>
      </c>
      <c r="I152" s="103">
        <f t="shared" si="20"/>
        <v>755.09327122153206</v>
      </c>
      <c r="J152" s="6">
        <f t="shared" si="21"/>
        <v>728.05685840676222</v>
      </c>
      <c r="K152" s="5">
        <f t="shared" si="22"/>
        <v>632972.63269883918</v>
      </c>
      <c r="L152" s="140">
        <f>INDEX('2018 Best Practice Scores'!M$4:M$255,MATCH(B152,'2018 Best Practice Scores'!A$4:A$255,0))</f>
        <v>0.55525000000000002</v>
      </c>
      <c r="M152" s="105">
        <f t="shared" si="23"/>
        <v>139473.68002909113</v>
      </c>
      <c r="N152" s="105">
        <f t="shared" si="24"/>
        <v>49131.800423877241</v>
      </c>
      <c r="O152" s="105">
        <f t="shared" si="25"/>
        <v>23232.828250845858</v>
      </c>
      <c r="P152" s="105">
        <f t="shared" si="26"/>
        <v>7950.8052208223608</v>
      </c>
      <c r="Q152" s="105">
        <f t="shared" si="27"/>
        <v>219789.11392463662</v>
      </c>
      <c r="R152" s="112">
        <f t="shared" si="28"/>
        <v>0.34723320183292927</v>
      </c>
      <c r="S152" s="175">
        <f t="shared" si="29"/>
        <v>219789.11392463662</v>
      </c>
      <c r="T152" s="105"/>
      <c r="U152" s="105">
        <f>IFERROR(INDEX('Revised 2019 MFAM(2017 PYAs)'!AD$26:AD$270,MATCH(B152,'Revised 2019 MFAM(2017 PYAs)'!B$26:B$270,0)),0)</f>
        <v>3006.4624707960465</v>
      </c>
      <c r="V152" s="105">
        <f>IFERROR(INDEX('Revised 2018 MFAM(2016 PYAs)'!AF$26:AF$266,MATCH(B152,'Revised 2018 MFAM(2016 PYAs)'!B$26:B$266,0)),0)</f>
        <v>3736.2267393186339</v>
      </c>
      <c r="W152" s="105">
        <f t="shared" si="30"/>
        <v>8.3265878149876418</v>
      </c>
      <c r="X152" s="105">
        <f t="shared" si="31"/>
        <v>6751.0157979296682</v>
      </c>
      <c r="Y152" s="105"/>
      <c r="Z152" s="106">
        <f t="shared" si="32"/>
        <v>226540.12972256629</v>
      </c>
      <c r="AA152" s="107">
        <v>0</v>
      </c>
      <c r="AB152" s="108">
        <f t="shared" si="33"/>
        <v>0</v>
      </c>
      <c r="AC152" s="108">
        <f>IFERROR(INDEX('Revised 2019 MFAM(2017 PYAs)'!AF$26:AF$270,MATCH(B152,'Revised 2019 MFAM(2017 PYAs)'!B$26:B$270,0)),0)</f>
        <v>379.55055356811613</v>
      </c>
      <c r="AD152" s="216">
        <f>AC152/AC$24*('Revised 2019 MFAM(2017 PYAs)'!AF$24-'2020 Funding'!AC$24)</f>
        <v>0.34775155381528328</v>
      </c>
      <c r="AE152" s="105">
        <f t="shared" si="34"/>
        <v>226920.02802768821</v>
      </c>
      <c r="AF152" s="111"/>
      <c r="AG152" s="105">
        <v>58523.530299196325</v>
      </c>
      <c r="AH152" s="214">
        <v>58523.530299196325</v>
      </c>
      <c r="AI152" s="105">
        <v>58523.530299196325</v>
      </c>
      <c r="AJ152" s="105">
        <f t="shared" si="35"/>
        <v>51349.43713009925</v>
      </c>
    </row>
    <row r="153" spans="2:36" x14ac:dyDescent="0.25">
      <c r="B153">
        <v>301</v>
      </c>
      <c r="C153" s="27">
        <v>7</v>
      </c>
      <c r="D153" s="39" t="s">
        <v>420</v>
      </c>
      <c r="E153" s="162">
        <f>INDEX('2018 Data Lockdown'!H$5:H$255, MATCH(B153,'2018 Data Lockdown'!B$5:B$255,0))</f>
        <v>630.73820209822964</v>
      </c>
      <c r="F153" s="5">
        <f>INDEX('2018 Data Lockdown'!E$5:E$255,MATCH(B153,'2018 Data Lockdown'!B$5:B$255,0))</f>
        <v>227243.7</v>
      </c>
      <c r="G153" s="5">
        <f>INDEX('2018 Data Lockdown'!F$5:F$255, MATCH(B153,'2018 Data Lockdown'!B$5:B$255,0))</f>
        <v>424.62</v>
      </c>
      <c r="H153" s="5">
        <f t="shared" si="19"/>
        <v>226819.08000000002</v>
      </c>
      <c r="I153" s="103">
        <f t="shared" si="20"/>
        <v>359.60891419840743</v>
      </c>
      <c r="J153" s="6">
        <f t="shared" si="21"/>
        <v>359.60891419840743</v>
      </c>
      <c r="K153" s="5">
        <f t="shared" si="22"/>
        <v>226819.08000000002</v>
      </c>
      <c r="L153" s="140">
        <f>INDEX('2018 Best Practice Scores'!M$4:M$255,MATCH(B153,'2018 Best Practice Scores'!A$4:A$255,0))</f>
        <v>0.43376488095238097</v>
      </c>
      <c r="M153" s="105">
        <f t="shared" si="23"/>
        <v>49978.925081685993</v>
      </c>
      <c r="N153" s="105">
        <f t="shared" si="24"/>
        <v>35644.471434558727</v>
      </c>
      <c r="O153" s="105">
        <f t="shared" si="25"/>
        <v>6503.730746455647</v>
      </c>
      <c r="P153" s="105">
        <f t="shared" si="26"/>
        <v>2849.087357468989</v>
      </c>
      <c r="Q153" s="105">
        <f t="shared" si="27"/>
        <v>94976.214620169354</v>
      </c>
      <c r="R153" s="112">
        <f t="shared" si="28"/>
        <v>0.41873115180684689</v>
      </c>
      <c r="S153" s="175">
        <f t="shared" si="29"/>
        <v>94976.214620169354</v>
      </c>
      <c r="T153" s="105"/>
      <c r="U153" s="105">
        <f>IFERROR(INDEX('Revised 2019 MFAM(2017 PYAs)'!AD$26:AD$270,MATCH(B153,'Revised 2019 MFAM(2017 PYAs)'!B$26:B$270,0)),0)</f>
        <v>4345.0060316608142</v>
      </c>
      <c r="V153" s="105">
        <f>IFERROR(INDEX('Revised 2018 MFAM(2016 PYAs)'!AF$26:AF$266,MATCH(B153,'Revised 2018 MFAM(2016 PYAs)'!B$26:B$266,0)),0)</f>
        <v>3205.6363581885671</v>
      </c>
      <c r="W153" s="105">
        <f t="shared" si="30"/>
        <v>3.5981208406942291</v>
      </c>
      <c r="X153" s="105">
        <f t="shared" si="31"/>
        <v>7554.2405106900751</v>
      </c>
      <c r="Y153" s="105"/>
      <c r="Z153" s="106">
        <f t="shared" si="32"/>
        <v>102530.45513085942</v>
      </c>
      <c r="AA153" s="107">
        <v>0</v>
      </c>
      <c r="AB153" s="108">
        <f t="shared" si="33"/>
        <v>0</v>
      </c>
      <c r="AC153" s="108">
        <f>IFERROR(INDEX('Revised 2019 MFAM(2017 PYAs)'!AF$26:AF$270,MATCH(B153,'Revised 2019 MFAM(2017 PYAs)'!B$26:B$270,0)),0)</f>
        <v>184.68890050551659</v>
      </c>
      <c r="AD153" s="216">
        <f>AC153/AC$24*('Revised 2019 MFAM(2017 PYAs)'!AF$24-'2020 Funding'!AC$24)</f>
        <v>0.1692155406426073</v>
      </c>
      <c r="AE153" s="105">
        <f t="shared" si="34"/>
        <v>102715.31324690559</v>
      </c>
      <c r="AF153" s="111"/>
      <c r="AG153" s="105">
        <v>26287.203584005114</v>
      </c>
      <c r="AH153" s="214">
        <v>26287.203584005114</v>
      </c>
      <c r="AI153" s="105">
        <v>26287.203584005114</v>
      </c>
      <c r="AJ153" s="105">
        <f t="shared" si="35"/>
        <v>23853.702494890251</v>
      </c>
    </row>
    <row r="154" spans="2:36" x14ac:dyDescent="0.25">
      <c r="B154">
        <v>321</v>
      </c>
      <c r="C154" s="27">
        <v>7</v>
      </c>
      <c r="D154" s="39" t="s">
        <v>421</v>
      </c>
      <c r="E154" s="162">
        <f>INDEX('2018 Data Lockdown'!H$5:H$255, MATCH(B154,'2018 Data Lockdown'!B$5:B$255,0))</f>
        <v>443.65</v>
      </c>
      <c r="F154" s="5">
        <f>INDEX('2018 Data Lockdown'!E$5:E$255,MATCH(B154,'2018 Data Lockdown'!B$5:B$255,0))</f>
        <v>483134.14</v>
      </c>
      <c r="G154" s="5">
        <f>INDEX('2018 Data Lockdown'!F$5:F$255, MATCH(B154,'2018 Data Lockdown'!B$5:B$255,0))</f>
        <v>39768.860000000008</v>
      </c>
      <c r="H154" s="5">
        <f t="shared" ref="H154:H217" si="36">F154-G154</f>
        <v>443365.28</v>
      </c>
      <c r="I154" s="103">
        <f t="shared" ref="I154:I217" si="37">IFERROR(H154/E154,"n.a.")</f>
        <v>999.35823284120374</v>
      </c>
      <c r="J154" s="6">
        <f t="shared" ref="J154:J217" si="38">MIN(I154,INDEX($N$3:$N$11,MATCH(C154,$K$3:$K$11,0)))</f>
        <v>728.05685840676222</v>
      </c>
      <c r="K154" s="5">
        <f t="shared" ref="K154:K217" si="39">E154*J154</f>
        <v>323002.42523216002</v>
      </c>
      <c r="L154" s="140">
        <f>INDEX('2018 Best Practice Scores'!M$4:M$255,MATCH(B154,'2018 Best Practice Scores'!A$4:A$255,0))</f>
        <v>0.42442708333333334</v>
      </c>
      <c r="M154" s="105">
        <f t="shared" ref="M154:M217" si="40">$E$14*(K154/$K$24)</f>
        <v>71172.645669319376</v>
      </c>
      <c r="N154" s="105">
        <f t="shared" ref="N154:N217" si="41">$E$15*(E154/$E$24)</f>
        <v>25071.685366980826</v>
      </c>
      <c r="O154" s="105">
        <f t="shared" ref="O154:O217" si="42">IFERROR(L154*$E$16*(K154/$K$24),0)</f>
        <v>9062.2795243638066</v>
      </c>
      <c r="P154" s="105">
        <f t="shared" ref="P154:P217" si="43">($O$23+$E$9)*(K154/$K$24)</f>
        <v>4057.2518244971693</v>
      </c>
      <c r="Q154" s="105">
        <f t="shared" ref="Q154:Q217" si="44">M154+N154+O154+P154</f>
        <v>109363.86238516118</v>
      </c>
      <c r="R154" s="112">
        <f t="shared" ref="R154:R217" si="45">IFERROR((Q154/K154),0)</f>
        <v>0.33858526698849156</v>
      </c>
      <c r="S154" s="175">
        <f t="shared" ref="S154:S217" si="46">IF(R154&gt;$R$19,$R$19*K154,Q154+($R$23*Q154/$R$22))</f>
        <v>109363.86238516118</v>
      </c>
      <c r="T154" s="105"/>
      <c r="U154" s="105">
        <f>IFERROR(INDEX('Revised 2019 MFAM(2017 PYAs)'!AD$26:AD$270,MATCH(B154,'Revised 2019 MFAM(2017 PYAs)'!B$26:B$270,0)),0)</f>
        <v>1480.5483175338595</v>
      </c>
      <c r="V154" s="105">
        <f>IFERROR(INDEX('Revised 2018 MFAM(2016 PYAs)'!AF$26:AF$266,MATCH(B154,'Revised 2018 MFAM(2016 PYAs)'!B$26:B$266,0)),0)</f>
        <v>1702.8306301254197</v>
      </c>
      <c r="W154" s="105">
        <f t="shared" ref="W154:W217" si="47">-$W$22*(S154/$E$17)</f>
        <v>4.1431888398645302</v>
      </c>
      <c r="X154" s="105">
        <f t="shared" ref="X154:X217" si="48">SUM(U154:W154)</f>
        <v>3187.5221364991439</v>
      </c>
      <c r="Y154" s="105"/>
      <c r="Z154" s="106">
        <f t="shared" ref="Z154:Z217" si="49">S154+X154</f>
        <v>112551.38452166032</v>
      </c>
      <c r="AA154" s="107">
        <v>0</v>
      </c>
      <c r="AB154" s="108">
        <f t="shared" ref="AB154:AB217" si="50">-$AA$24*AA154*Z154</f>
        <v>0</v>
      </c>
      <c r="AC154" s="108">
        <f>IFERROR(INDEX('Revised 2019 MFAM(2017 PYAs)'!AF$26:AF$270,MATCH(B154,'Revised 2019 MFAM(2017 PYAs)'!B$26:B$270,0)),0)</f>
        <v>187.21354018729579</v>
      </c>
      <c r="AD154" s="216">
        <f>AC154/AC$24*('Revised 2019 MFAM(2017 PYAs)'!AF$24-'2020 Funding'!AC$24)</f>
        <v>0.17152866431983277</v>
      </c>
      <c r="AE154" s="105">
        <f t="shared" si="34"/>
        <v>112738.76959051193</v>
      </c>
      <c r="AF154" s="111"/>
      <c r="AG154" s="105">
        <v>29077.586628659432</v>
      </c>
      <c r="AH154" s="214">
        <v>29077.586628659432</v>
      </c>
      <c r="AI154" s="105">
        <v>29077.586628659432</v>
      </c>
      <c r="AJ154" s="105">
        <f t="shared" si="35"/>
        <v>25506.00970453363</v>
      </c>
    </row>
    <row r="155" spans="2:36" x14ac:dyDescent="0.25">
      <c r="B155">
        <v>325</v>
      </c>
      <c r="C155" s="27">
        <v>7</v>
      </c>
      <c r="D155" s="39" t="s">
        <v>422</v>
      </c>
      <c r="E155" s="162">
        <f>INDEX('2018 Data Lockdown'!H$5:H$255, MATCH(B155,'2018 Data Lockdown'!B$5:B$255,0))</f>
        <v>392.34692360749096</v>
      </c>
      <c r="F155" s="5">
        <f>INDEX('2018 Data Lockdown'!E$5:E$255,MATCH(B155,'2018 Data Lockdown'!B$5:B$255,0))</f>
        <v>173117.05</v>
      </c>
      <c r="G155" s="5">
        <f>INDEX('2018 Data Lockdown'!F$5:F$255, MATCH(B155,'2018 Data Lockdown'!B$5:B$255,0))</f>
        <v>304</v>
      </c>
      <c r="H155" s="5">
        <f t="shared" si="36"/>
        <v>172813.05</v>
      </c>
      <c r="I155" s="103">
        <f t="shared" si="37"/>
        <v>440.45980636484978</v>
      </c>
      <c r="J155" s="6">
        <f t="shared" si="38"/>
        <v>440.45980636484978</v>
      </c>
      <c r="K155" s="5">
        <f t="shared" si="39"/>
        <v>172813.05</v>
      </c>
      <c r="L155" s="140">
        <f>INDEX('2018 Best Practice Scores'!M$4:M$255,MATCH(B155,'2018 Best Practice Scores'!A$4:A$255,0))</f>
        <v>0.24297321428571431</v>
      </c>
      <c r="M155" s="105">
        <f t="shared" si="40"/>
        <v>38078.853327011355</v>
      </c>
      <c r="N155" s="105">
        <f t="shared" si="41"/>
        <v>22172.430121469348</v>
      </c>
      <c r="O155" s="105">
        <f t="shared" si="42"/>
        <v>2775.6424167534637</v>
      </c>
      <c r="P155" s="105">
        <f t="shared" si="43"/>
        <v>2170.7145446523114</v>
      </c>
      <c r="Q155" s="105">
        <f t="shared" si="44"/>
        <v>65197.64040988648</v>
      </c>
      <c r="R155" s="112">
        <f t="shared" si="45"/>
        <v>0.37727266783316704</v>
      </c>
      <c r="S155" s="175">
        <f t="shared" si="46"/>
        <v>65197.64040988648</v>
      </c>
      <c r="T155" s="105"/>
      <c r="U155" s="105">
        <f>IFERROR(INDEX('Revised 2019 MFAM(2017 PYAs)'!AD$26:AD$270,MATCH(B155,'Revised 2019 MFAM(2017 PYAs)'!B$26:B$270,0)),0)</f>
        <v>901.25035150240001</v>
      </c>
      <c r="V155" s="105">
        <f>IFERROR(INDEX('Revised 2018 MFAM(2016 PYAs)'!AF$26:AF$266,MATCH(B155,'Revised 2018 MFAM(2016 PYAs)'!B$26:B$266,0)),0)</f>
        <v>1255.3392198775546</v>
      </c>
      <c r="W155" s="105">
        <f t="shared" si="47"/>
        <v>2.4699761899447501</v>
      </c>
      <c r="X155" s="105">
        <f t="shared" si="48"/>
        <v>2159.0595475698992</v>
      </c>
      <c r="Y155" s="105"/>
      <c r="Z155" s="106">
        <f t="shared" si="49"/>
        <v>67356.699957456382</v>
      </c>
      <c r="AA155" s="107">
        <v>0</v>
      </c>
      <c r="AB155" s="108">
        <f t="shared" si="50"/>
        <v>0</v>
      </c>
      <c r="AC155" s="108">
        <f>IFERROR(INDEX('Revised 2019 MFAM(2017 PYAs)'!AF$26:AF$270,MATCH(B155,'Revised 2019 MFAM(2017 PYAs)'!B$26:B$270,0)),0)</f>
        <v>130.35370289971934</v>
      </c>
      <c r="AD155" s="216">
        <f>AC155/AC$24*('Revised 2019 MFAM(2017 PYAs)'!AF$24-'2020 Funding'!AC$24)</f>
        <v>0.11943258230768965</v>
      </c>
      <c r="AE155" s="105">
        <f t="shared" ref="AE155:AE218" si="51">Z155+AB155+AC155+AD155</f>
        <v>67487.173092938407</v>
      </c>
      <c r="AF155" s="111"/>
      <c r="AG155" s="105">
        <v>17399.27818520624</v>
      </c>
      <c r="AH155" s="214">
        <v>17399.27818520624</v>
      </c>
      <c r="AI155" s="105">
        <v>17399.27818520624</v>
      </c>
      <c r="AJ155" s="105">
        <f t="shared" ref="AJ155:AJ218" si="52">AE155-AG155-AH155-AI155</f>
        <v>15289.338537319687</v>
      </c>
    </row>
    <row r="156" spans="2:36" x14ac:dyDescent="0.25">
      <c r="B156">
        <v>346</v>
      </c>
      <c r="C156" s="27">
        <v>7</v>
      </c>
      <c r="D156" s="39" t="s">
        <v>423</v>
      </c>
      <c r="E156" s="162">
        <f>INDEX('2018 Data Lockdown'!H$5:H$255, MATCH(B156,'2018 Data Lockdown'!B$5:B$255,0))</f>
        <v>262.16879519273215</v>
      </c>
      <c r="F156" s="5">
        <f>INDEX('2018 Data Lockdown'!E$5:E$255,MATCH(B156,'2018 Data Lockdown'!B$5:B$255,0))</f>
        <v>123092.65</v>
      </c>
      <c r="G156" s="5">
        <f>INDEX('2018 Data Lockdown'!F$5:F$255, MATCH(B156,'2018 Data Lockdown'!B$5:B$255,0))</f>
        <v>27381.15</v>
      </c>
      <c r="H156" s="5">
        <f t="shared" si="36"/>
        <v>95711.5</v>
      </c>
      <c r="I156" s="103">
        <f t="shared" si="37"/>
        <v>365.07586621679422</v>
      </c>
      <c r="J156" s="6">
        <f t="shared" si="38"/>
        <v>365.07586621679422</v>
      </c>
      <c r="K156" s="5">
        <f t="shared" si="39"/>
        <v>95711.5</v>
      </c>
      <c r="L156" s="140">
        <f>INDEX('2018 Best Practice Scores'!M$4:M$255,MATCH(B156,'2018 Best Practice Scores'!A$4:A$255,0))</f>
        <v>0.51477380952380947</v>
      </c>
      <c r="M156" s="105">
        <f t="shared" si="40"/>
        <v>21089.750862034132</v>
      </c>
      <c r="N156" s="105">
        <f t="shared" si="41"/>
        <v>14815.763656289004</v>
      </c>
      <c r="O156" s="105">
        <f t="shared" si="42"/>
        <v>3256.9354179472066</v>
      </c>
      <c r="P156" s="105">
        <f t="shared" si="43"/>
        <v>1202.237592244855</v>
      </c>
      <c r="Q156" s="105">
        <f t="shared" si="44"/>
        <v>40364.687528515198</v>
      </c>
      <c r="R156" s="112">
        <f t="shared" si="45"/>
        <v>0.42173289028502531</v>
      </c>
      <c r="S156" s="175">
        <f t="shared" si="46"/>
        <v>40364.687528515198</v>
      </c>
      <c r="T156" s="105"/>
      <c r="U156" s="105">
        <f>IFERROR(INDEX('Revised 2019 MFAM(2017 PYAs)'!AD$26:AD$270,MATCH(B156,'Revised 2019 MFAM(2017 PYAs)'!B$26:B$270,0)),0)</f>
        <v>486.07363526213885</v>
      </c>
      <c r="V156" s="105">
        <f>IFERROR(INDEX('Revised 2018 MFAM(2016 PYAs)'!AF$26:AF$266,MATCH(B156,'Revised 2018 MFAM(2016 PYAs)'!B$26:B$266,0)),0)</f>
        <v>1577.3618801374614</v>
      </c>
      <c r="W156" s="105">
        <f t="shared" si="47"/>
        <v>1.5291936408004423</v>
      </c>
      <c r="X156" s="105">
        <f t="shared" si="48"/>
        <v>2064.9647090404005</v>
      </c>
      <c r="Y156" s="105"/>
      <c r="Z156" s="106">
        <f t="shared" si="49"/>
        <v>42429.652237555601</v>
      </c>
      <c r="AA156" s="107">
        <v>0</v>
      </c>
      <c r="AB156" s="108">
        <f t="shared" si="50"/>
        <v>0</v>
      </c>
      <c r="AC156" s="108">
        <f>IFERROR(INDEX('Revised 2019 MFAM(2017 PYAs)'!AF$26:AF$270,MATCH(B156,'Revised 2019 MFAM(2017 PYAs)'!B$26:B$270,0)),0)</f>
        <v>64.370510670212795</v>
      </c>
      <c r="AD156" s="216">
        <f>AC156/AC$24*('Revised 2019 MFAM(2017 PYAs)'!AF$24-'2020 Funding'!AC$24)</f>
        <v>5.8977506145126597E-2</v>
      </c>
      <c r="AE156" s="105">
        <f t="shared" si="51"/>
        <v>42494.081725731958</v>
      </c>
      <c r="AF156" s="111"/>
      <c r="AG156" s="105">
        <v>10954.107910922103</v>
      </c>
      <c r="AH156" s="214">
        <v>10954.107910922103</v>
      </c>
      <c r="AI156" s="105">
        <v>10954.107910922103</v>
      </c>
      <c r="AJ156" s="105">
        <f t="shared" si="52"/>
        <v>9631.7579929656495</v>
      </c>
    </row>
    <row r="157" spans="2:36" x14ac:dyDescent="0.25">
      <c r="B157">
        <v>358</v>
      </c>
      <c r="C157" s="27">
        <v>7</v>
      </c>
      <c r="D157" s="39" t="s">
        <v>424</v>
      </c>
      <c r="E157" s="162">
        <f>INDEX('2018 Data Lockdown'!H$5:H$255, MATCH(B157,'2018 Data Lockdown'!B$5:B$255,0))</f>
        <v>379.12</v>
      </c>
      <c r="F157" s="5">
        <f>INDEX('2018 Data Lockdown'!E$5:E$255,MATCH(B157,'2018 Data Lockdown'!B$5:B$255,0))</f>
        <v>241699.7</v>
      </c>
      <c r="G157" s="5">
        <f>INDEX('2018 Data Lockdown'!F$5:F$255, MATCH(B157,'2018 Data Lockdown'!B$5:B$255,0))</f>
        <v>48918.26</v>
      </c>
      <c r="H157" s="5">
        <f t="shared" si="36"/>
        <v>192781.44</v>
      </c>
      <c r="I157" s="103">
        <f t="shared" si="37"/>
        <v>508.49715129774216</v>
      </c>
      <c r="J157" s="6">
        <f t="shared" si="38"/>
        <v>508.49715129774216</v>
      </c>
      <c r="K157" s="5">
        <f t="shared" si="39"/>
        <v>192781.44</v>
      </c>
      <c r="L157" s="140">
        <f>INDEX('2018 Best Practice Scores'!M$4:M$255,MATCH(B157,'2018 Best Practice Scores'!A$4:A$255,0))</f>
        <v>0.79221428571428565</v>
      </c>
      <c r="M157" s="105">
        <f t="shared" si="40"/>
        <v>42478.830030081874</v>
      </c>
      <c r="N157" s="105">
        <f t="shared" si="41"/>
        <v>21424.946142972549</v>
      </c>
      <c r="O157" s="105">
        <f t="shared" si="42"/>
        <v>10095.700797077956</v>
      </c>
      <c r="P157" s="105">
        <f t="shared" si="43"/>
        <v>2421.5386265505813</v>
      </c>
      <c r="Q157" s="105">
        <f t="shared" si="44"/>
        <v>76421.015596682962</v>
      </c>
      <c r="R157" s="112">
        <f t="shared" si="45"/>
        <v>0.39641272311630704</v>
      </c>
      <c r="S157" s="175">
        <f t="shared" si="46"/>
        <v>76421.015596682962</v>
      </c>
      <c r="T157" s="105"/>
      <c r="U157" s="105">
        <f>IFERROR(INDEX('Revised 2019 MFAM(2017 PYAs)'!AD$26:AD$270,MATCH(B157,'Revised 2019 MFAM(2017 PYAs)'!B$26:B$270,0)),0)</f>
        <v>1026.4361751647375</v>
      </c>
      <c r="V157" s="105">
        <f>IFERROR(INDEX('Revised 2018 MFAM(2016 PYAs)'!AF$26:AF$266,MATCH(B157,'Revised 2018 MFAM(2016 PYAs)'!B$26:B$266,0)),0)</f>
        <v>1773.4386690632818</v>
      </c>
      <c r="W157" s="105">
        <f t="shared" si="47"/>
        <v>2.8951674899354223</v>
      </c>
      <c r="X157" s="105">
        <f t="shared" si="48"/>
        <v>2802.7700117179547</v>
      </c>
      <c r="Y157" s="105"/>
      <c r="Z157" s="106">
        <f t="shared" si="49"/>
        <v>79223.785608400911</v>
      </c>
      <c r="AA157" s="107">
        <v>0</v>
      </c>
      <c r="AB157" s="108">
        <f t="shared" si="50"/>
        <v>0</v>
      </c>
      <c r="AC157" s="108">
        <f>IFERROR(INDEX('Revised 2019 MFAM(2017 PYAs)'!AF$26:AF$270,MATCH(B157,'Revised 2019 MFAM(2017 PYAs)'!B$26:B$270,0)),0)</f>
        <v>139.25558832725073</v>
      </c>
      <c r="AD157" s="216">
        <f>AC157/AC$24*('Revised 2019 MFAM(2017 PYAs)'!AF$24-'2020 Funding'!AC$24)</f>
        <v>0.12758866180805617</v>
      </c>
      <c r="AE157" s="105">
        <f t="shared" si="51"/>
        <v>79363.168785389964</v>
      </c>
      <c r="AF157" s="111"/>
      <c r="AG157" s="105">
        <v>20462.405374126687</v>
      </c>
      <c r="AH157" s="214">
        <v>20462.405374126687</v>
      </c>
      <c r="AI157" s="105">
        <v>20462.405374126687</v>
      </c>
      <c r="AJ157" s="105">
        <f t="shared" si="52"/>
        <v>17975.95266300991</v>
      </c>
    </row>
    <row r="158" spans="2:36" x14ac:dyDescent="0.25">
      <c r="B158">
        <v>361</v>
      </c>
      <c r="C158" s="27">
        <v>7</v>
      </c>
      <c r="D158" s="39" t="s">
        <v>425</v>
      </c>
      <c r="E158" s="162">
        <f>INDEX('2018 Data Lockdown'!H$5:H$255, MATCH(B158,'2018 Data Lockdown'!B$5:B$255,0))</f>
        <v>1540.865013619775</v>
      </c>
      <c r="F158" s="5">
        <f>INDEX('2018 Data Lockdown'!E$5:E$255,MATCH(B158,'2018 Data Lockdown'!B$5:B$255,0))</f>
        <v>911184.79</v>
      </c>
      <c r="G158" s="5">
        <f>INDEX('2018 Data Lockdown'!F$5:F$255, MATCH(B158,'2018 Data Lockdown'!B$5:B$255,0))</f>
        <v>7581.0599999999995</v>
      </c>
      <c r="H158" s="5">
        <f t="shared" si="36"/>
        <v>903603.73</v>
      </c>
      <c r="I158" s="103">
        <f t="shared" si="37"/>
        <v>586.42627486055301</v>
      </c>
      <c r="J158" s="6">
        <f t="shared" si="38"/>
        <v>586.42627486055301</v>
      </c>
      <c r="K158" s="5">
        <f t="shared" si="39"/>
        <v>903603.73</v>
      </c>
      <c r="L158" s="140">
        <f>INDEX('2018 Best Practice Scores'!M$4:M$255,MATCH(B158,'2018 Best Practice Scores'!A$4:A$255,0))</f>
        <v>0.36721428571428572</v>
      </c>
      <c r="M158" s="105">
        <f t="shared" si="40"/>
        <v>199106.4557937631</v>
      </c>
      <c r="N158" s="105">
        <f t="shared" si="41"/>
        <v>87077.837967910804</v>
      </c>
      <c r="O158" s="105">
        <f t="shared" si="42"/>
        <v>21934.420483622915</v>
      </c>
      <c r="P158" s="105">
        <f t="shared" si="43"/>
        <v>11350.217818116633</v>
      </c>
      <c r="Q158" s="105">
        <f t="shared" si="44"/>
        <v>319468.93206341349</v>
      </c>
      <c r="R158" s="112">
        <f t="shared" si="45"/>
        <v>0.35354981554072767</v>
      </c>
      <c r="S158" s="175">
        <f t="shared" si="46"/>
        <v>319468.93206341349</v>
      </c>
      <c r="T158" s="105"/>
      <c r="U158" s="105">
        <f>IFERROR(INDEX('Revised 2019 MFAM(2017 PYAs)'!AD$26:AD$270,MATCH(B158,'Revised 2019 MFAM(2017 PYAs)'!B$26:B$270,0)),0)</f>
        <v>4991.3770089409663</v>
      </c>
      <c r="V158" s="105">
        <f>IFERROR(INDEX('Revised 2018 MFAM(2016 PYAs)'!AF$26:AF$266,MATCH(B158,'Revised 2018 MFAM(2016 PYAs)'!B$26:B$266,0)),0)</f>
        <v>605.47384773992235</v>
      </c>
      <c r="W158" s="105">
        <f t="shared" si="47"/>
        <v>12.102902047725843</v>
      </c>
      <c r="X158" s="105">
        <f t="shared" si="48"/>
        <v>5608.953758728615</v>
      </c>
      <c r="Y158" s="105"/>
      <c r="Z158" s="106">
        <f t="shared" si="49"/>
        <v>325077.88582214213</v>
      </c>
      <c r="AA158" s="107">
        <v>0</v>
      </c>
      <c r="AB158" s="108">
        <f t="shared" si="50"/>
        <v>0</v>
      </c>
      <c r="AC158" s="108">
        <f>IFERROR(INDEX('Revised 2019 MFAM(2017 PYAs)'!AF$26:AF$270,MATCH(B158,'Revised 2019 MFAM(2017 PYAs)'!B$26:B$270,0)),0)</f>
        <v>634.89922426761404</v>
      </c>
      <c r="AD158" s="216">
        <f>AC158/AC$24*('Revised 2019 MFAM(2017 PYAs)'!AF$24-'2020 Funding'!AC$24)</f>
        <v>0.58170694174882076</v>
      </c>
      <c r="AE158" s="105">
        <f t="shared" si="51"/>
        <v>325713.36675335153</v>
      </c>
      <c r="AF158" s="111"/>
      <c r="AG158" s="105">
        <v>84014.344826580898</v>
      </c>
      <c r="AH158" s="214">
        <v>84014.344826580898</v>
      </c>
      <c r="AI158" s="105">
        <v>84014.344826580898</v>
      </c>
      <c r="AJ158" s="105">
        <f t="shared" si="52"/>
        <v>73670.33227360883</v>
      </c>
    </row>
    <row r="159" spans="2:36" x14ac:dyDescent="0.25">
      <c r="B159">
        <v>376</v>
      </c>
      <c r="C159" s="27">
        <v>7</v>
      </c>
      <c r="D159" s="39" t="s">
        <v>426</v>
      </c>
      <c r="E159" s="162">
        <f>INDEX('2018 Data Lockdown'!H$5:H$255, MATCH(B159,'2018 Data Lockdown'!B$5:B$255,0))</f>
        <v>685.89220705089633</v>
      </c>
      <c r="F159" s="5">
        <f>INDEX('2018 Data Lockdown'!E$5:E$255,MATCH(B159,'2018 Data Lockdown'!B$5:B$255,0))</f>
        <v>281309.96000000002</v>
      </c>
      <c r="G159" s="5">
        <f>INDEX('2018 Data Lockdown'!F$5:F$255, MATCH(B159,'2018 Data Lockdown'!B$5:B$255,0))</f>
        <v>326</v>
      </c>
      <c r="H159" s="5">
        <f t="shared" si="36"/>
        <v>280983.96000000002</v>
      </c>
      <c r="I159" s="103">
        <f t="shared" si="37"/>
        <v>409.6619805729178</v>
      </c>
      <c r="J159" s="6">
        <f t="shared" si="38"/>
        <v>409.6619805729178</v>
      </c>
      <c r="K159" s="5">
        <f t="shared" si="39"/>
        <v>280983.96000000002</v>
      </c>
      <c r="L159" s="140">
        <f>INDEX('2018 Best Practice Scores'!M$4:M$255,MATCH(B159,'2018 Best Practice Scores'!A$4:A$255,0))</f>
        <v>0.54914136904761901</v>
      </c>
      <c r="M159" s="105">
        <f t="shared" si="40"/>
        <v>61913.998972200461</v>
      </c>
      <c r="N159" s="105">
        <f t="shared" si="41"/>
        <v>38761.351540277567</v>
      </c>
      <c r="O159" s="105">
        <f t="shared" si="42"/>
        <v>10199.86144764211</v>
      </c>
      <c r="P159" s="105">
        <f t="shared" si="43"/>
        <v>3529.4554941655356</v>
      </c>
      <c r="Q159" s="105">
        <f t="shared" si="44"/>
        <v>114404.66745428568</v>
      </c>
      <c r="R159" s="112">
        <f t="shared" si="45"/>
        <v>0.40715728917154442</v>
      </c>
      <c r="S159" s="175">
        <f t="shared" si="46"/>
        <v>114404.66745428568</v>
      </c>
      <c r="T159" s="105"/>
      <c r="U159" s="105">
        <f>IFERROR(INDEX('Revised 2019 MFAM(2017 PYAs)'!AD$26:AD$270,MATCH(B159,'Revised 2019 MFAM(2017 PYAs)'!B$26:B$270,0)),0)</f>
        <v>1618.6723727220815</v>
      </c>
      <c r="V159" s="105">
        <f>IFERROR(INDEX('Revised 2018 MFAM(2016 PYAs)'!AF$26:AF$266,MATCH(B159,'Revised 2018 MFAM(2016 PYAs)'!B$26:B$266,0)),0)</f>
        <v>2648.7204717598797</v>
      </c>
      <c r="W159" s="105">
        <f t="shared" si="47"/>
        <v>4.3341569243015599</v>
      </c>
      <c r="X159" s="105">
        <f t="shared" si="48"/>
        <v>4271.7270014062624</v>
      </c>
      <c r="Y159" s="105"/>
      <c r="Z159" s="106">
        <f t="shared" si="49"/>
        <v>118676.39445569195</v>
      </c>
      <c r="AA159" s="107">
        <v>0</v>
      </c>
      <c r="AB159" s="108">
        <f t="shared" si="50"/>
        <v>0</v>
      </c>
      <c r="AC159" s="108">
        <f>IFERROR(INDEX('Revised 2019 MFAM(2017 PYAs)'!AF$26:AF$270,MATCH(B159,'Revised 2019 MFAM(2017 PYAs)'!B$26:B$270,0)),0)</f>
        <v>233.06410221899947</v>
      </c>
      <c r="AD159" s="216">
        <f>AC159/AC$24*('Revised 2019 MFAM(2017 PYAs)'!AF$24-'2020 Funding'!AC$24)</f>
        <v>0.21353783553545974</v>
      </c>
      <c r="AE159" s="105">
        <f t="shared" si="51"/>
        <v>118909.67209574647</v>
      </c>
      <c r="AF159" s="111"/>
      <c r="AG159" s="105">
        <v>30651.789653170552</v>
      </c>
      <c r="AH159" s="214">
        <v>30651.789653170552</v>
      </c>
      <c r="AI159" s="105">
        <v>30651.789653170552</v>
      </c>
      <c r="AJ159" s="105">
        <f t="shared" si="52"/>
        <v>26954.303136234823</v>
      </c>
    </row>
    <row r="160" spans="2:36" x14ac:dyDescent="0.25">
      <c r="B160">
        <v>382</v>
      </c>
      <c r="C160" s="27">
        <v>7</v>
      </c>
      <c r="D160" s="39" t="s">
        <v>427</v>
      </c>
      <c r="E160" s="162">
        <f>INDEX('2018 Data Lockdown'!H$5:H$255, MATCH(B160,'2018 Data Lockdown'!B$5:B$255,0))</f>
        <v>185.27</v>
      </c>
      <c r="F160" s="5">
        <f>INDEX('2018 Data Lockdown'!E$5:E$255,MATCH(B160,'2018 Data Lockdown'!B$5:B$255,0))</f>
        <v>98656.37</v>
      </c>
      <c r="G160" s="5">
        <f>INDEX('2018 Data Lockdown'!F$5:F$255, MATCH(B160,'2018 Data Lockdown'!B$5:B$255,0))</f>
        <v>22015.520000000004</v>
      </c>
      <c r="H160" s="5">
        <f t="shared" si="36"/>
        <v>76640.849999999991</v>
      </c>
      <c r="I160" s="103">
        <f t="shared" si="37"/>
        <v>413.67112862309057</v>
      </c>
      <c r="J160" s="6">
        <f t="shared" si="38"/>
        <v>413.67112862309057</v>
      </c>
      <c r="K160" s="5">
        <f t="shared" si="39"/>
        <v>76640.849999999991</v>
      </c>
      <c r="L160" s="140">
        <f>INDEX('2018 Best Practice Scores'!M$4:M$255,MATCH(B160,'2018 Best Practice Scores'!A$4:A$255,0))</f>
        <v>0.64454761904761904</v>
      </c>
      <c r="M160" s="105">
        <f t="shared" si="40"/>
        <v>16887.588558893429</v>
      </c>
      <c r="N160" s="105">
        <f t="shared" si="41"/>
        <v>10470.035270912969</v>
      </c>
      <c r="O160" s="105">
        <f t="shared" si="42"/>
        <v>3265.4564991271709</v>
      </c>
      <c r="P160" s="105">
        <f t="shared" si="43"/>
        <v>962.69007351884659</v>
      </c>
      <c r="Q160" s="105">
        <f t="shared" si="44"/>
        <v>31585.770402452414</v>
      </c>
      <c r="R160" s="112">
        <f t="shared" si="45"/>
        <v>0.41212708891475519</v>
      </c>
      <c r="S160" s="175">
        <f t="shared" si="46"/>
        <v>31585.770402452414</v>
      </c>
      <c r="T160" s="105"/>
      <c r="U160" s="105">
        <f>IFERROR(INDEX('Revised 2019 MFAM(2017 PYAs)'!AD$26:AD$270,MATCH(B160,'Revised 2019 MFAM(2017 PYAs)'!B$26:B$270,0)),0)</f>
        <v>453.97560262057959</v>
      </c>
      <c r="V160" s="105">
        <f>IFERROR(INDEX('Revised 2018 MFAM(2016 PYAs)'!AF$26:AF$266,MATCH(B160,'Revised 2018 MFAM(2016 PYAs)'!B$26:B$266,0)),0)</f>
        <v>1049.6222255722969</v>
      </c>
      <c r="W160" s="105">
        <f t="shared" si="47"/>
        <v>1.1966092690570567</v>
      </c>
      <c r="X160" s="105">
        <f t="shared" si="48"/>
        <v>1504.7944374619335</v>
      </c>
      <c r="Y160" s="105"/>
      <c r="Z160" s="106">
        <f t="shared" si="49"/>
        <v>33090.564839914347</v>
      </c>
      <c r="AA160" s="107">
        <v>0</v>
      </c>
      <c r="AB160" s="108">
        <f t="shared" si="50"/>
        <v>0</v>
      </c>
      <c r="AC160" s="108">
        <f>IFERROR(INDEX('Revised 2019 MFAM(2017 PYAs)'!AF$26:AF$270,MATCH(B160,'Revised 2019 MFAM(2017 PYAs)'!B$26:B$270,0)),0)</f>
        <v>61.176311289499765</v>
      </c>
      <c r="AD160" s="216">
        <f>AC160/AC$24*('Revised 2019 MFAM(2017 PYAs)'!AF$24-'2020 Funding'!AC$24)</f>
        <v>5.6050918929283107E-2</v>
      </c>
      <c r="AE160" s="105">
        <f t="shared" si="51"/>
        <v>33151.797202122776</v>
      </c>
      <c r="AF160" s="111"/>
      <c r="AG160" s="105">
        <v>8489.4837029954906</v>
      </c>
      <c r="AH160" s="214">
        <v>8489.4837029954906</v>
      </c>
      <c r="AI160" s="105">
        <v>8489.4837029954906</v>
      </c>
      <c r="AJ160" s="105">
        <f t="shared" si="52"/>
        <v>7683.3460931363043</v>
      </c>
    </row>
    <row r="161" spans="2:36" x14ac:dyDescent="0.25">
      <c r="B161">
        <v>389</v>
      </c>
      <c r="C161" s="27">
        <v>7</v>
      </c>
      <c r="D161" s="39" t="s">
        <v>428</v>
      </c>
      <c r="E161" s="162">
        <f>INDEX('2018 Data Lockdown'!H$5:H$255, MATCH(B161,'2018 Data Lockdown'!B$5:B$255,0))</f>
        <v>971.31315779571287</v>
      </c>
      <c r="F161" s="5">
        <f>INDEX('2018 Data Lockdown'!E$5:E$255,MATCH(B161,'2018 Data Lockdown'!B$5:B$255,0))</f>
        <v>166030.71</v>
      </c>
      <c r="G161" s="5">
        <f>INDEX('2018 Data Lockdown'!F$5:F$255, MATCH(B161,'2018 Data Lockdown'!B$5:B$255,0))</f>
        <v>944.5</v>
      </c>
      <c r="H161" s="5">
        <f t="shared" si="36"/>
        <v>165086.21</v>
      </c>
      <c r="I161" s="103">
        <f t="shared" si="37"/>
        <v>169.96187962144441</v>
      </c>
      <c r="J161" s="6">
        <f t="shared" si="38"/>
        <v>169.96187962144441</v>
      </c>
      <c r="K161" s="5">
        <f t="shared" si="39"/>
        <v>165086.21</v>
      </c>
      <c r="L161" s="140">
        <f>INDEX('2018 Best Practice Scores'!M$4:M$255,MATCH(B161,'2018 Best Practice Scores'!A$4:A$255,0))</f>
        <v>0.58776190476190471</v>
      </c>
      <c r="M161" s="105">
        <f t="shared" si="40"/>
        <v>36376.266589254657</v>
      </c>
      <c r="N161" s="105">
        <f t="shared" si="41"/>
        <v>54891.148168742737</v>
      </c>
      <c r="O161" s="105">
        <f t="shared" si="42"/>
        <v>6414.1751215881459</v>
      </c>
      <c r="P161" s="105">
        <f t="shared" si="43"/>
        <v>2073.6572681781026</v>
      </c>
      <c r="Q161" s="105">
        <f t="shared" si="44"/>
        <v>99755.247147763643</v>
      </c>
      <c r="R161" s="112">
        <f t="shared" si="45"/>
        <v>0.6042615379428945</v>
      </c>
      <c r="S161" s="175">
        <f t="shared" si="46"/>
        <v>99755.247147763643</v>
      </c>
      <c r="T161" s="105"/>
      <c r="U161" s="105">
        <f>IFERROR(INDEX('Revised 2019 MFAM(2017 PYAs)'!AD$26:AD$270,MATCH(B161,'Revised 2019 MFAM(2017 PYAs)'!B$26:B$270,0)),0)</f>
        <v>850.72082359135675</v>
      </c>
      <c r="V161" s="105">
        <f>IFERROR(INDEX('Revised 2018 MFAM(2016 PYAs)'!AF$26:AF$266,MATCH(B161,'Revised 2018 MFAM(2016 PYAs)'!B$26:B$266,0)),0)</f>
        <v>1807.6322284912021</v>
      </c>
      <c r="W161" s="105">
        <f t="shared" si="47"/>
        <v>3.7791718186118195</v>
      </c>
      <c r="X161" s="105">
        <f t="shared" si="48"/>
        <v>2662.1322239011706</v>
      </c>
      <c r="Y161" s="105"/>
      <c r="Z161" s="106">
        <f t="shared" si="49"/>
        <v>102417.37937166481</v>
      </c>
      <c r="AA161" s="107">
        <v>0</v>
      </c>
      <c r="AB161" s="108">
        <f t="shared" si="50"/>
        <v>0</v>
      </c>
      <c r="AC161" s="108">
        <f>IFERROR(INDEX('Revised 2019 MFAM(2017 PYAs)'!AF$26:AF$270,MATCH(B161,'Revised 2019 MFAM(2017 PYAs)'!B$26:B$270,0)),0)</f>
        <v>167.52848974743989</v>
      </c>
      <c r="AD161" s="216">
        <f>AC161/AC$24*('Revised 2019 MFAM(2017 PYAs)'!AF$24-'2020 Funding'!AC$24)</f>
        <v>0.15349284059875476</v>
      </c>
      <c r="AE161" s="105">
        <f t="shared" si="51"/>
        <v>102585.06135425284</v>
      </c>
      <c r="AF161" s="111"/>
      <c r="AG161" s="105">
        <v>26460.691896493532</v>
      </c>
      <c r="AH161" s="214">
        <v>26460.691896493532</v>
      </c>
      <c r="AI161" s="105">
        <v>26460.691896493532</v>
      </c>
      <c r="AJ161" s="105">
        <f t="shared" si="52"/>
        <v>23202.985664772248</v>
      </c>
    </row>
    <row r="162" spans="2:36" x14ac:dyDescent="0.25">
      <c r="B162">
        <v>420</v>
      </c>
      <c r="C162" s="27">
        <v>7</v>
      </c>
      <c r="D162" s="39" t="s">
        <v>520</v>
      </c>
      <c r="E162" s="162">
        <f>INDEX('2018 Data Lockdown'!H$5:H$255, MATCH(B162,'2018 Data Lockdown'!B$5:B$255,0))</f>
        <v>439.19048015518462</v>
      </c>
      <c r="F162" s="5">
        <f>INDEX('2018 Data Lockdown'!E$5:E$255,MATCH(B162,'2018 Data Lockdown'!B$5:B$255,0))</f>
        <v>181392.42</v>
      </c>
      <c r="G162" s="5">
        <f>INDEX('2018 Data Lockdown'!F$5:F$255, MATCH(B162,'2018 Data Lockdown'!B$5:B$255,0))</f>
        <v>158.49</v>
      </c>
      <c r="H162" s="5">
        <f t="shared" si="36"/>
        <v>181233.93000000002</v>
      </c>
      <c r="I162" s="103">
        <f t="shared" si="37"/>
        <v>412.65450456932126</v>
      </c>
      <c r="J162" s="6">
        <f t="shared" si="38"/>
        <v>412.65450456932126</v>
      </c>
      <c r="K162" s="5">
        <f t="shared" si="39"/>
        <v>181233.93000000002</v>
      </c>
      <c r="L162" s="140">
        <f>INDEX('2018 Best Practice Scores'!M$4:M$255,MATCH(B162,'2018 Best Practice Scores'!A$4:A$255,0))</f>
        <v>0.57561607142857141</v>
      </c>
      <c r="M162" s="105">
        <f t="shared" si="40"/>
        <v>39934.369761704016</v>
      </c>
      <c r="N162" s="105">
        <f t="shared" si="41"/>
        <v>24819.667608754709</v>
      </c>
      <c r="O162" s="105">
        <f t="shared" si="42"/>
        <v>6896.0595111624007</v>
      </c>
      <c r="P162" s="105">
        <f t="shared" si="43"/>
        <v>2276.4896970194031</v>
      </c>
      <c r="Q162" s="105">
        <f t="shared" si="44"/>
        <v>73926.586578640534</v>
      </c>
      <c r="R162" s="112">
        <f t="shared" si="45"/>
        <v>0.40790698838037959</v>
      </c>
      <c r="S162" s="175">
        <f t="shared" si="46"/>
        <v>73926.586578640534</v>
      </c>
      <c r="T162" s="105"/>
      <c r="U162" s="105">
        <f>IFERROR(INDEX('Revised 2019 MFAM(2017 PYAs)'!AD$26:AD$270,MATCH(B162,'Revised 2019 MFAM(2017 PYAs)'!B$26:B$270,0)),0)</f>
        <v>1021.999257703661</v>
      </c>
      <c r="V162" s="105">
        <f>IFERROR(INDEX('Revised 2018 MFAM(2016 PYAs)'!AF$26:AF$266,MATCH(B162,'Revised 2018 MFAM(2016 PYAs)'!B$26:B$266,0)),0)</f>
        <v>615.37242525971669</v>
      </c>
      <c r="W162" s="105">
        <f t="shared" si="47"/>
        <v>2.8006674398824183</v>
      </c>
      <c r="X162" s="105">
        <f t="shared" si="48"/>
        <v>1640.17235040326</v>
      </c>
      <c r="Y162" s="105"/>
      <c r="Z162" s="106">
        <f t="shared" si="49"/>
        <v>75566.75892904379</v>
      </c>
      <c r="AA162" s="107">
        <v>0</v>
      </c>
      <c r="AB162" s="108">
        <f t="shared" si="50"/>
        <v>0</v>
      </c>
      <c r="AC162" s="108">
        <f>IFERROR(INDEX('Revised 2019 MFAM(2017 PYAs)'!AF$26:AF$270,MATCH(B162,'Revised 2019 MFAM(2017 PYAs)'!B$26:B$270,0)),0)</f>
        <v>143.9049362401343</v>
      </c>
      <c r="AD162" s="216">
        <f>AC162/AC$24*('Revised 2019 MFAM(2017 PYAs)'!AF$24-'2020 Funding'!AC$24)</f>
        <v>0.13184848423680398</v>
      </c>
      <c r="AE162" s="105">
        <f t="shared" si="51"/>
        <v>75710.795713768151</v>
      </c>
      <c r="AF162" s="111"/>
      <c r="AG162" s="105">
        <v>19526.687862915849</v>
      </c>
      <c r="AH162" s="214">
        <v>19526.687862915849</v>
      </c>
      <c r="AI162" s="105">
        <v>19526.687862915849</v>
      </c>
      <c r="AJ162" s="105">
        <f t="shared" si="52"/>
        <v>17130.732125020611</v>
      </c>
    </row>
    <row r="163" spans="2:36" x14ac:dyDescent="0.25">
      <c r="B163">
        <v>434</v>
      </c>
      <c r="C163" s="27">
        <v>7</v>
      </c>
      <c r="D163" s="39" t="s">
        <v>429</v>
      </c>
      <c r="E163" s="162">
        <f>INDEX('2018 Data Lockdown'!H$5:H$255, MATCH(B163,'2018 Data Lockdown'!B$5:B$255,0))</f>
        <v>314.12901317026297</v>
      </c>
      <c r="F163" s="5">
        <f>INDEX('2018 Data Lockdown'!E$5:E$255,MATCH(B163,'2018 Data Lockdown'!B$5:B$255,0))</f>
        <v>130973.72</v>
      </c>
      <c r="G163" s="5">
        <f>INDEX('2018 Data Lockdown'!F$5:F$255, MATCH(B163,'2018 Data Lockdown'!B$5:B$255,0))</f>
        <v>0</v>
      </c>
      <c r="H163" s="5">
        <f t="shared" si="36"/>
        <v>130973.72</v>
      </c>
      <c r="I163" s="103">
        <f t="shared" si="37"/>
        <v>416.94244883076158</v>
      </c>
      <c r="J163" s="6">
        <f t="shared" si="38"/>
        <v>416.94244883076158</v>
      </c>
      <c r="K163" s="5">
        <f t="shared" si="39"/>
        <v>130973.72</v>
      </c>
      <c r="L163" s="140">
        <f>INDEX('2018 Best Practice Scores'!M$4:M$255,MATCH(B163,'2018 Best Practice Scores'!A$4:A$255,0))</f>
        <v>0.35676785714285714</v>
      </c>
      <c r="M163" s="105">
        <f t="shared" si="40"/>
        <v>28859.678557684467</v>
      </c>
      <c r="N163" s="105">
        <f t="shared" si="41"/>
        <v>17752.155489338464</v>
      </c>
      <c r="O163" s="105">
        <f t="shared" si="42"/>
        <v>3088.8617030570249</v>
      </c>
      <c r="P163" s="105">
        <f t="shared" si="43"/>
        <v>1645.1683421548278</v>
      </c>
      <c r="Q163" s="105">
        <f t="shared" si="44"/>
        <v>51345.864092234784</v>
      </c>
      <c r="R163" s="112">
        <f t="shared" si="45"/>
        <v>0.39203180677951871</v>
      </c>
      <c r="S163" s="175">
        <f t="shared" si="46"/>
        <v>51345.864092234784</v>
      </c>
      <c r="T163" s="105"/>
      <c r="U163" s="105">
        <f>IFERROR(INDEX('Revised 2019 MFAM(2017 PYAs)'!AD$26:AD$270,MATCH(B163,'Revised 2019 MFAM(2017 PYAs)'!B$26:B$270,0)),0)</f>
        <v>-3942.8494247109193</v>
      </c>
      <c r="V163" s="105">
        <f>IFERROR(INDEX('Revised 2018 MFAM(2016 PYAs)'!AF$26:AF$266,MATCH(B163,'Revised 2018 MFAM(2016 PYAs)'!B$26:B$266,0)),0)</f>
        <v>1088.9095563552401</v>
      </c>
      <c r="W163" s="105">
        <f t="shared" si="47"/>
        <v>1.9452093812390141</v>
      </c>
      <c r="X163" s="105">
        <f t="shared" si="48"/>
        <v>-2851.99465897444</v>
      </c>
      <c r="Y163" s="105"/>
      <c r="Z163" s="106">
        <f t="shared" si="49"/>
        <v>48493.869433260341</v>
      </c>
      <c r="AA163" s="107">
        <v>0</v>
      </c>
      <c r="AB163" s="108">
        <f t="shared" si="50"/>
        <v>0</v>
      </c>
      <c r="AC163" s="108">
        <f>IFERROR(INDEX('Revised 2019 MFAM(2017 PYAs)'!AF$26:AF$270,MATCH(B163,'Revised 2019 MFAM(2017 PYAs)'!B$26:B$270,0)),0)</f>
        <v>99.18015869392525</v>
      </c>
      <c r="AD163" s="216">
        <f>AC163/AC$24*('Revised 2019 MFAM(2017 PYAs)'!AF$24-'2020 Funding'!AC$24)</f>
        <v>9.0870778527975773E-2</v>
      </c>
      <c r="AE163" s="105">
        <f t="shared" si="51"/>
        <v>48593.140462732794</v>
      </c>
      <c r="AF163" s="111"/>
      <c r="AG163" s="105">
        <v>12564.539234943377</v>
      </c>
      <c r="AH163" s="214">
        <v>12564.539234943377</v>
      </c>
      <c r="AI163" s="105">
        <v>12564.539234943377</v>
      </c>
      <c r="AJ163" s="105">
        <f t="shared" si="52"/>
        <v>10899.522757902667</v>
      </c>
    </row>
    <row r="164" spans="2:36" x14ac:dyDescent="0.25">
      <c r="B164">
        <v>437</v>
      </c>
      <c r="C164" s="27">
        <v>7</v>
      </c>
      <c r="D164" s="39" t="s">
        <v>430</v>
      </c>
      <c r="E164" s="162">
        <f>INDEX('2018 Data Lockdown'!H$5:H$255, MATCH(B164,'2018 Data Lockdown'!B$5:B$255,0))</f>
        <v>381.25325546155779</v>
      </c>
      <c r="F164" s="5">
        <f>INDEX('2018 Data Lockdown'!E$5:E$255,MATCH(B164,'2018 Data Lockdown'!B$5:B$255,0))</f>
        <v>233460.45</v>
      </c>
      <c r="G164" s="5">
        <f>INDEX('2018 Data Lockdown'!F$5:F$255, MATCH(B164,'2018 Data Lockdown'!B$5:B$255,0))</f>
        <v>0</v>
      </c>
      <c r="H164" s="5">
        <f t="shared" si="36"/>
        <v>233460.45</v>
      </c>
      <c r="I164" s="103">
        <f t="shared" si="37"/>
        <v>612.35004988315461</v>
      </c>
      <c r="J164" s="6">
        <f t="shared" si="38"/>
        <v>612.35004988315461</v>
      </c>
      <c r="K164" s="5">
        <f t="shared" si="39"/>
        <v>233460.45</v>
      </c>
      <c r="L164" s="140">
        <f>INDEX('2018 Best Practice Scores'!M$4:M$255,MATCH(B164,'2018 Best Practice Scores'!A$4:A$255,0))</f>
        <v>0.35997619047619045</v>
      </c>
      <c r="M164" s="105">
        <f t="shared" si="40"/>
        <v>51442.331659605967</v>
      </c>
      <c r="N164" s="105">
        <f t="shared" si="41"/>
        <v>21545.50133228748</v>
      </c>
      <c r="O164" s="105">
        <f t="shared" si="42"/>
        <v>5555.4043740113038</v>
      </c>
      <c r="P164" s="105">
        <f t="shared" si="43"/>
        <v>2932.5099835693763</v>
      </c>
      <c r="Q164" s="105">
        <f t="shared" si="44"/>
        <v>81475.747349474113</v>
      </c>
      <c r="R164" s="112">
        <f t="shared" si="45"/>
        <v>0.34899164869027754</v>
      </c>
      <c r="S164" s="175">
        <f t="shared" si="46"/>
        <v>81475.747349474113</v>
      </c>
      <c r="T164" s="105"/>
      <c r="U164" s="105">
        <f>IFERROR(INDEX('Revised 2019 MFAM(2017 PYAs)'!AD$26:AD$270,MATCH(B164,'Revised 2019 MFAM(2017 PYAs)'!B$26:B$270,0)),0)</f>
        <v>1131.8575986462529</v>
      </c>
      <c r="V164" s="105">
        <f>IFERROR(INDEX('Revised 2018 MFAM(2016 PYAs)'!AF$26:AF$266,MATCH(B164,'Revised 2018 MFAM(2016 PYAs)'!B$26:B$266,0)),0)</f>
        <v>1240.5971674946195</v>
      </c>
      <c r="W164" s="105">
        <f t="shared" si="47"/>
        <v>3.0866631790042347</v>
      </c>
      <c r="X164" s="105">
        <f t="shared" si="48"/>
        <v>2375.5414293198764</v>
      </c>
      <c r="Y164" s="105"/>
      <c r="Z164" s="106">
        <f t="shared" si="49"/>
        <v>83851.288778793984</v>
      </c>
      <c r="AA164" s="107">
        <v>0</v>
      </c>
      <c r="AB164" s="108">
        <f t="shared" si="50"/>
        <v>0</v>
      </c>
      <c r="AC164" s="108">
        <f>IFERROR(INDEX('Revised 2019 MFAM(2017 PYAs)'!AF$26:AF$270,MATCH(B164,'Revised 2019 MFAM(2017 PYAs)'!B$26:B$270,0)),0)</f>
        <v>143.82889733409272</v>
      </c>
      <c r="AD164" s="216">
        <f>AC164/AC$24*('Revised 2019 MFAM(2017 PYAs)'!AF$24-'2020 Funding'!AC$24)</f>
        <v>0.13177881592127183</v>
      </c>
      <c r="AE164" s="105">
        <f t="shared" si="51"/>
        <v>83995.249454944002</v>
      </c>
      <c r="AF164" s="111"/>
      <c r="AG164" s="105">
        <v>21662.880128348963</v>
      </c>
      <c r="AH164" s="214">
        <v>21662.880128348963</v>
      </c>
      <c r="AI164" s="105">
        <v>21662.880128348963</v>
      </c>
      <c r="AJ164" s="105">
        <f t="shared" si="52"/>
        <v>19006.60906989712</v>
      </c>
    </row>
    <row r="165" spans="2:36" x14ac:dyDescent="0.25">
      <c r="B165">
        <v>502</v>
      </c>
      <c r="C165" s="27">
        <v>7</v>
      </c>
      <c r="D165" s="39" t="s">
        <v>431</v>
      </c>
      <c r="E165" s="162">
        <f>INDEX('2018 Data Lockdown'!H$5:H$255, MATCH(B165,'2018 Data Lockdown'!B$5:B$255,0))</f>
        <v>668.15033574141978</v>
      </c>
      <c r="F165" s="5">
        <f>INDEX('2018 Data Lockdown'!E$5:E$255,MATCH(B165,'2018 Data Lockdown'!B$5:B$255,0))</f>
        <v>321308.17</v>
      </c>
      <c r="G165" s="5">
        <f>INDEX('2018 Data Lockdown'!F$5:F$255, MATCH(B165,'2018 Data Lockdown'!B$5:B$255,0))</f>
        <v>0</v>
      </c>
      <c r="H165" s="5">
        <f t="shared" si="36"/>
        <v>321308.17</v>
      </c>
      <c r="I165" s="103">
        <f t="shared" si="37"/>
        <v>480.89202805452027</v>
      </c>
      <c r="J165" s="6">
        <f t="shared" si="38"/>
        <v>480.89202805452027</v>
      </c>
      <c r="K165" s="5">
        <f t="shared" si="39"/>
        <v>321308.17</v>
      </c>
      <c r="L165" s="140">
        <f>INDEX('2018 Best Practice Scores'!M$4:M$255,MATCH(B165,'2018 Best Practice Scores'!A$4:A$255,0))</f>
        <v>0.36977678571428574</v>
      </c>
      <c r="M165" s="105">
        <f t="shared" si="40"/>
        <v>70799.321452867298</v>
      </c>
      <c r="N165" s="105">
        <f t="shared" si="41"/>
        <v>37758.717447428113</v>
      </c>
      <c r="O165" s="105">
        <f t="shared" si="42"/>
        <v>7853.9836552781226</v>
      </c>
      <c r="P165" s="105">
        <f t="shared" si="43"/>
        <v>4035.9701882156323</v>
      </c>
      <c r="Q165" s="105">
        <f t="shared" si="44"/>
        <v>120447.99274378917</v>
      </c>
      <c r="R165" s="112">
        <f t="shared" si="45"/>
        <v>0.3748675072401339</v>
      </c>
      <c r="S165" s="175">
        <f t="shared" si="46"/>
        <v>120447.99274378917</v>
      </c>
      <c r="T165" s="105"/>
      <c r="U165" s="105">
        <f>IFERROR(INDEX('Revised 2019 MFAM(2017 PYAs)'!AD$26:AD$270,MATCH(B165,'Revised 2019 MFAM(2017 PYAs)'!B$26:B$270,0)),0)</f>
        <v>1516.6723133231571</v>
      </c>
      <c r="V165" s="105">
        <f>IFERROR(INDEX('Revised 2018 MFAM(2016 PYAs)'!AF$26:AF$266,MATCH(B165,'Revised 2018 MFAM(2016 PYAs)'!B$26:B$266,0)),0)</f>
        <v>2958.1528615082061</v>
      </c>
      <c r="W165" s="105">
        <f t="shared" si="47"/>
        <v>4.5631049273170357</v>
      </c>
      <c r="X165" s="105">
        <f t="shared" si="48"/>
        <v>4479.3882797586803</v>
      </c>
      <c r="Y165" s="105"/>
      <c r="Z165" s="106">
        <f t="shared" si="49"/>
        <v>124927.38102354786</v>
      </c>
      <c r="AA165" s="107">
        <v>0</v>
      </c>
      <c r="AB165" s="108">
        <f t="shared" si="50"/>
        <v>0</v>
      </c>
      <c r="AC165" s="108">
        <f>IFERROR(INDEX('Revised 2019 MFAM(2017 PYAs)'!AF$26:AF$270,MATCH(B165,'Revised 2019 MFAM(2017 PYAs)'!B$26:B$270,0)),0)</f>
        <v>211.93938665700747</v>
      </c>
      <c r="AD165" s="216">
        <f>AC165/AC$24*('Revised 2019 MFAM(2017 PYAs)'!AF$24-'2020 Funding'!AC$24)</f>
        <v>0.19418296280104219</v>
      </c>
      <c r="AE165" s="105">
        <f t="shared" si="51"/>
        <v>125139.51459316767</v>
      </c>
      <c r="AF165" s="111"/>
      <c r="AG165" s="105">
        <v>32266.609084134714</v>
      </c>
      <c r="AH165" s="214">
        <v>32266.609084134714</v>
      </c>
      <c r="AI165" s="105">
        <v>32266.609084134714</v>
      </c>
      <c r="AJ165" s="105">
        <f t="shared" si="52"/>
        <v>28339.687340763518</v>
      </c>
    </row>
    <row r="166" spans="2:36" x14ac:dyDescent="0.25">
      <c r="B166">
        <v>503</v>
      </c>
      <c r="C166" s="44">
        <v>7</v>
      </c>
      <c r="D166" s="39" t="s">
        <v>432</v>
      </c>
      <c r="E166" s="162">
        <f>INDEX('2018 Data Lockdown'!H$5:H$255, MATCH(B166,'2018 Data Lockdown'!B$5:B$255,0))</f>
        <v>362.80000000000007</v>
      </c>
      <c r="F166" s="5">
        <f>INDEX('2018 Data Lockdown'!E$5:E$255,MATCH(B166,'2018 Data Lockdown'!B$5:B$255,0))</f>
        <v>200464.15</v>
      </c>
      <c r="G166" s="5">
        <f>INDEX('2018 Data Lockdown'!F$5:F$255, MATCH(B166,'2018 Data Lockdown'!B$5:B$255,0))</f>
        <v>51599.19000000001</v>
      </c>
      <c r="H166" s="5">
        <f t="shared" si="36"/>
        <v>148864.95999999999</v>
      </c>
      <c r="I166" s="103">
        <f t="shared" si="37"/>
        <v>410.32238147739793</v>
      </c>
      <c r="J166" s="6">
        <f t="shared" si="38"/>
        <v>410.32238147739793</v>
      </c>
      <c r="K166" s="5">
        <f t="shared" si="39"/>
        <v>148864.95999999999</v>
      </c>
      <c r="L166" s="140">
        <f>INDEX('2018 Best Practice Scores'!M$4:M$255,MATCH(B166,'2018 Best Practice Scores'!A$4:A$255,0))</f>
        <v>0.75064285714285706</v>
      </c>
      <c r="M166" s="105">
        <f t="shared" si="40"/>
        <v>32801.96129500297</v>
      </c>
      <c r="N166" s="105">
        <f t="shared" si="41"/>
        <v>20502.66527925312</v>
      </c>
      <c r="O166" s="105">
        <f t="shared" si="42"/>
        <v>7386.7673839111303</v>
      </c>
      <c r="P166" s="105">
        <f t="shared" si="43"/>
        <v>1869.901224826971</v>
      </c>
      <c r="Q166" s="105">
        <f t="shared" si="44"/>
        <v>62561.295182994196</v>
      </c>
      <c r="R166" s="112">
        <f t="shared" si="45"/>
        <v>0.42025534540159215</v>
      </c>
      <c r="S166" s="175">
        <f t="shared" si="46"/>
        <v>62561.295182994196</v>
      </c>
      <c r="T166" s="105"/>
      <c r="U166" s="105">
        <f>IFERROR(INDEX('Revised 2019 MFAM(2017 PYAs)'!AD$26:AD$270,MATCH(B166,'Revised 2019 MFAM(2017 PYAs)'!B$26:B$270,0)),0)</f>
        <v>1050.2445916725264</v>
      </c>
      <c r="V166" s="105">
        <f>IFERROR(INDEX('Revised 2018 MFAM(2016 PYAs)'!AF$26:AF$266,MATCH(B166,'Revised 2018 MFAM(2016 PYAs)'!B$26:B$266,0)),0)</f>
        <v>2220.5355232845541</v>
      </c>
      <c r="W166" s="105">
        <f t="shared" si="47"/>
        <v>2.3700997235885999</v>
      </c>
      <c r="X166" s="105">
        <f t="shared" si="48"/>
        <v>3273.1502146806693</v>
      </c>
      <c r="Y166" s="105"/>
      <c r="Z166" s="106">
        <f t="shared" si="49"/>
        <v>65834.445397674863</v>
      </c>
      <c r="AA166" s="107">
        <v>0</v>
      </c>
      <c r="AB166" s="108">
        <f t="shared" si="50"/>
        <v>0</v>
      </c>
      <c r="AC166" s="108">
        <f>IFERROR(INDEX('Revised 2019 MFAM(2017 PYAs)'!AF$26:AF$270,MATCH(B166,'Revised 2019 MFAM(2017 PYAs)'!B$26:B$270,0)),0)</f>
        <v>112.79368292620408</v>
      </c>
      <c r="AD166" s="216">
        <f>AC166/AC$24*('Revised 2019 MFAM(2017 PYAs)'!AF$24-'2020 Funding'!AC$24)</f>
        <v>0.10334375257628621</v>
      </c>
      <c r="AE166" s="105">
        <f t="shared" si="51"/>
        <v>65947.342424353643</v>
      </c>
      <c r="AF166" s="111"/>
      <c r="AG166" s="105">
        <v>16995.957602885079</v>
      </c>
      <c r="AH166" s="214">
        <v>16995.957602885079</v>
      </c>
      <c r="AI166" s="105">
        <v>16995.957602885079</v>
      </c>
      <c r="AJ166" s="105">
        <f t="shared" si="52"/>
        <v>14959.469615698406</v>
      </c>
    </row>
    <row r="167" spans="2:36" x14ac:dyDescent="0.25">
      <c r="B167" s="17">
        <v>510</v>
      </c>
      <c r="C167" s="27">
        <v>7</v>
      </c>
      <c r="D167" s="39" t="s">
        <v>433</v>
      </c>
      <c r="E167" s="162">
        <f>INDEX('2018 Data Lockdown'!H$5:H$255, MATCH(B167,'2018 Data Lockdown'!B$5:B$255,0))</f>
        <v>488.33931602748999</v>
      </c>
      <c r="F167" s="5">
        <f>INDEX('2018 Data Lockdown'!E$5:E$255,MATCH(B167,'2018 Data Lockdown'!B$5:B$255,0))</f>
        <v>225129.38</v>
      </c>
      <c r="G167" s="5">
        <f>INDEX('2018 Data Lockdown'!F$5:F$255, MATCH(B167,'2018 Data Lockdown'!B$5:B$255,0))</f>
        <v>1049</v>
      </c>
      <c r="H167" s="5">
        <f t="shared" si="36"/>
        <v>224080.38</v>
      </c>
      <c r="I167" s="103">
        <f t="shared" si="37"/>
        <v>458.86205072086779</v>
      </c>
      <c r="J167" s="6">
        <f t="shared" si="38"/>
        <v>458.86205072086779</v>
      </c>
      <c r="K167" s="5">
        <f t="shared" si="39"/>
        <v>224080.38</v>
      </c>
      <c r="L167" s="140">
        <f>INDEX('2018 Best Practice Scores'!M$4:M$255,MATCH(B167,'2018 Best Practice Scores'!A$4:A$255,0))</f>
        <v>0.56185119047619048</v>
      </c>
      <c r="M167" s="105">
        <f t="shared" si="40"/>
        <v>49375.460496073465</v>
      </c>
      <c r="N167" s="105">
        <f t="shared" si="41"/>
        <v>27597.181750857311</v>
      </c>
      <c r="O167" s="105">
        <f t="shared" si="42"/>
        <v>8322.4983780086968</v>
      </c>
      <c r="P167" s="105">
        <f t="shared" si="43"/>
        <v>2814.6863910868824</v>
      </c>
      <c r="Q167" s="105">
        <f t="shared" si="44"/>
        <v>88109.827016026349</v>
      </c>
      <c r="R167" s="112">
        <f t="shared" si="45"/>
        <v>0.39320634415215805</v>
      </c>
      <c r="S167" s="175">
        <f t="shared" si="46"/>
        <v>88109.827016026349</v>
      </c>
      <c r="T167" s="105"/>
      <c r="U167" s="105">
        <f>IFERROR(INDEX('Revised 2019 MFAM(2017 PYAs)'!AD$26:AD$270,MATCH(B167,'Revised 2019 MFAM(2017 PYAs)'!B$26:B$270,0)),0)</f>
        <v>1154.2297731570288</v>
      </c>
      <c r="V167" s="105">
        <f>IFERROR(INDEX('Revised 2018 MFAM(2016 PYAs)'!AF$26:AF$266,MATCH(B167,'Revised 2018 MFAM(2016 PYAs)'!B$26:B$266,0)),0)</f>
        <v>2851.2085585717723</v>
      </c>
      <c r="W167" s="105">
        <f t="shared" si="47"/>
        <v>3.3379915816207175</v>
      </c>
      <c r="X167" s="105">
        <f t="shared" si="48"/>
        <v>4008.776323310422</v>
      </c>
      <c r="Y167" s="105"/>
      <c r="Z167" s="106">
        <f t="shared" si="49"/>
        <v>92118.603339336769</v>
      </c>
      <c r="AA167" s="107">
        <v>0</v>
      </c>
      <c r="AB167" s="108">
        <f t="shared" si="50"/>
        <v>0</v>
      </c>
      <c r="AC167" s="108">
        <f>IFERROR(INDEX('Revised 2019 MFAM(2017 PYAs)'!AF$26:AF$270,MATCH(B167,'Revised 2019 MFAM(2017 PYAs)'!B$26:B$270,0)),0)</f>
        <v>162.05069988178712</v>
      </c>
      <c r="AD167" s="216">
        <f>AC167/AC$24*('Revised 2019 MFAM(2017 PYAs)'!AF$24-'2020 Funding'!AC$24)</f>
        <v>0.14847398363926281</v>
      </c>
      <c r="AE167" s="105">
        <f t="shared" si="51"/>
        <v>92280.802513202201</v>
      </c>
      <c r="AF167" s="111"/>
      <c r="AG167" s="105">
        <v>23786.528665743986</v>
      </c>
      <c r="AH167" s="214">
        <v>23786.528665743986</v>
      </c>
      <c r="AI167" s="105">
        <v>23786.528665743986</v>
      </c>
      <c r="AJ167" s="105">
        <f t="shared" si="52"/>
        <v>20921.216515970242</v>
      </c>
    </row>
    <row r="168" spans="2:36" x14ac:dyDescent="0.25">
      <c r="B168" s="17">
        <v>531</v>
      </c>
      <c r="C168" s="27">
        <v>7</v>
      </c>
      <c r="D168" s="39" t="s">
        <v>434</v>
      </c>
      <c r="E168" s="162">
        <f>INDEX('2018 Data Lockdown'!H$5:H$255, MATCH(B168,'2018 Data Lockdown'!B$5:B$255,0))</f>
        <v>2134.37</v>
      </c>
      <c r="F168" s="5">
        <f>INDEX('2018 Data Lockdown'!E$5:E$255,MATCH(B168,'2018 Data Lockdown'!B$5:B$255,0))</f>
        <v>619077.55000000005</v>
      </c>
      <c r="G168" s="5">
        <f>INDEX('2018 Data Lockdown'!F$5:F$255, MATCH(B168,'2018 Data Lockdown'!B$5:B$255,0))</f>
        <v>5174.5599999999995</v>
      </c>
      <c r="H168" s="5">
        <f t="shared" si="36"/>
        <v>613902.99</v>
      </c>
      <c r="I168" s="103">
        <f t="shared" si="37"/>
        <v>287.62725769196533</v>
      </c>
      <c r="J168" s="6">
        <f t="shared" si="38"/>
        <v>287.62725769196533</v>
      </c>
      <c r="K168" s="5">
        <f t="shared" si="39"/>
        <v>613902.99</v>
      </c>
      <c r="L168" s="140">
        <f>INDEX('2018 Best Practice Scores'!M$4:M$255,MATCH(B168,'2018 Best Practice Scores'!A$4:A$255,0))</f>
        <v>0.84754166666666664</v>
      </c>
      <c r="M168" s="105">
        <f t="shared" si="40"/>
        <v>135271.73968183377</v>
      </c>
      <c r="N168" s="105">
        <f t="shared" si="41"/>
        <v>120618.17445446381</v>
      </c>
      <c r="O168" s="105">
        <f t="shared" si="42"/>
        <v>34394.530710852254</v>
      </c>
      <c r="P168" s="105">
        <f t="shared" si="43"/>
        <v>7711.2703548634945</v>
      </c>
      <c r="Q168" s="105">
        <f t="shared" si="44"/>
        <v>297995.71520201332</v>
      </c>
      <c r="R168" s="112">
        <f t="shared" si="45"/>
        <v>0.48541173451853253</v>
      </c>
      <c r="S168" s="175">
        <f t="shared" si="46"/>
        <v>297995.71520201332</v>
      </c>
      <c r="T168" s="105"/>
      <c r="U168" s="105">
        <f>IFERROR(INDEX('Revised 2019 MFAM(2017 PYAs)'!AD$26:AD$270,MATCH(B168,'Revised 2019 MFAM(2017 PYAs)'!B$26:B$270,0)),0)</f>
        <v>2983.6976017994457</v>
      </c>
      <c r="V168" s="105">
        <f>IFERROR(INDEX('Revised 2018 MFAM(2016 PYAs)'!AF$26:AF$266,MATCH(B168,'Revised 2018 MFAM(2016 PYAs)'!B$26:B$266,0)),0)</f>
        <v>6882.0927543774596</v>
      </c>
      <c r="W168" s="105">
        <f t="shared" si="47"/>
        <v>11.289401221074209</v>
      </c>
      <c r="X168" s="105">
        <f t="shared" si="48"/>
        <v>9877.0797573979798</v>
      </c>
      <c r="Y168" s="105"/>
      <c r="Z168" s="106">
        <f t="shared" si="49"/>
        <v>307872.79495941132</v>
      </c>
      <c r="AA168" s="107">
        <v>0</v>
      </c>
      <c r="AB168" s="108">
        <f t="shared" si="50"/>
        <v>0</v>
      </c>
      <c r="AC168" s="108">
        <f>IFERROR(INDEX('Revised 2019 MFAM(2017 PYAs)'!AF$26:AF$270,MATCH(B168,'Revised 2019 MFAM(2017 PYAs)'!B$26:B$270,0)),0)</f>
        <v>697.51564037406217</v>
      </c>
      <c r="AD168" s="216">
        <f>AC168/AC$24*('Revised 2019 MFAM(2017 PYAs)'!AF$24-'2020 Funding'!AC$24)</f>
        <v>0.63907731254832967</v>
      </c>
      <c r="AE168" s="105">
        <f t="shared" si="51"/>
        <v>308570.9496770979</v>
      </c>
      <c r="AF168" s="111"/>
      <c r="AG168" s="105">
        <v>79090.871424161945</v>
      </c>
      <c r="AH168" s="214">
        <v>79090.871424161945</v>
      </c>
      <c r="AI168" s="105">
        <v>79090.871424161945</v>
      </c>
      <c r="AJ168" s="105">
        <f t="shared" si="52"/>
        <v>71298.335404612066</v>
      </c>
    </row>
    <row r="169" spans="2:36" x14ac:dyDescent="0.25">
      <c r="B169">
        <v>550</v>
      </c>
      <c r="C169" s="27">
        <v>7</v>
      </c>
      <c r="D169" s="39" t="s">
        <v>435</v>
      </c>
      <c r="E169" s="162">
        <f>INDEX('2018 Data Lockdown'!H$5:H$255, MATCH(B169,'2018 Data Lockdown'!B$5:B$255,0))</f>
        <v>257.69</v>
      </c>
      <c r="F169" s="5">
        <f>INDEX('2018 Data Lockdown'!E$5:E$255,MATCH(B169,'2018 Data Lockdown'!B$5:B$255,0))</f>
        <v>412541.65</v>
      </c>
      <c r="G169" s="5">
        <f>INDEX('2018 Data Lockdown'!F$5:F$255, MATCH(B169,'2018 Data Lockdown'!B$5:B$255,0))</f>
        <v>100</v>
      </c>
      <c r="H169" s="5">
        <f t="shared" si="36"/>
        <v>412441.65</v>
      </c>
      <c r="I169" s="103">
        <f t="shared" si="37"/>
        <v>1600.5341689627073</v>
      </c>
      <c r="J169" s="6">
        <f t="shared" si="38"/>
        <v>728.05685840676222</v>
      </c>
      <c r="K169" s="5">
        <f t="shared" si="39"/>
        <v>187612.97184283857</v>
      </c>
      <c r="L169" s="140">
        <f>INDEX('2018 Best Practice Scores'!M$4:M$255,MATCH(B169,'2018 Best Practice Scores'!A$4:A$255,0))</f>
        <v>0.67488244047619039</v>
      </c>
      <c r="M169" s="105">
        <f t="shared" si="40"/>
        <v>41339.97309258856</v>
      </c>
      <c r="N169" s="105">
        <f t="shared" si="41"/>
        <v>14562.656603667958</v>
      </c>
      <c r="O169" s="105">
        <f t="shared" si="42"/>
        <v>8369.8865789838637</v>
      </c>
      <c r="P169" s="105">
        <f t="shared" si="43"/>
        <v>2356.6172042255739</v>
      </c>
      <c r="Q169" s="105">
        <f t="shared" si="44"/>
        <v>66629.133479465963</v>
      </c>
      <c r="R169" s="112">
        <f t="shared" si="45"/>
        <v>0.35514140000554167</v>
      </c>
      <c r="S169" s="175">
        <f t="shared" si="46"/>
        <v>66629.133479465963</v>
      </c>
      <c r="T169" s="105"/>
      <c r="U169" s="105">
        <f>IFERROR(INDEX('Revised 2019 MFAM(2017 PYAs)'!AD$26:AD$270,MATCH(B169,'Revised 2019 MFAM(2017 PYAs)'!B$26:B$270,0)),0)</f>
        <v>778.22575666690682</v>
      </c>
      <c r="V169" s="105">
        <f>IFERROR(INDEX('Revised 2018 MFAM(2016 PYAs)'!AF$26:AF$266,MATCH(B169,'Revised 2018 MFAM(2016 PYAs)'!B$26:B$266,0)),0)</f>
        <v>235.88261876041361</v>
      </c>
      <c r="W169" s="105">
        <f t="shared" si="47"/>
        <v>2.5242075053068329</v>
      </c>
      <c r="X169" s="105">
        <f t="shared" si="48"/>
        <v>1016.6325829326272</v>
      </c>
      <c r="Y169" s="105"/>
      <c r="Z169" s="106">
        <f t="shared" si="49"/>
        <v>67645.766062398587</v>
      </c>
      <c r="AA169" s="107">
        <v>0</v>
      </c>
      <c r="AB169" s="108">
        <f t="shared" si="50"/>
        <v>0</v>
      </c>
      <c r="AC169" s="108">
        <f>IFERROR(INDEX('Revised 2019 MFAM(2017 PYAs)'!AF$26:AF$270,MATCH(B169,'Revised 2019 MFAM(2017 PYAs)'!B$26:B$270,0)),0)</f>
        <v>103.75147138328951</v>
      </c>
      <c r="AD169" s="216">
        <f>AC169/AC$24*('Revised 2019 MFAM(2017 PYAs)'!AF$24-'2020 Funding'!AC$24)</f>
        <v>9.5059103576529941E-2</v>
      </c>
      <c r="AE169" s="105">
        <f t="shared" si="51"/>
        <v>67749.61259288546</v>
      </c>
      <c r="AF169" s="111"/>
      <c r="AG169" s="105">
        <v>17483.912857402549</v>
      </c>
      <c r="AH169" s="214">
        <v>17483.912857402549</v>
      </c>
      <c r="AI169" s="105">
        <v>17483.912857402549</v>
      </c>
      <c r="AJ169" s="105">
        <f t="shared" si="52"/>
        <v>15297.874020677806</v>
      </c>
    </row>
    <row r="170" spans="2:36" x14ac:dyDescent="0.25">
      <c r="B170">
        <v>551</v>
      </c>
      <c r="C170" s="27">
        <v>7</v>
      </c>
      <c r="D170" s="39" t="s">
        <v>436</v>
      </c>
      <c r="E170" s="162">
        <f>INDEX('2018 Data Lockdown'!H$5:H$255, MATCH(B170,'2018 Data Lockdown'!B$5:B$255,0))</f>
        <v>172.97</v>
      </c>
      <c r="F170" s="5">
        <f>INDEX('2018 Data Lockdown'!E$5:E$255,MATCH(B170,'2018 Data Lockdown'!B$5:B$255,0))</f>
        <v>85940.14</v>
      </c>
      <c r="G170" s="5">
        <f>INDEX('2018 Data Lockdown'!F$5:F$255, MATCH(B170,'2018 Data Lockdown'!B$5:B$255,0))</f>
        <v>201</v>
      </c>
      <c r="H170" s="5">
        <f t="shared" si="36"/>
        <v>85739.14</v>
      </c>
      <c r="I170" s="103">
        <f t="shared" si="37"/>
        <v>495.68792276117244</v>
      </c>
      <c r="J170" s="6">
        <f t="shared" si="38"/>
        <v>495.68792276117244</v>
      </c>
      <c r="K170" s="5">
        <f t="shared" si="39"/>
        <v>85739.14</v>
      </c>
      <c r="L170" s="140">
        <f>INDEX('2018 Best Practice Scores'!M$4:M$255,MATCH(B170,'2018 Best Practice Scores'!A$4:A$255,0))</f>
        <v>0.59501488095238098</v>
      </c>
      <c r="M170" s="105">
        <f t="shared" si="40"/>
        <v>18892.370318353231</v>
      </c>
      <c r="N170" s="105">
        <f t="shared" si="41"/>
        <v>9774.9338846538358</v>
      </c>
      <c r="O170" s="105">
        <f t="shared" si="42"/>
        <v>3372.3724427649727</v>
      </c>
      <c r="P170" s="105">
        <f t="shared" si="43"/>
        <v>1076.9742114034837</v>
      </c>
      <c r="Q170" s="105">
        <f t="shared" si="44"/>
        <v>33116.650857175518</v>
      </c>
      <c r="R170" s="112">
        <f t="shared" si="45"/>
        <v>0.38624892735307959</v>
      </c>
      <c r="S170" s="175">
        <f t="shared" si="46"/>
        <v>33116.650857175518</v>
      </c>
      <c r="T170" s="105"/>
      <c r="U170" s="105">
        <f>IFERROR(INDEX('Revised 2019 MFAM(2017 PYAs)'!AD$26:AD$270,MATCH(B170,'Revised 2019 MFAM(2017 PYAs)'!B$26:B$270,0)),0)</f>
        <v>472.40986766060814</v>
      </c>
      <c r="V170" s="105">
        <f>IFERROR(INDEX('Revised 2018 MFAM(2016 PYAs)'!AF$26:AF$266,MATCH(B170,'Revised 2018 MFAM(2016 PYAs)'!B$26:B$266,0)),0)</f>
        <v>395.34225202306698</v>
      </c>
      <c r="W170" s="105">
        <f t="shared" si="47"/>
        <v>1.2546058199911985</v>
      </c>
      <c r="X170" s="105">
        <f t="shared" si="48"/>
        <v>869.0067255036663</v>
      </c>
      <c r="Y170" s="105"/>
      <c r="Z170" s="106">
        <f t="shared" si="49"/>
        <v>33985.657582679181</v>
      </c>
      <c r="AA170" s="107">
        <v>0</v>
      </c>
      <c r="AB170" s="108">
        <f t="shared" si="50"/>
        <v>0</v>
      </c>
      <c r="AC170" s="108">
        <f>IFERROR(INDEX('Revised 2019 MFAM(2017 PYAs)'!AF$26:AF$270,MATCH(B170,'Revised 2019 MFAM(2017 PYAs)'!B$26:B$270,0)),0)</f>
        <v>63.006600718486546</v>
      </c>
      <c r="AD170" s="216">
        <f>AC170/AC$24*('Revised 2019 MFAM(2017 PYAs)'!AF$24-'2020 Funding'!AC$24)</f>
        <v>5.7727865483248847E-2</v>
      </c>
      <c r="AE170" s="105">
        <f t="shared" si="51"/>
        <v>34048.72191126315</v>
      </c>
      <c r="AF170" s="111"/>
      <c r="AG170" s="105">
        <v>8780.9015498967601</v>
      </c>
      <c r="AH170" s="214">
        <v>8780.9015498967601</v>
      </c>
      <c r="AI170" s="105">
        <v>8780.9015498967601</v>
      </c>
      <c r="AJ170" s="105">
        <f t="shared" si="52"/>
        <v>7706.0172615728698</v>
      </c>
    </row>
    <row r="171" spans="2:36" x14ac:dyDescent="0.25">
      <c r="B171">
        <v>555</v>
      </c>
      <c r="C171" s="27">
        <v>7</v>
      </c>
      <c r="D171" s="39" t="s">
        <v>437</v>
      </c>
      <c r="E171" s="162">
        <f>INDEX('2018 Data Lockdown'!H$5:H$255, MATCH(B171,'2018 Data Lockdown'!B$5:B$255,0))</f>
        <v>603.33664613851852</v>
      </c>
      <c r="F171" s="5">
        <f>INDEX('2018 Data Lockdown'!E$5:E$255,MATCH(B171,'2018 Data Lockdown'!B$5:B$255,0))</f>
        <v>492787.09</v>
      </c>
      <c r="G171" s="5">
        <f>INDEX('2018 Data Lockdown'!F$5:F$255, MATCH(B171,'2018 Data Lockdown'!B$5:B$255,0))</f>
        <v>498</v>
      </c>
      <c r="H171" s="5">
        <f t="shared" si="36"/>
        <v>492289.09</v>
      </c>
      <c r="I171" s="103">
        <f t="shared" si="37"/>
        <v>815.94428773845209</v>
      </c>
      <c r="J171" s="6">
        <f t="shared" si="38"/>
        <v>728.05685840676222</v>
      </c>
      <c r="K171" s="5">
        <f t="shared" si="39"/>
        <v>439263.38314928219</v>
      </c>
      <c r="L171" s="140">
        <f>INDEX('2018 Best Practice Scores'!M$4:M$255,MATCH(B171,'2018 Best Practice Scores'!A$4:A$255,0))</f>
        <v>0.61139285714285707</v>
      </c>
      <c r="M171" s="105">
        <f t="shared" si="40"/>
        <v>96790.409861224645</v>
      </c>
      <c r="N171" s="105">
        <f t="shared" si="41"/>
        <v>34095.946269253654</v>
      </c>
      <c r="O171" s="105">
        <f t="shared" si="42"/>
        <v>17753.089568724692</v>
      </c>
      <c r="P171" s="105">
        <f t="shared" si="43"/>
        <v>5517.612325778221</v>
      </c>
      <c r="Q171" s="105">
        <f t="shared" si="44"/>
        <v>154157.0580249812</v>
      </c>
      <c r="R171" s="112">
        <f t="shared" si="45"/>
        <v>0.35094447645455445</v>
      </c>
      <c r="S171" s="175">
        <f t="shared" si="46"/>
        <v>154157.0580249812</v>
      </c>
      <c r="T171" s="105"/>
      <c r="U171" s="105">
        <f>IFERROR(INDEX('Revised 2019 MFAM(2017 PYAs)'!AD$26:AD$270,MATCH(B171,'Revised 2019 MFAM(2017 PYAs)'!B$26:B$270,0)),0)</f>
        <v>2526.9678180782357</v>
      </c>
      <c r="V171" s="105">
        <f>IFERROR(INDEX('Revised 2018 MFAM(2016 PYAs)'!AF$26:AF$266,MATCH(B171,'Revised 2018 MFAM(2016 PYAs)'!B$26:B$266,0)),0)</f>
        <v>-857.05957716822741</v>
      </c>
      <c r="W171" s="105">
        <f t="shared" si="47"/>
        <v>5.8401540368613754</v>
      </c>
      <c r="X171" s="105">
        <f t="shared" si="48"/>
        <v>1675.7483949468697</v>
      </c>
      <c r="Y171" s="105"/>
      <c r="Z171" s="106">
        <f t="shared" si="49"/>
        <v>155832.80641992806</v>
      </c>
      <c r="AA171" s="107">
        <v>0</v>
      </c>
      <c r="AB171" s="108">
        <f t="shared" si="50"/>
        <v>0</v>
      </c>
      <c r="AC171" s="108">
        <f>IFERROR(INDEX('Revised 2019 MFAM(2017 PYAs)'!AF$26:AF$270,MATCH(B171,'Revised 2019 MFAM(2017 PYAs)'!B$26:B$270,0)),0)</f>
        <v>308.14769499824752</v>
      </c>
      <c r="AD171" s="216">
        <f>AC171/AC$24*('Revised 2019 MFAM(2017 PYAs)'!AF$24-'2020 Funding'!AC$24)</f>
        <v>0.28233087459061573</v>
      </c>
      <c r="AE171" s="105">
        <f t="shared" si="51"/>
        <v>156141.2364458009</v>
      </c>
      <c r="AF171" s="111"/>
      <c r="AG171" s="105">
        <v>40282.73797224342</v>
      </c>
      <c r="AH171" s="214">
        <v>40282.73797224342</v>
      </c>
      <c r="AI171" s="105">
        <v>40282.73797224342</v>
      </c>
      <c r="AJ171" s="105">
        <f t="shared" si="52"/>
        <v>35293.022529070622</v>
      </c>
    </row>
    <row r="172" spans="2:36" x14ac:dyDescent="0.25">
      <c r="B172">
        <v>556</v>
      </c>
      <c r="C172" s="27">
        <v>7</v>
      </c>
      <c r="D172" s="39" t="s">
        <v>438</v>
      </c>
      <c r="E172" s="162">
        <f>INDEX('2018 Data Lockdown'!H$5:H$255, MATCH(B172,'2018 Data Lockdown'!B$5:B$255,0))</f>
        <v>391.24677594424628</v>
      </c>
      <c r="F172" s="5">
        <f>INDEX('2018 Data Lockdown'!E$5:E$255,MATCH(B172,'2018 Data Lockdown'!B$5:B$255,0))</f>
        <v>144657.59</v>
      </c>
      <c r="G172" s="5">
        <f>INDEX('2018 Data Lockdown'!F$5:F$255, MATCH(B172,'2018 Data Lockdown'!B$5:B$255,0))</f>
        <v>350.51</v>
      </c>
      <c r="H172" s="5">
        <f t="shared" si="36"/>
        <v>144307.07999999999</v>
      </c>
      <c r="I172" s="103">
        <f t="shared" si="37"/>
        <v>368.83902660085852</v>
      </c>
      <c r="J172" s="6">
        <f t="shared" si="38"/>
        <v>368.83902660085852</v>
      </c>
      <c r="K172" s="5">
        <f t="shared" si="39"/>
        <v>144307.07999999999</v>
      </c>
      <c r="L172" s="140">
        <f>INDEX('2018 Best Practice Scores'!M$4:M$255,MATCH(B172,'2018 Best Practice Scores'!A$4:A$255,0))</f>
        <v>0.80136904761904759</v>
      </c>
      <c r="M172" s="105">
        <f t="shared" si="40"/>
        <v>31797.64568340929</v>
      </c>
      <c r="N172" s="105">
        <f t="shared" si="41"/>
        <v>22110.25823807007</v>
      </c>
      <c r="O172" s="105">
        <f t="shared" si="42"/>
        <v>7644.4947113524859</v>
      </c>
      <c r="P172" s="105">
        <f t="shared" si="43"/>
        <v>1812.6494350531091</v>
      </c>
      <c r="Q172" s="105">
        <f t="shared" si="44"/>
        <v>63365.048067884949</v>
      </c>
      <c r="R172" s="112">
        <f t="shared" si="45"/>
        <v>0.43909867809593928</v>
      </c>
      <c r="S172" s="175">
        <f t="shared" si="46"/>
        <v>63365.048067884949</v>
      </c>
      <c r="T172" s="105"/>
      <c r="U172" s="105">
        <f>IFERROR(INDEX('Revised 2019 MFAM(2017 PYAs)'!AD$26:AD$270,MATCH(B172,'Revised 2019 MFAM(2017 PYAs)'!B$26:B$270,0)),0)</f>
        <v>926.04439767722215</v>
      </c>
      <c r="V172" s="105">
        <f>IFERROR(INDEX('Revised 2018 MFAM(2016 PYAs)'!AF$26:AF$266,MATCH(B172,'Revised 2018 MFAM(2016 PYAs)'!B$26:B$266,0)),0)</f>
        <v>1698.3065034891333</v>
      </c>
      <c r="W172" s="105">
        <f t="shared" si="47"/>
        <v>2.4005494526861346</v>
      </c>
      <c r="X172" s="105">
        <f t="shared" si="48"/>
        <v>2626.7514506190414</v>
      </c>
      <c r="Y172" s="105"/>
      <c r="Z172" s="106">
        <f t="shared" si="49"/>
        <v>65991.799518503991</v>
      </c>
      <c r="AA172" s="107">
        <v>0</v>
      </c>
      <c r="AB172" s="108">
        <f t="shared" si="50"/>
        <v>0</v>
      </c>
      <c r="AC172" s="108">
        <f>IFERROR(INDEX('Revised 2019 MFAM(2017 PYAs)'!AF$26:AF$270,MATCH(B172,'Revised 2019 MFAM(2017 PYAs)'!B$26:B$270,0)),0)</f>
        <v>128.67440373886882</v>
      </c>
      <c r="AD172" s="216">
        <f>AC172/AC$24*('Revised 2019 MFAM(2017 PYAs)'!AF$24-'2020 Funding'!AC$24)</f>
        <v>0.11789397595600198</v>
      </c>
      <c r="AE172" s="105">
        <f t="shared" si="51"/>
        <v>66120.591816218817</v>
      </c>
      <c r="AF172" s="111"/>
      <c r="AG172" s="105">
        <v>17042.158269107509</v>
      </c>
      <c r="AH172" s="214">
        <v>17042.158269107509</v>
      </c>
      <c r="AI172" s="105">
        <v>17042.158269107509</v>
      </c>
      <c r="AJ172" s="105">
        <f t="shared" si="52"/>
        <v>14994.11700889629</v>
      </c>
    </row>
    <row r="173" spans="2:36" x14ac:dyDescent="0.25">
      <c r="B173">
        <v>558</v>
      </c>
      <c r="C173" s="27">
        <v>7</v>
      </c>
      <c r="D173" s="39" t="s">
        <v>439</v>
      </c>
      <c r="E173" s="162">
        <f>INDEX('2018 Data Lockdown'!H$5:H$255, MATCH(B173,'2018 Data Lockdown'!B$5:B$255,0))</f>
        <v>347.54359974511453</v>
      </c>
      <c r="F173" s="5">
        <f>INDEX('2018 Data Lockdown'!E$5:E$255,MATCH(B173,'2018 Data Lockdown'!B$5:B$255,0))</f>
        <v>230639.34</v>
      </c>
      <c r="G173" s="5">
        <f>INDEX('2018 Data Lockdown'!F$5:F$255, MATCH(B173,'2018 Data Lockdown'!B$5:B$255,0))</f>
        <v>26698.63</v>
      </c>
      <c r="H173" s="5">
        <f t="shared" si="36"/>
        <v>203940.71</v>
      </c>
      <c r="I173" s="103">
        <f t="shared" si="37"/>
        <v>586.80611626733548</v>
      </c>
      <c r="J173" s="6">
        <f t="shared" si="38"/>
        <v>586.80611626733548</v>
      </c>
      <c r="K173" s="5">
        <f t="shared" si="39"/>
        <v>203940.71</v>
      </c>
      <c r="L173" s="140">
        <f>INDEX('2018 Best Practice Scores'!M$4:M$255,MATCH(B173,'2018 Best Practice Scores'!A$4:A$255,0))</f>
        <v>0.4269122023809524</v>
      </c>
      <c r="M173" s="105">
        <f t="shared" si="40"/>
        <v>44937.742742787988</v>
      </c>
      <c r="N173" s="105">
        <f t="shared" si="41"/>
        <v>19640.490891733189</v>
      </c>
      <c r="O173" s="105">
        <f t="shared" si="42"/>
        <v>5755.341217305684</v>
      </c>
      <c r="P173" s="105">
        <f t="shared" si="43"/>
        <v>2561.7108513721569</v>
      </c>
      <c r="Q173" s="105">
        <f t="shared" si="44"/>
        <v>72895.285703199028</v>
      </c>
      <c r="R173" s="112">
        <f t="shared" si="45"/>
        <v>0.35743371543228925</v>
      </c>
      <c r="S173" s="175">
        <f t="shared" si="46"/>
        <v>72895.285703199028</v>
      </c>
      <c r="T173" s="105"/>
      <c r="U173" s="105">
        <f>IFERROR(INDEX('Revised 2019 MFAM(2017 PYAs)'!AD$26:AD$270,MATCH(B173,'Revised 2019 MFAM(2017 PYAs)'!B$26:B$270,0)),0)</f>
        <v>770.1138588184549</v>
      </c>
      <c r="V173" s="105">
        <f>IFERROR(INDEX('Revised 2018 MFAM(2016 PYAs)'!AF$26:AF$266,MATCH(B173,'Revised 2018 MFAM(2016 PYAs)'!B$26:B$266,0)),0)</f>
        <v>-2858.9799411254135</v>
      </c>
      <c r="W173" s="105">
        <f t="shared" si="47"/>
        <v>2.7615971822627352</v>
      </c>
      <c r="X173" s="105">
        <f t="shared" si="48"/>
        <v>-2086.1044851246957</v>
      </c>
      <c r="Y173" s="105"/>
      <c r="Z173" s="106">
        <f t="shared" si="49"/>
        <v>70809.181218074329</v>
      </c>
      <c r="AA173" s="107">
        <v>0</v>
      </c>
      <c r="AB173" s="108">
        <f t="shared" si="50"/>
        <v>0</v>
      </c>
      <c r="AC173" s="108">
        <f>IFERROR(INDEX('Revised 2019 MFAM(2017 PYAs)'!AF$26:AF$270,MATCH(B173,'Revised 2019 MFAM(2017 PYAs)'!B$26:B$270,0)),0)</f>
        <v>105.98262737168331</v>
      </c>
      <c r="AD173" s="216">
        <f>AC173/AC$24*('Revised 2019 MFAM(2017 PYAs)'!AF$24-'2020 Funding'!AC$24)</f>
        <v>9.71033318208947E-2</v>
      </c>
      <c r="AE173" s="105">
        <f t="shared" si="51"/>
        <v>70915.260948777839</v>
      </c>
      <c r="AF173" s="111"/>
      <c r="AG173" s="105">
        <v>18328.596424898347</v>
      </c>
      <c r="AH173" s="214">
        <v>18328.596424898347</v>
      </c>
      <c r="AI173" s="105">
        <v>18328.596424898347</v>
      </c>
      <c r="AJ173" s="105">
        <f t="shared" si="52"/>
        <v>15929.47167408279</v>
      </c>
    </row>
    <row r="174" spans="2:36" x14ac:dyDescent="0.25">
      <c r="B174">
        <v>600</v>
      </c>
      <c r="C174" s="27">
        <v>7</v>
      </c>
      <c r="D174" s="39" t="s">
        <v>440</v>
      </c>
      <c r="E174" s="162">
        <f>INDEX('2018 Data Lockdown'!H$5:H$255, MATCH(B174,'2018 Data Lockdown'!B$5:B$255,0))</f>
        <v>804.36</v>
      </c>
      <c r="F174" s="5">
        <f>INDEX('2018 Data Lockdown'!E$5:E$255,MATCH(B174,'2018 Data Lockdown'!B$5:B$255,0))</f>
        <v>251152.74</v>
      </c>
      <c r="G174" s="5">
        <f>INDEX('2018 Data Lockdown'!F$5:F$255, MATCH(B174,'2018 Data Lockdown'!B$5:B$255,0))</f>
        <v>0</v>
      </c>
      <c r="H174" s="5">
        <f t="shared" si="36"/>
        <v>251152.74</v>
      </c>
      <c r="I174" s="103">
        <f t="shared" si="37"/>
        <v>312.23922124421898</v>
      </c>
      <c r="J174" s="6">
        <f t="shared" si="38"/>
        <v>312.23922124421898</v>
      </c>
      <c r="K174" s="5">
        <f t="shared" si="39"/>
        <v>251152.74</v>
      </c>
      <c r="L174" s="140">
        <f>INDEX('2018 Best Practice Scores'!M$4:M$255,MATCH(B174,'2018 Best Practice Scores'!A$4:A$255,0))</f>
        <v>0.80371726190476178</v>
      </c>
      <c r="M174" s="105">
        <f t="shared" si="40"/>
        <v>55340.776342625853</v>
      </c>
      <c r="N174" s="105">
        <f t="shared" si="41"/>
        <v>45456.239922877721</v>
      </c>
      <c r="O174" s="105">
        <f t="shared" si="42"/>
        <v>13343.501170133719</v>
      </c>
      <c r="P174" s="105">
        <f t="shared" si="43"/>
        <v>3154.7438439821553</v>
      </c>
      <c r="Q174" s="105">
        <f t="shared" si="44"/>
        <v>117295.26127961944</v>
      </c>
      <c r="R174" s="112">
        <f t="shared" si="45"/>
        <v>0.46702759953811157</v>
      </c>
      <c r="S174" s="175">
        <f t="shared" si="46"/>
        <v>117295.26127961944</v>
      </c>
      <c r="T174" s="105"/>
      <c r="U174" s="105">
        <f>IFERROR(INDEX('Revised 2019 MFAM(2017 PYAs)'!AD$26:AD$270,MATCH(B174,'Revised 2019 MFAM(2017 PYAs)'!B$26:B$270,0)),0)</f>
        <v>1479.7636466082768</v>
      </c>
      <c r="V174" s="105">
        <f>IFERROR(INDEX('Revised 2018 MFAM(2016 PYAs)'!AF$26:AF$266,MATCH(B174,'Revised 2018 MFAM(2016 PYAs)'!B$26:B$266,0)),0)</f>
        <v>-10924.688058820087</v>
      </c>
      <c r="W174" s="105">
        <f t="shared" si="47"/>
        <v>4.4436654567958298</v>
      </c>
      <c r="X174" s="105">
        <f t="shared" si="48"/>
        <v>-9440.4807467550145</v>
      </c>
      <c r="Y174" s="105"/>
      <c r="Z174" s="106">
        <f t="shared" si="49"/>
        <v>107854.78053286443</v>
      </c>
      <c r="AA174" s="107">
        <v>0</v>
      </c>
      <c r="AB174" s="108">
        <f t="shared" si="50"/>
        <v>0</v>
      </c>
      <c r="AC174" s="108">
        <f>IFERROR(INDEX('Revised 2019 MFAM(2017 PYAs)'!AF$26:AF$270,MATCH(B174,'Revised 2019 MFAM(2017 PYAs)'!B$26:B$270,0)),0)</f>
        <v>213.13975073912121</v>
      </c>
      <c r="AD174" s="216">
        <f>AC174/AC$24*('Revised 2019 MFAM(2017 PYAs)'!AF$24-'2020 Funding'!AC$24)</f>
        <v>0.19528275957587207</v>
      </c>
      <c r="AE174" s="105">
        <f t="shared" si="51"/>
        <v>108068.11556636314</v>
      </c>
      <c r="AF174" s="111"/>
      <c r="AG174" s="105">
        <v>27792.510300235881</v>
      </c>
      <c r="AH174" s="214">
        <v>27792.510300235881</v>
      </c>
      <c r="AI174" s="105">
        <v>27792.510300235881</v>
      </c>
      <c r="AJ174" s="105">
        <f t="shared" si="52"/>
        <v>24690.584665655493</v>
      </c>
    </row>
    <row r="175" spans="2:36" x14ac:dyDescent="0.25">
      <c r="B175">
        <v>604</v>
      </c>
      <c r="C175" s="27">
        <v>7</v>
      </c>
      <c r="D175" s="39" t="s">
        <v>441</v>
      </c>
      <c r="E175" s="162">
        <f>INDEX('2018 Data Lockdown'!H$5:H$255, MATCH(B175,'2018 Data Lockdown'!B$5:B$255,0))</f>
        <v>727.41720759868917</v>
      </c>
      <c r="F175" s="5">
        <f>INDEX('2018 Data Lockdown'!E$5:E$255,MATCH(B175,'2018 Data Lockdown'!B$5:B$255,0))</f>
        <v>238868.16</v>
      </c>
      <c r="G175" s="5">
        <f>INDEX('2018 Data Lockdown'!F$5:F$255, MATCH(B175,'2018 Data Lockdown'!B$5:B$255,0))</f>
        <v>30079.71</v>
      </c>
      <c r="H175" s="5">
        <f t="shared" si="36"/>
        <v>208788.45</v>
      </c>
      <c r="I175" s="103">
        <f t="shared" si="37"/>
        <v>287.02709781810262</v>
      </c>
      <c r="J175" s="6">
        <f t="shared" si="38"/>
        <v>287.02709781810262</v>
      </c>
      <c r="K175" s="5">
        <f t="shared" si="39"/>
        <v>208788.45</v>
      </c>
      <c r="L175" s="140">
        <f>INDEX('2018 Best Practice Scores'!M$4:M$255,MATCH(B175,'2018 Best Practice Scores'!A$4:A$255,0))</f>
        <v>0.64301190476190473</v>
      </c>
      <c r="M175" s="105">
        <f t="shared" si="40"/>
        <v>46005.928162971752</v>
      </c>
      <c r="N175" s="105">
        <f t="shared" si="41"/>
        <v>41108.025153707</v>
      </c>
      <c r="O175" s="105">
        <f t="shared" si="42"/>
        <v>8874.7078495235455</v>
      </c>
      <c r="P175" s="105">
        <f t="shared" si="43"/>
        <v>2622.6035890831854</v>
      </c>
      <c r="Q175" s="105">
        <f t="shared" si="44"/>
        <v>98611.264755285491</v>
      </c>
      <c r="R175" s="112">
        <f t="shared" si="45"/>
        <v>0.47230229811699587</v>
      </c>
      <c r="S175" s="175">
        <f t="shared" si="46"/>
        <v>98611.264755285491</v>
      </c>
      <c r="T175" s="105"/>
      <c r="U175" s="105">
        <f>IFERROR(INDEX('Revised 2019 MFAM(2017 PYAs)'!AD$26:AD$270,MATCH(B175,'Revised 2019 MFAM(2017 PYAs)'!B$26:B$270,0)),0)</f>
        <v>1024.2149765875656</v>
      </c>
      <c r="V175" s="105">
        <f>IFERROR(INDEX('Revised 2018 MFAM(2016 PYAs)'!AF$26:AF$266,MATCH(B175,'Revised 2018 MFAM(2016 PYAs)'!B$26:B$266,0)),0)</f>
        <v>3074.5637539277523</v>
      </c>
      <c r="W175" s="105">
        <f t="shared" si="47"/>
        <v>3.7358326846589196</v>
      </c>
      <c r="X175" s="105">
        <f t="shared" si="48"/>
        <v>4102.5145631999767</v>
      </c>
      <c r="Y175" s="105"/>
      <c r="Z175" s="106">
        <f t="shared" si="49"/>
        <v>102713.77931848547</v>
      </c>
      <c r="AA175" s="107">
        <v>0</v>
      </c>
      <c r="AB175" s="108">
        <f t="shared" si="50"/>
        <v>0</v>
      </c>
      <c r="AC175" s="108">
        <f>IFERROR(INDEX('Revised 2019 MFAM(2017 PYAs)'!AF$26:AF$270,MATCH(B175,'Revised 2019 MFAM(2017 PYAs)'!B$26:B$270,0)),0)</f>
        <v>163.78743961323346</v>
      </c>
      <c r="AD175" s="216">
        <f>AC175/AC$24*('Revised 2019 MFAM(2017 PYAs)'!AF$24-'2020 Funding'!AC$24)</f>
        <v>0.15006521815204507</v>
      </c>
      <c r="AE175" s="105">
        <f t="shared" si="51"/>
        <v>102877.71682331686</v>
      </c>
      <c r="AF175" s="111"/>
      <c r="AG175" s="105">
        <v>26376.898360380459</v>
      </c>
      <c r="AH175" s="214">
        <v>26376.898360380459</v>
      </c>
      <c r="AI175" s="105">
        <v>26376.898360380459</v>
      </c>
      <c r="AJ175" s="105">
        <f t="shared" si="52"/>
        <v>23747.021742175493</v>
      </c>
    </row>
    <row r="176" spans="2:36" x14ac:dyDescent="0.25">
      <c r="B176" s="17">
        <v>612</v>
      </c>
      <c r="C176" s="27">
        <v>7</v>
      </c>
      <c r="D176" s="39" t="s">
        <v>442</v>
      </c>
      <c r="E176" s="162">
        <f>INDEX('2018 Data Lockdown'!H$5:H$255, MATCH(B176,'2018 Data Lockdown'!B$5:B$255,0))</f>
        <v>488.86576888424196</v>
      </c>
      <c r="F176" s="5">
        <f>INDEX('2018 Data Lockdown'!E$5:E$255,MATCH(B176,'2018 Data Lockdown'!B$5:B$255,0))</f>
        <v>278008.61</v>
      </c>
      <c r="G176" s="5">
        <f>INDEX('2018 Data Lockdown'!F$5:F$255, MATCH(B176,'2018 Data Lockdown'!B$5:B$255,0))</f>
        <v>7776.44</v>
      </c>
      <c r="H176" s="5">
        <f t="shared" si="36"/>
        <v>270232.17</v>
      </c>
      <c r="I176" s="103">
        <f t="shared" si="37"/>
        <v>552.7737616335088</v>
      </c>
      <c r="J176" s="6">
        <f t="shared" si="38"/>
        <v>552.7737616335088</v>
      </c>
      <c r="K176" s="5">
        <f t="shared" si="39"/>
        <v>270232.17</v>
      </c>
      <c r="L176" s="140">
        <f>INDEX('2018 Best Practice Scores'!M$4:M$255,MATCH(B176,'2018 Best Practice Scores'!A$4:A$255,0))</f>
        <v>0.79236904761904747</v>
      </c>
      <c r="M176" s="105">
        <f t="shared" si="40"/>
        <v>59544.87329324954</v>
      </c>
      <c r="N176" s="105">
        <f t="shared" si="41"/>
        <v>27626.932816753932</v>
      </c>
      <c r="O176" s="105">
        <f t="shared" si="42"/>
        <v>14154.454362590697</v>
      </c>
      <c r="P176" s="105">
        <f t="shared" si="43"/>
        <v>3394.401648787265</v>
      </c>
      <c r="Q176" s="105">
        <f t="shared" si="44"/>
        <v>104720.66212138144</v>
      </c>
      <c r="R176" s="112">
        <f t="shared" si="45"/>
        <v>0.38752107908315075</v>
      </c>
      <c r="S176" s="175">
        <f t="shared" si="46"/>
        <v>104720.66212138144</v>
      </c>
      <c r="T176" s="105"/>
      <c r="U176" s="105">
        <f>IFERROR(INDEX('Revised 2019 MFAM(2017 PYAs)'!AD$26:AD$270,MATCH(B176,'Revised 2019 MFAM(2017 PYAs)'!B$26:B$270,0)),0)</f>
        <v>-1978.4499403457012</v>
      </c>
      <c r="V176" s="105">
        <f>IFERROR(INDEX('Revised 2018 MFAM(2016 PYAs)'!AF$26:AF$266,MATCH(B176,'Revised 2018 MFAM(2016 PYAs)'!B$26:B$266,0)),0)</f>
        <v>1902.3676422220742</v>
      </c>
      <c r="W176" s="105">
        <f t="shared" si="47"/>
        <v>3.9672837913906887</v>
      </c>
      <c r="X176" s="105">
        <f t="shared" si="48"/>
        <v>-72.115014332236285</v>
      </c>
      <c r="Y176" s="105"/>
      <c r="Z176" s="106">
        <f t="shared" si="49"/>
        <v>104648.54710704921</v>
      </c>
      <c r="AA176" s="107">
        <v>0</v>
      </c>
      <c r="AB176" s="108">
        <f t="shared" si="50"/>
        <v>0</v>
      </c>
      <c r="AC176" s="108">
        <f>IFERROR(INDEX('Revised 2019 MFAM(2017 PYAs)'!AF$26:AF$270,MATCH(B176,'Revised 2019 MFAM(2017 PYAs)'!B$26:B$270,0)),0)</f>
        <v>164.79901845445625</v>
      </c>
      <c r="AD176" s="216">
        <f>AC176/AC$24*('Revised 2019 MFAM(2017 PYAs)'!AF$24-'2020 Funding'!AC$24)</f>
        <v>0.15099204623998977</v>
      </c>
      <c r="AE176" s="105">
        <f t="shared" si="51"/>
        <v>104813.49711754991</v>
      </c>
      <c r="AF176" s="111"/>
      <c r="AG176" s="105">
        <v>27061.729393552148</v>
      </c>
      <c r="AH176" s="214">
        <v>27061.729393552148</v>
      </c>
      <c r="AI176" s="105">
        <v>27061.729393552148</v>
      </c>
      <c r="AJ176" s="105">
        <f t="shared" si="52"/>
        <v>23628.308936893471</v>
      </c>
    </row>
    <row r="177" spans="2:36" x14ac:dyDescent="0.25">
      <c r="B177">
        <v>635</v>
      </c>
      <c r="C177" s="27">
        <v>7</v>
      </c>
      <c r="D177" s="39" t="s">
        <v>557</v>
      </c>
      <c r="E177" s="162">
        <f>INDEX('2018 Data Lockdown'!H$5:H$255, MATCH(B177,'2018 Data Lockdown'!B$5:B$255,0))</f>
        <v>48.589999999999996</v>
      </c>
      <c r="F177" s="5">
        <f>INDEX('2018 Data Lockdown'!E$5:E$255,MATCH(B177,'2018 Data Lockdown'!B$5:B$255,0))</f>
        <v>41866.43</v>
      </c>
      <c r="G177" s="5">
        <f>INDEX('2018 Data Lockdown'!F$5:F$255, MATCH(B177,'2018 Data Lockdown'!B$5:B$255,0))</f>
        <v>7688.1000000000013</v>
      </c>
      <c r="H177" s="5">
        <f t="shared" si="36"/>
        <v>34178.33</v>
      </c>
      <c r="I177" s="103">
        <f t="shared" si="37"/>
        <v>703.40255196542512</v>
      </c>
      <c r="J177" s="6">
        <f t="shared" si="38"/>
        <v>703.40255196542512</v>
      </c>
      <c r="K177" s="5">
        <f t="shared" si="39"/>
        <v>34178.33</v>
      </c>
      <c r="L177" s="140">
        <f>INDEX('2018 Best Practice Scores'!M$4:M$255,MATCH(B177,'2018 Best Practice Scores'!A$4:A$255,0))</f>
        <v>0.54884226190476193</v>
      </c>
      <c r="M177" s="105">
        <f t="shared" si="40"/>
        <v>7531.0956842217192</v>
      </c>
      <c r="N177" s="105">
        <f t="shared" si="41"/>
        <v>2745.9330372627037</v>
      </c>
      <c r="O177" s="105">
        <f t="shared" si="42"/>
        <v>1240.0150769848315</v>
      </c>
      <c r="P177" s="105">
        <f t="shared" si="43"/>
        <v>429.31594600596685</v>
      </c>
      <c r="Q177" s="105">
        <f t="shared" si="44"/>
        <v>11946.359744475221</v>
      </c>
      <c r="R177" s="112">
        <f t="shared" si="45"/>
        <v>0.34953023580950915</v>
      </c>
      <c r="S177" s="175">
        <f t="shared" si="46"/>
        <v>11946.359744475221</v>
      </c>
      <c r="T177" s="105"/>
      <c r="U177" s="105">
        <f>IFERROR(INDEX('Revised 2019 MFAM(2017 PYAs)'!AD$26:AD$270,MATCH(B177,'Revised 2019 MFAM(2017 PYAs)'!B$26:B$270,0)),0)</f>
        <v>0</v>
      </c>
      <c r="V177" s="105">
        <f>IFERROR(INDEX('Revised 2018 MFAM(2016 PYAs)'!AF$26:AF$266,MATCH(B177,'Revised 2018 MFAM(2016 PYAs)'!B$26:B$266,0)),0)</f>
        <v>0</v>
      </c>
      <c r="W177" s="105">
        <f t="shared" si="47"/>
        <v>0.45258116612597243</v>
      </c>
      <c r="X177" s="105">
        <f t="shared" si="48"/>
        <v>0.45258116612597243</v>
      </c>
      <c r="Y177" s="105"/>
      <c r="Z177" s="106">
        <f t="shared" si="49"/>
        <v>11946.812325641347</v>
      </c>
      <c r="AA177" s="107">
        <v>0</v>
      </c>
      <c r="AB177" s="108">
        <f t="shared" si="50"/>
        <v>0</v>
      </c>
      <c r="AC177" s="108">
        <f>IFERROR(INDEX('Revised 2019 MFAM(2017 PYAs)'!AF$26:AF$270,MATCH(B177,'Revised 2019 MFAM(2017 PYAs)'!B$26:B$270,0)),0)</f>
        <v>0</v>
      </c>
      <c r="AD177" s="216">
        <f>AC177/AC$24*('Revised 2019 MFAM(2017 PYAs)'!AF$24-'2020 Funding'!AC$24)</f>
        <v>0</v>
      </c>
      <c r="AE177" s="105">
        <f t="shared" si="51"/>
        <v>11946.812325641347</v>
      </c>
      <c r="AF177" s="111"/>
      <c r="AG177" s="105">
        <v>3089.3485519718947</v>
      </c>
      <c r="AH177" s="214">
        <v>3089.3485519718947</v>
      </c>
      <c r="AI177" s="105">
        <v>3089.3485519718947</v>
      </c>
      <c r="AJ177" s="105">
        <f t="shared" si="52"/>
        <v>2678.7666697256641</v>
      </c>
    </row>
    <row r="178" spans="2:36" x14ac:dyDescent="0.25">
      <c r="B178">
        <v>711</v>
      </c>
      <c r="C178" s="27">
        <v>7</v>
      </c>
      <c r="D178" s="39" t="s">
        <v>443</v>
      </c>
      <c r="E178" s="162">
        <f>INDEX('2018 Data Lockdown'!H$5:H$255, MATCH(B178,'2018 Data Lockdown'!B$5:B$255,0))</f>
        <v>420.12</v>
      </c>
      <c r="F178" s="5">
        <f>INDEX('2018 Data Lockdown'!E$5:E$255,MATCH(B178,'2018 Data Lockdown'!B$5:B$255,0))</f>
        <v>219303.41</v>
      </c>
      <c r="G178" s="5">
        <f>INDEX('2018 Data Lockdown'!F$5:F$255, MATCH(B178,'2018 Data Lockdown'!B$5:B$255,0))</f>
        <v>15317.63</v>
      </c>
      <c r="H178" s="5">
        <f t="shared" si="36"/>
        <v>203985.78</v>
      </c>
      <c r="I178" s="103">
        <f t="shared" si="37"/>
        <v>485.54170237075118</v>
      </c>
      <c r="J178" s="6">
        <f t="shared" si="38"/>
        <v>485.54170237075118</v>
      </c>
      <c r="K178" s="5">
        <f t="shared" si="39"/>
        <v>203985.78</v>
      </c>
      <c r="L178" s="140">
        <f>INDEX('2018 Best Practice Scores'!M$4:M$255,MATCH(B178,'2018 Best Practice Scores'!A$4:A$255,0))</f>
        <v>0.71113690476190472</v>
      </c>
      <c r="M178" s="105">
        <f t="shared" si="40"/>
        <v>44947.673786302636</v>
      </c>
      <c r="N178" s="105">
        <f t="shared" si="41"/>
        <v>23741.950763836328</v>
      </c>
      <c r="O178" s="105">
        <f t="shared" si="42"/>
        <v>9589.1848837917169</v>
      </c>
      <c r="P178" s="105">
        <f t="shared" si="43"/>
        <v>2562.2769782041728</v>
      </c>
      <c r="Q178" s="105">
        <f t="shared" si="44"/>
        <v>80841.086412134857</v>
      </c>
      <c r="R178" s="112">
        <f t="shared" si="45"/>
        <v>0.39630746031480651</v>
      </c>
      <c r="S178" s="175">
        <f t="shared" si="46"/>
        <v>80841.086412134857</v>
      </c>
      <c r="T178" s="105"/>
      <c r="U178" s="105">
        <f>IFERROR(INDEX('Revised 2019 MFAM(2017 PYAs)'!AD$26:AD$270,MATCH(B178,'Revised 2019 MFAM(2017 PYAs)'!B$26:B$270,0)),0)</f>
        <v>2805.6620210967812</v>
      </c>
      <c r="V178" s="105">
        <f>IFERROR(INDEX('Revised 2018 MFAM(2016 PYAs)'!AF$26:AF$266,MATCH(B178,'Revised 2018 MFAM(2016 PYAs)'!B$26:B$266,0)),0)</f>
        <v>-4618.9225261472893</v>
      </c>
      <c r="W178" s="105">
        <f t="shared" si="47"/>
        <v>3.0626194038911971</v>
      </c>
      <c r="X178" s="105">
        <f t="shared" si="48"/>
        <v>-1810.1978856466169</v>
      </c>
      <c r="Y178" s="105"/>
      <c r="Z178" s="106">
        <f t="shared" si="49"/>
        <v>79030.888526488241</v>
      </c>
      <c r="AA178" s="107">
        <v>0</v>
      </c>
      <c r="AB178" s="108">
        <f t="shared" si="50"/>
        <v>0</v>
      </c>
      <c r="AC178" s="108">
        <f>IFERROR(INDEX('Revised 2019 MFAM(2017 PYAs)'!AF$26:AF$270,MATCH(B178,'Revised 2019 MFAM(2017 PYAs)'!B$26:B$270,0)),0)</f>
        <v>143.78660315080432</v>
      </c>
      <c r="AD178" s="216">
        <f>AC178/AC$24*('Revised 2019 MFAM(2017 PYAs)'!AF$24-'2020 Funding'!AC$24)</f>
        <v>0.13174006517300493</v>
      </c>
      <c r="AE178" s="105">
        <f t="shared" si="51"/>
        <v>79174.806869704218</v>
      </c>
      <c r="AF178" s="111"/>
      <c r="AG178" s="105">
        <v>20452.150000044236</v>
      </c>
      <c r="AH178" s="214">
        <v>20452.150000044236</v>
      </c>
      <c r="AI178" s="105">
        <v>20452.150000044236</v>
      </c>
      <c r="AJ178" s="105">
        <f t="shared" si="52"/>
        <v>17818.356869571518</v>
      </c>
    </row>
    <row r="179" spans="2:36" x14ac:dyDescent="0.25">
      <c r="B179">
        <v>712</v>
      </c>
      <c r="C179" s="27">
        <v>7</v>
      </c>
      <c r="D179" s="39" t="s">
        <v>444</v>
      </c>
      <c r="E179" s="162">
        <f>INDEX('2018 Data Lockdown'!H$5:H$255, MATCH(B179,'2018 Data Lockdown'!B$5:B$255,0))</f>
        <v>743.30000000000007</v>
      </c>
      <c r="F179" s="5">
        <f>INDEX('2018 Data Lockdown'!E$5:E$255,MATCH(B179,'2018 Data Lockdown'!B$5:B$255,0))</f>
        <v>285648.96000000002</v>
      </c>
      <c r="G179" s="5">
        <f>INDEX('2018 Data Lockdown'!F$5:F$255, MATCH(B179,'2018 Data Lockdown'!B$5:B$255,0))</f>
        <v>0</v>
      </c>
      <c r="H179" s="5">
        <f t="shared" si="36"/>
        <v>285648.96000000002</v>
      </c>
      <c r="I179" s="103">
        <f t="shared" si="37"/>
        <v>384.29834521727429</v>
      </c>
      <c r="J179" s="6">
        <f t="shared" si="38"/>
        <v>384.29834521727429</v>
      </c>
      <c r="K179" s="5">
        <f t="shared" si="39"/>
        <v>285648.96000000002</v>
      </c>
      <c r="L179" s="140">
        <f>INDEX('2018 Best Practice Scores'!M$4:M$255,MATCH(B179,'2018 Best Practice Scores'!A$4:A$255,0))</f>
        <v>0.80012499999999998</v>
      </c>
      <c r="M179" s="105">
        <f t="shared" si="40"/>
        <v>62941.91816447505</v>
      </c>
      <c r="N179" s="105">
        <f t="shared" si="41"/>
        <v>42005.598407025478</v>
      </c>
      <c r="O179" s="105">
        <f t="shared" si="42"/>
        <v>15108.420681405176</v>
      </c>
      <c r="P179" s="105">
        <f t="shared" si="43"/>
        <v>3588.052824348661</v>
      </c>
      <c r="Q179" s="105">
        <f t="shared" si="44"/>
        <v>123643.99007725436</v>
      </c>
      <c r="R179" s="112">
        <f t="shared" si="45"/>
        <v>0.43285293276493764</v>
      </c>
      <c r="S179" s="175">
        <f t="shared" si="46"/>
        <v>123643.99007725436</v>
      </c>
      <c r="T179" s="105"/>
      <c r="U179" s="105">
        <f>IFERROR(INDEX('Revised 2019 MFAM(2017 PYAs)'!AD$26:AD$270,MATCH(B179,'Revised 2019 MFAM(2017 PYAs)'!B$26:B$270,0)),0)</f>
        <v>1628.7387654177001</v>
      </c>
      <c r="V179" s="105">
        <f>IFERROR(INDEX('Revised 2018 MFAM(2016 PYAs)'!AF$26:AF$266,MATCH(B179,'Revised 2018 MFAM(2016 PYAs)'!B$26:B$266,0)),0)</f>
        <v>419.38318338604586</v>
      </c>
      <c r="W179" s="105">
        <f t="shared" si="47"/>
        <v>4.6841835011297919</v>
      </c>
      <c r="X179" s="105">
        <f t="shared" si="48"/>
        <v>2052.8061323048755</v>
      </c>
      <c r="Y179" s="105"/>
      <c r="Z179" s="106">
        <f t="shared" si="49"/>
        <v>125696.79620955924</v>
      </c>
      <c r="AA179" s="107">
        <v>0</v>
      </c>
      <c r="AB179" s="108">
        <f t="shared" si="50"/>
        <v>0</v>
      </c>
      <c r="AC179" s="108">
        <f>IFERROR(INDEX('Revised 2019 MFAM(2017 PYAs)'!AF$26:AF$270,MATCH(B179,'Revised 2019 MFAM(2017 PYAs)'!B$26:B$270,0)),0)</f>
        <v>217.56476577630298</v>
      </c>
      <c r="AD179" s="216">
        <f>AC179/AC$24*('Revised 2019 MFAM(2017 PYAs)'!AF$24-'2020 Funding'!AC$24)</f>
        <v>0.19933704388759232</v>
      </c>
      <c r="AE179" s="105">
        <f t="shared" si="51"/>
        <v>125914.56031237943</v>
      </c>
      <c r="AF179" s="111"/>
      <c r="AG179" s="105">
        <v>32283.155271894826</v>
      </c>
      <c r="AH179" s="214">
        <v>32283.155271894826</v>
      </c>
      <c r="AI179" s="105">
        <v>32283.155271894826</v>
      </c>
      <c r="AJ179" s="105">
        <f t="shared" si="52"/>
        <v>29065.094496694957</v>
      </c>
    </row>
    <row r="180" spans="2:36" x14ac:dyDescent="0.25">
      <c r="B180">
        <v>718</v>
      </c>
      <c r="C180" s="27">
        <v>7</v>
      </c>
      <c r="D180" s="39" t="s">
        <v>445</v>
      </c>
      <c r="E180" s="162">
        <f>INDEX('2018 Data Lockdown'!H$5:H$255, MATCH(B180,'2018 Data Lockdown'!B$5:B$255,0))</f>
        <v>29.977429817390671</v>
      </c>
      <c r="F180" s="5">
        <f>INDEX('2018 Data Lockdown'!E$5:E$255,MATCH(B180,'2018 Data Lockdown'!B$5:B$255,0))</f>
        <v>22733.55</v>
      </c>
      <c r="G180" s="5">
        <f>INDEX('2018 Data Lockdown'!F$5:F$255, MATCH(B180,'2018 Data Lockdown'!B$5:B$255,0))</f>
        <v>0</v>
      </c>
      <c r="H180" s="5">
        <f t="shared" si="36"/>
        <v>22733.55</v>
      </c>
      <c r="I180" s="103">
        <f t="shared" si="37"/>
        <v>758.35554076793096</v>
      </c>
      <c r="J180" s="6">
        <f t="shared" si="38"/>
        <v>728.05685840676222</v>
      </c>
      <c r="K180" s="5">
        <f t="shared" si="39"/>
        <v>21825.273375958652</v>
      </c>
      <c r="L180" s="140">
        <f>INDEX('2018 Best Practice Scores'!M$4:M$255,MATCH(B180,'2018 Best Practice Scores'!A$4:A$255,0))</f>
        <v>0.11225</v>
      </c>
      <c r="M180" s="105">
        <f t="shared" si="40"/>
        <v>4809.1355583681643</v>
      </c>
      <c r="N180" s="105">
        <f t="shared" si="41"/>
        <v>1694.093741671066</v>
      </c>
      <c r="O180" s="105">
        <f t="shared" si="42"/>
        <v>161.94763992804795</v>
      </c>
      <c r="P180" s="105">
        <f t="shared" si="43"/>
        <v>274.14849953869981</v>
      </c>
      <c r="Q180" s="105">
        <f t="shared" si="44"/>
        <v>6939.3254395059785</v>
      </c>
      <c r="R180" s="112">
        <f t="shared" si="45"/>
        <v>0.31794907307552456</v>
      </c>
      <c r="S180" s="175">
        <f t="shared" si="46"/>
        <v>6939.3254395059785</v>
      </c>
      <c r="T180" s="105"/>
      <c r="U180" s="105">
        <f>IFERROR(INDEX('Revised 2019 MFAM(2017 PYAs)'!AD$26:AD$270,MATCH(B180,'Revised 2019 MFAM(2017 PYAs)'!B$26:B$270,0)),0)</f>
        <v>100.78375361433427</v>
      </c>
      <c r="V180" s="105">
        <f>IFERROR(INDEX('Revised 2018 MFAM(2016 PYAs)'!AF$26:AF$266,MATCH(B180,'Revised 2018 MFAM(2016 PYAs)'!B$26:B$266,0)),0)</f>
        <v>157.45062179086017</v>
      </c>
      <c r="W180" s="105">
        <f t="shared" si="47"/>
        <v>0.26289246822586809</v>
      </c>
      <c r="X180" s="105">
        <f t="shared" si="48"/>
        <v>258.4972678734203</v>
      </c>
      <c r="Y180" s="105"/>
      <c r="Z180" s="106">
        <f t="shared" si="49"/>
        <v>7197.8227073793987</v>
      </c>
      <c r="AA180" s="107">
        <v>0</v>
      </c>
      <c r="AB180" s="108">
        <f t="shared" si="50"/>
        <v>0</v>
      </c>
      <c r="AC180" s="108">
        <f>IFERROR(INDEX('Revised 2019 MFAM(2017 PYAs)'!AF$26:AF$270,MATCH(B180,'Revised 2019 MFAM(2017 PYAs)'!B$26:B$270,0)),0)</f>
        <v>14.414683827268302</v>
      </c>
      <c r="AD180" s="216">
        <f>AC180/AC$24*('Revised 2019 MFAM(2017 PYAs)'!AF$24-'2020 Funding'!AC$24)</f>
        <v>1.3207011955494294E-2</v>
      </c>
      <c r="AE180" s="105">
        <f t="shared" si="51"/>
        <v>7212.2505982186221</v>
      </c>
      <c r="AF180" s="111"/>
      <c r="AG180" s="105">
        <v>1859.0923394486051</v>
      </c>
      <c r="AH180" s="214">
        <v>1859.0923394486051</v>
      </c>
      <c r="AI180" s="105">
        <v>1859.0923394486051</v>
      </c>
      <c r="AJ180" s="105">
        <f t="shared" si="52"/>
        <v>1634.9735798728063</v>
      </c>
    </row>
    <row r="181" spans="2:36" x14ac:dyDescent="0.25">
      <c r="B181">
        <v>736</v>
      </c>
      <c r="C181" s="27">
        <v>7</v>
      </c>
      <c r="D181" s="39" t="s">
        <v>446</v>
      </c>
      <c r="E181" s="162">
        <f>INDEX('2018 Data Lockdown'!H$5:H$255, MATCH(B181,'2018 Data Lockdown'!B$5:B$255,0))</f>
        <v>138.56449994605035</v>
      </c>
      <c r="F181" s="5">
        <f>INDEX('2018 Data Lockdown'!E$5:E$255,MATCH(B181,'2018 Data Lockdown'!B$5:B$255,0))</f>
        <v>55322.1</v>
      </c>
      <c r="G181" s="5">
        <f>INDEX('2018 Data Lockdown'!F$5:F$255, MATCH(B181,'2018 Data Lockdown'!B$5:B$255,0))</f>
        <v>161</v>
      </c>
      <c r="H181" s="5">
        <f t="shared" si="36"/>
        <v>55161.1</v>
      </c>
      <c r="I181" s="103">
        <f t="shared" si="37"/>
        <v>398.08969845434291</v>
      </c>
      <c r="J181" s="6">
        <f t="shared" si="38"/>
        <v>398.08969845434291</v>
      </c>
      <c r="K181" s="5">
        <f t="shared" si="39"/>
        <v>55161.1</v>
      </c>
      <c r="L181" s="140">
        <f>INDEX('2018 Best Practice Scores'!M$4:M$255,MATCH(B181,'2018 Best Practice Scores'!A$4:A$255,0))</f>
        <v>0.4411101190476191</v>
      </c>
      <c r="M181" s="105">
        <f t="shared" si="40"/>
        <v>12154.588072235321</v>
      </c>
      <c r="N181" s="105">
        <f t="shared" si="41"/>
        <v>7830.5996746994397</v>
      </c>
      <c r="O181" s="105">
        <f t="shared" si="42"/>
        <v>1608.453537455548</v>
      </c>
      <c r="P181" s="105">
        <f t="shared" si="43"/>
        <v>692.88171274692877</v>
      </c>
      <c r="Q181" s="105">
        <f t="shared" si="44"/>
        <v>22286.522997137239</v>
      </c>
      <c r="R181" s="112">
        <f t="shared" si="45"/>
        <v>0.40402607992112627</v>
      </c>
      <c r="S181" s="175">
        <f t="shared" si="46"/>
        <v>22286.522997137239</v>
      </c>
      <c r="T181" s="105"/>
      <c r="U181" s="105">
        <f>IFERROR(INDEX('Revised 2019 MFAM(2017 PYAs)'!AD$26:AD$270,MATCH(B181,'Revised 2019 MFAM(2017 PYAs)'!B$26:B$270,0)),0)</f>
        <v>279.93128865803737</v>
      </c>
      <c r="V181" s="105">
        <f>IFERROR(INDEX('Revised 2018 MFAM(2016 PYAs)'!AF$26:AF$266,MATCH(B181,'Revised 2018 MFAM(2016 PYAs)'!B$26:B$266,0)),0)</f>
        <v>662.01557098887861</v>
      </c>
      <c r="W181" s="105">
        <f t="shared" si="47"/>
        <v>0.84431247532138931</v>
      </c>
      <c r="X181" s="105">
        <f t="shared" si="48"/>
        <v>942.79117212223741</v>
      </c>
      <c r="Y181" s="105"/>
      <c r="Z181" s="106">
        <f t="shared" si="49"/>
        <v>23229.314169259476</v>
      </c>
      <c r="AA181" s="107">
        <v>0</v>
      </c>
      <c r="AB181" s="108">
        <f t="shared" si="50"/>
        <v>0</v>
      </c>
      <c r="AC181" s="108">
        <f>IFERROR(INDEX('Revised 2019 MFAM(2017 PYAs)'!AF$26:AF$270,MATCH(B181,'Revised 2019 MFAM(2017 PYAs)'!B$26:B$270,0)),0)</f>
        <v>41.021170608019112</v>
      </c>
      <c r="AD181" s="216">
        <f>AC181/AC$24*('Revised 2019 MFAM(2017 PYAs)'!AF$24-'2020 Funding'!AC$24)</f>
        <v>3.7584389442078293E-2</v>
      </c>
      <c r="AE181" s="105">
        <f t="shared" si="51"/>
        <v>23270.372924256939</v>
      </c>
      <c r="AF181" s="111"/>
      <c r="AG181" s="105">
        <v>5959.5663323601848</v>
      </c>
      <c r="AH181" s="214">
        <v>5959.5663323601848</v>
      </c>
      <c r="AI181" s="105">
        <v>5959.5663323601848</v>
      </c>
      <c r="AJ181" s="105">
        <f t="shared" si="52"/>
        <v>5391.6739271763863</v>
      </c>
    </row>
    <row r="182" spans="2:36" x14ac:dyDescent="0.25">
      <c r="B182">
        <v>757</v>
      </c>
      <c r="C182" s="27">
        <v>7</v>
      </c>
      <c r="D182" s="39" t="s">
        <v>447</v>
      </c>
      <c r="E182" s="162">
        <f>INDEX('2018 Data Lockdown'!H$5:H$255, MATCH(B182,'2018 Data Lockdown'!B$5:B$255,0))</f>
        <v>535.91999999999996</v>
      </c>
      <c r="F182" s="5">
        <f>INDEX('2018 Data Lockdown'!E$5:E$255,MATCH(B182,'2018 Data Lockdown'!B$5:B$255,0))</f>
        <v>325864.53000000003</v>
      </c>
      <c r="G182" s="5">
        <f>INDEX('2018 Data Lockdown'!F$5:F$255, MATCH(B182,'2018 Data Lockdown'!B$5:B$255,0))</f>
        <v>65666.5</v>
      </c>
      <c r="H182" s="5">
        <f t="shared" si="36"/>
        <v>260198.03000000003</v>
      </c>
      <c r="I182" s="103">
        <f t="shared" si="37"/>
        <v>485.51655097775796</v>
      </c>
      <c r="J182" s="6">
        <f t="shared" si="38"/>
        <v>485.51655097775796</v>
      </c>
      <c r="K182" s="5">
        <f t="shared" si="39"/>
        <v>260198.03000000003</v>
      </c>
      <c r="L182" s="140">
        <f>INDEX('2018 Best Practice Scores'!M$4:M$255,MATCH(B182,'2018 Best Practice Scores'!A$4:A$255,0))</f>
        <v>0.83378571428571413</v>
      </c>
      <c r="M182" s="105">
        <f t="shared" si="40"/>
        <v>57333.879706117688</v>
      </c>
      <c r="N182" s="105">
        <f t="shared" si="41"/>
        <v>30286.07601008084</v>
      </c>
      <c r="O182" s="105">
        <f t="shared" si="42"/>
        <v>14341.250953060962</v>
      </c>
      <c r="P182" s="105">
        <f t="shared" si="43"/>
        <v>3268.362245853994</v>
      </c>
      <c r="Q182" s="105">
        <f t="shared" si="44"/>
        <v>105229.56891511349</v>
      </c>
      <c r="R182" s="112">
        <f t="shared" si="45"/>
        <v>0.40442108233914559</v>
      </c>
      <c r="S182" s="175">
        <f t="shared" si="46"/>
        <v>105229.56891511349</v>
      </c>
      <c r="T182" s="105"/>
      <c r="U182" s="105">
        <f>IFERROR(INDEX('Revised 2019 MFAM(2017 PYAs)'!AD$26:AD$270,MATCH(B182,'Revised 2019 MFAM(2017 PYAs)'!B$26:B$270,0)),0)</f>
        <v>1471.7086734162003</v>
      </c>
      <c r="V182" s="105">
        <f>IFERROR(INDEX('Revised 2018 MFAM(2016 PYAs)'!AF$26:AF$266,MATCH(B182,'Revised 2018 MFAM(2016 PYAs)'!B$26:B$266,0)),0)</f>
        <v>1060.6239171830821</v>
      </c>
      <c r="W182" s="105">
        <f t="shared" si="47"/>
        <v>3.9865634410147677</v>
      </c>
      <c r="X182" s="105">
        <f t="shared" si="48"/>
        <v>2536.3191540402972</v>
      </c>
      <c r="Y182" s="105"/>
      <c r="Z182" s="106">
        <f t="shared" si="49"/>
        <v>107765.88806915378</v>
      </c>
      <c r="AA182" s="107">
        <v>0</v>
      </c>
      <c r="AB182" s="108">
        <f t="shared" si="50"/>
        <v>0</v>
      </c>
      <c r="AC182" s="108">
        <f>IFERROR(INDEX('Revised 2019 MFAM(2017 PYAs)'!AF$26:AF$270,MATCH(B182,'Revised 2019 MFAM(2017 PYAs)'!B$26:B$270,0)),0)</f>
        <v>186.40636385505348</v>
      </c>
      <c r="AD182" s="216">
        <f>AC182/AC$24*('Revised 2019 MFAM(2017 PYAs)'!AF$24-'2020 Funding'!AC$24)</f>
        <v>0.17078911376167555</v>
      </c>
      <c r="AE182" s="105">
        <f t="shared" si="51"/>
        <v>107952.4652221226</v>
      </c>
      <c r="AF182" s="111"/>
      <c r="AG182" s="105">
        <v>27845.363759146949</v>
      </c>
      <c r="AH182" s="214">
        <v>27845.363759146949</v>
      </c>
      <c r="AI182" s="105">
        <v>27845.363759146949</v>
      </c>
      <c r="AJ182" s="105">
        <f t="shared" si="52"/>
        <v>24416.37394468176</v>
      </c>
    </row>
    <row r="183" spans="2:36" x14ac:dyDescent="0.25">
      <c r="B183">
        <v>786</v>
      </c>
      <c r="C183" s="27">
        <v>7</v>
      </c>
      <c r="D183" s="39" t="s">
        <v>448</v>
      </c>
      <c r="E183" s="162">
        <f>INDEX('2018 Data Lockdown'!H$5:H$255, MATCH(B183,'2018 Data Lockdown'!B$5:B$255,0))</f>
        <v>3145.58</v>
      </c>
      <c r="F183" s="5">
        <f>INDEX('2018 Data Lockdown'!E$5:E$255,MATCH(B183,'2018 Data Lockdown'!B$5:B$255,0))</f>
        <v>1566858.3</v>
      </c>
      <c r="G183" s="5">
        <f>INDEX('2018 Data Lockdown'!F$5:F$255, MATCH(B183,'2018 Data Lockdown'!B$5:B$255,0))</f>
        <v>287163.78999999998</v>
      </c>
      <c r="H183" s="5">
        <f t="shared" si="36"/>
        <v>1279694.51</v>
      </c>
      <c r="I183" s="103">
        <f t="shared" si="37"/>
        <v>406.82306919550609</v>
      </c>
      <c r="J183" s="6">
        <f t="shared" si="38"/>
        <v>406.82306919550609</v>
      </c>
      <c r="K183" s="5">
        <f t="shared" si="39"/>
        <v>1279694.51</v>
      </c>
      <c r="L183" s="140">
        <f>INDEX('2018 Best Practice Scores'!M$4:M$255,MATCH(B183,'2018 Best Practice Scores'!A$4:A$255,0))</f>
        <v>0.83378571428571413</v>
      </c>
      <c r="M183" s="105">
        <f t="shared" si="40"/>
        <v>281976.96614735789</v>
      </c>
      <c r="N183" s="105">
        <f t="shared" si="41"/>
        <v>177763.98525113842</v>
      </c>
      <c r="O183" s="105">
        <f t="shared" si="42"/>
        <v>70532.509839388033</v>
      </c>
      <c r="P183" s="105">
        <f t="shared" si="43"/>
        <v>16074.315484673833</v>
      </c>
      <c r="Q183" s="105">
        <f t="shared" si="44"/>
        <v>546347.77672255819</v>
      </c>
      <c r="R183" s="112">
        <f t="shared" si="45"/>
        <v>0.42693609486732753</v>
      </c>
      <c r="S183" s="175">
        <f t="shared" si="46"/>
        <v>546347.77672255819</v>
      </c>
      <c r="T183" s="105"/>
      <c r="U183" s="105">
        <f>IFERROR(INDEX('Revised 2019 MFAM(2017 PYAs)'!AD$26:AD$270,MATCH(B183,'Revised 2019 MFAM(2017 PYAs)'!B$26:B$270,0)),0)</f>
        <v>7215.9979036534205</v>
      </c>
      <c r="V183" s="105">
        <f>IFERROR(INDEX('Revised 2018 MFAM(2016 PYAs)'!AF$26:AF$266,MATCH(B183,'Revised 2018 MFAM(2016 PYAs)'!B$26:B$266,0)),0)</f>
        <v>7592.6797429339495</v>
      </c>
      <c r="W183" s="105">
        <f t="shared" si="47"/>
        <v>20.698080351529686</v>
      </c>
      <c r="X183" s="105">
        <f t="shared" si="48"/>
        <v>14829.375726938899</v>
      </c>
      <c r="Y183" s="105"/>
      <c r="Z183" s="106">
        <f t="shared" si="49"/>
        <v>561177.15244949714</v>
      </c>
      <c r="AA183" s="107">
        <v>0</v>
      </c>
      <c r="AB183" s="108">
        <f t="shared" si="50"/>
        <v>0</v>
      </c>
      <c r="AC183" s="108">
        <f>IFERROR(INDEX('Revised 2019 MFAM(2017 PYAs)'!AF$26:AF$270,MATCH(B183,'Revised 2019 MFAM(2017 PYAs)'!B$26:B$270,0)),0)</f>
        <v>990.13377491874257</v>
      </c>
      <c r="AD183" s="216">
        <f>AC183/AC$24*('Revised 2019 MFAM(2017 PYAs)'!AF$24-'2020 Funding'!AC$24)</f>
        <v>0.90717970366809431</v>
      </c>
      <c r="AE183" s="105">
        <f t="shared" si="51"/>
        <v>562168.19340411958</v>
      </c>
      <c r="AF183" s="111"/>
      <c r="AG183" s="105">
        <v>144986.80268781327</v>
      </c>
      <c r="AH183" s="214">
        <v>144986.80268781327</v>
      </c>
      <c r="AI183" s="105">
        <v>144986.80268781327</v>
      </c>
      <c r="AJ183" s="105">
        <f t="shared" si="52"/>
        <v>127207.78534067972</v>
      </c>
    </row>
    <row r="184" spans="2:36" x14ac:dyDescent="0.25">
      <c r="B184">
        <v>854</v>
      </c>
      <c r="C184" s="27">
        <v>7</v>
      </c>
      <c r="D184" s="39" t="s">
        <v>449</v>
      </c>
      <c r="E184" s="162">
        <f>INDEX('2018 Data Lockdown'!H$5:H$255, MATCH(B184,'2018 Data Lockdown'!B$5:B$255,0))</f>
        <v>839.93</v>
      </c>
      <c r="F184" s="5">
        <f>INDEX('2018 Data Lockdown'!E$5:E$255,MATCH(B184,'2018 Data Lockdown'!B$5:B$255,0))</f>
        <v>490740.21</v>
      </c>
      <c r="G184" s="5">
        <f>INDEX('2018 Data Lockdown'!F$5:F$255, MATCH(B184,'2018 Data Lockdown'!B$5:B$255,0))</f>
        <v>37547.699999999997</v>
      </c>
      <c r="H184" s="5">
        <f t="shared" si="36"/>
        <v>453192.51</v>
      </c>
      <c r="I184" s="103">
        <f t="shared" si="37"/>
        <v>539.55985617849115</v>
      </c>
      <c r="J184" s="6">
        <f t="shared" si="38"/>
        <v>539.55985617849115</v>
      </c>
      <c r="K184" s="5">
        <f t="shared" si="39"/>
        <v>453192.51000000007</v>
      </c>
      <c r="L184" s="140">
        <f>INDEX('2018 Best Practice Scores'!M$4:M$255,MATCH(B184,'2018 Best Practice Scores'!A$4:A$255,0))</f>
        <v>0.73996279761904749</v>
      </c>
      <c r="M184" s="105">
        <f t="shared" si="40"/>
        <v>99859.652481048921</v>
      </c>
      <c r="N184" s="105">
        <f t="shared" si="41"/>
        <v>47466.38271224661</v>
      </c>
      <c r="O184" s="105">
        <f t="shared" si="42"/>
        <v>22167.728345742842</v>
      </c>
      <c r="P184" s="105">
        <f t="shared" si="43"/>
        <v>5692.5768799548896</v>
      </c>
      <c r="Q184" s="105">
        <f t="shared" si="44"/>
        <v>175186.34041899326</v>
      </c>
      <c r="R184" s="112">
        <f t="shared" si="45"/>
        <v>0.38656053785838879</v>
      </c>
      <c r="S184" s="175">
        <f t="shared" si="46"/>
        <v>175186.34041899326</v>
      </c>
      <c r="T184" s="105"/>
      <c r="U184" s="105">
        <f>IFERROR(INDEX('Revised 2019 MFAM(2017 PYAs)'!AD$26:AD$270,MATCH(B184,'Revised 2019 MFAM(2017 PYAs)'!B$26:B$270,0)),0)</f>
        <v>2757.5186169753433</v>
      </c>
      <c r="V184" s="105">
        <f>IFERROR(INDEX('Revised 2018 MFAM(2016 PYAs)'!AF$26:AF$266,MATCH(B184,'Revised 2018 MFAM(2016 PYAs)'!B$26:B$266,0)),0)</f>
        <v>2006.4721307145082</v>
      </c>
      <c r="W184" s="105">
        <f t="shared" si="47"/>
        <v>6.6368366541813382</v>
      </c>
      <c r="X184" s="105">
        <f t="shared" si="48"/>
        <v>4770.6275843440326</v>
      </c>
      <c r="Y184" s="105"/>
      <c r="Z184" s="106">
        <f t="shared" si="49"/>
        <v>179956.9680033373</v>
      </c>
      <c r="AA184" s="107">
        <v>0</v>
      </c>
      <c r="AB184" s="108">
        <f t="shared" si="50"/>
        <v>0</v>
      </c>
      <c r="AC184" s="108">
        <f>IFERROR(INDEX('Revised 2019 MFAM(2017 PYAs)'!AF$26:AF$270,MATCH(B184,'Revised 2019 MFAM(2017 PYAs)'!B$26:B$270,0)),0)</f>
        <v>348.04388440891972</v>
      </c>
      <c r="AD184" s="216">
        <f>AC184/AC$24*('Revised 2019 MFAM(2017 PYAs)'!AF$24-'2020 Funding'!AC$24)</f>
        <v>0.3188845345140236</v>
      </c>
      <c r="AE184" s="105">
        <f t="shared" si="51"/>
        <v>180305.33077228075</v>
      </c>
      <c r="AF184" s="111"/>
      <c r="AG184" s="105">
        <v>46494.170328435495</v>
      </c>
      <c r="AH184" s="214">
        <v>46494.170328435495</v>
      </c>
      <c r="AI184" s="105">
        <v>46494.170328435495</v>
      </c>
      <c r="AJ184" s="105">
        <f t="shared" si="52"/>
        <v>40822.81978697428</v>
      </c>
    </row>
    <row r="185" spans="2:36" x14ac:dyDescent="0.25">
      <c r="B185">
        <v>855</v>
      </c>
      <c r="C185" s="27">
        <v>7</v>
      </c>
      <c r="D185" s="39" t="s">
        <v>450</v>
      </c>
      <c r="E185" s="162">
        <f>INDEX('2018 Data Lockdown'!H$5:H$255, MATCH(B185,'2018 Data Lockdown'!B$5:B$255,0))</f>
        <v>208.08754355551341</v>
      </c>
      <c r="F185" s="5">
        <f>INDEX('2018 Data Lockdown'!E$5:E$255,MATCH(B185,'2018 Data Lockdown'!B$5:B$255,0))</f>
        <v>140079.48000000001</v>
      </c>
      <c r="G185" s="5">
        <f>INDEX('2018 Data Lockdown'!F$5:F$255, MATCH(B185,'2018 Data Lockdown'!B$5:B$255,0))</f>
        <v>12090</v>
      </c>
      <c r="H185" s="5">
        <f t="shared" si="36"/>
        <v>127989.48000000001</v>
      </c>
      <c r="I185" s="103">
        <f t="shared" si="37"/>
        <v>615.07516410205062</v>
      </c>
      <c r="J185" s="6">
        <f t="shared" si="38"/>
        <v>615.07516410205062</v>
      </c>
      <c r="K185" s="5">
        <f t="shared" si="39"/>
        <v>127989.48000000001</v>
      </c>
      <c r="L185" s="140">
        <f>INDEX('2018 Best Practice Scores'!M$4:M$255,MATCH(B185,'2018 Best Practice Scores'!A$4:A$255,0))</f>
        <v>0.58269494047619053</v>
      </c>
      <c r="M185" s="105">
        <f t="shared" si="40"/>
        <v>28202.109946676213</v>
      </c>
      <c r="N185" s="105">
        <f t="shared" si="41"/>
        <v>11759.507316154068</v>
      </c>
      <c r="O185" s="105">
        <f t="shared" si="42"/>
        <v>4929.968033004443</v>
      </c>
      <c r="P185" s="105">
        <f t="shared" si="43"/>
        <v>1607.6831338749369</v>
      </c>
      <c r="Q185" s="105">
        <f t="shared" si="44"/>
        <v>46499.268429709664</v>
      </c>
      <c r="R185" s="112">
        <f t="shared" si="45"/>
        <v>0.3633053937691571</v>
      </c>
      <c r="S185" s="175">
        <f t="shared" si="46"/>
        <v>46499.268429709664</v>
      </c>
      <c r="T185" s="105"/>
      <c r="U185" s="105">
        <f>IFERROR(INDEX('Revised 2019 MFAM(2017 PYAs)'!AD$26:AD$270,MATCH(B185,'Revised 2019 MFAM(2017 PYAs)'!B$26:B$270,0)),0)</f>
        <v>712.4613859637393</v>
      </c>
      <c r="V185" s="105">
        <f>IFERROR(INDEX('Revised 2018 MFAM(2016 PYAs)'!AF$26:AF$266,MATCH(B185,'Revised 2018 MFAM(2016 PYAs)'!B$26:B$266,0)),0)</f>
        <v>362.06822302997898</v>
      </c>
      <c r="W185" s="105">
        <f t="shared" si="47"/>
        <v>1.7615988116928305</v>
      </c>
      <c r="X185" s="105">
        <f t="shared" si="48"/>
        <v>1076.2912078054112</v>
      </c>
      <c r="Y185" s="105"/>
      <c r="Z185" s="106">
        <f t="shared" si="49"/>
        <v>47575.559637515078</v>
      </c>
      <c r="AA185" s="107">
        <v>0</v>
      </c>
      <c r="AB185" s="108">
        <f t="shared" si="50"/>
        <v>0</v>
      </c>
      <c r="AC185" s="108">
        <f>IFERROR(INDEX('Revised 2019 MFAM(2017 PYAs)'!AF$26:AF$270,MATCH(B185,'Revised 2019 MFAM(2017 PYAs)'!B$26:B$270,0)),0)</f>
        <v>91.753801561102151</v>
      </c>
      <c r="AD185" s="216">
        <f>AC185/AC$24*('Revised 2019 MFAM(2017 PYAs)'!AF$24-'2020 Funding'!AC$24)</f>
        <v>8.4066606572887392E-2</v>
      </c>
      <c r="AE185" s="105">
        <f t="shared" si="51"/>
        <v>47667.397505682748</v>
      </c>
      <c r="AF185" s="111"/>
      <c r="AG185" s="105">
        <v>12293.388494299534</v>
      </c>
      <c r="AH185" s="214">
        <v>12293.388494299534</v>
      </c>
      <c r="AI185" s="105">
        <v>12293.388494299534</v>
      </c>
      <c r="AJ185" s="105">
        <f t="shared" si="52"/>
        <v>10787.232022784143</v>
      </c>
    </row>
    <row r="186" spans="2:36" x14ac:dyDescent="0.25">
      <c r="B186">
        <v>862</v>
      </c>
      <c r="C186" s="27">
        <v>7</v>
      </c>
      <c r="D186" s="39" t="s">
        <v>451</v>
      </c>
      <c r="E186" s="162">
        <f>INDEX('2018 Data Lockdown'!H$5:H$255, MATCH(B186,'2018 Data Lockdown'!B$5:B$255,0))</f>
        <v>13.057490298183062</v>
      </c>
      <c r="F186" s="5">
        <f>INDEX('2018 Data Lockdown'!E$5:E$255,MATCH(B186,'2018 Data Lockdown'!B$5:B$255,0))</f>
        <v>10884.05</v>
      </c>
      <c r="G186" s="5">
        <f>INDEX('2018 Data Lockdown'!F$5:F$255, MATCH(B186,'2018 Data Lockdown'!B$5:B$255,0))</f>
        <v>8152.2</v>
      </c>
      <c r="H186" s="5">
        <f t="shared" si="36"/>
        <v>2731.8499999999995</v>
      </c>
      <c r="I186" s="103">
        <f t="shared" si="37"/>
        <v>209.2170805886131</v>
      </c>
      <c r="J186" s="6">
        <f t="shared" si="38"/>
        <v>209.2170805886131</v>
      </c>
      <c r="K186" s="5">
        <f t="shared" si="39"/>
        <v>2731.8499999999995</v>
      </c>
      <c r="L186" s="140">
        <f>INDEX('2018 Best Practice Scores'!M$4:M$255,MATCH(B186,'2018 Best Practice Scores'!A$4:A$255,0))</f>
        <v>0.33395238095238095</v>
      </c>
      <c r="M186" s="105">
        <f t="shared" si="40"/>
        <v>601.95520802043563</v>
      </c>
      <c r="N186" s="105">
        <f t="shared" si="41"/>
        <v>737.90891116522118</v>
      </c>
      <c r="O186" s="105">
        <f t="shared" si="42"/>
        <v>60.307312483533067</v>
      </c>
      <c r="P186" s="105">
        <f t="shared" si="43"/>
        <v>34.314923142716459</v>
      </c>
      <c r="Q186" s="105">
        <f t="shared" si="44"/>
        <v>1434.4863548119063</v>
      </c>
      <c r="R186" s="112">
        <f t="shared" si="45"/>
        <v>0.52509704222849229</v>
      </c>
      <c r="S186" s="175">
        <f t="shared" si="46"/>
        <v>1434.4863548119063</v>
      </c>
      <c r="T186" s="105"/>
      <c r="U186" s="105">
        <f>IFERROR(INDEX('Revised 2019 MFAM(2017 PYAs)'!AD$26:AD$270,MATCH(B186,'Revised 2019 MFAM(2017 PYAs)'!B$26:B$270,0)),0)</f>
        <v>14.150464151534607</v>
      </c>
      <c r="V186" s="105">
        <f>IFERROR(INDEX('Revised 2018 MFAM(2016 PYAs)'!AF$26:AF$266,MATCH(B186,'Revised 2018 MFAM(2016 PYAs)'!B$26:B$266,0)),0)</f>
        <v>43.89490359442857</v>
      </c>
      <c r="W186" s="105">
        <f t="shared" si="47"/>
        <v>5.4344714301175344E-2</v>
      </c>
      <c r="X186" s="105">
        <f t="shared" si="48"/>
        <v>58.09971246026435</v>
      </c>
      <c r="Y186" s="105"/>
      <c r="Z186" s="106">
        <f t="shared" si="49"/>
        <v>1492.5860672721706</v>
      </c>
      <c r="AA186" s="107">
        <v>0</v>
      </c>
      <c r="AB186" s="108">
        <f t="shared" si="50"/>
        <v>0</v>
      </c>
      <c r="AC186" s="108">
        <f>IFERROR(INDEX('Revised 2019 MFAM(2017 PYAs)'!AF$26:AF$270,MATCH(B186,'Revised 2019 MFAM(2017 PYAs)'!B$26:B$270,0)),0)</f>
        <v>2.6868879829857693</v>
      </c>
      <c r="AD186" s="216">
        <f>AC186/AC$24*('Revised 2019 MFAM(2017 PYAs)'!AF$24-'2020 Funding'!AC$24)</f>
        <v>2.4617787070180808E-3</v>
      </c>
      <c r="AE186" s="105">
        <f t="shared" si="51"/>
        <v>1495.2754170338635</v>
      </c>
      <c r="AF186" s="111"/>
      <c r="AG186" s="105">
        <v>385.46312758920328</v>
      </c>
      <c r="AH186" s="214">
        <v>385.46312758920328</v>
      </c>
      <c r="AI186" s="105">
        <v>385.46312758920328</v>
      </c>
      <c r="AJ186" s="105">
        <f t="shared" si="52"/>
        <v>338.88603426625355</v>
      </c>
    </row>
    <row r="187" spans="2:36" x14ac:dyDescent="0.25">
      <c r="B187">
        <v>958</v>
      </c>
      <c r="C187" s="27">
        <v>7</v>
      </c>
      <c r="D187" s="39" t="s">
        <v>452</v>
      </c>
      <c r="E187" s="162">
        <f>INDEX('2018 Data Lockdown'!H$5:H$255, MATCH(B187,'2018 Data Lockdown'!B$5:B$255,0))</f>
        <v>510.68493823667342</v>
      </c>
      <c r="F187" s="5">
        <f>INDEX('2018 Data Lockdown'!E$5:E$255,MATCH(B187,'2018 Data Lockdown'!B$5:B$255,0))</f>
        <v>165631.01</v>
      </c>
      <c r="G187" s="5">
        <f>INDEX('2018 Data Lockdown'!F$5:F$255, MATCH(B187,'2018 Data Lockdown'!B$5:B$255,0))</f>
        <v>290.27999999999997</v>
      </c>
      <c r="H187" s="5">
        <f t="shared" si="36"/>
        <v>165340.73000000001</v>
      </c>
      <c r="I187" s="103">
        <f t="shared" si="37"/>
        <v>323.76269128065411</v>
      </c>
      <c r="J187" s="6">
        <f t="shared" si="38"/>
        <v>323.76269128065411</v>
      </c>
      <c r="K187" s="5">
        <f t="shared" si="39"/>
        <v>165340.73000000001</v>
      </c>
      <c r="L187" s="140">
        <f>INDEX('2018 Best Practice Scores'!M$4:M$255,MATCH(B187,'2018 Best Practice Scores'!A$4:A$255,0))</f>
        <v>0.82454166666666651</v>
      </c>
      <c r="M187" s="105">
        <f t="shared" si="40"/>
        <v>36432.349331552141</v>
      </c>
      <c r="N187" s="105">
        <f t="shared" si="41"/>
        <v>28859.984431704976</v>
      </c>
      <c r="O187" s="105">
        <f t="shared" si="42"/>
        <v>9011.9970115260639</v>
      </c>
      <c r="P187" s="105">
        <f t="shared" si="43"/>
        <v>2076.8543083663576</v>
      </c>
      <c r="Q187" s="105">
        <f t="shared" si="44"/>
        <v>76381.185083149539</v>
      </c>
      <c r="R187" s="112">
        <f t="shared" si="45"/>
        <v>0.46196230706825558</v>
      </c>
      <c r="S187" s="175">
        <f t="shared" si="46"/>
        <v>76381.185083149539</v>
      </c>
      <c r="T187" s="105"/>
      <c r="U187" s="105">
        <f>IFERROR(INDEX('Revised 2019 MFAM(2017 PYAs)'!AD$26:AD$270,MATCH(B187,'Revised 2019 MFAM(2017 PYAs)'!B$26:B$270,0)),0)</f>
        <v>877.44834832982451</v>
      </c>
      <c r="V187" s="105">
        <f>IFERROR(INDEX('Revised 2018 MFAM(2016 PYAs)'!AF$26:AF$266,MATCH(B187,'Revised 2018 MFAM(2016 PYAs)'!B$26:B$266,0)),0)</f>
        <v>988.70396286970936</v>
      </c>
      <c r="W187" s="105">
        <f t="shared" si="47"/>
        <v>2.8936585331780567</v>
      </c>
      <c r="X187" s="105">
        <f t="shared" si="48"/>
        <v>1869.0459697327119</v>
      </c>
      <c r="Y187" s="105"/>
      <c r="Z187" s="106">
        <f t="shared" si="49"/>
        <v>78250.231052882256</v>
      </c>
      <c r="AA187" s="107">
        <v>0</v>
      </c>
      <c r="AB187" s="108">
        <f t="shared" si="50"/>
        <v>0</v>
      </c>
      <c r="AC187" s="108">
        <f>IFERROR(INDEX('Revised 2019 MFAM(2017 PYAs)'!AF$26:AF$270,MATCH(B187,'Revised 2019 MFAM(2017 PYAs)'!B$26:B$270,0)),0)</f>
        <v>135.81269437486159</v>
      </c>
      <c r="AD187" s="216">
        <f>AC187/AC$24*('Revised 2019 MFAM(2017 PYAs)'!AF$24-'2020 Funding'!AC$24)</f>
        <v>0.12443421581842674</v>
      </c>
      <c r="AE187" s="105">
        <f t="shared" si="51"/>
        <v>78386.168181472938</v>
      </c>
      <c r="AF187" s="111"/>
      <c r="AG187" s="105">
        <v>20218.499694738799</v>
      </c>
      <c r="AH187" s="214">
        <v>20218.499694738799</v>
      </c>
      <c r="AI187" s="105">
        <v>20218.499694738799</v>
      </c>
      <c r="AJ187" s="105">
        <f t="shared" si="52"/>
        <v>17730.669097256541</v>
      </c>
    </row>
    <row r="188" spans="2:36" x14ac:dyDescent="0.25">
      <c r="B188">
        <v>967</v>
      </c>
      <c r="C188" s="27">
        <v>7</v>
      </c>
      <c r="D188" s="39" t="s">
        <v>453</v>
      </c>
      <c r="E188" s="162">
        <f>INDEX('2018 Data Lockdown'!H$5:H$255, MATCH(B188,'2018 Data Lockdown'!B$5:B$255,0))</f>
        <v>180.72179769743559</v>
      </c>
      <c r="F188" s="5">
        <f>INDEX('2018 Data Lockdown'!E$5:E$255,MATCH(B188,'2018 Data Lockdown'!B$5:B$255,0))</f>
        <v>79646.62</v>
      </c>
      <c r="G188" s="5">
        <f>INDEX('2018 Data Lockdown'!F$5:F$255, MATCH(B188,'2018 Data Lockdown'!B$5:B$255,0))</f>
        <v>0</v>
      </c>
      <c r="H188" s="5">
        <f t="shared" si="36"/>
        <v>79646.62</v>
      </c>
      <c r="I188" s="103">
        <f t="shared" si="37"/>
        <v>440.7139648607544</v>
      </c>
      <c r="J188" s="6">
        <f t="shared" si="38"/>
        <v>440.7139648607544</v>
      </c>
      <c r="K188" s="5">
        <f t="shared" si="39"/>
        <v>79646.62</v>
      </c>
      <c r="L188" s="140">
        <f>INDEX('2018 Best Practice Scores'!M$4:M$255,MATCH(B188,'2018 Best Practice Scores'!A$4:A$255,0))</f>
        <v>0.34667857142857139</v>
      </c>
      <c r="M188" s="105">
        <f t="shared" si="40"/>
        <v>17549.901242829805</v>
      </c>
      <c r="N188" s="105">
        <f t="shared" si="41"/>
        <v>10213.005862335773</v>
      </c>
      <c r="O188" s="105">
        <f t="shared" si="42"/>
        <v>1825.2524074730236</v>
      </c>
      <c r="P188" s="105">
        <f t="shared" si="43"/>
        <v>1000.4457213526159</v>
      </c>
      <c r="Q188" s="105">
        <f t="shared" si="44"/>
        <v>30588.605233991217</v>
      </c>
      <c r="R188" s="112">
        <f t="shared" si="45"/>
        <v>0.38405402808042849</v>
      </c>
      <c r="S188" s="175">
        <f t="shared" si="46"/>
        <v>30588.605233991217</v>
      </c>
      <c r="T188" s="105"/>
      <c r="U188" s="105">
        <f>IFERROR(INDEX('Revised 2019 MFAM(2017 PYAs)'!AD$26:AD$270,MATCH(B188,'Revised 2019 MFAM(2017 PYAs)'!B$26:B$270,0)),0)</f>
        <v>395.63867605824998</v>
      </c>
      <c r="V188" s="105">
        <f>IFERROR(INDEX('Revised 2018 MFAM(2016 PYAs)'!AF$26:AF$266,MATCH(B188,'Revised 2018 MFAM(2016 PYAs)'!B$26:B$266,0)),0)</f>
        <v>293.36836908217083</v>
      </c>
      <c r="W188" s="105">
        <f t="shared" si="47"/>
        <v>1.1588322236293831</v>
      </c>
      <c r="X188" s="105">
        <f t="shared" si="48"/>
        <v>690.16587736405017</v>
      </c>
      <c r="Y188" s="105"/>
      <c r="Z188" s="106">
        <f t="shared" si="49"/>
        <v>31278.771111355265</v>
      </c>
      <c r="AA188" s="107">
        <v>0</v>
      </c>
      <c r="AB188" s="108">
        <f t="shared" si="50"/>
        <v>0</v>
      </c>
      <c r="AC188" s="108">
        <f>IFERROR(INDEX('Revised 2019 MFAM(2017 PYAs)'!AF$26:AF$270,MATCH(B188,'Revised 2019 MFAM(2017 PYAs)'!B$26:B$270,0)),0)</f>
        <v>56.453072553210596</v>
      </c>
      <c r="AD188" s="216">
        <f>AC188/AC$24*('Revised 2019 MFAM(2017 PYAs)'!AF$24-'2020 Funding'!AC$24)</f>
        <v>5.1723396299836279E-2</v>
      </c>
      <c r="AE188" s="105">
        <f t="shared" si="51"/>
        <v>31335.275907304775</v>
      </c>
      <c r="AF188" s="111"/>
      <c r="AG188" s="105">
        <v>8082.4657609585192</v>
      </c>
      <c r="AH188" s="214">
        <v>8082.4657609585192</v>
      </c>
      <c r="AI188" s="105">
        <v>8082.4657609585192</v>
      </c>
      <c r="AJ188" s="105">
        <f t="shared" si="52"/>
        <v>7087.8786244292169</v>
      </c>
    </row>
    <row r="189" spans="2:36" x14ac:dyDescent="0.25">
      <c r="B189">
        <v>971</v>
      </c>
      <c r="C189" s="27">
        <v>7</v>
      </c>
      <c r="D189" s="39" t="s">
        <v>454</v>
      </c>
      <c r="E189" s="162">
        <f>INDEX('2018 Data Lockdown'!H$5:H$255, MATCH(B189,'2018 Data Lockdown'!B$5:B$255,0))</f>
        <v>976</v>
      </c>
      <c r="F189" s="5">
        <f>INDEX('2018 Data Lockdown'!E$5:E$255,MATCH(B189,'2018 Data Lockdown'!B$5:B$255,0))</f>
        <v>536513.62</v>
      </c>
      <c r="G189" s="5">
        <f>INDEX('2018 Data Lockdown'!F$5:F$255, MATCH(B189,'2018 Data Lockdown'!B$5:B$255,0))</f>
        <v>137200.55999999997</v>
      </c>
      <c r="H189" s="5">
        <f t="shared" si="36"/>
        <v>399313.06000000006</v>
      </c>
      <c r="I189" s="103">
        <f t="shared" si="37"/>
        <v>409.13223360655741</v>
      </c>
      <c r="J189" s="6">
        <f t="shared" si="38"/>
        <v>409.13223360655741</v>
      </c>
      <c r="K189" s="5">
        <f t="shared" si="39"/>
        <v>399313.06000000006</v>
      </c>
      <c r="L189" s="140">
        <f>INDEX('2018 Best Practice Scores'!M$4:M$255,MATCH(B189,'2018 Best Practice Scores'!A$4:A$255,0))</f>
        <v>0.55844345238095239</v>
      </c>
      <c r="M189" s="105">
        <f t="shared" si="40"/>
        <v>87987.472261499279</v>
      </c>
      <c r="N189" s="105">
        <f t="shared" si="41"/>
        <v>55156.012438123049</v>
      </c>
      <c r="O189" s="105">
        <f t="shared" si="42"/>
        <v>14740.808332795479</v>
      </c>
      <c r="P189" s="105">
        <f t="shared" si="43"/>
        <v>5015.7940457136847</v>
      </c>
      <c r="Q189" s="105">
        <f t="shared" si="44"/>
        <v>162900.08707813147</v>
      </c>
      <c r="R189" s="112">
        <f t="shared" si="45"/>
        <v>0.40795081202235522</v>
      </c>
      <c r="S189" s="175">
        <f t="shared" si="46"/>
        <v>162900.08707813147</v>
      </c>
      <c r="T189" s="105"/>
      <c r="U189" s="105">
        <f>IFERROR(INDEX('Revised 2019 MFAM(2017 PYAs)'!AD$26:AD$270,MATCH(B189,'Revised 2019 MFAM(2017 PYAs)'!B$26:B$270,0)),0)</f>
        <v>2018.7167242909491</v>
      </c>
      <c r="V189" s="105">
        <f>IFERROR(INDEX('Revised 2018 MFAM(2016 PYAs)'!AF$26:AF$266,MATCH(B189,'Revised 2018 MFAM(2016 PYAs)'!B$26:B$266,0)),0)</f>
        <v>3572.4539706475334</v>
      </c>
      <c r="W189" s="105">
        <f t="shared" si="47"/>
        <v>6.1713788090082167</v>
      </c>
      <c r="X189" s="105">
        <f t="shared" si="48"/>
        <v>5597.3420737474908</v>
      </c>
      <c r="Y189" s="105"/>
      <c r="Z189" s="106">
        <f t="shared" si="49"/>
        <v>168497.42915187895</v>
      </c>
      <c r="AA189" s="107">
        <v>0</v>
      </c>
      <c r="AB189" s="108">
        <f t="shared" si="50"/>
        <v>0</v>
      </c>
      <c r="AC189" s="108">
        <f>IFERROR(INDEX('Revised 2019 MFAM(2017 PYAs)'!AF$26:AF$270,MATCH(B189,'Revised 2019 MFAM(2017 PYAs)'!B$26:B$270,0)),0)</f>
        <v>287.9376672800401</v>
      </c>
      <c r="AD189" s="216">
        <f>AC189/AC$24*('Revised 2019 MFAM(2017 PYAs)'!AF$24-'2020 Funding'!AC$24)</f>
        <v>0.26381405653940643</v>
      </c>
      <c r="AE189" s="105">
        <f t="shared" si="51"/>
        <v>168785.63063321551</v>
      </c>
      <c r="AF189" s="111"/>
      <c r="AG189" s="105">
        <v>43523.599905241164</v>
      </c>
      <c r="AH189" s="214">
        <v>43523.599905241164</v>
      </c>
      <c r="AI189" s="105">
        <v>43523.599905241164</v>
      </c>
      <c r="AJ189" s="105">
        <f t="shared" si="52"/>
        <v>38214.830917492014</v>
      </c>
    </row>
    <row r="190" spans="2:36" x14ac:dyDescent="0.25">
      <c r="B190">
        <v>975</v>
      </c>
      <c r="C190" s="27">
        <v>7</v>
      </c>
      <c r="D190" s="39" t="s">
        <v>455</v>
      </c>
      <c r="E190" s="162">
        <f>INDEX('2018 Data Lockdown'!H$5:H$255, MATCH(B190,'2018 Data Lockdown'!B$5:B$255,0))</f>
        <v>19.270619314376521</v>
      </c>
      <c r="F190" s="5">
        <f>INDEX('2018 Data Lockdown'!E$5:E$255,MATCH(B190,'2018 Data Lockdown'!B$5:B$255,0))</f>
        <v>55760.17</v>
      </c>
      <c r="G190" s="5">
        <f>INDEX('2018 Data Lockdown'!F$5:F$255, MATCH(B190,'2018 Data Lockdown'!B$5:B$255,0))</f>
        <v>0</v>
      </c>
      <c r="H190" s="5">
        <f t="shared" si="36"/>
        <v>55760.17</v>
      </c>
      <c r="I190" s="103">
        <f t="shared" si="37"/>
        <v>2893.5328486511621</v>
      </c>
      <c r="J190" s="6">
        <f t="shared" si="38"/>
        <v>728.05685840676222</v>
      </c>
      <c r="K190" s="5">
        <f t="shared" si="39"/>
        <v>14030.106557577645</v>
      </c>
      <c r="L190" s="140">
        <f>INDEX('2018 Best Practice Scores'!M$4:M$255,MATCH(B190,'2018 Best Practice Scores'!A$4:A$255,0))</f>
        <v>0.20508333333333334</v>
      </c>
      <c r="M190" s="105">
        <f t="shared" si="40"/>
        <v>3091.4932047570442</v>
      </c>
      <c r="N190" s="105">
        <f t="shared" si="41"/>
        <v>1089.0271706906615</v>
      </c>
      <c r="O190" s="105">
        <f t="shared" si="42"/>
        <v>190.20411942267714</v>
      </c>
      <c r="P190" s="105">
        <f t="shared" si="43"/>
        <v>176.23296601475161</v>
      </c>
      <c r="Q190" s="105">
        <f t="shared" si="44"/>
        <v>4546.9574608851344</v>
      </c>
      <c r="R190" s="112">
        <f t="shared" si="45"/>
        <v>0.32408573963604914</v>
      </c>
      <c r="S190" s="175">
        <f t="shared" si="46"/>
        <v>4546.9574608851344</v>
      </c>
      <c r="T190" s="105"/>
      <c r="U190" s="105">
        <f>IFERROR(INDEX('Revised 2019 MFAM(2017 PYAs)'!AD$26:AD$270,MATCH(B190,'Revised 2019 MFAM(2017 PYAs)'!B$26:B$270,0)),0)</f>
        <v>140.97088435944534</v>
      </c>
      <c r="V190" s="105">
        <f>IFERROR(INDEX('Revised 2018 MFAM(2016 PYAs)'!AF$26:AF$266,MATCH(B190,'Revised 2018 MFAM(2016 PYAs)'!B$26:B$266,0)),0)</f>
        <v>0.49741603200072859</v>
      </c>
      <c r="W190" s="105">
        <f t="shared" si="47"/>
        <v>0.17225894364383906</v>
      </c>
      <c r="X190" s="105">
        <f t="shared" si="48"/>
        <v>141.6405593350899</v>
      </c>
      <c r="Y190" s="105"/>
      <c r="Z190" s="106">
        <f t="shared" si="49"/>
        <v>4688.5980202202245</v>
      </c>
      <c r="AA190" s="107">
        <v>0</v>
      </c>
      <c r="AB190" s="108">
        <f t="shared" si="50"/>
        <v>0</v>
      </c>
      <c r="AC190" s="108">
        <f>IFERROR(INDEX('Revised 2019 MFAM(2017 PYAs)'!AF$26:AF$270,MATCH(B190,'Revised 2019 MFAM(2017 PYAs)'!B$26:B$270,0)),0)</f>
        <v>18.262681838542271</v>
      </c>
      <c r="AD190" s="216">
        <f>AC190/AC$24*('Revised 2019 MFAM(2017 PYAs)'!AF$24-'2020 Funding'!AC$24)</f>
        <v>1.6732622114454296E-2</v>
      </c>
      <c r="AE190" s="105">
        <f t="shared" si="51"/>
        <v>4706.8774346808814</v>
      </c>
      <c r="AF190" s="111"/>
      <c r="AG190" s="105">
        <v>1211.2243905986395</v>
      </c>
      <c r="AH190" s="214">
        <v>1211.2243905986395</v>
      </c>
      <c r="AI190" s="105">
        <v>1211.2243905986395</v>
      </c>
      <c r="AJ190" s="105">
        <f t="shared" si="52"/>
        <v>1073.2042628849624</v>
      </c>
    </row>
    <row r="191" spans="2:36" x14ac:dyDescent="0.25">
      <c r="B191">
        <v>976</v>
      </c>
      <c r="C191" s="27">
        <v>7</v>
      </c>
      <c r="D191" s="39" t="s">
        <v>456</v>
      </c>
      <c r="E191" s="162">
        <f>INDEX('2018 Data Lockdown'!H$5:H$255, MATCH(B191,'2018 Data Lockdown'!B$5:B$255,0))</f>
        <v>29.487564416476946</v>
      </c>
      <c r="F191" s="5">
        <f>INDEX('2018 Data Lockdown'!E$5:E$255,MATCH(B191,'2018 Data Lockdown'!B$5:B$255,0))</f>
        <v>25941.279999999999</v>
      </c>
      <c r="G191" s="5">
        <f>INDEX('2018 Data Lockdown'!F$5:F$255, MATCH(B191,'2018 Data Lockdown'!B$5:B$255,0))</f>
        <v>0</v>
      </c>
      <c r="H191" s="5">
        <f t="shared" si="36"/>
        <v>25941.279999999999</v>
      </c>
      <c r="I191" s="103">
        <f t="shared" si="37"/>
        <v>879.73627233535206</v>
      </c>
      <c r="J191" s="6">
        <f t="shared" si="38"/>
        <v>728.05685840676222</v>
      </c>
      <c r="K191" s="5">
        <f t="shared" si="39"/>
        <v>21468.623511127236</v>
      </c>
      <c r="L191" s="140">
        <f>INDEX('2018 Best Practice Scores'!M$4:M$255,MATCH(B191,'2018 Best Practice Scores'!A$4:A$255,0))</f>
        <v>0.32545833333333335</v>
      </c>
      <c r="M191" s="105">
        <f t="shared" si="40"/>
        <v>4730.5487971715193</v>
      </c>
      <c r="N191" s="105">
        <f t="shared" si="41"/>
        <v>1666.4103173413494</v>
      </c>
      <c r="O191" s="105">
        <f t="shared" si="42"/>
        <v>461.87895818383413</v>
      </c>
      <c r="P191" s="105">
        <f t="shared" si="43"/>
        <v>269.66860031269903</v>
      </c>
      <c r="Q191" s="105">
        <f t="shared" si="44"/>
        <v>7128.5066730094013</v>
      </c>
      <c r="R191" s="112">
        <f t="shared" si="45"/>
        <v>0.33204302405856062</v>
      </c>
      <c r="S191" s="175">
        <f t="shared" si="46"/>
        <v>7128.5066730094013</v>
      </c>
      <c r="T191" s="105"/>
      <c r="U191" s="105">
        <f>IFERROR(INDEX('Revised 2019 MFAM(2017 PYAs)'!AD$26:AD$270,MATCH(B191,'Revised 2019 MFAM(2017 PYAs)'!B$26:B$270,0)),0)</f>
        <v>87.255462998172334</v>
      </c>
      <c r="V191" s="105">
        <f>IFERROR(INDEX('Revised 2018 MFAM(2016 PYAs)'!AF$26:AF$266,MATCH(B191,'Revised 2018 MFAM(2016 PYAs)'!B$26:B$266,0)),0)</f>
        <v>92.079935438663597</v>
      </c>
      <c r="W191" s="105">
        <f t="shared" si="47"/>
        <v>0.27005949358752485</v>
      </c>
      <c r="X191" s="105">
        <f t="shared" si="48"/>
        <v>179.60545793042346</v>
      </c>
      <c r="Y191" s="105"/>
      <c r="Z191" s="106">
        <f t="shared" si="49"/>
        <v>7308.112130939825</v>
      </c>
      <c r="AA191" s="107">
        <v>0</v>
      </c>
      <c r="AB191" s="108">
        <f t="shared" si="50"/>
        <v>0</v>
      </c>
      <c r="AC191" s="108">
        <f>IFERROR(INDEX('Revised 2019 MFAM(2017 PYAs)'!AF$26:AF$270,MATCH(B191,'Revised 2019 MFAM(2017 PYAs)'!B$26:B$270,0)),0)</f>
        <v>11.016835038370665</v>
      </c>
      <c r="AD191" s="216">
        <f>AC191/AC$24*('Revised 2019 MFAM(2017 PYAs)'!AF$24-'2020 Funding'!AC$24)</f>
        <v>1.0093837215369788E-2</v>
      </c>
      <c r="AE191" s="105">
        <f t="shared" si="51"/>
        <v>7319.1390598154112</v>
      </c>
      <c r="AF191" s="111"/>
      <c r="AG191" s="105">
        <v>1888.284433856579</v>
      </c>
      <c r="AH191" s="214">
        <v>1888.284433856579</v>
      </c>
      <c r="AI191" s="105">
        <v>1888.284433856579</v>
      </c>
      <c r="AJ191" s="105">
        <f t="shared" si="52"/>
        <v>1654.2857582456738</v>
      </c>
    </row>
    <row r="192" spans="2:36" x14ac:dyDescent="0.25">
      <c r="B192">
        <v>977</v>
      </c>
      <c r="C192" s="27">
        <v>7</v>
      </c>
      <c r="D192" s="39" t="s">
        <v>457</v>
      </c>
      <c r="E192" s="162">
        <f>INDEX('2018 Data Lockdown'!H$5:H$255, MATCH(B192,'2018 Data Lockdown'!B$5:B$255,0))</f>
        <v>40.759415747987155</v>
      </c>
      <c r="F192" s="5">
        <f>INDEX('2018 Data Lockdown'!E$5:E$255,MATCH(B192,'2018 Data Lockdown'!B$5:B$255,0))</f>
        <v>31893.51</v>
      </c>
      <c r="G192" s="5">
        <f>INDEX('2018 Data Lockdown'!F$5:F$255, MATCH(B192,'2018 Data Lockdown'!B$5:B$255,0))</f>
        <v>0</v>
      </c>
      <c r="H192" s="5">
        <f t="shared" si="36"/>
        <v>31893.51</v>
      </c>
      <c r="I192" s="103">
        <f t="shared" si="37"/>
        <v>782.4820207727098</v>
      </c>
      <c r="J192" s="6">
        <f t="shared" si="38"/>
        <v>728.05685840676222</v>
      </c>
      <c r="K192" s="5">
        <f t="shared" si="39"/>
        <v>29675.172179974637</v>
      </c>
      <c r="L192" s="140">
        <f>INDEX('2018 Best Practice Scores'!M$4:M$255,MATCH(B192,'2018 Best Practice Scores'!A$4:A$255,0))</f>
        <v>0.36066071428571428</v>
      </c>
      <c r="M192" s="105">
        <f t="shared" si="40"/>
        <v>6538.8379459483067</v>
      </c>
      <c r="N192" s="105">
        <f t="shared" si="41"/>
        <v>2303.4086495559509</v>
      </c>
      <c r="O192" s="105">
        <f t="shared" si="42"/>
        <v>707.4905892552747</v>
      </c>
      <c r="P192" s="105">
        <f t="shared" si="43"/>
        <v>372.75152464546278</v>
      </c>
      <c r="Q192" s="105">
        <f t="shared" si="44"/>
        <v>9922.4887094049936</v>
      </c>
      <c r="R192" s="112">
        <f t="shared" si="45"/>
        <v>0.3343700467591853</v>
      </c>
      <c r="S192" s="175">
        <f t="shared" si="46"/>
        <v>9922.4887094049936</v>
      </c>
      <c r="T192" s="105"/>
      <c r="U192" s="105">
        <f>IFERROR(INDEX('Revised 2019 MFAM(2017 PYAs)'!AD$26:AD$270,MATCH(B192,'Revised 2019 MFAM(2017 PYAs)'!B$26:B$270,0)),0)</f>
        <v>123.4833417269474</v>
      </c>
      <c r="V192" s="105">
        <f>IFERROR(INDEX('Revised 2018 MFAM(2016 PYAs)'!AF$26:AF$266,MATCH(B192,'Revised 2018 MFAM(2016 PYAs)'!B$26:B$266,0)),0)</f>
        <v>-49.658846734600047</v>
      </c>
      <c r="W192" s="105">
        <f t="shared" si="47"/>
        <v>0.37590794242163311</v>
      </c>
      <c r="X192" s="105">
        <f t="shared" si="48"/>
        <v>74.200402934768988</v>
      </c>
      <c r="Y192" s="105"/>
      <c r="Z192" s="106">
        <f t="shared" si="49"/>
        <v>9996.6891123397618</v>
      </c>
      <c r="AA192" s="107">
        <v>1</v>
      </c>
      <c r="AB192" s="108">
        <f t="shared" si="50"/>
        <v>-999.66891123397625</v>
      </c>
      <c r="AC192" s="108">
        <f>IFERROR(INDEX('Revised 2019 MFAM(2017 PYAs)'!AF$26:AF$270,MATCH(B192,'Revised 2019 MFAM(2017 PYAs)'!B$26:B$270,0)),0)</f>
        <v>16.065566441053036</v>
      </c>
      <c r="AD192" s="216">
        <f>AC192/AC$24*('Revised 2019 MFAM(2017 PYAs)'!AF$24-'2020 Funding'!AC$24)</f>
        <v>1.4719582517474116E-2</v>
      </c>
      <c r="AE192" s="105">
        <f t="shared" si="51"/>
        <v>9013.1004871293571</v>
      </c>
      <c r="AF192" s="111"/>
      <c r="AG192" s="105">
        <v>2325.9928361134189</v>
      </c>
      <c r="AH192" s="214">
        <v>2325.9928361134189</v>
      </c>
      <c r="AI192" s="105">
        <v>2325.9928361134189</v>
      </c>
      <c r="AJ192" s="105">
        <f t="shared" si="52"/>
        <v>2035.1219787891005</v>
      </c>
    </row>
    <row r="193" spans="2:36" x14ac:dyDescent="0.25">
      <c r="B193">
        <v>979</v>
      </c>
      <c r="C193" s="27">
        <v>7</v>
      </c>
      <c r="D193" s="39" t="s">
        <v>546</v>
      </c>
      <c r="E193" s="162">
        <f>INDEX('2018 Data Lockdown'!H$5:H$255, MATCH(B193,'2018 Data Lockdown'!B$5:B$255,0))</f>
        <v>68.082908668012507</v>
      </c>
      <c r="F193" s="5">
        <f>INDEX('2018 Data Lockdown'!E$5:E$255,MATCH(B193,'2018 Data Lockdown'!B$5:B$255,0))</f>
        <v>116196.12</v>
      </c>
      <c r="G193" s="5">
        <f>INDEX('2018 Data Lockdown'!F$5:F$255, MATCH(B193,'2018 Data Lockdown'!B$5:B$255,0))</f>
        <v>0</v>
      </c>
      <c r="H193" s="5">
        <f t="shared" si="36"/>
        <v>116196.12</v>
      </c>
      <c r="I193" s="103">
        <f t="shared" si="37"/>
        <v>1706.6856024997151</v>
      </c>
      <c r="J193" s="6">
        <f t="shared" si="38"/>
        <v>728.05685840676222</v>
      </c>
      <c r="K193" s="5">
        <f t="shared" si="39"/>
        <v>49568.228596027708</v>
      </c>
      <c r="L193" s="140">
        <f>INDEX('2018 Best Practice Scores'!M$4:M$255,MATCH(B193,'2018 Best Practice Scores'!A$4:A$255,0))</f>
        <v>0.77766071428571415</v>
      </c>
      <c r="M193" s="105">
        <f t="shared" si="40"/>
        <v>10922.215112735463</v>
      </c>
      <c r="N193" s="105">
        <f t="shared" si="41"/>
        <v>3847.5222923324723</v>
      </c>
      <c r="O193" s="105">
        <f t="shared" si="42"/>
        <v>2548.1332818456244</v>
      </c>
      <c r="P193" s="105">
        <f t="shared" si="43"/>
        <v>622.62933711341805</v>
      </c>
      <c r="Q193" s="105">
        <f t="shared" si="44"/>
        <v>17940.50002402698</v>
      </c>
      <c r="R193" s="112">
        <f t="shared" si="45"/>
        <v>0.36193546818545569</v>
      </c>
      <c r="S193" s="175">
        <f t="shared" si="46"/>
        <v>17940.50002402698</v>
      </c>
      <c r="T193" s="105"/>
      <c r="U193" s="105">
        <f>IFERROR(INDEX('Revised 2019 MFAM(2017 PYAs)'!AD$26:AD$270,MATCH(B193,'Revised 2019 MFAM(2017 PYAs)'!B$26:B$270,0)),0)</f>
        <v>0</v>
      </c>
      <c r="V193" s="105">
        <f>IFERROR(INDEX('Revised 2018 MFAM(2016 PYAs)'!AF$26:AF$266,MATCH(B193,'Revised 2018 MFAM(2016 PYAs)'!B$26:B$266,0)),0)</f>
        <v>0</v>
      </c>
      <c r="W193" s="105">
        <f t="shared" si="47"/>
        <v>0.67966582251234908</v>
      </c>
      <c r="X193" s="105">
        <f t="shared" si="48"/>
        <v>0.67966582251234908</v>
      </c>
      <c r="Y193" s="105"/>
      <c r="Z193" s="106">
        <f t="shared" si="49"/>
        <v>17941.179689849494</v>
      </c>
      <c r="AA193" s="107">
        <v>0</v>
      </c>
      <c r="AB193" s="108">
        <f t="shared" si="50"/>
        <v>0</v>
      </c>
      <c r="AC193" s="108">
        <f>IFERROR(INDEX('Revised 2019 MFAM(2017 PYAs)'!AF$26:AF$270,MATCH(B193,'Revised 2019 MFAM(2017 PYAs)'!B$26:B$270,0)),0)</f>
        <v>0</v>
      </c>
      <c r="AD193" s="216">
        <f>AC193/AC$24*('Revised 2019 MFAM(2017 PYAs)'!AF$24-'2020 Funding'!AC$24)</f>
        <v>0</v>
      </c>
      <c r="AE193" s="105">
        <f t="shared" si="51"/>
        <v>17941.179689849494</v>
      </c>
      <c r="AF193" s="111"/>
      <c r="AG193" s="105">
        <v>4639.43197044729</v>
      </c>
      <c r="AH193" s="214">
        <v>4639.43197044729</v>
      </c>
      <c r="AI193" s="105">
        <v>4639.43197044729</v>
      </c>
      <c r="AJ193" s="105">
        <f t="shared" si="52"/>
        <v>4022.8837785076221</v>
      </c>
    </row>
    <row r="194" spans="2:36" x14ac:dyDescent="0.25">
      <c r="B194">
        <v>983</v>
      </c>
      <c r="C194" s="27">
        <v>7</v>
      </c>
      <c r="D194" s="39" t="s">
        <v>459</v>
      </c>
      <c r="E194" s="162">
        <f>INDEX('2018 Data Lockdown'!H$5:H$255, MATCH(B194,'2018 Data Lockdown'!B$5:B$255,0))</f>
        <v>86.136151469782178</v>
      </c>
      <c r="F194" s="5">
        <f>INDEX('2018 Data Lockdown'!E$5:E$255,MATCH(B194,'2018 Data Lockdown'!B$5:B$255,0))</f>
        <v>30825.599999999999</v>
      </c>
      <c r="G194" s="5">
        <f>INDEX('2018 Data Lockdown'!F$5:F$255, MATCH(B194,'2018 Data Lockdown'!B$5:B$255,0))</f>
        <v>250</v>
      </c>
      <c r="H194" s="5">
        <f t="shared" si="36"/>
        <v>30575.599999999999</v>
      </c>
      <c r="I194" s="103">
        <f t="shared" si="37"/>
        <v>354.96826220203684</v>
      </c>
      <c r="J194" s="6">
        <f t="shared" si="38"/>
        <v>354.96826220203684</v>
      </c>
      <c r="K194" s="5">
        <f t="shared" si="39"/>
        <v>30575.600000000002</v>
      </c>
      <c r="L194" s="140">
        <f>INDEX('2018 Best Practice Scores'!M$4:M$255,MATCH(B194,'2018 Best Practice Scores'!A$4:A$255,0))</f>
        <v>0.37552380952380954</v>
      </c>
      <c r="M194" s="105">
        <f t="shared" si="40"/>
        <v>6737.2445992091953</v>
      </c>
      <c r="N194" s="105">
        <f t="shared" si="41"/>
        <v>4867.7527068026193</v>
      </c>
      <c r="O194" s="105">
        <f t="shared" si="42"/>
        <v>758.99872727662444</v>
      </c>
      <c r="P194" s="105">
        <f t="shared" si="43"/>
        <v>384.06184967785259</v>
      </c>
      <c r="Q194" s="105">
        <f t="shared" si="44"/>
        <v>12748.057882966292</v>
      </c>
      <c r="R194" s="112">
        <f t="shared" si="45"/>
        <v>0.41693565728771603</v>
      </c>
      <c r="S194" s="175">
        <f t="shared" si="46"/>
        <v>12748.057882966292</v>
      </c>
      <c r="T194" s="105"/>
      <c r="U194" s="105">
        <f>IFERROR(INDEX('Revised 2019 MFAM(2017 PYAs)'!AD$26:AD$270,MATCH(B194,'Revised 2019 MFAM(2017 PYAs)'!B$26:B$270,0)),0)</f>
        <v>160.27110898913816</v>
      </c>
      <c r="V194" s="105">
        <f>IFERROR(INDEX('Revised 2018 MFAM(2016 PYAs)'!AF$26:AF$266,MATCH(B194,'Revised 2018 MFAM(2016 PYAs)'!B$26:B$266,0)),0)</f>
        <v>327.92129447812113</v>
      </c>
      <c r="W194" s="105">
        <f t="shared" si="47"/>
        <v>0.48295305230386087</v>
      </c>
      <c r="X194" s="105">
        <f t="shared" si="48"/>
        <v>488.67535651956314</v>
      </c>
      <c r="Y194" s="105"/>
      <c r="Z194" s="106">
        <f t="shared" si="49"/>
        <v>13236.733239485855</v>
      </c>
      <c r="AA194" s="107">
        <v>0</v>
      </c>
      <c r="AB194" s="108">
        <f t="shared" si="50"/>
        <v>0</v>
      </c>
      <c r="AC194" s="108">
        <f>IFERROR(INDEX('Revised 2019 MFAM(2017 PYAs)'!AF$26:AF$270,MATCH(B194,'Revised 2019 MFAM(2017 PYAs)'!B$26:B$270,0)),0)</f>
        <v>28.453149145148156</v>
      </c>
      <c r="AD194" s="216">
        <f>AC194/AC$24*('Revised 2019 MFAM(2017 PYAs)'!AF$24-'2020 Funding'!AC$24)</f>
        <v>2.606932524045846E-2</v>
      </c>
      <c r="AE194" s="105">
        <f t="shared" si="51"/>
        <v>13265.212457956244</v>
      </c>
      <c r="AF194" s="111"/>
      <c r="AG194" s="105">
        <v>3396.952442440529</v>
      </c>
      <c r="AH194" s="214">
        <v>3396.952442440529</v>
      </c>
      <c r="AI194" s="105">
        <v>3396.952442440529</v>
      </c>
      <c r="AJ194" s="105">
        <f t="shared" si="52"/>
        <v>3074.3551306346581</v>
      </c>
    </row>
    <row r="195" spans="2:36" x14ac:dyDescent="0.25">
      <c r="B195">
        <v>188</v>
      </c>
      <c r="C195" s="27">
        <v>8</v>
      </c>
      <c r="D195" s="39" t="s">
        <v>460</v>
      </c>
      <c r="E195" s="162">
        <f>INDEX('2018 Data Lockdown'!H$5:H$255, MATCH(B195,'2018 Data Lockdown'!B$5:B$255,0))</f>
        <v>287.33</v>
      </c>
      <c r="F195" s="5">
        <f>INDEX('2018 Data Lockdown'!E$5:E$255,MATCH(B195,'2018 Data Lockdown'!B$5:B$255,0))</f>
        <v>125246.14</v>
      </c>
      <c r="G195" s="5">
        <f>INDEX('2018 Data Lockdown'!F$5:F$255, MATCH(B195,'2018 Data Lockdown'!B$5:B$255,0))</f>
        <v>23903.22</v>
      </c>
      <c r="H195" s="5">
        <f t="shared" si="36"/>
        <v>101342.92</v>
      </c>
      <c r="I195" s="103">
        <f t="shared" si="37"/>
        <v>352.70566943932067</v>
      </c>
      <c r="J195" s="6">
        <f t="shared" si="38"/>
        <v>352.70566943932067</v>
      </c>
      <c r="K195" s="5">
        <f t="shared" si="39"/>
        <v>101342.92</v>
      </c>
      <c r="L195" s="140">
        <f>INDEX('2018 Best Practice Scores'!M$4:M$255,MATCH(B195,'2018 Best Practice Scores'!A$4:A$255,0))</f>
        <v>0.79112499999999997</v>
      </c>
      <c r="M195" s="105">
        <f t="shared" si="40"/>
        <v>22330.617892636266</v>
      </c>
      <c r="N195" s="105">
        <f t="shared" si="41"/>
        <v>16237.68140762899</v>
      </c>
      <c r="O195" s="105">
        <f t="shared" si="42"/>
        <v>5299.8930240935588</v>
      </c>
      <c r="P195" s="105">
        <f t="shared" si="43"/>
        <v>1272.9741789843742</v>
      </c>
      <c r="Q195" s="105">
        <f t="shared" si="44"/>
        <v>45141.166503343193</v>
      </c>
      <c r="R195" s="112">
        <f t="shared" si="45"/>
        <v>0.44542989784923498</v>
      </c>
      <c r="S195" s="175">
        <f t="shared" si="46"/>
        <v>45141.166503343193</v>
      </c>
      <c r="T195" s="105"/>
      <c r="U195" s="105">
        <f>IFERROR(INDEX('Revised 2019 MFAM(2017 PYAs)'!AD$26:AD$270,MATCH(B195,'Revised 2019 MFAM(2017 PYAs)'!B$26:B$270,0)),0)</f>
        <v>1111.3207102300512</v>
      </c>
      <c r="V195" s="105">
        <f>IFERROR(INDEX('Revised 2018 MFAM(2016 PYAs)'!AF$26:AF$266,MATCH(B195,'Revised 2018 MFAM(2016 PYAs)'!B$26:B$266,0)),0)</f>
        <v>-239.30875031287724</v>
      </c>
      <c r="W195" s="105">
        <f t="shared" si="47"/>
        <v>1.7101478787978017</v>
      </c>
      <c r="X195" s="105">
        <f t="shared" si="48"/>
        <v>873.72210779597174</v>
      </c>
      <c r="Y195" s="105"/>
      <c r="Z195" s="106">
        <f t="shared" si="49"/>
        <v>46014.888611139162</v>
      </c>
      <c r="AA195" s="107">
        <v>0</v>
      </c>
      <c r="AB195" s="108">
        <f t="shared" si="50"/>
        <v>0</v>
      </c>
      <c r="AC195" s="108">
        <f>IFERROR(INDEX('Revised 2019 MFAM(2017 PYAs)'!AF$26:AF$270,MATCH(B195,'Revised 2019 MFAM(2017 PYAs)'!B$26:B$270,0)),0)</f>
        <v>138.90486476563058</v>
      </c>
      <c r="AD195" s="216">
        <f>AC195/AC$24*('Revised 2019 MFAM(2017 PYAs)'!AF$24-'2020 Funding'!AC$24)</f>
        <v>0.12726732210148359</v>
      </c>
      <c r="AE195" s="105">
        <f t="shared" si="51"/>
        <v>46153.920743226896</v>
      </c>
      <c r="AF195" s="105"/>
      <c r="AG195" s="105">
        <v>11963.420155374219</v>
      </c>
      <c r="AH195" s="105">
        <v>11963.420155374219</v>
      </c>
      <c r="AI195" s="105">
        <v>11963.420155374219</v>
      </c>
      <c r="AJ195" s="105">
        <f t="shared" si="52"/>
        <v>10263.660277104244</v>
      </c>
    </row>
    <row r="196" spans="2:36" x14ac:dyDescent="0.25">
      <c r="B196">
        <v>232</v>
      </c>
      <c r="C196" s="27">
        <v>8</v>
      </c>
      <c r="D196" s="39" t="s">
        <v>461</v>
      </c>
      <c r="E196" s="162">
        <f>INDEX('2018 Data Lockdown'!H$5:H$255, MATCH(B196,'2018 Data Lockdown'!B$5:B$255,0))</f>
        <v>97.381103404750618</v>
      </c>
      <c r="F196" s="5">
        <f>INDEX('2018 Data Lockdown'!E$5:E$255,MATCH(B196,'2018 Data Lockdown'!B$5:B$255,0))</f>
        <v>101873.03</v>
      </c>
      <c r="G196" s="5">
        <f>INDEX('2018 Data Lockdown'!F$5:F$255, MATCH(B196,'2018 Data Lockdown'!B$5:B$255,0))</f>
        <v>0</v>
      </c>
      <c r="H196" s="5">
        <f t="shared" si="36"/>
        <v>101873.03</v>
      </c>
      <c r="I196" s="103">
        <f t="shared" si="37"/>
        <v>1046.1272920330275</v>
      </c>
      <c r="J196" s="6">
        <f t="shared" si="38"/>
        <v>1046.1272920330275</v>
      </c>
      <c r="K196" s="5">
        <f t="shared" si="39"/>
        <v>101873.03</v>
      </c>
      <c r="L196" s="140">
        <f>INDEX('2018 Best Practice Scores'!M$4:M$255,MATCH(B196,'2018 Best Practice Scores'!A$4:A$255,0))</f>
        <v>0.27853571428571428</v>
      </c>
      <c r="M196" s="105">
        <f t="shared" si="40"/>
        <v>22447.426090496218</v>
      </c>
      <c r="N196" s="105">
        <f t="shared" si="41"/>
        <v>5503.2308920395189</v>
      </c>
      <c r="O196" s="105">
        <f t="shared" si="42"/>
        <v>1875.7229579976427</v>
      </c>
      <c r="P196" s="105">
        <f t="shared" si="43"/>
        <v>1279.6329208286138</v>
      </c>
      <c r="Q196" s="105">
        <f t="shared" si="44"/>
        <v>31106.012861361993</v>
      </c>
      <c r="R196" s="112">
        <f t="shared" si="45"/>
        <v>0.30534100007982479</v>
      </c>
      <c r="S196" s="175">
        <f t="shared" si="46"/>
        <v>31106.012861361993</v>
      </c>
      <c r="T196" s="105"/>
      <c r="U196" s="105">
        <f>IFERROR(INDEX('Revised 2019 MFAM(2017 PYAs)'!AD$26:AD$270,MATCH(B196,'Revised 2019 MFAM(2017 PYAs)'!B$26:B$270,0)),0)</f>
        <v>433.49417305750467</v>
      </c>
      <c r="V196" s="105">
        <f>IFERROR(INDEX('Revised 2018 MFAM(2016 PYAs)'!AF$26:AF$266,MATCH(B196,'Revised 2018 MFAM(2016 PYAs)'!B$26:B$266,0)),0)</f>
        <v>-417.5712409541411</v>
      </c>
      <c r="W196" s="105">
        <f t="shared" si="47"/>
        <v>1.1784339225876146</v>
      </c>
      <c r="X196" s="105">
        <f t="shared" si="48"/>
        <v>17.101366025951179</v>
      </c>
      <c r="Y196" s="105"/>
      <c r="Z196" s="106">
        <f t="shared" si="49"/>
        <v>31123.114227387945</v>
      </c>
      <c r="AA196" s="107">
        <v>0</v>
      </c>
      <c r="AB196" s="108">
        <f t="shared" si="50"/>
        <v>0</v>
      </c>
      <c r="AC196" s="108">
        <f>IFERROR(INDEX('Revised 2019 MFAM(2017 PYAs)'!AF$26:AF$270,MATCH(B196,'Revised 2019 MFAM(2017 PYAs)'!B$26:B$270,0)),0)</f>
        <v>54.05650828906127</v>
      </c>
      <c r="AD196" s="216">
        <f>AC196/AC$24*('Revised 2019 MFAM(2017 PYAs)'!AF$24-'2020 Funding'!AC$24)</f>
        <v>4.9527617795915482E-2</v>
      </c>
      <c r="AE196" s="105">
        <f t="shared" si="51"/>
        <v>31177.220263294803</v>
      </c>
      <c r="AF196" s="111"/>
      <c r="AG196" s="105">
        <v>8048.1299206179574</v>
      </c>
      <c r="AH196" s="214">
        <v>8048.1299206179574</v>
      </c>
      <c r="AI196" s="105">
        <v>8048.1299206179574</v>
      </c>
      <c r="AJ196" s="105">
        <f t="shared" si="52"/>
        <v>7032.8305014409307</v>
      </c>
    </row>
    <row r="197" spans="2:36" x14ac:dyDescent="0.25">
      <c r="B197">
        <v>245</v>
      </c>
      <c r="C197" s="27">
        <v>8</v>
      </c>
      <c r="D197" s="39" t="s">
        <v>462</v>
      </c>
      <c r="E197" s="162">
        <f>INDEX('2018 Data Lockdown'!H$5:H$255, MATCH(B197,'2018 Data Lockdown'!B$5:B$255,0))</f>
        <v>182.45317762647645</v>
      </c>
      <c r="F197" s="5">
        <f>INDEX('2018 Data Lockdown'!E$5:E$255,MATCH(B197,'2018 Data Lockdown'!B$5:B$255,0))</f>
        <v>620305.29</v>
      </c>
      <c r="G197" s="5">
        <f>INDEX('2018 Data Lockdown'!F$5:F$255, MATCH(B197,'2018 Data Lockdown'!B$5:B$255,0))</f>
        <v>0</v>
      </c>
      <c r="H197" s="5">
        <f t="shared" si="36"/>
        <v>620305.29</v>
      </c>
      <c r="I197" s="103">
        <f t="shared" si="37"/>
        <v>3399.8053531844066</v>
      </c>
      <c r="J197" s="6">
        <f t="shared" si="38"/>
        <v>1714.0233298154035</v>
      </c>
      <c r="K197" s="5">
        <f t="shared" si="39"/>
        <v>312729.00305073441</v>
      </c>
      <c r="L197" s="140">
        <f>INDEX('2018 Best Practice Scores'!M$4:M$255,MATCH(B197,'2018 Best Practice Scores'!A$4:A$255,0))</f>
        <v>0.61271428571428577</v>
      </c>
      <c r="M197" s="105">
        <f t="shared" si="40"/>
        <v>68908.926948927779</v>
      </c>
      <c r="N197" s="105">
        <f t="shared" si="41"/>
        <v>10310.850137849393</v>
      </c>
      <c r="O197" s="105">
        <f t="shared" si="42"/>
        <v>12666.445186455052</v>
      </c>
      <c r="P197" s="105">
        <f t="shared" si="43"/>
        <v>3928.206784480954</v>
      </c>
      <c r="Q197" s="105">
        <f t="shared" si="44"/>
        <v>95814.429057713176</v>
      </c>
      <c r="R197" s="112">
        <f t="shared" si="45"/>
        <v>0.30638165351797925</v>
      </c>
      <c r="S197" s="175">
        <f t="shared" si="46"/>
        <v>95814.429057713176</v>
      </c>
      <c r="T197" s="105"/>
      <c r="U197" s="105">
        <f>IFERROR(INDEX('Revised 2019 MFAM(2017 PYAs)'!AD$26:AD$270,MATCH(B197,'Revised 2019 MFAM(2017 PYAs)'!B$26:B$270,0)),0)</f>
        <v>1631.4950006836734</v>
      </c>
      <c r="V197" s="105">
        <f>IFERROR(INDEX('Revised 2018 MFAM(2016 PYAs)'!AF$26:AF$266,MATCH(B197,'Revised 2018 MFAM(2016 PYAs)'!B$26:B$266,0)),0)</f>
        <v>-1633.2597566812765</v>
      </c>
      <c r="W197" s="105">
        <f t="shared" si="47"/>
        <v>3.6298761264650805</v>
      </c>
      <c r="X197" s="105">
        <f t="shared" si="48"/>
        <v>1.8651201288620198</v>
      </c>
      <c r="Y197" s="105"/>
      <c r="Z197" s="106">
        <f t="shared" si="49"/>
        <v>95816.294177842035</v>
      </c>
      <c r="AA197" s="107">
        <v>0</v>
      </c>
      <c r="AB197" s="108">
        <f t="shared" si="50"/>
        <v>0</v>
      </c>
      <c r="AC197" s="108">
        <f>IFERROR(INDEX('Revised 2019 MFAM(2017 PYAs)'!AF$26:AF$270,MATCH(B197,'Revised 2019 MFAM(2017 PYAs)'!B$26:B$270,0)),0)</f>
        <v>207.26149595780527</v>
      </c>
      <c r="AD197" s="216">
        <f>AC197/AC$24*('Revised 2019 MFAM(2017 PYAs)'!AF$24-'2020 Funding'!AC$24)</f>
        <v>0.18989698891974294</v>
      </c>
      <c r="AE197" s="105">
        <f t="shared" si="51"/>
        <v>96023.745570788757</v>
      </c>
      <c r="AF197" s="111"/>
      <c r="AG197" s="105">
        <v>24999.801579862768</v>
      </c>
      <c r="AH197" s="214">
        <v>24999.801579862768</v>
      </c>
      <c r="AI197" s="105">
        <v>24999.801579862768</v>
      </c>
      <c r="AJ197" s="105">
        <f t="shared" si="52"/>
        <v>21024.340831200461</v>
      </c>
    </row>
    <row r="198" spans="2:36" x14ac:dyDescent="0.25">
      <c r="B198" s="17">
        <v>372</v>
      </c>
      <c r="C198" s="27">
        <v>8</v>
      </c>
      <c r="D198" s="39" t="s">
        <v>463</v>
      </c>
      <c r="E198" s="162">
        <f>INDEX('2018 Data Lockdown'!H$5:H$255, MATCH(B198,'2018 Data Lockdown'!B$5:B$255,0))</f>
        <v>120.44</v>
      </c>
      <c r="F198" s="5">
        <f>INDEX('2018 Data Lockdown'!E$5:E$255,MATCH(B198,'2018 Data Lockdown'!B$5:B$255,0))</f>
        <v>83312.27</v>
      </c>
      <c r="G198" s="5">
        <f>INDEX('2018 Data Lockdown'!F$5:F$255, MATCH(B198,'2018 Data Lockdown'!B$5:B$255,0))</f>
        <v>0</v>
      </c>
      <c r="H198" s="5">
        <f t="shared" si="36"/>
        <v>83312.27</v>
      </c>
      <c r="I198" s="103">
        <f t="shared" si="37"/>
        <v>691.73256393224847</v>
      </c>
      <c r="J198" s="6">
        <f t="shared" si="38"/>
        <v>691.73256393224847</v>
      </c>
      <c r="K198" s="5">
        <f t="shared" si="39"/>
        <v>83312.27</v>
      </c>
      <c r="L198" s="140">
        <f>INDEX('2018 Best Practice Scores'!M$4:M$255,MATCH(B198,'2018 Best Practice Scores'!A$4:A$255,0))</f>
        <v>0.34667857142857139</v>
      </c>
      <c r="M198" s="105">
        <f t="shared" si="40"/>
        <v>18357.616566980145</v>
      </c>
      <c r="N198" s="105">
        <f t="shared" si="41"/>
        <v>6806.3423545569049</v>
      </c>
      <c r="O198" s="105">
        <f t="shared" si="42"/>
        <v>1909.2576858822456</v>
      </c>
      <c r="P198" s="105">
        <f t="shared" si="43"/>
        <v>1046.4901593774339</v>
      </c>
      <c r="Q198" s="105">
        <f t="shared" si="44"/>
        <v>28119.706766796731</v>
      </c>
      <c r="R198" s="112">
        <f t="shared" si="45"/>
        <v>0.33752179321001252</v>
      </c>
      <c r="S198" s="175">
        <f t="shared" si="46"/>
        <v>28119.706766796731</v>
      </c>
      <c r="T198" s="105"/>
      <c r="U198" s="105">
        <f>IFERROR(INDEX('Revised 2019 MFAM(2017 PYAs)'!AD$26:AD$270,MATCH(B198,'Revised 2019 MFAM(2017 PYAs)'!B$26:B$270,0)),0)</f>
        <v>416.28951614175821</v>
      </c>
      <c r="V198" s="105">
        <f>IFERROR(INDEX('Revised 2018 MFAM(2016 PYAs)'!AF$26:AF$266,MATCH(B198,'Revised 2018 MFAM(2016 PYAs)'!B$26:B$266,0)),0)</f>
        <v>-559.8635366592207</v>
      </c>
      <c r="W198" s="105">
        <f t="shared" si="47"/>
        <v>1.0652993842348342</v>
      </c>
      <c r="X198" s="105">
        <f t="shared" si="48"/>
        <v>-142.50872113322765</v>
      </c>
      <c r="Y198" s="105"/>
      <c r="Z198" s="106">
        <f t="shared" si="49"/>
        <v>27977.198045663503</v>
      </c>
      <c r="AA198" s="107">
        <v>0</v>
      </c>
      <c r="AB198" s="108">
        <f t="shared" si="50"/>
        <v>0</v>
      </c>
      <c r="AC198" s="108">
        <f>IFERROR(INDEX('Revised 2019 MFAM(2017 PYAs)'!AF$26:AF$270,MATCH(B198,'Revised 2019 MFAM(2017 PYAs)'!B$26:B$270,0)),0)</f>
        <v>54.254868180391782</v>
      </c>
      <c r="AD198" s="216">
        <f>AC198/AC$24*('Revised 2019 MFAM(2017 PYAs)'!AF$24-'2020 Funding'!AC$24)</f>
        <v>4.970935896260946E-2</v>
      </c>
      <c r="AE198" s="105">
        <f t="shared" si="51"/>
        <v>28031.502623202858</v>
      </c>
      <c r="AF198" s="111"/>
      <c r="AG198" s="105">
        <v>7235.9278678137434</v>
      </c>
      <c r="AH198" s="214">
        <v>7235.9278678137434</v>
      </c>
      <c r="AI198" s="105">
        <v>7235.9278678137434</v>
      </c>
      <c r="AJ198" s="105">
        <f t="shared" si="52"/>
        <v>6323.7190197616255</v>
      </c>
    </row>
    <row r="199" spans="2:36" x14ac:dyDescent="0.25">
      <c r="B199">
        <v>375</v>
      </c>
      <c r="C199" s="27">
        <v>8</v>
      </c>
      <c r="D199" s="39" t="s">
        <v>464</v>
      </c>
      <c r="E199" s="162">
        <f>INDEX('2018 Data Lockdown'!H$5:H$255, MATCH(B199,'2018 Data Lockdown'!B$5:B$255,0))</f>
        <v>165.84</v>
      </c>
      <c r="F199" s="5">
        <f>INDEX('2018 Data Lockdown'!E$5:E$255,MATCH(B199,'2018 Data Lockdown'!B$5:B$255,0))</f>
        <v>245447.76</v>
      </c>
      <c r="G199" s="5">
        <f>INDEX('2018 Data Lockdown'!F$5:F$255, MATCH(B199,'2018 Data Lockdown'!B$5:B$255,0))</f>
        <v>0</v>
      </c>
      <c r="H199" s="5">
        <f t="shared" si="36"/>
        <v>245447.76</v>
      </c>
      <c r="I199" s="103">
        <f t="shared" si="37"/>
        <v>1480.027496382055</v>
      </c>
      <c r="J199" s="6">
        <f t="shared" si="38"/>
        <v>1480.027496382055</v>
      </c>
      <c r="K199" s="5">
        <f t="shared" si="39"/>
        <v>245447.76</v>
      </c>
      <c r="L199" s="140">
        <f>INDEX('2018 Best Practice Scores'!M$4:M$255,MATCH(B199,'2018 Best Practice Scores'!A$4:A$255,0))</f>
        <v>0.41974702380952378</v>
      </c>
      <c r="M199" s="105">
        <f t="shared" si="40"/>
        <v>54083.700579808559</v>
      </c>
      <c r="N199" s="105">
        <f t="shared" si="41"/>
        <v>9372.0011298548416</v>
      </c>
      <c r="O199" s="105">
        <f t="shared" si="42"/>
        <v>6810.4417064940162</v>
      </c>
      <c r="P199" s="105">
        <f t="shared" si="43"/>
        <v>3083.0832659010989</v>
      </c>
      <c r="Q199" s="105">
        <f t="shared" si="44"/>
        <v>73349.226682058506</v>
      </c>
      <c r="R199" s="112">
        <f t="shared" si="45"/>
        <v>0.29883844400151993</v>
      </c>
      <c r="S199" s="175">
        <f t="shared" si="46"/>
        <v>73349.226682058506</v>
      </c>
      <c r="T199" s="105"/>
      <c r="U199" s="105">
        <f>IFERROR(INDEX('Revised 2019 MFAM(2017 PYAs)'!AD$26:AD$270,MATCH(B199,'Revised 2019 MFAM(2017 PYAs)'!B$26:B$270,0)),0)</f>
        <v>1037.05269031637</v>
      </c>
      <c r="V199" s="105">
        <f>IFERROR(INDEX('Revised 2018 MFAM(2016 PYAs)'!AF$26:AF$266,MATCH(B199,'Revised 2018 MFAM(2016 PYAs)'!B$26:B$266,0)),0)</f>
        <v>118.64888588244503</v>
      </c>
      <c r="W199" s="105">
        <f t="shared" si="47"/>
        <v>2.7787944826922324</v>
      </c>
      <c r="X199" s="105">
        <f t="shared" si="48"/>
        <v>1158.4803706815073</v>
      </c>
      <c r="Y199" s="105"/>
      <c r="Z199" s="106">
        <f t="shared" si="49"/>
        <v>74507.707052740006</v>
      </c>
      <c r="AA199" s="107">
        <v>0</v>
      </c>
      <c r="AB199" s="108">
        <f t="shared" si="50"/>
        <v>0</v>
      </c>
      <c r="AC199" s="108">
        <f>IFERROR(INDEX('Revised 2019 MFAM(2017 PYAs)'!AF$26:AF$270,MATCH(B199,'Revised 2019 MFAM(2017 PYAs)'!B$26:B$270,0)),0)</f>
        <v>125.77488201449829</v>
      </c>
      <c r="AD199" s="216">
        <f>AC199/AC$24*('Revised 2019 MFAM(2017 PYAs)'!AF$24-'2020 Funding'!AC$24)</f>
        <v>0.11523737810495957</v>
      </c>
      <c r="AE199" s="105">
        <f t="shared" si="51"/>
        <v>74633.597172132606</v>
      </c>
      <c r="AF199" s="111"/>
      <c r="AG199" s="105">
        <v>19257.385445854976</v>
      </c>
      <c r="AH199" s="214">
        <v>19257.385445854976</v>
      </c>
      <c r="AI199" s="105">
        <v>19257.385445854976</v>
      </c>
      <c r="AJ199" s="105">
        <f t="shared" si="52"/>
        <v>16861.440834567678</v>
      </c>
    </row>
    <row r="200" spans="2:36" x14ac:dyDescent="0.25">
      <c r="B200">
        <v>404</v>
      </c>
      <c r="C200" s="27">
        <v>8</v>
      </c>
      <c r="D200" s="39" t="s">
        <v>465</v>
      </c>
      <c r="E200" s="162">
        <f>INDEX('2018 Data Lockdown'!H$5:H$255, MATCH(B200,'2018 Data Lockdown'!B$5:B$255,0))</f>
        <v>471.43130890795055</v>
      </c>
      <c r="F200" s="5">
        <f>INDEX('2018 Data Lockdown'!E$5:E$255,MATCH(B200,'2018 Data Lockdown'!B$5:B$255,0))</f>
        <v>260768.05</v>
      </c>
      <c r="G200" s="5">
        <f>INDEX('2018 Data Lockdown'!F$5:F$255, MATCH(B200,'2018 Data Lockdown'!B$5:B$255,0))</f>
        <v>28484.19</v>
      </c>
      <c r="H200" s="5">
        <f t="shared" si="36"/>
        <v>232283.86</v>
      </c>
      <c r="I200" s="103">
        <f t="shared" si="37"/>
        <v>492.72047827725976</v>
      </c>
      <c r="J200" s="6">
        <f t="shared" si="38"/>
        <v>492.72047827725976</v>
      </c>
      <c r="K200" s="5">
        <f t="shared" si="39"/>
        <v>232283.86</v>
      </c>
      <c r="L200" s="140">
        <f>INDEX('2018 Best Practice Scores'!M$4:M$255,MATCH(B200,'2018 Best Practice Scores'!A$4:A$255,0))</f>
        <v>0.3676875</v>
      </c>
      <c r="M200" s="105">
        <f t="shared" si="40"/>
        <v>51183.07347258809</v>
      </c>
      <c r="N200" s="105">
        <f t="shared" si="41"/>
        <v>26641.671247794617</v>
      </c>
      <c r="O200" s="105">
        <f t="shared" si="42"/>
        <v>5645.8128982356693</v>
      </c>
      <c r="P200" s="105">
        <f t="shared" si="43"/>
        <v>2917.7307696958146</v>
      </c>
      <c r="Q200" s="105">
        <f t="shared" si="44"/>
        <v>86388.288388314191</v>
      </c>
      <c r="R200" s="112">
        <f t="shared" si="45"/>
        <v>0.37190826942652921</v>
      </c>
      <c r="S200" s="175">
        <f t="shared" si="46"/>
        <v>86388.288388314191</v>
      </c>
      <c r="T200" s="105"/>
      <c r="U200" s="105">
        <f>IFERROR(INDEX('Revised 2019 MFAM(2017 PYAs)'!AD$26:AD$270,MATCH(B200,'Revised 2019 MFAM(2017 PYAs)'!B$26:B$270,0)),0)</f>
        <v>1265.2170066140243</v>
      </c>
      <c r="V200" s="105">
        <f>IFERROR(INDEX('Revised 2018 MFAM(2016 PYAs)'!AF$26:AF$266,MATCH(B200,'Revised 2018 MFAM(2016 PYAs)'!B$26:B$266,0)),0)</f>
        <v>436.03418831601448</v>
      </c>
      <c r="W200" s="105">
        <f t="shared" si="47"/>
        <v>3.2727720522974688</v>
      </c>
      <c r="X200" s="105">
        <f t="shared" si="48"/>
        <v>1704.5239669823363</v>
      </c>
      <c r="Y200" s="105"/>
      <c r="Z200" s="106">
        <f t="shared" si="49"/>
        <v>88092.812355296526</v>
      </c>
      <c r="AA200" s="107">
        <v>0</v>
      </c>
      <c r="AB200" s="108">
        <f t="shared" si="50"/>
        <v>0</v>
      </c>
      <c r="AC200" s="108">
        <f>IFERROR(INDEX('Revised 2019 MFAM(2017 PYAs)'!AF$26:AF$270,MATCH(B200,'Revised 2019 MFAM(2017 PYAs)'!B$26:B$270,0)),0)</f>
        <v>169.76407020431691</v>
      </c>
      <c r="AD200" s="216">
        <f>AC200/AC$24*('Revised 2019 MFAM(2017 PYAs)'!AF$24-'2020 Funding'!AC$24)</f>
        <v>0.15554112262666794</v>
      </c>
      <c r="AE200" s="105">
        <f t="shared" si="51"/>
        <v>88262.731966623469</v>
      </c>
      <c r="AF200" s="111"/>
      <c r="AG200" s="105">
        <v>22765.37310612739</v>
      </c>
      <c r="AH200" s="214">
        <v>22765.37310612739</v>
      </c>
      <c r="AI200" s="105">
        <v>22765.37310612739</v>
      </c>
      <c r="AJ200" s="105">
        <f t="shared" si="52"/>
        <v>19966.612648241306</v>
      </c>
    </row>
    <row r="201" spans="2:36" x14ac:dyDescent="0.25">
      <c r="B201">
        <v>413</v>
      </c>
      <c r="C201" s="27">
        <v>8</v>
      </c>
      <c r="D201" s="39" t="s">
        <v>466</v>
      </c>
      <c r="E201" s="162">
        <f>INDEX('2018 Data Lockdown'!H$5:H$255, MATCH(B201,'2018 Data Lockdown'!B$5:B$255,0))</f>
        <v>73.969999999999985</v>
      </c>
      <c r="F201" s="5">
        <f>INDEX('2018 Data Lockdown'!E$5:E$255,MATCH(B201,'2018 Data Lockdown'!B$5:B$255,0))</f>
        <v>59936.91</v>
      </c>
      <c r="G201" s="5">
        <f>INDEX('2018 Data Lockdown'!F$5:F$255, MATCH(B201,'2018 Data Lockdown'!B$5:B$255,0))</f>
        <v>95</v>
      </c>
      <c r="H201" s="5">
        <f t="shared" si="36"/>
        <v>59841.91</v>
      </c>
      <c r="I201" s="103">
        <f t="shared" si="37"/>
        <v>809.00243341895384</v>
      </c>
      <c r="J201" s="6">
        <f t="shared" si="38"/>
        <v>809.00243341895384</v>
      </c>
      <c r="K201" s="5">
        <f t="shared" si="39"/>
        <v>59841.91</v>
      </c>
      <c r="L201" s="140">
        <f>INDEX('2018 Best Practice Scores'!M$4:M$255,MATCH(B201,'2018 Best Practice Scores'!A$4:A$255,0))</f>
        <v>0.46349404761904761</v>
      </c>
      <c r="M201" s="105">
        <f t="shared" si="40"/>
        <v>13185.990952061862</v>
      </c>
      <c r="N201" s="105">
        <f t="shared" si="41"/>
        <v>4180.2154098852052</v>
      </c>
      <c r="O201" s="105">
        <f t="shared" si="42"/>
        <v>1833.4884954717875</v>
      </c>
      <c r="P201" s="105">
        <f t="shared" si="43"/>
        <v>751.67763323877807</v>
      </c>
      <c r="Q201" s="105">
        <f t="shared" si="44"/>
        <v>19951.372490657635</v>
      </c>
      <c r="R201" s="112">
        <f t="shared" si="45"/>
        <v>0.33340133178666315</v>
      </c>
      <c r="S201" s="175">
        <f t="shared" si="46"/>
        <v>19951.372490657635</v>
      </c>
      <c r="T201" s="105"/>
      <c r="U201" s="105">
        <f>IFERROR(INDEX('Revised 2019 MFAM(2017 PYAs)'!AD$26:AD$270,MATCH(B201,'Revised 2019 MFAM(2017 PYAs)'!B$26:B$270,0)),0)</f>
        <v>279.86740021001606</v>
      </c>
      <c r="V201" s="105">
        <f>IFERROR(INDEX('Revised 2018 MFAM(2016 PYAs)'!AF$26:AF$266,MATCH(B201,'Revised 2018 MFAM(2016 PYAs)'!B$26:B$266,0)),0)</f>
        <v>214.9992391870328</v>
      </c>
      <c r="W201" s="105">
        <f t="shared" si="47"/>
        <v>0.75584660271187332</v>
      </c>
      <c r="X201" s="105">
        <f t="shared" si="48"/>
        <v>495.62248599976073</v>
      </c>
      <c r="Y201" s="105"/>
      <c r="Z201" s="106">
        <f t="shared" si="49"/>
        <v>20446.994976657395</v>
      </c>
      <c r="AA201" s="107">
        <v>0</v>
      </c>
      <c r="AB201" s="108">
        <f t="shared" si="50"/>
        <v>0</v>
      </c>
      <c r="AC201" s="108">
        <f>IFERROR(INDEX('Revised 2019 MFAM(2017 PYAs)'!AF$26:AF$270,MATCH(B201,'Revised 2019 MFAM(2017 PYAs)'!B$26:B$270,0)),0)</f>
        <v>37.045016742212162</v>
      </c>
      <c r="AD201" s="216">
        <f>AC201/AC$24*('Revised 2019 MFAM(2017 PYAs)'!AF$24-'2020 Funding'!AC$24)</f>
        <v>3.3941360411968179E-2</v>
      </c>
      <c r="AE201" s="105">
        <f t="shared" si="51"/>
        <v>20484.073934760021</v>
      </c>
      <c r="AF201" s="111"/>
      <c r="AG201" s="105">
        <v>5283.192521832505</v>
      </c>
      <c r="AH201" s="214">
        <v>5283.192521832505</v>
      </c>
      <c r="AI201" s="105">
        <v>5283.192521832505</v>
      </c>
      <c r="AJ201" s="105">
        <f t="shared" si="52"/>
        <v>4634.4963692625061</v>
      </c>
    </row>
    <row r="202" spans="2:36" x14ac:dyDescent="0.25">
      <c r="B202">
        <v>537</v>
      </c>
      <c r="C202" s="27">
        <v>8</v>
      </c>
      <c r="D202" s="39" t="s">
        <v>467</v>
      </c>
      <c r="E202" s="162">
        <f>INDEX('2018 Data Lockdown'!H$5:H$255, MATCH(B202,'2018 Data Lockdown'!B$5:B$255,0))</f>
        <v>21.43637439455869</v>
      </c>
      <c r="F202" s="5">
        <f>INDEX('2018 Data Lockdown'!E$5:E$255,MATCH(B202,'2018 Data Lockdown'!B$5:B$255,0))</f>
        <v>7779.28</v>
      </c>
      <c r="G202" s="5">
        <f>INDEX('2018 Data Lockdown'!F$5:F$255, MATCH(B202,'2018 Data Lockdown'!B$5:B$255,0))</f>
        <v>0</v>
      </c>
      <c r="H202" s="5">
        <f t="shared" si="36"/>
        <v>7779.28</v>
      </c>
      <c r="I202" s="103">
        <f t="shared" si="37"/>
        <v>362.90092050149377</v>
      </c>
      <c r="J202" s="6">
        <f t="shared" si="38"/>
        <v>362.90092050149377</v>
      </c>
      <c r="K202" s="5">
        <f t="shared" si="39"/>
        <v>7779.28</v>
      </c>
      <c r="L202" s="140">
        <f>INDEX('2018 Best Practice Scores'!M$4:M$255,MATCH(B202,'2018 Best Practice Scores'!A$4:A$255,0))</f>
        <v>0.50063690476190481</v>
      </c>
      <c r="M202" s="105">
        <f t="shared" si="40"/>
        <v>1714.1417393521665</v>
      </c>
      <c r="N202" s="105">
        <f t="shared" si="41"/>
        <v>1211.4189884575219</v>
      </c>
      <c r="O202" s="105">
        <f t="shared" si="42"/>
        <v>257.44878441373692</v>
      </c>
      <c r="P202" s="105">
        <f t="shared" si="43"/>
        <v>97.715978295174082</v>
      </c>
      <c r="Q202" s="105">
        <f t="shared" si="44"/>
        <v>3280.7254905185996</v>
      </c>
      <c r="R202" s="112">
        <f t="shared" si="45"/>
        <v>0.42172610968092161</v>
      </c>
      <c r="S202" s="175">
        <f t="shared" si="46"/>
        <v>3280.7254905185996</v>
      </c>
      <c r="T202" s="105"/>
      <c r="U202" s="105">
        <f>IFERROR(INDEX('Revised 2019 MFAM(2017 PYAs)'!AD$26:AD$270,MATCH(B202,'Revised 2019 MFAM(2017 PYAs)'!B$26:B$270,0)),0)</f>
        <v>53.849484879471675</v>
      </c>
      <c r="V202" s="105">
        <f>IFERROR(INDEX('Revised 2018 MFAM(2016 PYAs)'!AF$26:AF$266,MATCH(B202,'Revised 2018 MFAM(2016 PYAs)'!B$26:B$266,0)),0)</f>
        <v>71.305051940661542</v>
      </c>
      <c r="W202" s="105">
        <f t="shared" si="47"/>
        <v>0.1242884527167179</v>
      </c>
      <c r="X202" s="105">
        <f t="shared" si="48"/>
        <v>125.27882527284993</v>
      </c>
      <c r="Y202" s="105"/>
      <c r="Z202" s="106">
        <f t="shared" si="49"/>
        <v>3406.0043157914497</v>
      </c>
      <c r="AA202" s="107">
        <v>0</v>
      </c>
      <c r="AB202" s="108">
        <f t="shared" si="50"/>
        <v>0</v>
      </c>
      <c r="AC202" s="108">
        <f>IFERROR(INDEX('Revised 2019 MFAM(2017 PYAs)'!AF$26:AF$270,MATCH(B202,'Revised 2019 MFAM(2017 PYAs)'!B$26:B$270,0)),0)</f>
        <v>7.560330214243713</v>
      </c>
      <c r="AD202" s="216">
        <f>AC202/AC$24*('Revised 2019 MFAM(2017 PYAs)'!AF$24-'2020 Funding'!AC$24)</f>
        <v>6.9269206819587729E-3</v>
      </c>
      <c r="AE202" s="105">
        <f t="shared" si="51"/>
        <v>3413.5715729263752</v>
      </c>
      <c r="AF202" s="111"/>
      <c r="AG202" s="105">
        <v>879.67943827119245</v>
      </c>
      <c r="AH202" s="214">
        <v>879.67943827119245</v>
      </c>
      <c r="AI202" s="105">
        <v>879.67943827119245</v>
      </c>
      <c r="AJ202" s="105">
        <f t="shared" si="52"/>
        <v>774.53325811279808</v>
      </c>
    </row>
    <row r="203" spans="2:36" x14ac:dyDescent="0.25">
      <c r="B203">
        <v>545</v>
      </c>
      <c r="C203" s="27">
        <v>8</v>
      </c>
      <c r="D203" s="39" t="s">
        <v>468</v>
      </c>
      <c r="E203" s="162">
        <f>INDEX('2018 Data Lockdown'!H$5:H$255, MATCH(B203,'2018 Data Lockdown'!B$5:B$255,0))</f>
        <v>14.770835019629734</v>
      </c>
      <c r="F203" s="5">
        <f>INDEX('2018 Data Lockdown'!E$5:E$255,MATCH(B203,'2018 Data Lockdown'!B$5:B$255,0))</f>
        <v>6792.3</v>
      </c>
      <c r="G203" s="5">
        <f>INDEX('2018 Data Lockdown'!F$5:F$255, MATCH(B203,'2018 Data Lockdown'!B$5:B$255,0))</f>
        <v>0</v>
      </c>
      <c r="H203" s="5">
        <f t="shared" si="36"/>
        <v>6792.3</v>
      </c>
      <c r="I203" s="103">
        <f t="shared" si="37"/>
        <v>459.84536358123006</v>
      </c>
      <c r="J203" s="6">
        <f t="shared" si="38"/>
        <v>459.84536358123006</v>
      </c>
      <c r="K203" s="5">
        <f t="shared" si="39"/>
        <v>6792.3</v>
      </c>
      <c r="L203" s="140">
        <f>INDEX('2018 Best Practice Scores'!M$4:M$255,MATCH(B203,'2018 Best Practice Scores'!A$4:A$255,0))</f>
        <v>0.55693238095238096</v>
      </c>
      <c r="M203" s="105">
        <f t="shared" si="40"/>
        <v>1496.6635647774242</v>
      </c>
      <c r="N203" s="105">
        <f t="shared" si="41"/>
        <v>834.73397547557488</v>
      </c>
      <c r="O203" s="105">
        <f t="shared" si="42"/>
        <v>250.06212078485063</v>
      </c>
      <c r="P203" s="105">
        <f t="shared" si="43"/>
        <v>85.318466410041921</v>
      </c>
      <c r="Q203" s="105">
        <f t="shared" si="44"/>
        <v>2666.7781274478916</v>
      </c>
      <c r="R203" s="112">
        <f t="shared" si="45"/>
        <v>0.39261783599780509</v>
      </c>
      <c r="S203" s="175">
        <f t="shared" si="46"/>
        <v>2666.7781274478916</v>
      </c>
      <c r="T203" s="105"/>
      <c r="U203" s="105">
        <f>IFERROR(INDEX('Revised 2019 MFAM(2017 PYAs)'!AD$26:AD$270,MATCH(B203,'Revised 2019 MFAM(2017 PYAs)'!B$26:B$270,0)),0)</f>
        <v>34.406886157047211</v>
      </c>
      <c r="V203" s="105">
        <f>IFERROR(INDEX('Revised 2018 MFAM(2016 PYAs)'!AF$26:AF$266,MATCH(B203,'Revised 2018 MFAM(2016 PYAs)'!B$26:B$266,0)),0)</f>
        <v>64.914082854645585</v>
      </c>
      <c r="W203" s="105">
        <f t="shared" si="47"/>
        <v>0.10102939979501027</v>
      </c>
      <c r="X203" s="105">
        <f t="shared" si="48"/>
        <v>99.421998411487806</v>
      </c>
      <c r="Y203" s="105"/>
      <c r="Z203" s="106">
        <f t="shared" si="49"/>
        <v>2766.2001258593796</v>
      </c>
      <c r="AA203" s="107">
        <v>0</v>
      </c>
      <c r="AB203" s="108">
        <f t="shared" si="50"/>
        <v>0</v>
      </c>
      <c r="AC203" s="108">
        <f>IFERROR(INDEX('Revised 2019 MFAM(2017 PYAs)'!AF$26:AF$270,MATCH(B203,'Revised 2019 MFAM(2017 PYAs)'!B$26:B$270,0)),0)</f>
        <v>4.8837656958436462</v>
      </c>
      <c r="AD203" s="216">
        <f>AC203/AC$24*('Revised 2019 MFAM(2017 PYAs)'!AF$24-'2020 Funding'!AC$24)</f>
        <v>4.4746005327446154E-3</v>
      </c>
      <c r="AE203" s="105">
        <f t="shared" si="51"/>
        <v>2771.0883661557559</v>
      </c>
      <c r="AF203" s="111"/>
      <c r="AG203" s="105">
        <v>709.63156067472369</v>
      </c>
      <c r="AH203" s="214">
        <v>709.63156067472369</v>
      </c>
      <c r="AI203" s="105">
        <v>709.63156067472369</v>
      </c>
      <c r="AJ203" s="105">
        <f t="shared" si="52"/>
        <v>642.19368413158509</v>
      </c>
    </row>
    <row r="204" spans="2:36" x14ac:dyDescent="0.25">
      <c r="B204">
        <v>602</v>
      </c>
      <c r="C204" s="27">
        <v>8</v>
      </c>
      <c r="D204" s="39" t="s">
        <v>469</v>
      </c>
      <c r="E204" s="162">
        <f>INDEX('2018 Data Lockdown'!H$5:H$255, MATCH(B204,'2018 Data Lockdown'!B$5:B$255,0))</f>
        <v>12.767721505092435</v>
      </c>
      <c r="F204" s="5">
        <f>INDEX('2018 Data Lockdown'!E$5:E$255,MATCH(B204,'2018 Data Lockdown'!B$5:B$255,0))</f>
        <v>15846.15</v>
      </c>
      <c r="G204" s="5">
        <f>INDEX('2018 Data Lockdown'!F$5:F$255, MATCH(B204,'2018 Data Lockdown'!B$5:B$255,0))</f>
        <v>0</v>
      </c>
      <c r="H204" s="5">
        <f t="shared" si="36"/>
        <v>15846.15</v>
      </c>
      <c r="I204" s="103">
        <f t="shared" si="37"/>
        <v>1241.1102477195893</v>
      </c>
      <c r="J204" s="6">
        <f t="shared" si="38"/>
        <v>1241.1102477195893</v>
      </c>
      <c r="K204" s="5">
        <f t="shared" si="39"/>
        <v>15846.15</v>
      </c>
      <c r="L204" s="140">
        <f>INDEX('2018 Best Practice Scores'!M$4:M$255,MATCH(B204,'2018 Best Practice Scores'!A$4:A$255,0))</f>
        <v>0.611375</v>
      </c>
      <c r="M204" s="105">
        <f t="shared" si="40"/>
        <v>3491.6530993916317</v>
      </c>
      <c r="N204" s="105">
        <f t="shared" si="41"/>
        <v>721.53340793173095</v>
      </c>
      <c r="O204" s="105">
        <f t="shared" si="42"/>
        <v>640.41282409216763</v>
      </c>
      <c r="P204" s="105">
        <f t="shared" si="43"/>
        <v>199.04439092847576</v>
      </c>
      <c r="Q204" s="105">
        <f t="shared" si="44"/>
        <v>5052.6437223440062</v>
      </c>
      <c r="R204" s="112">
        <f t="shared" si="45"/>
        <v>0.31885623462759133</v>
      </c>
      <c r="S204" s="175">
        <f t="shared" si="46"/>
        <v>5052.6437223440062</v>
      </c>
      <c r="T204" s="105"/>
      <c r="U204" s="105">
        <f>IFERROR(INDEX('Revised 2019 MFAM(2017 PYAs)'!AD$26:AD$270,MATCH(B204,'Revised 2019 MFAM(2017 PYAs)'!B$26:B$270,0)),0)</f>
        <v>-1979.3370147641836</v>
      </c>
      <c r="V204" s="105">
        <f>IFERROR(INDEX('Revised 2018 MFAM(2016 PYAs)'!AF$26:AF$266,MATCH(B204,'Revised 2018 MFAM(2016 PYAs)'!B$26:B$266,0)),0)</f>
        <v>0</v>
      </c>
      <c r="W204" s="105">
        <f t="shared" si="47"/>
        <v>0.19141658520161831</v>
      </c>
      <c r="X204" s="105">
        <f t="shared" si="48"/>
        <v>-1979.145598178982</v>
      </c>
      <c r="Y204" s="105"/>
      <c r="Z204" s="106">
        <f t="shared" si="49"/>
        <v>3073.4981241650239</v>
      </c>
      <c r="AA204" s="107">
        <v>0</v>
      </c>
      <c r="AB204" s="108">
        <f t="shared" si="50"/>
        <v>0</v>
      </c>
      <c r="AC204" s="108">
        <f>IFERROR(INDEX('Revised 2019 MFAM(2017 PYAs)'!AF$26:AF$270,MATCH(B204,'Revised 2019 MFAM(2017 PYAs)'!B$26:B$270,0)),0)</f>
        <v>7.5570395559535424</v>
      </c>
      <c r="AD204" s="216">
        <f>AC204/AC$24*('Revised 2019 MFAM(2017 PYAs)'!AF$24-'2020 Funding'!AC$24)</f>
        <v>6.9239057172255534E-3</v>
      </c>
      <c r="AE204" s="105">
        <f t="shared" si="51"/>
        <v>3081.0620876266944</v>
      </c>
      <c r="AF204" s="111"/>
      <c r="AG204" s="105">
        <v>811.7967346215213</v>
      </c>
      <c r="AH204" s="214">
        <v>811.7967346215213</v>
      </c>
      <c r="AI204" s="105">
        <v>811.7967346215213</v>
      </c>
      <c r="AJ204" s="105">
        <f t="shared" si="52"/>
        <v>645.67188376213028</v>
      </c>
    </row>
    <row r="205" spans="2:36" x14ac:dyDescent="0.25">
      <c r="B205">
        <v>605</v>
      </c>
      <c r="C205" s="44">
        <v>8</v>
      </c>
      <c r="D205" s="39" t="s">
        <v>470</v>
      </c>
      <c r="E205" s="162">
        <f>INDEX('2018 Data Lockdown'!H$5:H$255, MATCH(B205,'2018 Data Lockdown'!B$5:B$255,0))</f>
        <v>10.431092897352221</v>
      </c>
      <c r="F205" s="5">
        <f>INDEX('2018 Data Lockdown'!E$5:E$255,MATCH(B205,'2018 Data Lockdown'!B$5:B$255,0))</f>
        <v>7392.31</v>
      </c>
      <c r="G205" s="5">
        <f>INDEX('2018 Data Lockdown'!F$5:F$255, MATCH(B205,'2018 Data Lockdown'!B$5:B$255,0))</f>
        <v>0</v>
      </c>
      <c r="H205" s="5">
        <f t="shared" si="36"/>
        <v>7392.31</v>
      </c>
      <c r="I205" s="103">
        <f t="shared" si="37"/>
        <v>708.68029579876804</v>
      </c>
      <c r="J205" s="6">
        <f t="shared" si="38"/>
        <v>708.68029579876804</v>
      </c>
      <c r="K205" s="5">
        <f t="shared" si="39"/>
        <v>7392.31</v>
      </c>
      <c r="L205" s="140">
        <f>INDEX('2018 Best Practice Scores'!M$4:M$255,MATCH(B205,'2018 Best Practice Scores'!A$4:A$255,0))</f>
        <v>0.30421428571428571</v>
      </c>
      <c r="M205" s="105">
        <f t="shared" si="40"/>
        <v>1628.8740244894661</v>
      </c>
      <c r="N205" s="105">
        <f t="shared" si="41"/>
        <v>589.48513277620498</v>
      </c>
      <c r="O205" s="105">
        <f t="shared" si="42"/>
        <v>148.65802436358504</v>
      </c>
      <c r="P205" s="105">
        <f t="shared" si="43"/>
        <v>92.855226127764837</v>
      </c>
      <c r="Q205" s="105">
        <f t="shared" si="44"/>
        <v>2459.8724077570209</v>
      </c>
      <c r="R205" s="112">
        <f t="shared" si="45"/>
        <v>0.33276099186276292</v>
      </c>
      <c r="S205" s="175">
        <f t="shared" si="46"/>
        <v>2459.8724077570209</v>
      </c>
      <c r="T205" s="105"/>
      <c r="U205" s="105">
        <f>IFERROR(INDEX('Revised 2019 MFAM(2017 PYAs)'!AD$26:AD$270,MATCH(B205,'Revised 2019 MFAM(2017 PYAs)'!B$26:B$270,0)),0)</f>
        <v>48.106786775930686</v>
      </c>
      <c r="V205" s="105">
        <f>IFERROR(INDEX('Revised 2018 MFAM(2016 PYAs)'!AF$26:AF$266,MATCH(B205,'Revised 2018 MFAM(2016 PYAs)'!B$26:B$266,0)),0)</f>
        <v>86.978948859876255</v>
      </c>
      <c r="W205" s="105">
        <f t="shared" si="47"/>
        <v>9.3190892174382672E-2</v>
      </c>
      <c r="X205" s="105">
        <f t="shared" si="48"/>
        <v>135.17892652798133</v>
      </c>
      <c r="Y205" s="105"/>
      <c r="Z205" s="106">
        <f t="shared" si="49"/>
        <v>2595.0513342850022</v>
      </c>
      <c r="AA205" s="107">
        <v>0</v>
      </c>
      <c r="AB205" s="108">
        <f t="shared" si="50"/>
        <v>0</v>
      </c>
      <c r="AC205" s="108">
        <f>IFERROR(INDEX('Revised 2019 MFAM(2017 PYAs)'!AF$26:AF$270,MATCH(B205,'Revised 2019 MFAM(2017 PYAs)'!B$26:B$270,0)),0)</f>
        <v>6.7722982465143247</v>
      </c>
      <c r="AD205" s="216">
        <f>AC205/AC$24*('Revised 2019 MFAM(2017 PYAs)'!AF$24-'2020 Funding'!AC$24)</f>
        <v>6.2049105606250161E-3</v>
      </c>
      <c r="AE205" s="105">
        <f t="shared" si="51"/>
        <v>2601.829837442077</v>
      </c>
      <c r="AF205" s="111"/>
      <c r="AG205" s="105">
        <v>664.64784711672939</v>
      </c>
      <c r="AH205" s="214">
        <v>664.64784711672939</v>
      </c>
      <c r="AI205" s="105">
        <v>664.64784711672939</v>
      </c>
      <c r="AJ205" s="105">
        <f t="shared" si="52"/>
        <v>607.88629609188899</v>
      </c>
    </row>
    <row r="206" spans="2:36" x14ac:dyDescent="0.25">
      <c r="B206">
        <v>607</v>
      </c>
      <c r="C206" s="27">
        <v>8</v>
      </c>
      <c r="D206" s="39" t="s">
        <v>471</v>
      </c>
      <c r="E206" s="162">
        <f>INDEX('2018 Data Lockdown'!H$5:H$255, MATCH(B206,'2018 Data Lockdown'!B$5:B$255,0))</f>
        <v>15.646639346028332</v>
      </c>
      <c r="F206" s="5">
        <f>INDEX('2018 Data Lockdown'!E$5:E$255,MATCH(B206,'2018 Data Lockdown'!B$5:B$255,0))</f>
        <v>11273.44</v>
      </c>
      <c r="G206" s="5">
        <f>INDEX('2018 Data Lockdown'!F$5:F$255, MATCH(B206,'2018 Data Lockdown'!B$5:B$255,0))</f>
        <v>0</v>
      </c>
      <c r="H206" s="5">
        <f t="shared" si="36"/>
        <v>11273.44</v>
      </c>
      <c r="I206" s="103">
        <f t="shared" si="37"/>
        <v>720.50232325841887</v>
      </c>
      <c r="J206" s="6">
        <f t="shared" si="38"/>
        <v>720.50232325841887</v>
      </c>
      <c r="K206" s="5">
        <f t="shared" si="39"/>
        <v>11273.44</v>
      </c>
      <c r="L206" s="140">
        <f>INDEX('2018 Best Practice Scores'!M$4:M$255,MATCH(B206,'2018 Best Practice Scores'!A$4:A$255,0))</f>
        <v>0.26264285714285712</v>
      </c>
      <c r="M206" s="105">
        <f t="shared" si="40"/>
        <v>2484.0697403978629</v>
      </c>
      <c r="N206" s="105">
        <f t="shared" si="41"/>
        <v>884.22769916430752</v>
      </c>
      <c r="O206" s="105">
        <f t="shared" si="42"/>
        <v>195.726952188063</v>
      </c>
      <c r="P206" s="105">
        <f t="shared" si="43"/>
        <v>141.60632068159873</v>
      </c>
      <c r="Q206" s="105">
        <f t="shared" si="44"/>
        <v>3705.6307124318323</v>
      </c>
      <c r="R206" s="112">
        <f t="shared" si="45"/>
        <v>0.32870452252656085</v>
      </c>
      <c r="S206" s="175">
        <f t="shared" si="46"/>
        <v>3705.6307124318323</v>
      </c>
      <c r="T206" s="105"/>
      <c r="U206" s="105">
        <f>IFERROR(INDEX('Revised 2019 MFAM(2017 PYAs)'!AD$26:AD$270,MATCH(B206,'Revised 2019 MFAM(2017 PYAs)'!B$26:B$270,0)),0)</f>
        <v>75.287031417829894</v>
      </c>
      <c r="V206" s="105">
        <f>IFERROR(INDEX('Revised 2018 MFAM(2016 PYAs)'!AF$26:AF$266,MATCH(B206,'Revised 2018 MFAM(2016 PYAs)'!B$26:B$266,0)),0)</f>
        <v>100.93503242575252</v>
      </c>
      <c r="W206" s="105">
        <f t="shared" si="47"/>
        <v>0.1403857497126032</v>
      </c>
      <c r="X206" s="105">
        <f t="shared" si="48"/>
        <v>176.36244959329503</v>
      </c>
      <c r="Y206" s="105"/>
      <c r="Z206" s="106">
        <f t="shared" si="49"/>
        <v>3881.9931620251273</v>
      </c>
      <c r="AA206" s="107">
        <v>0</v>
      </c>
      <c r="AB206" s="108">
        <f t="shared" si="50"/>
        <v>0</v>
      </c>
      <c r="AC206" s="108">
        <f>IFERROR(INDEX('Revised 2019 MFAM(2017 PYAs)'!AF$26:AF$270,MATCH(B206,'Revised 2019 MFAM(2017 PYAs)'!B$26:B$270,0)),0)</f>
        <v>10.370957369480305</v>
      </c>
      <c r="AD206" s="216">
        <f>AC206/AC$24*('Revised 2019 MFAM(2017 PYAs)'!AF$24-'2020 Funding'!AC$24)</f>
        <v>9.502071610446472E-3</v>
      </c>
      <c r="AE206" s="105">
        <f t="shared" si="51"/>
        <v>3892.3736214662181</v>
      </c>
      <c r="AF206" s="111"/>
      <c r="AG206" s="105">
        <v>1002.3420946181575</v>
      </c>
      <c r="AH206" s="214">
        <v>1002.3420946181575</v>
      </c>
      <c r="AI206" s="105">
        <v>1002.3420946181575</v>
      </c>
      <c r="AJ206" s="105">
        <f t="shared" si="52"/>
        <v>885.34733761174584</v>
      </c>
    </row>
    <row r="207" spans="2:36" x14ac:dyDescent="0.25">
      <c r="B207">
        <v>610</v>
      </c>
      <c r="C207" s="27">
        <v>8</v>
      </c>
      <c r="D207" s="39" t="s">
        <v>472</v>
      </c>
      <c r="E207" s="162">
        <f>INDEX('2018 Data Lockdown'!H$5:H$255, MATCH(B207,'2018 Data Lockdown'!B$5:B$255,0))</f>
        <v>73.259013247540878</v>
      </c>
      <c r="F207" s="5">
        <f>INDEX('2018 Data Lockdown'!E$5:E$255,MATCH(B207,'2018 Data Lockdown'!B$5:B$255,0))</f>
        <v>31778.68</v>
      </c>
      <c r="G207" s="5">
        <f>INDEX('2018 Data Lockdown'!F$5:F$255, MATCH(B207,'2018 Data Lockdown'!B$5:B$255,0))</f>
        <v>0</v>
      </c>
      <c r="H207" s="5">
        <f t="shared" si="36"/>
        <v>31778.68</v>
      </c>
      <c r="I207" s="103">
        <f t="shared" si="37"/>
        <v>433.78525851311178</v>
      </c>
      <c r="J207" s="6">
        <f t="shared" si="38"/>
        <v>433.78525851311178</v>
      </c>
      <c r="K207" s="5">
        <f t="shared" si="39"/>
        <v>31778.68</v>
      </c>
      <c r="L207" s="140">
        <f>INDEX('2018 Best Practice Scores'!M$4:M$255,MATCH(B207,'2018 Best Practice Scores'!A$4:A$255,0))</f>
        <v>0.24982738095238097</v>
      </c>
      <c r="M207" s="105">
        <f t="shared" si="40"/>
        <v>7002.3397807401079</v>
      </c>
      <c r="N207" s="105">
        <f t="shared" si="41"/>
        <v>4140.035907670067</v>
      </c>
      <c r="O207" s="105">
        <f t="shared" si="42"/>
        <v>524.81286238829114</v>
      </c>
      <c r="P207" s="105">
        <f t="shared" si="43"/>
        <v>399.17380594724489</v>
      </c>
      <c r="Q207" s="105">
        <f t="shared" si="44"/>
        <v>12066.362356745711</v>
      </c>
      <c r="R207" s="112">
        <f t="shared" si="45"/>
        <v>0.37969992324242891</v>
      </c>
      <c r="S207" s="175">
        <f t="shared" si="46"/>
        <v>12066.362356745711</v>
      </c>
      <c r="T207" s="105"/>
      <c r="U207" s="105">
        <f>IFERROR(INDEX('Revised 2019 MFAM(2017 PYAs)'!AD$26:AD$270,MATCH(B207,'Revised 2019 MFAM(2017 PYAs)'!B$26:B$270,0)),0)</f>
        <v>136.68423863660064</v>
      </c>
      <c r="V207" s="105">
        <f>IFERROR(INDEX('Revised 2018 MFAM(2016 PYAs)'!AF$26:AF$266,MATCH(B207,'Revised 2018 MFAM(2016 PYAs)'!B$26:B$266,0)),0)</f>
        <v>366.632704353382</v>
      </c>
      <c r="W207" s="105">
        <f t="shared" si="47"/>
        <v>0.45712739806283154</v>
      </c>
      <c r="X207" s="105">
        <f t="shared" si="48"/>
        <v>503.77407038804546</v>
      </c>
      <c r="Y207" s="105"/>
      <c r="Z207" s="106">
        <f t="shared" si="49"/>
        <v>12570.136427133757</v>
      </c>
      <c r="AA207" s="107">
        <v>0</v>
      </c>
      <c r="AB207" s="108">
        <f t="shared" si="50"/>
        <v>0</v>
      </c>
      <c r="AC207" s="108">
        <f>IFERROR(INDEX('Revised 2019 MFAM(2017 PYAs)'!AF$26:AF$270,MATCH(B207,'Revised 2019 MFAM(2017 PYAs)'!B$26:B$270,0)),0)</f>
        <v>20.154292373253185</v>
      </c>
      <c r="AD207" s="216">
        <f>AC207/AC$24*('Revised 2019 MFAM(2017 PYAs)'!AF$24-'2020 Funding'!AC$24)</f>
        <v>1.8465752250809174E-2</v>
      </c>
      <c r="AE207" s="105">
        <f t="shared" si="51"/>
        <v>12590.309185259262</v>
      </c>
      <c r="AF207" s="111"/>
      <c r="AG207" s="105">
        <v>3246.1931165930214</v>
      </c>
      <c r="AH207" s="214">
        <v>3246.1931165930214</v>
      </c>
      <c r="AI207" s="105">
        <v>3246.1931165930214</v>
      </c>
      <c r="AJ207" s="105">
        <f t="shared" si="52"/>
        <v>2851.7298354801974</v>
      </c>
    </row>
    <row r="208" spans="2:36" x14ac:dyDescent="0.25">
      <c r="B208">
        <v>611</v>
      </c>
      <c r="C208" s="27">
        <v>8</v>
      </c>
      <c r="D208" s="39" t="s">
        <v>473</v>
      </c>
      <c r="E208" s="162">
        <f>INDEX('2018 Data Lockdown'!H$5:H$255, MATCH(B208,'2018 Data Lockdown'!B$5:B$255,0))</f>
        <v>19.550165032086241</v>
      </c>
      <c r="F208" s="5">
        <f>INDEX('2018 Data Lockdown'!E$5:E$255,MATCH(B208,'2018 Data Lockdown'!B$5:B$255,0))</f>
        <v>31143.71</v>
      </c>
      <c r="G208" s="5">
        <f>INDEX('2018 Data Lockdown'!F$5:F$255, MATCH(B208,'2018 Data Lockdown'!B$5:B$255,0))</f>
        <v>0</v>
      </c>
      <c r="H208" s="5">
        <f t="shared" si="36"/>
        <v>31143.71</v>
      </c>
      <c r="I208" s="103">
        <f t="shared" si="37"/>
        <v>1593.0151970014642</v>
      </c>
      <c r="J208" s="6">
        <f t="shared" si="38"/>
        <v>1593.0151970014642</v>
      </c>
      <c r="K208" s="5">
        <f t="shared" si="39"/>
        <v>31143.71</v>
      </c>
      <c r="L208" s="140">
        <f>INDEX('2018 Best Practice Scores'!M$4:M$255,MATCH(B208,'2018 Best Practice Scores'!A$4:A$255,0))</f>
        <v>0.53668749999999998</v>
      </c>
      <c r="M208" s="105">
        <f t="shared" si="40"/>
        <v>6862.425986631084</v>
      </c>
      <c r="N208" s="105">
        <f t="shared" si="41"/>
        <v>1104.8249443412981</v>
      </c>
      <c r="O208" s="105">
        <f t="shared" si="42"/>
        <v>1104.893474010021</v>
      </c>
      <c r="P208" s="105">
        <f t="shared" si="43"/>
        <v>391.19791168221178</v>
      </c>
      <c r="Q208" s="105">
        <f t="shared" si="44"/>
        <v>9463.3423166646135</v>
      </c>
      <c r="R208" s="112">
        <f t="shared" si="45"/>
        <v>0.30386046866813921</v>
      </c>
      <c r="S208" s="175">
        <f t="shared" si="46"/>
        <v>9463.3423166646135</v>
      </c>
      <c r="T208" s="105"/>
      <c r="U208" s="105">
        <f>IFERROR(INDEX('Revised 2019 MFAM(2017 PYAs)'!AD$26:AD$270,MATCH(B208,'Revised 2019 MFAM(2017 PYAs)'!B$26:B$270,0)),0)</f>
        <v>159.83761411531486</v>
      </c>
      <c r="V208" s="105">
        <f>IFERROR(INDEX('Revised 2018 MFAM(2016 PYAs)'!AF$26:AF$266,MATCH(B208,'Revised 2018 MFAM(2016 PYAs)'!B$26:B$266,0)),0)</f>
        <v>174.32402942422505</v>
      </c>
      <c r="W208" s="105">
        <f t="shared" si="47"/>
        <v>0.35851343779480938</v>
      </c>
      <c r="X208" s="105">
        <f t="shared" si="48"/>
        <v>334.52015697733469</v>
      </c>
      <c r="Y208" s="105"/>
      <c r="Z208" s="106">
        <f t="shared" si="49"/>
        <v>9797.8624736419479</v>
      </c>
      <c r="AA208" s="107">
        <v>0</v>
      </c>
      <c r="AB208" s="108">
        <f t="shared" si="50"/>
        <v>0</v>
      </c>
      <c r="AC208" s="108">
        <f>IFERROR(INDEX('Revised 2019 MFAM(2017 PYAs)'!AF$26:AF$270,MATCH(B208,'Revised 2019 MFAM(2017 PYAs)'!B$26:B$270,0)),0)</f>
        <v>17.648820654147947</v>
      </c>
      <c r="AD208" s="216">
        <f>AC208/AC$24*('Revised 2019 MFAM(2017 PYAs)'!AF$24-'2020 Funding'!AC$24)</f>
        <v>1.6170190631498479E-2</v>
      </c>
      <c r="AE208" s="105">
        <f t="shared" si="51"/>
        <v>9815.5274644867259</v>
      </c>
      <c r="AF208" s="111"/>
      <c r="AG208" s="105">
        <v>2530.8025462244273</v>
      </c>
      <c r="AH208" s="214">
        <v>2530.8025462244273</v>
      </c>
      <c r="AI208" s="105">
        <v>2530.8025462244273</v>
      </c>
      <c r="AJ208" s="105">
        <f t="shared" si="52"/>
        <v>2223.1198258134432</v>
      </c>
    </row>
    <row r="209" spans="2:36" x14ac:dyDescent="0.25">
      <c r="B209">
        <v>616</v>
      </c>
      <c r="C209" s="27">
        <v>8</v>
      </c>
      <c r="D209" s="39" t="s">
        <v>474</v>
      </c>
      <c r="E209" s="162">
        <f>INDEX('2018 Data Lockdown'!H$5:H$255, MATCH(B209,'2018 Data Lockdown'!B$5:B$255,0))</f>
        <v>186.85</v>
      </c>
      <c r="F209" s="5">
        <f>INDEX('2018 Data Lockdown'!E$5:E$255,MATCH(B209,'2018 Data Lockdown'!B$5:B$255,0))</f>
        <v>256312.37</v>
      </c>
      <c r="G209" s="5">
        <f>INDEX('2018 Data Lockdown'!F$5:F$255, MATCH(B209,'2018 Data Lockdown'!B$5:B$255,0))</f>
        <v>0</v>
      </c>
      <c r="H209" s="5">
        <f t="shared" si="36"/>
        <v>256312.37</v>
      </c>
      <c r="I209" s="103">
        <f t="shared" si="37"/>
        <v>1371.7547230398716</v>
      </c>
      <c r="J209" s="6">
        <f t="shared" si="38"/>
        <v>1371.7547230398716</v>
      </c>
      <c r="K209" s="5">
        <f t="shared" si="39"/>
        <v>256312.37</v>
      </c>
      <c r="L209" s="140">
        <f>INDEX('2018 Best Practice Scores'!M$4:M$255,MATCH(B209,'2018 Best Practice Scores'!A$4:A$255,0))</f>
        <v>0.43639285714285708</v>
      </c>
      <c r="M209" s="105">
        <f t="shared" si="40"/>
        <v>56477.68581787467</v>
      </c>
      <c r="N209" s="105">
        <f t="shared" si="41"/>
        <v>10559.324717277961</v>
      </c>
      <c r="O209" s="105">
        <f t="shared" si="42"/>
        <v>7393.9376036636831</v>
      </c>
      <c r="P209" s="105">
        <f t="shared" si="43"/>
        <v>3219.5542497126512</v>
      </c>
      <c r="Q209" s="105">
        <f t="shared" si="44"/>
        <v>77650.502388528956</v>
      </c>
      <c r="R209" s="112">
        <f t="shared" si="45"/>
        <v>0.30295261359617159</v>
      </c>
      <c r="S209" s="175">
        <f t="shared" si="46"/>
        <v>77650.502388528956</v>
      </c>
      <c r="T209" s="105"/>
      <c r="U209" s="105">
        <f>IFERROR(INDEX('Revised 2019 MFAM(2017 PYAs)'!AD$26:AD$270,MATCH(B209,'Revised 2019 MFAM(2017 PYAs)'!B$26:B$270,0)),0)</f>
        <v>1242.4706795514649</v>
      </c>
      <c r="V209" s="105">
        <f>IFERROR(INDEX('Revised 2018 MFAM(2016 PYAs)'!AF$26:AF$266,MATCH(B209,'Revised 2018 MFAM(2016 PYAs)'!B$26:B$266,0)),0)</f>
        <v>252.75825992847967</v>
      </c>
      <c r="W209" s="105">
        <f t="shared" si="47"/>
        <v>2.9417459102987866</v>
      </c>
      <c r="X209" s="105">
        <f t="shared" si="48"/>
        <v>1498.1706853902433</v>
      </c>
      <c r="Y209" s="105"/>
      <c r="Z209" s="106">
        <f t="shared" si="49"/>
        <v>79148.673073919199</v>
      </c>
      <c r="AA209" s="107">
        <v>0</v>
      </c>
      <c r="AB209" s="108">
        <f t="shared" si="50"/>
        <v>0</v>
      </c>
      <c r="AC209" s="108">
        <f>IFERROR(INDEX('Revised 2019 MFAM(2017 PYAs)'!AF$26:AF$270,MATCH(B209,'Revised 2019 MFAM(2017 PYAs)'!B$26:B$270,0)),0)</f>
        <v>140.94789494985292</v>
      </c>
      <c r="AD209" s="216">
        <f>AC209/AC$24*('Revised 2019 MFAM(2017 PYAs)'!AF$24-'2020 Funding'!AC$24)</f>
        <v>0.12913918584763232</v>
      </c>
      <c r="AE209" s="105">
        <f t="shared" si="51"/>
        <v>79289.750108054912</v>
      </c>
      <c r="AF209" s="111"/>
      <c r="AG209" s="105">
        <v>20636.710251201577</v>
      </c>
      <c r="AH209" s="214">
        <v>20636.710251201577</v>
      </c>
      <c r="AI209" s="105">
        <v>20636.710251201577</v>
      </c>
      <c r="AJ209" s="105">
        <f t="shared" si="52"/>
        <v>17379.61935445018</v>
      </c>
    </row>
    <row r="210" spans="2:36" x14ac:dyDescent="0.25">
      <c r="B210">
        <v>637</v>
      </c>
      <c r="C210" s="27">
        <v>8</v>
      </c>
      <c r="D210" s="39" t="s">
        <v>559</v>
      </c>
      <c r="E210" s="162">
        <f>INDEX('2018 Data Lockdown'!H$5:H$255, MATCH(B210,'2018 Data Lockdown'!B$5:B$255,0))</f>
        <v>2.2728298744230755</v>
      </c>
      <c r="F210" s="5">
        <f>INDEX('2018 Data Lockdown'!E$5:E$255,MATCH(B210,'2018 Data Lockdown'!B$5:B$255,0))</f>
        <v>7158.52</v>
      </c>
      <c r="G210" s="5">
        <f>INDEX('2018 Data Lockdown'!F$5:F$255, MATCH(B210,'2018 Data Lockdown'!B$5:B$255,0))</f>
        <v>0</v>
      </c>
      <c r="H210" s="5">
        <f t="shared" si="36"/>
        <v>7158.52</v>
      </c>
      <c r="I210" s="103">
        <f t="shared" si="37"/>
        <v>3149.6066118090275</v>
      </c>
      <c r="J210" s="6">
        <f t="shared" si="38"/>
        <v>1714.0233298154035</v>
      </c>
      <c r="K210" s="5">
        <f t="shared" si="39"/>
        <v>3895.6834294625651</v>
      </c>
      <c r="L210" s="140">
        <f>INDEX('2018 Best Practice Scores'!M$4:M$255,MATCH(B210,'2018 Best Practice Scores'!A$4:A$255,0))</f>
        <v>0.19537500000000002</v>
      </c>
      <c r="M210" s="105">
        <f t="shared" si="40"/>
        <v>858.40252179435299</v>
      </c>
      <c r="N210" s="105">
        <f t="shared" si="41"/>
        <v>128.44286149940245</v>
      </c>
      <c r="O210" s="105">
        <f t="shared" si="42"/>
        <v>50.313117808671521</v>
      </c>
      <c r="P210" s="105">
        <f t="shared" si="43"/>
        <v>48.933901008606632</v>
      </c>
      <c r="Q210" s="105">
        <f t="shared" si="44"/>
        <v>1086.0924021110336</v>
      </c>
      <c r="R210" s="112">
        <f t="shared" si="45"/>
        <v>0.27879380390538233</v>
      </c>
      <c r="S210" s="175">
        <f t="shared" si="46"/>
        <v>1086.0924021110336</v>
      </c>
      <c r="T210" s="105"/>
      <c r="U210" s="105">
        <f>IFERROR(INDEX('Revised 2019 MFAM(2017 PYAs)'!AD$26:AD$270,MATCH(B210,'Revised 2019 MFAM(2017 PYAs)'!B$26:B$270,0)),0)</f>
        <v>0</v>
      </c>
      <c r="V210" s="105">
        <f>IFERROR(INDEX('Revised 2018 MFAM(2016 PYAs)'!AF$26:AF$266,MATCH(B210,'Revised 2018 MFAM(2016 PYAs)'!B$26:B$266,0)),0)</f>
        <v>0</v>
      </c>
      <c r="W210" s="105">
        <f t="shared" si="47"/>
        <v>4.114600400304308E-2</v>
      </c>
      <c r="X210" s="105">
        <f t="shared" si="48"/>
        <v>4.114600400304308E-2</v>
      </c>
      <c r="Y210" s="105"/>
      <c r="Z210" s="106">
        <f t="shared" si="49"/>
        <v>1086.1335481150365</v>
      </c>
      <c r="AA210" s="107">
        <v>0</v>
      </c>
      <c r="AB210" s="108">
        <f t="shared" si="50"/>
        <v>0</v>
      </c>
      <c r="AC210" s="108">
        <f>IFERROR(INDEX('Revised 2019 MFAM(2017 PYAs)'!AF$26:AF$270,MATCH(B210,'Revised 2019 MFAM(2017 PYAs)'!B$26:B$270,0)),0)</f>
        <v>0</v>
      </c>
      <c r="AD210" s="216">
        <f>AC210/AC$24*('Revised 2019 MFAM(2017 PYAs)'!AF$24-'2020 Funding'!AC$24)</f>
        <v>0</v>
      </c>
      <c r="AE210" s="105">
        <f t="shared" si="51"/>
        <v>1086.1335481150365</v>
      </c>
      <c r="AF210" s="111"/>
      <c r="AG210" s="105">
        <v>280.87034971283697</v>
      </c>
      <c r="AH210" s="214">
        <v>280.87034971283697</v>
      </c>
      <c r="AI210" s="105">
        <v>280.87034971283697</v>
      </c>
      <c r="AJ210" s="105">
        <f t="shared" si="52"/>
        <v>243.52249897652564</v>
      </c>
    </row>
    <row r="211" spans="2:36" x14ac:dyDescent="0.25">
      <c r="B211">
        <v>638</v>
      </c>
      <c r="C211" s="27">
        <v>8</v>
      </c>
      <c r="D211" s="39" t="s">
        <v>560</v>
      </c>
      <c r="E211" s="162">
        <f>INDEX('2018 Data Lockdown'!H$5:H$255, MATCH(B211,'2018 Data Lockdown'!B$5:B$255,0))</f>
        <v>10.470967105675433</v>
      </c>
      <c r="F211" s="5">
        <f>INDEX('2018 Data Lockdown'!E$5:E$255,MATCH(B211,'2018 Data Lockdown'!B$5:B$255,0))</f>
        <v>20375.98</v>
      </c>
      <c r="G211" s="5">
        <f>INDEX('2018 Data Lockdown'!F$5:F$255, MATCH(B211,'2018 Data Lockdown'!B$5:B$255,0))</f>
        <v>0</v>
      </c>
      <c r="H211" s="5">
        <f t="shared" si="36"/>
        <v>20375.98</v>
      </c>
      <c r="I211" s="103">
        <f t="shared" si="37"/>
        <v>1945.9501490512648</v>
      </c>
      <c r="J211" s="6">
        <f t="shared" si="38"/>
        <v>1714.0233298154035</v>
      </c>
      <c r="K211" s="5">
        <f t="shared" si="39"/>
        <v>17947.481904857363</v>
      </c>
      <c r="L211" s="140">
        <f>INDEX('2018 Best Practice Scores'!M$4:M$255,MATCH(B211,'2018 Best Practice Scores'!A$4:A$255,0))</f>
        <v>0.53468749999999998</v>
      </c>
      <c r="M211" s="105">
        <f t="shared" si="40"/>
        <v>3954.6754775999498</v>
      </c>
      <c r="N211" s="105">
        <f t="shared" si="41"/>
        <v>591.73851631128218</v>
      </c>
      <c r="O211" s="105">
        <f t="shared" si="42"/>
        <v>634.35466332876683</v>
      </c>
      <c r="P211" s="105">
        <f t="shared" si="43"/>
        <v>225.43934043614217</v>
      </c>
      <c r="Q211" s="105">
        <f t="shared" si="44"/>
        <v>5406.2079976761415</v>
      </c>
      <c r="R211" s="112">
        <f t="shared" si="45"/>
        <v>0.30122376087828723</v>
      </c>
      <c r="S211" s="175">
        <f t="shared" si="46"/>
        <v>5406.2079976761415</v>
      </c>
      <c r="T211" s="105"/>
      <c r="U211" s="105">
        <f>IFERROR(INDEX('Revised 2019 MFAM(2017 PYAs)'!AD$26:AD$270,MATCH(B211,'Revised 2019 MFAM(2017 PYAs)'!B$26:B$270,0)),0)</f>
        <v>0</v>
      </c>
      <c r="V211" s="105">
        <f>IFERROR(INDEX('Revised 2018 MFAM(2016 PYAs)'!AF$26:AF$266,MATCH(B211,'Revised 2018 MFAM(2016 PYAs)'!B$26:B$266,0)),0)</f>
        <v>0</v>
      </c>
      <c r="W211" s="105">
        <f t="shared" si="47"/>
        <v>0.20481117028468551</v>
      </c>
      <c r="X211" s="105">
        <f t="shared" si="48"/>
        <v>0.20481117028468551</v>
      </c>
      <c r="Y211" s="105"/>
      <c r="Z211" s="106">
        <f t="shared" si="49"/>
        <v>5406.4128088464258</v>
      </c>
      <c r="AA211" s="107">
        <v>0</v>
      </c>
      <c r="AB211" s="108">
        <f t="shared" si="50"/>
        <v>0</v>
      </c>
      <c r="AC211" s="108">
        <f>IFERROR(INDEX('Revised 2019 MFAM(2017 PYAs)'!AF$26:AF$270,MATCH(B211,'Revised 2019 MFAM(2017 PYAs)'!B$26:B$270,0)),0)</f>
        <v>0</v>
      </c>
      <c r="AD211" s="216">
        <f>AC211/AC$24*('Revised 2019 MFAM(2017 PYAs)'!AF$24-'2020 Funding'!AC$24)</f>
        <v>0</v>
      </c>
      <c r="AE211" s="105">
        <f t="shared" si="51"/>
        <v>5406.4128088464258</v>
      </c>
      <c r="AF211" s="111"/>
      <c r="AG211" s="105">
        <v>1398.0702709027082</v>
      </c>
      <c r="AH211" s="214">
        <v>1398.0702709027082</v>
      </c>
      <c r="AI211" s="105">
        <v>1398.0702709027082</v>
      </c>
      <c r="AJ211" s="105">
        <f t="shared" si="52"/>
        <v>1212.2019961383012</v>
      </c>
    </row>
    <row r="212" spans="2:36" x14ac:dyDescent="0.25">
      <c r="B212">
        <v>639</v>
      </c>
      <c r="C212" s="27">
        <v>8</v>
      </c>
      <c r="D212" s="39" t="s">
        <v>561</v>
      </c>
      <c r="E212" s="162">
        <f>INDEX('2018 Data Lockdown'!H$5:H$255, MATCH(B212,'2018 Data Lockdown'!B$5:B$255,0))</f>
        <v>21.173204619625494</v>
      </c>
      <c r="F212" s="5">
        <f>INDEX('2018 Data Lockdown'!E$5:E$255,MATCH(B212,'2018 Data Lockdown'!B$5:B$255,0))</f>
        <v>17243.23</v>
      </c>
      <c r="G212" s="5">
        <f>INDEX('2018 Data Lockdown'!F$5:F$255, MATCH(B212,'2018 Data Lockdown'!B$5:B$255,0))</f>
        <v>0</v>
      </c>
      <c r="H212" s="5">
        <f t="shared" si="36"/>
        <v>17243.23</v>
      </c>
      <c r="I212" s="103">
        <f t="shared" si="37"/>
        <v>814.3892391243038</v>
      </c>
      <c r="J212" s="6">
        <f t="shared" si="38"/>
        <v>814.3892391243038</v>
      </c>
      <c r="K212" s="5">
        <f t="shared" si="39"/>
        <v>17243.23</v>
      </c>
      <c r="L212" s="140">
        <f>INDEX('2018 Best Practice Scores'!M$4:M$255,MATCH(B212,'2018 Best Practice Scores'!A$4:A$255,0))</f>
        <v>0.67771130952380954</v>
      </c>
      <c r="M212" s="105">
        <f t="shared" si="40"/>
        <v>3799.495617107169</v>
      </c>
      <c r="N212" s="105">
        <f t="shared" si="41"/>
        <v>1196.5466571260124</v>
      </c>
      <c r="O212" s="105">
        <f t="shared" si="42"/>
        <v>772.48834505990214</v>
      </c>
      <c r="P212" s="105">
        <f t="shared" si="43"/>
        <v>216.59319222584799</v>
      </c>
      <c r="Q212" s="105">
        <f t="shared" si="44"/>
        <v>5985.1238115189308</v>
      </c>
      <c r="R212" s="112">
        <f t="shared" si="45"/>
        <v>0.34709992336232426</v>
      </c>
      <c r="S212" s="175">
        <f t="shared" si="46"/>
        <v>5985.1238115189308</v>
      </c>
      <c r="T212" s="105"/>
      <c r="U212" s="105">
        <f>IFERROR(INDEX('Revised 2019 MFAM(2017 PYAs)'!AD$26:AD$270,MATCH(B212,'Revised 2019 MFAM(2017 PYAs)'!B$26:B$270,0)),0)</f>
        <v>0</v>
      </c>
      <c r="V212" s="105">
        <f>IFERROR(INDEX('Revised 2018 MFAM(2016 PYAs)'!AF$26:AF$266,MATCH(B212,'Revised 2018 MFAM(2016 PYAs)'!B$26:B$266,0)),0)</f>
        <v>0</v>
      </c>
      <c r="W212" s="105">
        <f t="shared" si="47"/>
        <v>0.22674307253121753</v>
      </c>
      <c r="X212" s="105">
        <f t="shared" si="48"/>
        <v>0.22674307253121753</v>
      </c>
      <c r="Y212" s="105"/>
      <c r="Z212" s="106">
        <f t="shared" si="49"/>
        <v>5985.3505545914622</v>
      </c>
      <c r="AA212" s="107">
        <v>1</v>
      </c>
      <c r="AB212" s="108">
        <f t="shared" si="50"/>
        <v>-598.53505545914629</v>
      </c>
      <c r="AC212" s="108">
        <f>IFERROR(INDEX('Revised 2019 MFAM(2017 PYAs)'!AF$26:AF$270,MATCH(B212,'Revised 2019 MFAM(2017 PYAs)'!B$26:B$270,0)),0)</f>
        <v>0</v>
      </c>
      <c r="AD212" s="216">
        <f>AC212/AC$24*('Revised 2019 MFAM(2017 PYAs)'!AF$24-'2020 Funding'!AC$24)</f>
        <v>0</v>
      </c>
      <c r="AE212" s="105">
        <f t="shared" si="51"/>
        <v>5386.8154991323163</v>
      </c>
      <c r="AF212" s="111"/>
      <c r="AG212" s="105">
        <v>1404.0150966818157</v>
      </c>
      <c r="AH212" s="214">
        <v>1404.0150966818157</v>
      </c>
      <c r="AI212" s="105">
        <v>1404.0150966818157</v>
      </c>
      <c r="AJ212" s="105">
        <f t="shared" si="52"/>
        <v>1174.7702090868695</v>
      </c>
    </row>
    <row r="213" spans="2:36" x14ac:dyDescent="0.25">
      <c r="B213">
        <v>709</v>
      </c>
      <c r="C213" s="27">
        <v>8</v>
      </c>
      <c r="D213" s="39" t="s">
        <v>477</v>
      </c>
      <c r="E213" s="162">
        <f>INDEX('2018 Data Lockdown'!H$5:H$255, MATCH(B213,'2018 Data Lockdown'!B$5:B$255,0))</f>
        <v>74.93628755379919</v>
      </c>
      <c r="F213" s="5">
        <f>INDEX('2018 Data Lockdown'!E$5:E$255,MATCH(B213,'2018 Data Lockdown'!B$5:B$255,0))</f>
        <v>45634.17</v>
      </c>
      <c r="G213" s="5">
        <f>INDEX('2018 Data Lockdown'!F$5:F$255, MATCH(B213,'2018 Data Lockdown'!B$5:B$255,0))</f>
        <v>0</v>
      </c>
      <c r="H213" s="5">
        <f t="shared" si="36"/>
        <v>45634.17</v>
      </c>
      <c r="I213" s="103">
        <f t="shared" si="37"/>
        <v>608.97292206046029</v>
      </c>
      <c r="J213" s="6">
        <f t="shared" si="38"/>
        <v>608.97292206046029</v>
      </c>
      <c r="K213" s="5">
        <f t="shared" si="39"/>
        <v>45634.169999999991</v>
      </c>
      <c r="L213" s="140">
        <f>INDEX('2018 Best Practice Scores'!M$4:M$255,MATCH(B213,'2018 Best Practice Scores'!A$4:A$255,0))</f>
        <v>0.40323214285714287</v>
      </c>
      <c r="M213" s="105">
        <f t="shared" si="40"/>
        <v>10055.356734516876</v>
      </c>
      <c r="N213" s="105">
        <f t="shared" si="41"/>
        <v>4234.8225495738861</v>
      </c>
      <c r="O213" s="105">
        <f t="shared" si="42"/>
        <v>1216.3929129756727</v>
      </c>
      <c r="P213" s="105">
        <f t="shared" si="43"/>
        <v>573.21340345614044</v>
      </c>
      <c r="Q213" s="105">
        <f t="shared" si="44"/>
        <v>16079.785600522575</v>
      </c>
      <c r="R213" s="112">
        <f t="shared" si="45"/>
        <v>0.35236283689442754</v>
      </c>
      <c r="S213" s="175">
        <f t="shared" si="46"/>
        <v>16079.785600522575</v>
      </c>
      <c r="T213" s="105"/>
      <c r="U213" s="105">
        <f>IFERROR(INDEX('Revised 2019 MFAM(2017 PYAs)'!AD$26:AD$270,MATCH(B213,'Revised 2019 MFAM(2017 PYAs)'!B$26:B$270,0)),0)</f>
        <v>679.53948747087634</v>
      </c>
      <c r="V213" s="105">
        <f>IFERROR(INDEX('Revised 2018 MFAM(2016 PYAs)'!AF$26:AF$266,MATCH(B213,'Revised 2018 MFAM(2016 PYAs)'!B$26:B$266,0)),0)</f>
        <v>524.92151253793054</v>
      </c>
      <c r="W213" s="105">
        <f t="shared" si="47"/>
        <v>0.6091736959039491</v>
      </c>
      <c r="X213" s="105">
        <f t="shared" si="48"/>
        <v>1205.0701737047109</v>
      </c>
      <c r="Y213" s="105"/>
      <c r="Z213" s="106">
        <f t="shared" si="49"/>
        <v>17284.855774227286</v>
      </c>
      <c r="AA213" s="107">
        <v>0</v>
      </c>
      <c r="AB213" s="108">
        <f t="shared" si="50"/>
        <v>0</v>
      </c>
      <c r="AC213" s="108">
        <f>IFERROR(INDEX('Revised 2019 MFAM(2017 PYAs)'!AF$26:AF$270,MATCH(B213,'Revised 2019 MFAM(2017 PYAs)'!B$26:B$270,0)),0)</f>
        <v>33.053988744392342</v>
      </c>
      <c r="AD213" s="216">
        <f>AC213/AC$24*('Revised 2019 MFAM(2017 PYAs)'!AF$24-'2020 Funding'!AC$24)</f>
        <v>3.0284703414593876E-2</v>
      </c>
      <c r="AE213" s="105">
        <f t="shared" si="51"/>
        <v>17317.940047675093</v>
      </c>
      <c r="AF213" s="111"/>
      <c r="AG213" s="105">
        <v>4459.372255616895</v>
      </c>
      <c r="AH213" s="214">
        <v>4459.372255616895</v>
      </c>
      <c r="AI213" s="105">
        <v>4459.372255616895</v>
      </c>
      <c r="AJ213" s="105">
        <f t="shared" si="52"/>
        <v>3939.8232808244093</v>
      </c>
    </row>
    <row r="214" spans="2:36" x14ac:dyDescent="0.25">
      <c r="B214">
        <v>714</v>
      </c>
      <c r="C214" s="27">
        <v>8</v>
      </c>
      <c r="D214" s="39" t="s">
        <v>478</v>
      </c>
      <c r="E214" s="162">
        <f>INDEX('2018 Data Lockdown'!H$5:H$255, MATCH(B214,'2018 Data Lockdown'!B$5:B$255,0))</f>
        <v>57.802840339332469</v>
      </c>
      <c r="F214" s="5">
        <f>INDEX('2018 Data Lockdown'!E$5:E$255,MATCH(B214,'2018 Data Lockdown'!B$5:B$255,0))</f>
        <v>49120.9</v>
      </c>
      <c r="G214" s="5">
        <f>INDEX('2018 Data Lockdown'!F$5:F$255, MATCH(B214,'2018 Data Lockdown'!B$5:B$255,0))</f>
        <v>0</v>
      </c>
      <c r="H214" s="5">
        <f t="shared" si="36"/>
        <v>49120.9</v>
      </c>
      <c r="I214" s="103">
        <f t="shared" si="37"/>
        <v>849.80080064638685</v>
      </c>
      <c r="J214" s="6">
        <f t="shared" si="38"/>
        <v>849.80080064638685</v>
      </c>
      <c r="K214" s="5">
        <f t="shared" si="39"/>
        <v>49120.9</v>
      </c>
      <c r="L214" s="140">
        <f>INDEX('2018 Best Practice Scores'!M$4:M$255,MATCH(B214,'2018 Best Practice Scores'!A$4:A$255,0))</f>
        <v>0.39608630952380952</v>
      </c>
      <c r="M214" s="105">
        <f t="shared" si="40"/>
        <v>10823.647556656122</v>
      </c>
      <c r="N214" s="105">
        <f t="shared" si="41"/>
        <v>3266.5719064703503</v>
      </c>
      <c r="O214" s="105">
        <f t="shared" si="42"/>
        <v>1286.1295848906962</v>
      </c>
      <c r="P214" s="105">
        <f t="shared" si="43"/>
        <v>617.01041719020486</v>
      </c>
      <c r="Q214" s="105">
        <f t="shared" si="44"/>
        <v>15993.359465207373</v>
      </c>
      <c r="R214" s="112">
        <f t="shared" si="45"/>
        <v>0.32559174333547175</v>
      </c>
      <c r="S214" s="175">
        <f t="shared" si="46"/>
        <v>15993.359465207373</v>
      </c>
      <c r="T214" s="105"/>
      <c r="U214" s="105">
        <f>IFERROR(INDEX('Revised 2019 MFAM(2017 PYAs)'!AD$26:AD$270,MATCH(B214,'Revised 2019 MFAM(2017 PYAs)'!B$26:B$270,0)),0)</f>
        <v>187.49297785199633</v>
      </c>
      <c r="V214" s="105">
        <f>IFERROR(INDEX('Revised 2018 MFAM(2016 PYAs)'!AF$26:AF$266,MATCH(B214,'Revised 2018 MFAM(2016 PYAs)'!B$26:B$266,0)),0)</f>
        <v>23.886544325236173</v>
      </c>
      <c r="W214" s="105">
        <f t="shared" si="47"/>
        <v>0.6058994900419663</v>
      </c>
      <c r="X214" s="105">
        <f t="shared" si="48"/>
        <v>211.98542166727447</v>
      </c>
      <c r="Y214" s="105"/>
      <c r="Z214" s="106">
        <f t="shared" si="49"/>
        <v>16205.344886874647</v>
      </c>
      <c r="AA214" s="107">
        <v>0</v>
      </c>
      <c r="AB214" s="108">
        <f t="shared" si="50"/>
        <v>0</v>
      </c>
      <c r="AC214" s="108">
        <f>IFERROR(INDEX('Revised 2019 MFAM(2017 PYAs)'!AF$26:AF$270,MATCH(B214,'Revised 2019 MFAM(2017 PYAs)'!B$26:B$270,0)),0)</f>
        <v>23.740135151553464</v>
      </c>
      <c r="AD214" s="216">
        <f>AC214/AC$24*('Revised 2019 MFAM(2017 PYAs)'!AF$24-'2020 Funding'!AC$24)</f>
        <v>2.175117071791054E-2</v>
      </c>
      <c r="AE214" s="105">
        <f t="shared" si="51"/>
        <v>16229.106773196918</v>
      </c>
      <c r="AF214" s="111"/>
      <c r="AG214" s="105">
        <v>4188.7758297503233</v>
      </c>
      <c r="AH214" s="214">
        <v>4188.7758297503233</v>
      </c>
      <c r="AI214" s="105">
        <v>4188.7758297503233</v>
      </c>
      <c r="AJ214" s="105">
        <f t="shared" si="52"/>
        <v>3662.7792839459489</v>
      </c>
    </row>
    <row r="215" spans="2:36" x14ac:dyDescent="0.25">
      <c r="B215">
        <v>749</v>
      </c>
      <c r="C215" s="44">
        <v>8</v>
      </c>
      <c r="D215" s="39" t="s">
        <v>479</v>
      </c>
      <c r="E215" s="162">
        <f>INDEX('2018 Data Lockdown'!H$5:H$255, MATCH(B215,'2018 Data Lockdown'!B$5:B$255,0))</f>
        <v>22.43579824715432</v>
      </c>
      <c r="F215" s="5">
        <f>INDEX('2018 Data Lockdown'!E$5:E$255,MATCH(B215,'2018 Data Lockdown'!B$5:B$255,0))</f>
        <v>4850.01</v>
      </c>
      <c r="G215" s="5">
        <f>INDEX('2018 Data Lockdown'!F$5:F$255, MATCH(B215,'2018 Data Lockdown'!B$5:B$255,0))</f>
        <v>0</v>
      </c>
      <c r="H215" s="5">
        <f t="shared" si="36"/>
        <v>4850.01</v>
      </c>
      <c r="I215" s="103">
        <f t="shared" si="37"/>
        <v>216.1728299823323</v>
      </c>
      <c r="J215" s="6">
        <f t="shared" si="38"/>
        <v>216.1728299823323</v>
      </c>
      <c r="K215" s="5">
        <f t="shared" si="39"/>
        <v>4850.01</v>
      </c>
      <c r="L215" s="140">
        <f>INDEX('2018 Best Practice Scores'!M$4:M$255,MATCH(B215,'2018 Best Practice Scores'!A$4:A$255,0))</f>
        <v>0.33324404761904758</v>
      </c>
      <c r="M215" s="105">
        <f t="shared" si="40"/>
        <v>1068.6856080865325</v>
      </c>
      <c r="N215" s="105">
        <f t="shared" si="41"/>
        <v>1267.8987368639989</v>
      </c>
      <c r="O215" s="105">
        <f t="shared" si="42"/>
        <v>106.83993530129376</v>
      </c>
      <c r="P215" s="105">
        <f t="shared" si="43"/>
        <v>60.921251310066907</v>
      </c>
      <c r="Q215" s="105">
        <f t="shared" si="44"/>
        <v>2504.3455315618921</v>
      </c>
      <c r="R215" s="112">
        <f t="shared" si="45"/>
        <v>0.51635883875742361</v>
      </c>
      <c r="S215" s="175">
        <f t="shared" si="46"/>
        <v>2504.3455315618921</v>
      </c>
      <c r="T215" s="105"/>
      <c r="U215" s="105">
        <f>IFERROR(INDEX('Revised 2019 MFAM(2017 PYAs)'!AD$26:AD$270,MATCH(B215,'Revised 2019 MFAM(2017 PYAs)'!B$26:B$270,0)),0)</f>
        <v>157.8850276746025</v>
      </c>
      <c r="V215" s="105">
        <f>IFERROR(INDEX('Revised 2018 MFAM(2016 PYAs)'!AF$26:AF$266,MATCH(B215,'Revised 2018 MFAM(2016 PYAs)'!B$26:B$266,0)),0)</f>
        <v>56.002767592374994</v>
      </c>
      <c r="W215" s="105">
        <f t="shared" si="47"/>
        <v>9.4875731628692742E-2</v>
      </c>
      <c r="X215" s="105">
        <f t="shared" si="48"/>
        <v>213.98267099860618</v>
      </c>
      <c r="Y215" s="105"/>
      <c r="Z215" s="106">
        <f t="shared" si="49"/>
        <v>2718.3282025604985</v>
      </c>
      <c r="AA215" s="107">
        <v>0</v>
      </c>
      <c r="AB215" s="108">
        <f t="shared" si="50"/>
        <v>0</v>
      </c>
      <c r="AC215" s="108">
        <f>IFERROR(INDEX('Revised 2019 MFAM(2017 PYAs)'!AF$26:AF$270,MATCH(B215,'Revised 2019 MFAM(2017 PYAs)'!B$26:B$270,0)),0)</f>
        <v>6.4057570962237689</v>
      </c>
      <c r="AD215" s="216">
        <f>AC215/AC$24*('Revised 2019 MFAM(2017 PYAs)'!AF$24-'2020 Funding'!AC$24)</f>
        <v>5.8690784735617937E-3</v>
      </c>
      <c r="AE215" s="105">
        <f t="shared" si="51"/>
        <v>2724.7398287351957</v>
      </c>
      <c r="AF215" s="111"/>
      <c r="AG215" s="105">
        <v>701.08507133331898</v>
      </c>
      <c r="AH215" s="214">
        <v>701.08507133331898</v>
      </c>
      <c r="AI215" s="105">
        <v>701.08507133331898</v>
      </c>
      <c r="AJ215" s="105">
        <f t="shared" si="52"/>
        <v>621.48461473523901</v>
      </c>
    </row>
    <row r="216" spans="2:36" x14ac:dyDescent="0.25">
      <c r="B216" s="17">
        <v>764</v>
      </c>
      <c r="C216" s="27">
        <v>8</v>
      </c>
      <c r="D216" s="39" t="s">
        <v>480</v>
      </c>
      <c r="E216" s="162">
        <f>INDEX('2018 Data Lockdown'!H$5:H$255, MATCH(B216,'2018 Data Lockdown'!B$5:B$255,0))</f>
        <v>34.6</v>
      </c>
      <c r="F216" s="5">
        <f>INDEX('2018 Data Lockdown'!E$5:E$255,MATCH(B216,'2018 Data Lockdown'!B$5:B$255,0))</f>
        <v>12986.28</v>
      </c>
      <c r="G216" s="5">
        <f>INDEX('2018 Data Lockdown'!F$5:F$255, MATCH(B216,'2018 Data Lockdown'!B$5:B$255,0))</f>
        <v>0</v>
      </c>
      <c r="H216" s="5">
        <f t="shared" si="36"/>
        <v>12986.28</v>
      </c>
      <c r="I216" s="103">
        <f t="shared" si="37"/>
        <v>375.32601156069364</v>
      </c>
      <c r="J216" s="6">
        <f t="shared" si="38"/>
        <v>375.32601156069364</v>
      </c>
      <c r="K216" s="5">
        <f t="shared" si="39"/>
        <v>12986.28</v>
      </c>
      <c r="L216" s="140">
        <f>INDEX('2018 Best Practice Scores'!M$4:M$255,MATCH(B216,'2018 Best Practice Scores'!A$4:A$255,0))</f>
        <v>0.24982738095238097</v>
      </c>
      <c r="M216" s="105">
        <f t="shared" si="40"/>
        <v>2861.4890564312191</v>
      </c>
      <c r="N216" s="105">
        <f t="shared" si="41"/>
        <v>1955.3258507777227</v>
      </c>
      <c r="O216" s="105">
        <f t="shared" si="42"/>
        <v>214.46349497763336</v>
      </c>
      <c r="P216" s="105">
        <f t="shared" si="43"/>
        <v>163.12140128842944</v>
      </c>
      <c r="Q216" s="105">
        <f t="shared" si="44"/>
        <v>5194.3998034750048</v>
      </c>
      <c r="R216" s="112">
        <f t="shared" si="45"/>
        <v>0.3999913603799552</v>
      </c>
      <c r="S216" s="175">
        <f t="shared" si="46"/>
        <v>5194.3998034750048</v>
      </c>
      <c r="T216" s="105"/>
      <c r="U216" s="105">
        <f>IFERROR(INDEX('Revised 2019 MFAM(2017 PYAs)'!AD$26:AD$270,MATCH(B216,'Revised 2019 MFAM(2017 PYAs)'!B$26:B$270,0)),0)</f>
        <v>77.318175832318957</v>
      </c>
      <c r="V216" s="105">
        <f>IFERROR(INDEX('Revised 2018 MFAM(2016 PYAs)'!AF$26:AF$266,MATCH(B216,'Revised 2018 MFAM(2016 PYAs)'!B$26:B$266,0)),0)</f>
        <v>228.97524533718479</v>
      </c>
      <c r="W216" s="105">
        <f t="shared" si="47"/>
        <v>0.19678693515557691</v>
      </c>
      <c r="X216" s="105">
        <f t="shared" si="48"/>
        <v>306.4902081046593</v>
      </c>
      <c r="Y216" s="105"/>
      <c r="Z216" s="106">
        <f t="shared" si="49"/>
        <v>5500.8900115796641</v>
      </c>
      <c r="AA216" s="107">
        <v>0</v>
      </c>
      <c r="AB216" s="108">
        <f t="shared" si="50"/>
        <v>0</v>
      </c>
      <c r="AC216" s="108">
        <f>IFERROR(INDEX('Revised 2019 MFAM(2017 PYAs)'!AF$26:AF$270,MATCH(B216,'Revised 2019 MFAM(2017 PYAs)'!B$26:B$270,0)),0)</f>
        <v>13.146346310428839</v>
      </c>
      <c r="AD216" s="216">
        <f>AC216/AC$24*('Revised 2019 MFAM(2017 PYAs)'!AF$24-'2020 Funding'!AC$24)</f>
        <v>1.204493660585583E-2</v>
      </c>
      <c r="AE216" s="105">
        <f t="shared" si="51"/>
        <v>5514.0484028266992</v>
      </c>
      <c r="AF216" s="111"/>
      <c r="AG216" s="105">
        <v>1419.8418136562093</v>
      </c>
      <c r="AH216" s="214">
        <v>1419.8418136562093</v>
      </c>
      <c r="AI216" s="105">
        <v>1419.8418136562093</v>
      </c>
      <c r="AJ216" s="105">
        <f t="shared" si="52"/>
        <v>1254.5229618580709</v>
      </c>
    </row>
    <row r="217" spans="2:36" x14ac:dyDescent="0.25">
      <c r="B217">
        <v>775</v>
      </c>
      <c r="C217" s="27">
        <v>8</v>
      </c>
      <c r="D217" s="39" t="s">
        <v>481</v>
      </c>
      <c r="E217" s="162">
        <f>INDEX('2018 Data Lockdown'!H$5:H$255, MATCH(B217,'2018 Data Lockdown'!B$5:B$255,0))</f>
        <v>125.81110210139802</v>
      </c>
      <c r="F217" s="5">
        <f>INDEX('2018 Data Lockdown'!E$5:E$255,MATCH(B217,'2018 Data Lockdown'!B$5:B$255,0))</f>
        <v>62319.01</v>
      </c>
      <c r="G217" s="5">
        <f>INDEX('2018 Data Lockdown'!F$5:F$255, MATCH(B217,'2018 Data Lockdown'!B$5:B$255,0))</f>
        <v>0</v>
      </c>
      <c r="H217" s="5">
        <f t="shared" si="36"/>
        <v>62319.01</v>
      </c>
      <c r="I217" s="103">
        <f t="shared" si="37"/>
        <v>495.33792295829119</v>
      </c>
      <c r="J217" s="6">
        <f t="shared" si="38"/>
        <v>495.33792295829119</v>
      </c>
      <c r="K217" s="5">
        <f t="shared" si="39"/>
        <v>62319.01</v>
      </c>
      <c r="L217" s="140">
        <f>INDEX('2018 Best Practice Scores'!M$4:M$255,MATCH(B217,'2018 Best Practice Scores'!A$4:A$255,0))</f>
        <v>0.68297321428571423</v>
      </c>
      <c r="M217" s="105">
        <f t="shared" si="40"/>
        <v>13731.812737953263</v>
      </c>
      <c r="N217" s="105">
        <f t="shared" si="41"/>
        <v>7109.8757298756946</v>
      </c>
      <c r="O217" s="105">
        <f t="shared" si="42"/>
        <v>2813.538085082836</v>
      </c>
      <c r="P217" s="105">
        <f t="shared" si="43"/>
        <v>782.79262715016523</v>
      </c>
      <c r="Q217" s="105">
        <f t="shared" si="44"/>
        <v>24438.019180061958</v>
      </c>
      <c r="R217" s="112">
        <f t="shared" si="45"/>
        <v>0.3921438928516669</v>
      </c>
      <c r="S217" s="175">
        <f t="shared" si="46"/>
        <v>24438.019180061958</v>
      </c>
      <c r="T217" s="105"/>
      <c r="U217" s="105">
        <f>IFERROR(INDEX('Revised 2019 MFAM(2017 PYAs)'!AD$26:AD$270,MATCH(B217,'Revised 2019 MFAM(2017 PYAs)'!B$26:B$270,0)),0)</f>
        <v>172.71124721308297</v>
      </c>
      <c r="V217" s="105">
        <f>IFERROR(INDEX('Revised 2018 MFAM(2016 PYAs)'!AF$26:AF$266,MATCH(B217,'Revised 2018 MFAM(2016 PYAs)'!B$26:B$266,0)),0)</f>
        <v>647.26614692286967</v>
      </c>
      <c r="W217" s="105">
        <f t="shared" si="47"/>
        <v>0.92582070646552184</v>
      </c>
      <c r="X217" s="105">
        <f t="shared" si="48"/>
        <v>820.90321484241815</v>
      </c>
      <c r="Y217" s="105"/>
      <c r="Z217" s="106">
        <f t="shared" si="49"/>
        <v>25258.922394904377</v>
      </c>
      <c r="AA217" s="107">
        <v>0</v>
      </c>
      <c r="AB217" s="108">
        <f t="shared" si="50"/>
        <v>0</v>
      </c>
      <c r="AC217" s="108">
        <f>IFERROR(INDEX('Revised 2019 MFAM(2017 PYAs)'!AF$26:AF$270,MATCH(B217,'Revised 2019 MFAM(2017 PYAs)'!B$26:B$270,0)),0)</f>
        <v>37.284928552065089</v>
      </c>
      <c r="AD217" s="216">
        <f>AC217/AC$24*('Revised 2019 MFAM(2017 PYAs)'!AF$24-'2020 Funding'!AC$24)</f>
        <v>3.4161172249602655E-2</v>
      </c>
      <c r="AE217" s="105">
        <f t="shared" si="51"/>
        <v>25296.241484628692</v>
      </c>
      <c r="AF217" s="111"/>
      <c r="AG217" s="105">
        <v>6480.3744817615252</v>
      </c>
      <c r="AH217" s="214">
        <v>6480.3744817615252</v>
      </c>
      <c r="AI217" s="105">
        <v>6480.3744817615252</v>
      </c>
      <c r="AJ217" s="105">
        <f t="shared" si="52"/>
        <v>5855.1180393441145</v>
      </c>
    </row>
    <row r="218" spans="2:36" x14ac:dyDescent="0.25">
      <c r="B218">
        <v>790</v>
      </c>
      <c r="C218" s="27">
        <v>8</v>
      </c>
      <c r="D218" s="39" t="s">
        <v>482</v>
      </c>
      <c r="E218" s="162">
        <f>INDEX('2018 Data Lockdown'!H$5:H$255, MATCH(B218,'2018 Data Lockdown'!B$5:B$255,0))</f>
        <v>21.43637439455869</v>
      </c>
      <c r="F218" s="5">
        <f>INDEX('2018 Data Lockdown'!E$5:E$255,MATCH(B218,'2018 Data Lockdown'!B$5:B$255,0))</f>
        <v>7906.08</v>
      </c>
      <c r="G218" s="5">
        <f>INDEX('2018 Data Lockdown'!F$5:F$255, MATCH(B218,'2018 Data Lockdown'!B$5:B$255,0))</f>
        <v>0</v>
      </c>
      <c r="H218" s="5">
        <f t="shared" ref="H218:H274" si="53">F218-G218</f>
        <v>7906.08</v>
      </c>
      <c r="I218" s="103">
        <f t="shared" ref="I218:I274" si="54">IFERROR(H218/E218,"n.a.")</f>
        <v>368.81609989079323</v>
      </c>
      <c r="J218" s="6">
        <f t="shared" ref="J218:J274" si="55">MIN(I218,INDEX($N$3:$N$11,MATCH(C218,$K$3:$K$11,0)))</f>
        <v>368.81609989079323</v>
      </c>
      <c r="K218" s="5">
        <f t="shared" ref="K218:K274" si="56">E218*J218</f>
        <v>7906.08</v>
      </c>
      <c r="L218" s="140">
        <f>INDEX('2018 Best Practice Scores'!M$4:M$255,MATCH(B218,'2018 Best Practice Scores'!A$4:A$255,0))</f>
        <v>0.24982738095238097</v>
      </c>
      <c r="M218" s="105">
        <f t="shared" ref="M218:M274" si="57">$E$14*(K218/$K$24)</f>
        <v>1742.0817508377866</v>
      </c>
      <c r="N218" s="105">
        <f t="shared" ref="N218:N274" si="58">$E$15*(E218/$E$24)</f>
        <v>1211.4189884575219</v>
      </c>
      <c r="O218" s="105">
        <f t="shared" ref="O218:O274" si="59">IFERROR(L218*$E$16*(K218/$K$24),0)</f>
        <v>130.56591636502273</v>
      </c>
      <c r="P218" s="105">
        <f t="shared" ref="P218:P274" si="60">($O$23+$E$9)*(K218/$K$24)</f>
        <v>99.308720303152739</v>
      </c>
      <c r="Q218" s="105">
        <f t="shared" ref="Q218:Q274" si="61">M218+N218+O218+P218</f>
        <v>3183.3753759634837</v>
      </c>
      <c r="R218" s="112">
        <f t="shared" ref="R218:R274" si="62">IFERROR((Q218/K218),0)</f>
        <v>0.40264902150793869</v>
      </c>
      <c r="S218" s="175">
        <f t="shared" ref="S218:S274" si="63">IF(R218&gt;$R$19,$R$19*K218,Q218+($R$23*Q218/$R$22))</f>
        <v>3183.3753759634837</v>
      </c>
      <c r="T218" s="105"/>
      <c r="U218" s="105">
        <f>IFERROR(INDEX('Revised 2019 MFAM(2017 PYAs)'!AD$26:AD$270,MATCH(B218,'Revised 2019 MFAM(2017 PYAs)'!B$26:B$270,0)),0)</f>
        <v>55.888799539215142</v>
      </c>
      <c r="V218" s="105">
        <f>IFERROR(INDEX('Revised 2018 MFAM(2016 PYAs)'!AF$26:AF$266,MATCH(B218,'Revised 2018 MFAM(2016 PYAs)'!B$26:B$266,0)),0)</f>
        <v>102.09101053704899</v>
      </c>
      <c r="W218" s="105">
        <f t="shared" ref="W218:W274" si="64">-$W$22*(S218/$E$17)</f>
        <v>0.12060039800296068</v>
      </c>
      <c r="X218" s="105">
        <f t="shared" ref="X218:X274" si="65">SUM(U218:W218)</f>
        <v>158.10041047426708</v>
      </c>
      <c r="Y218" s="105"/>
      <c r="Z218" s="106">
        <f t="shared" ref="Z218:Z274" si="66">S218+X218</f>
        <v>3341.4757864377507</v>
      </c>
      <c r="AA218" s="107">
        <v>0</v>
      </c>
      <c r="AB218" s="108">
        <f t="shared" ref="AB218:AB274" si="67">-$AA$24*AA218*Z218</f>
        <v>0</v>
      </c>
      <c r="AC218" s="108">
        <f>IFERROR(INDEX('Revised 2019 MFAM(2017 PYAs)'!AF$26:AF$270,MATCH(B218,'Revised 2019 MFAM(2017 PYAs)'!B$26:B$270,0)),0)</f>
        <v>7.6908166195503771</v>
      </c>
      <c r="AD218" s="216">
        <f>AC218/AC$24*('Revised 2019 MFAM(2017 PYAs)'!AF$24-'2020 Funding'!AC$24)</f>
        <v>7.0464748487768167E-3</v>
      </c>
      <c r="AE218" s="105">
        <f t="shared" si="51"/>
        <v>3349.1736495321497</v>
      </c>
      <c r="AF218" s="111"/>
      <c r="AG218" s="105">
        <v>862.71344742550684</v>
      </c>
      <c r="AH218" s="214">
        <v>862.71344742550684</v>
      </c>
      <c r="AI218" s="105">
        <v>862.71344742550684</v>
      </c>
      <c r="AJ218" s="105">
        <f t="shared" si="52"/>
        <v>761.03330725562944</v>
      </c>
    </row>
    <row r="219" spans="2:36" x14ac:dyDescent="0.25">
      <c r="B219">
        <v>795</v>
      </c>
      <c r="C219" s="27">
        <v>8</v>
      </c>
      <c r="D219" s="39" t="s">
        <v>562</v>
      </c>
      <c r="E219" s="162">
        <f>INDEX('2018 Data Lockdown'!H$5:H$255, MATCH(B219,'2018 Data Lockdown'!B$5:B$255,0))</f>
        <v>330.20629396618199</v>
      </c>
      <c r="F219" s="5">
        <f>INDEX('2018 Data Lockdown'!E$5:E$255,MATCH(B219,'2018 Data Lockdown'!B$5:B$255,0))</f>
        <v>328034.84000000003</v>
      </c>
      <c r="G219" s="5">
        <f>INDEX('2018 Data Lockdown'!F$5:F$255, MATCH(B219,'2018 Data Lockdown'!B$5:B$255,0))</f>
        <v>121984.66</v>
      </c>
      <c r="H219" s="5">
        <f t="shared" si="53"/>
        <v>206050.18000000002</v>
      </c>
      <c r="I219" s="103">
        <f t="shared" si="54"/>
        <v>624.00439896249407</v>
      </c>
      <c r="J219" s="6">
        <f t="shared" si="55"/>
        <v>624.00439896249407</v>
      </c>
      <c r="K219" s="5">
        <f t="shared" si="56"/>
        <v>206050.18000000002</v>
      </c>
      <c r="L219" s="140">
        <f>INDEX('2018 Best Practice Scores'!M$4:M$255,MATCH(B219,'2018 Best Practice Scores'!A$4:A$255,0))</f>
        <v>0.68104464285714283</v>
      </c>
      <c r="M219" s="105">
        <f t="shared" si="57"/>
        <v>45402.558326609535</v>
      </c>
      <c r="N219" s="105">
        <f t="shared" si="58"/>
        <v>18660.719730681605</v>
      </c>
      <c r="O219" s="105">
        <f t="shared" si="59"/>
        <v>9276.3507361039137</v>
      </c>
      <c r="P219" s="105">
        <f t="shared" si="60"/>
        <v>2588.2080239555221</v>
      </c>
      <c r="Q219" s="105">
        <f t="shared" si="61"/>
        <v>75927.836817350573</v>
      </c>
      <c r="R219" s="112">
        <f t="shared" si="62"/>
        <v>0.36849197034115944</v>
      </c>
      <c r="S219" s="175">
        <f t="shared" si="63"/>
        <v>75927.836817350573</v>
      </c>
      <c r="T219" s="105"/>
      <c r="U219" s="105">
        <f>IFERROR(INDEX('Revised 2019 MFAM(2017 PYAs)'!AD$26:AD$270,MATCH(B219,'Revised 2019 MFAM(2017 PYAs)'!B$26:B$270,0)),0)</f>
        <v>367.48901428843601</v>
      </c>
      <c r="V219" s="105">
        <f>IFERROR(INDEX('Revised 2018 MFAM(2016 PYAs)'!AF$26:AF$266,MATCH(B219,'Revised 2018 MFAM(2016 PYAs)'!B$26:B$266,0)),0)</f>
        <v>0</v>
      </c>
      <c r="W219" s="105">
        <f t="shared" si="64"/>
        <v>2.8764836873517892</v>
      </c>
      <c r="X219" s="105">
        <f t="shared" si="65"/>
        <v>370.36549797578778</v>
      </c>
      <c r="Y219" s="105"/>
      <c r="Z219" s="106">
        <f t="shared" si="66"/>
        <v>76298.202315326358</v>
      </c>
      <c r="AA219" s="107">
        <v>0</v>
      </c>
      <c r="AB219" s="108">
        <f t="shared" si="67"/>
        <v>0</v>
      </c>
      <c r="AC219" s="108">
        <f>IFERROR(INDEX('Revised 2019 MFAM(2017 PYAs)'!AF$26:AF$270,MATCH(B219,'Revised 2019 MFAM(2017 PYAs)'!B$26:B$270,0)),0)</f>
        <v>43.531713554525965</v>
      </c>
      <c r="AD219" s="216">
        <f>AC219/AC$24*('Revised 2019 MFAM(2017 PYAs)'!AF$24-'2020 Funding'!AC$24)</f>
        <v>3.988459741796016E-2</v>
      </c>
      <c r="AE219" s="105">
        <f t="shared" ref="AE219:AE274" si="68">Z219+AB219+AC219+AD219</f>
        <v>76341.77391347829</v>
      </c>
      <c r="AF219" s="111"/>
      <c r="AG219" s="105">
        <v>19580.447076855449</v>
      </c>
      <c r="AH219" s="214">
        <v>19580.447076855449</v>
      </c>
      <c r="AI219" s="105">
        <v>19580.447076855449</v>
      </c>
      <c r="AJ219" s="105">
        <f t="shared" ref="AJ219:AJ274" si="69">AE219-AG219-AH219-AI219</f>
        <v>17600.432682911949</v>
      </c>
    </row>
    <row r="220" spans="2:36" x14ac:dyDescent="0.25">
      <c r="B220">
        <v>796</v>
      </c>
      <c r="C220" s="27">
        <v>8</v>
      </c>
      <c r="D220" s="39" t="s">
        <v>483</v>
      </c>
      <c r="E220" s="162">
        <f>INDEX('2018 Data Lockdown'!H$5:H$255, MATCH(B220,'2018 Data Lockdown'!B$5:B$255,0))</f>
        <v>23.924524993927111</v>
      </c>
      <c r="F220" s="5">
        <f>INDEX('2018 Data Lockdown'!E$5:E$255,MATCH(B220,'2018 Data Lockdown'!B$5:B$255,0))</f>
        <v>19423.14</v>
      </c>
      <c r="G220" s="5">
        <f>INDEX('2018 Data Lockdown'!F$5:F$255, MATCH(B220,'2018 Data Lockdown'!B$5:B$255,0))</f>
        <v>0</v>
      </c>
      <c r="H220" s="5">
        <f t="shared" si="53"/>
        <v>19423.14</v>
      </c>
      <c r="I220" s="103">
        <f t="shared" si="54"/>
        <v>811.85060121069398</v>
      </c>
      <c r="J220" s="6">
        <f t="shared" si="55"/>
        <v>811.85060121069398</v>
      </c>
      <c r="K220" s="5">
        <f t="shared" si="56"/>
        <v>19423.14</v>
      </c>
      <c r="L220" s="140">
        <f>INDEX('2018 Best Practice Scores'!M$4:M$255,MATCH(B220,'2018 Best Practice Scores'!A$4:A$255,0))</f>
        <v>0.30553571428571424</v>
      </c>
      <c r="M220" s="105">
        <f t="shared" si="57"/>
        <v>4279.8324502114119</v>
      </c>
      <c r="N220" s="105">
        <f t="shared" si="58"/>
        <v>1352.0301210463415</v>
      </c>
      <c r="O220" s="105">
        <f t="shared" si="59"/>
        <v>392.29249940955668</v>
      </c>
      <c r="P220" s="105">
        <f t="shared" si="60"/>
        <v>243.97516565339305</v>
      </c>
      <c r="Q220" s="105">
        <f t="shared" si="61"/>
        <v>6268.1302363207024</v>
      </c>
      <c r="R220" s="112">
        <f t="shared" si="62"/>
        <v>0.32271456810385463</v>
      </c>
      <c r="S220" s="175">
        <f t="shared" si="63"/>
        <v>6268.1302363207024</v>
      </c>
      <c r="T220" s="105"/>
      <c r="U220" s="105">
        <f>IFERROR(INDEX('Revised 2019 MFAM(2017 PYAs)'!AD$26:AD$270,MATCH(B220,'Revised 2019 MFAM(2017 PYAs)'!B$26:B$270,0)),0)</f>
        <v>96.457597709410948</v>
      </c>
      <c r="V220" s="105">
        <f>IFERROR(INDEX('Revised 2018 MFAM(2016 PYAs)'!AF$26:AF$266,MATCH(B220,'Revised 2018 MFAM(2016 PYAs)'!B$26:B$266,0)),0)</f>
        <v>30.646856921295466</v>
      </c>
      <c r="W220" s="105">
        <f t="shared" si="64"/>
        <v>0.23746461285794029</v>
      </c>
      <c r="X220" s="105">
        <f t="shared" si="65"/>
        <v>127.34191924356435</v>
      </c>
      <c r="Y220" s="105"/>
      <c r="Z220" s="106">
        <f t="shared" si="66"/>
        <v>6395.4721555642664</v>
      </c>
      <c r="AA220" s="107">
        <v>1</v>
      </c>
      <c r="AB220" s="108">
        <f t="shared" si="67"/>
        <v>-639.54721555642664</v>
      </c>
      <c r="AC220" s="108">
        <f>IFERROR(INDEX('Revised 2019 MFAM(2017 PYAs)'!AF$26:AF$270,MATCH(B220,'Revised 2019 MFAM(2017 PYAs)'!B$26:B$270,0)),0)</f>
        <v>11.958129312873389</v>
      </c>
      <c r="AD220" s="216">
        <f>AC220/AC$24*('Revised 2019 MFAM(2017 PYAs)'!AF$24-'2020 Funding'!AC$24)</f>
        <v>1.0956269224698965E-2</v>
      </c>
      <c r="AE220" s="105">
        <f t="shared" si="68"/>
        <v>5767.8940255899379</v>
      </c>
      <c r="AF220" s="111"/>
      <c r="AG220" s="105">
        <v>1499.8829640130211</v>
      </c>
      <c r="AH220" s="214">
        <v>1499.8829640130211</v>
      </c>
      <c r="AI220" s="105">
        <v>1499.8829640130211</v>
      </c>
      <c r="AJ220" s="105">
        <f t="shared" si="69"/>
        <v>1268.2451335508749</v>
      </c>
    </row>
    <row r="221" spans="2:36" x14ac:dyDescent="0.25">
      <c r="B221">
        <v>797</v>
      </c>
      <c r="C221" s="27">
        <v>8</v>
      </c>
      <c r="D221" s="39" t="s">
        <v>484</v>
      </c>
      <c r="E221" s="162">
        <f>INDEX('2018 Data Lockdown'!H$5:H$255, MATCH(B221,'2018 Data Lockdown'!B$5:B$255,0))</f>
        <v>27.819307714015707</v>
      </c>
      <c r="F221" s="5">
        <f>INDEX('2018 Data Lockdown'!E$5:E$255,MATCH(B221,'2018 Data Lockdown'!B$5:B$255,0))</f>
        <v>39509.410000000003</v>
      </c>
      <c r="G221" s="5">
        <f>INDEX('2018 Data Lockdown'!F$5:F$255, MATCH(B221,'2018 Data Lockdown'!B$5:B$255,0))</f>
        <v>1800</v>
      </c>
      <c r="H221" s="5">
        <f t="shared" si="53"/>
        <v>37709.410000000003</v>
      </c>
      <c r="I221" s="103">
        <f t="shared" si="54"/>
        <v>1355.5121639853583</v>
      </c>
      <c r="J221" s="6">
        <f t="shared" si="55"/>
        <v>1355.5121639853583</v>
      </c>
      <c r="K221" s="5">
        <f t="shared" si="56"/>
        <v>37709.410000000003</v>
      </c>
      <c r="L221" s="140">
        <f>INDEX('2018 Best Practice Scores'!M$4:M$255,MATCH(B221,'2018 Best Practice Scores'!A$4:A$255,0))</f>
        <v>0.13926785714285714</v>
      </c>
      <c r="M221" s="105">
        <f t="shared" si="57"/>
        <v>8309.1588999681189</v>
      </c>
      <c r="N221" s="105">
        <f t="shared" si="58"/>
        <v>1572.1332810391625</v>
      </c>
      <c r="O221" s="105">
        <f t="shared" si="59"/>
        <v>347.15962639741792</v>
      </c>
      <c r="P221" s="105">
        <f t="shared" si="60"/>
        <v>473.67004261111839</v>
      </c>
      <c r="Q221" s="105">
        <f t="shared" si="61"/>
        <v>10702.121850015819</v>
      </c>
      <c r="R221" s="112">
        <f t="shared" si="62"/>
        <v>0.2838050727925952</v>
      </c>
      <c r="S221" s="175">
        <f t="shared" si="63"/>
        <v>10702.121850015819</v>
      </c>
      <c r="T221" s="105"/>
      <c r="U221" s="105">
        <f>IFERROR(INDEX('Revised 2019 MFAM(2017 PYAs)'!AD$26:AD$270,MATCH(B221,'Revised 2019 MFAM(2017 PYAs)'!B$26:B$270,0)),0)</f>
        <v>142.95517567675597</v>
      </c>
      <c r="V221" s="105">
        <f>IFERROR(INDEX('Revised 2018 MFAM(2016 PYAs)'!AF$26:AF$266,MATCH(B221,'Revised 2018 MFAM(2016 PYAs)'!B$26:B$266,0)),0)</f>
        <v>25.542437937512659</v>
      </c>
      <c r="W221" s="105">
        <f t="shared" si="64"/>
        <v>0.40544390847951789</v>
      </c>
      <c r="X221" s="105">
        <f t="shared" si="65"/>
        <v>168.90305752274816</v>
      </c>
      <c r="Y221" s="105"/>
      <c r="Z221" s="106">
        <f t="shared" si="66"/>
        <v>10871.024907538567</v>
      </c>
      <c r="AA221" s="107">
        <v>0</v>
      </c>
      <c r="AB221" s="108">
        <f t="shared" si="67"/>
        <v>0</v>
      </c>
      <c r="AC221" s="108">
        <f>IFERROR(INDEX('Revised 2019 MFAM(2017 PYAs)'!AF$26:AF$270,MATCH(B221,'Revised 2019 MFAM(2017 PYAs)'!B$26:B$270,0)),0)</f>
        <v>17.92101575846856</v>
      </c>
      <c r="AD221" s="216">
        <f>AC221/AC$24*('Revised 2019 MFAM(2017 PYAs)'!AF$24-'2020 Funding'!AC$24)</f>
        <v>1.641958104755387E-2</v>
      </c>
      <c r="AE221" s="105">
        <f t="shared" si="68"/>
        <v>10888.962342878083</v>
      </c>
      <c r="AF221" s="111"/>
      <c r="AG221" s="105">
        <v>2809.7563208520669</v>
      </c>
      <c r="AH221" s="214">
        <v>2809.7563208520669</v>
      </c>
      <c r="AI221" s="105">
        <v>2809.7563208520669</v>
      </c>
      <c r="AJ221" s="105">
        <f t="shared" si="69"/>
        <v>2459.6933803218826</v>
      </c>
    </row>
    <row r="222" spans="2:36" x14ac:dyDescent="0.25">
      <c r="B222">
        <v>801</v>
      </c>
      <c r="C222" s="27">
        <v>8</v>
      </c>
      <c r="D222" s="39" t="s">
        <v>485</v>
      </c>
      <c r="E222" s="162">
        <f>INDEX('2018 Data Lockdown'!H$5:H$255, MATCH(B222,'2018 Data Lockdown'!B$5:B$255,0))</f>
        <v>143.33481235470978</v>
      </c>
      <c r="F222" s="5">
        <f>INDEX('2018 Data Lockdown'!E$5:E$255,MATCH(B222,'2018 Data Lockdown'!B$5:B$255,0))</f>
        <v>102578.78</v>
      </c>
      <c r="G222" s="5">
        <f>INDEX('2018 Data Lockdown'!F$5:F$255, MATCH(B222,'2018 Data Lockdown'!B$5:B$255,0))</f>
        <v>0</v>
      </c>
      <c r="H222" s="5">
        <f t="shared" si="53"/>
        <v>102578.78</v>
      </c>
      <c r="I222" s="103">
        <f t="shared" si="54"/>
        <v>715.65852227265577</v>
      </c>
      <c r="J222" s="6">
        <f t="shared" si="55"/>
        <v>715.65852227265577</v>
      </c>
      <c r="K222" s="5">
        <f t="shared" si="56"/>
        <v>102578.78000000001</v>
      </c>
      <c r="L222" s="140">
        <f>INDEX('2018 Best Practice Scores'!M$4:M$255,MATCH(B222,'2018 Best Practice Scores'!A$4:A$255,0))</f>
        <v>0.62729464285714287</v>
      </c>
      <c r="M222" s="105">
        <f t="shared" si="57"/>
        <v>22602.936051899822</v>
      </c>
      <c r="N222" s="105">
        <f t="shared" si="58"/>
        <v>8100.1810379635308</v>
      </c>
      <c r="O222" s="105">
        <f t="shared" si="59"/>
        <v>4253.6102094598009</v>
      </c>
      <c r="P222" s="105">
        <f t="shared" si="60"/>
        <v>1288.4978866971544</v>
      </c>
      <c r="Q222" s="105">
        <f t="shared" si="61"/>
        <v>36245.225186020311</v>
      </c>
      <c r="R222" s="112">
        <f t="shared" si="62"/>
        <v>0.35334038078850522</v>
      </c>
      <c r="S222" s="175">
        <f t="shared" si="63"/>
        <v>36245.225186020311</v>
      </c>
      <c r="T222" s="105"/>
      <c r="U222" s="105">
        <f>IFERROR(INDEX('Revised 2019 MFAM(2017 PYAs)'!AD$26:AD$270,MATCH(B222,'Revised 2019 MFAM(2017 PYAs)'!B$26:B$270,0)),0)</f>
        <v>555.82337365089188</v>
      </c>
      <c r="V222" s="105">
        <f>IFERROR(INDEX('Revised 2018 MFAM(2016 PYAs)'!AF$26:AF$266,MATCH(B222,'Revised 2018 MFAM(2016 PYAs)'!B$26:B$266,0)),0)</f>
        <v>488.77802317518581</v>
      </c>
      <c r="W222" s="105">
        <f t="shared" si="64"/>
        <v>1.3731301109339</v>
      </c>
      <c r="X222" s="105">
        <f t="shared" si="65"/>
        <v>1045.9745269370117</v>
      </c>
      <c r="Y222" s="105"/>
      <c r="Z222" s="106">
        <f t="shared" si="66"/>
        <v>37291.199712957321</v>
      </c>
      <c r="AA222" s="107">
        <v>0</v>
      </c>
      <c r="AB222" s="108">
        <f t="shared" si="67"/>
        <v>0</v>
      </c>
      <c r="AC222" s="108">
        <f>IFERROR(INDEX('Revised 2019 MFAM(2017 PYAs)'!AF$26:AF$270,MATCH(B222,'Revised 2019 MFAM(2017 PYAs)'!B$26:B$270,0)),0)</f>
        <v>68.498415520968109</v>
      </c>
      <c r="AD222" s="216">
        <f>AC222/AC$24*('Revised 2019 MFAM(2017 PYAs)'!AF$24-'2020 Funding'!AC$24)</f>
        <v>6.2759572360962551E-2</v>
      </c>
      <c r="AE222" s="105">
        <f t="shared" si="68"/>
        <v>37359.760888050652</v>
      </c>
      <c r="AF222" s="111"/>
      <c r="AG222" s="105">
        <v>9707.1111711310878</v>
      </c>
      <c r="AH222" s="214">
        <v>9707.1111711310878</v>
      </c>
      <c r="AI222" s="105">
        <v>9707.1111711310878</v>
      </c>
      <c r="AJ222" s="105">
        <f t="shared" si="69"/>
        <v>8238.427374657389</v>
      </c>
    </row>
    <row r="223" spans="2:36" x14ac:dyDescent="0.25">
      <c r="B223">
        <v>810</v>
      </c>
      <c r="C223" s="27">
        <v>8</v>
      </c>
      <c r="D223" s="39" t="s">
        <v>486</v>
      </c>
      <c r="E223" s="162">
        <f>INDEX('2018 Data Lockdown'!H$5:H$255, MATCH(B223,'2018 Data Lockdown'!B$5:B$255,0))</f>
        <v>129.91</v>
      </c>
      <c r="F223" s="5">
        <f>INDEX('2018 Data Lockdown'!E$5:E$255,MATCH(B223,'2018 Data Lockdown'!B$5:B$255,0))</f>
        <v>133935.18</v>
      </c>
      <c r="G223" s="5">
        <f>INDEX('2018 Data Lockdown'!F$5:F$255, MATCH(B223,'2018 Data Lockdown'!B$5:B$255,0))</f>
        <v>0</v>
      </c>
      <c r="H223" s="5">
        <f t="shared" si="53"/>
        <v>133935.18</v>
      </c>
      <c r="I223" s="103">
        <f t="shared" si="54"/>
        <v>1030.9843737972442</v>
      </c>
      <c r="J223" s="6">
        <f t="shared" si="55"/>
        <v>1030.9843737972442</v>
      </c>
      <c r="K223" s="5">
        <f t="shared" si="56"/>
        <v>133935.18</v>
      </c>
      <c r="L223" s="140">
        <f>INDEX('2018 Best Practice Scores'!M$4:M$255,MATCH(B223,'2018 Best Practice Scores'!A$4:A$255,0))</f>
        <v>0.61243154761904761</v>
      </c>
      <c r="M223" s="105">
        <f t="shared" si="57"/>
        <v>29512.227661897436</v>
      </c>
      <c r="N223" s="105">
        <f t="shared" si="58"/>
        <v>7341.5139096686107</v>
      </c>
      <c r="O223" s="105">
        <f t="shared" si="59"/>
        <v>5422.2657781984535</v>
      </c>
      <c r="P223" s="105">
        <f t="shared" si="60"/>
        <v>1682.3674095597837</v>
      </c>
      <c r="Q223" s="105">
        <f t="shared" si="61"/>
        <v>43958.374759324281</v>
      </c>
      <c r="R223" s="112">
        <f t="shared" si="62"/>
        <v>0.32820633652281861</v>
      </c>
      <c r="S223" s="175">
        <f t="shared" si="63"/>
        <v>43958.374759324281</v>
      </c>
      <c r="T223" s="105"/>
      <c r="U223" s="105">
        <f>IFERROR(INDEX('Revised 2019 MFAM(2017 PYAs)'!AD$26:AD$270,MATCH(B223,'Revised 2019 MFAM(2017 PYAs)'!B$26:B$270,0)),0)</f>
        <v>631.02361242751795</v>
      </c>
      <c r="V223" s="105">
        <f>IFERROR(INDEX('Revised 2018 MFAM(2016 PYAs)'!AF$26:AF$266,MATCH(B223,'Revised 2018 MFAM(2016 PYAs)'!B$26:B$266,0)),0)</f>
        <v>-511.643413777565</v>
      </c>
      <c r="W223" s="105">
        <f t="shared" si="64"/>
        <v>1.6653384742392445</v>
      </c>
      <c r="X223" s="105">
        <f t="shared" si="65"/>
        <v>121.04553712419219</v>
      </c>
      <c r="Y223" s="105"/>
      <c r="Z223" s="106">
        <f t="shared" si="66"/>
        <v>44079.420296448472</v>
      </c>
      <c r="AA223" s="107">
        <v>0</v>
      </c>
      <c r="AB223" s="108">
        <f t="shared" si="67"/>
        <v>0</v>
      </c>
      <c r="AC223" s="108">
        <f>IFERROR(INDEX('Revised 2019 MFAM(2017 PYAs)'!AF$26:AF$270,MATCH(B223,'Revised 2019 MFAM(2017 PYAs)'!B$26:B$270,0)),0)</f>
        <v>76.117443172911095</v>
      </c>
      <c r="AD223" s="216">
        <f>AC223/AC$24*('Revised 2019 MFAM(2017 PYAs)'!AF$24-'2020 Funding'!AC$24)</f>
        <v>6.9740272769951109E-2</v>
      </c>
      <c r="AE223" s="105">
        <f t="shared" si="68"/>
        <v>44155.607479894148</v>
      </c>
      <c r="AF223" s="111"/>
      <c r="AG223" s="105">
        <v>11397.606338460528</v>
      </c>
      <c r="AH223" s="214">
        <v>11397.606338460528</v>
      </c>
      <c r="AI223" s="105">
        <v>11397.606338460528</v>
      </c>
      <c r="AJ223" s="105">
        <f t="shared" si="69"/>
        <v>9962.7884645125614</v>
      </c>
    </row>
    <row r="224" spans="2:36" x14ac:dyDescent="0.25">
      <c r="B224">
        <v>812</v>
      </c>
      <c r="C224" s="27">
        <v>8</v>
      </c>
      <c r="D224" s="39" t="s">
        <v>487</v>
      </c>
      <c r="E224" s="162">
        <f>INDEX('2018 Data Lockdown'!H$5:H$255, MATCH(B224,'2018 Data Lockdown'!B$5:B$255,0))</f>
        <v>52.402684578365019</v>
      </c>
      <c r="F224" s="5">
        <f>INDEX('2018 Data Lockdown'!E$5:E$255,MATCH(B224,'2018 Data Lockdown'!B$5:B$255,0))</f>
        <v>75414.47</v>
      </c>
      <c r="G224" s="5">
        <f>INDEX('2018 Data Lockdown'!F$5:F$255, MATCH(B224,'2018 Data Lockdown'!B$5:B$255,0))</f>
        <v>196</v>
      </c>
      <c r="H224" s="5">
        <f t="shared" si="53"/>
        <v>75218.47</v>
      </c>
      <c r="I224" s="103">
        <f t="shared" si="54"/>
        <v>1435.3934460650651</v>
      </c>
      <c r="J224" s="6">
        <f t="shared" si="55"/>
        <v>1435.3934460650651</v>
      </c>
      <c r="K224" s="5">
        <f t="shared" si="56"/>
        <v>75218.47</v>
      </c>
      <c r="L224" s="140">
        <f>INDEX('2018 Best Practice Scores'!M$4:M$255,MATCH(B224,'2018 Best Practice Scores'!A$4:A$255,0))</f>
        <v>0.5734434523809524</v>
      </c>
      <c r="M224" s="105">
        <f t="shared" si="57"/>
        <v>16574.171259706392</v>
      </c>
      <c r="N224" s="105">
        <f t="shared" si="58"/>
        <v>2961.3966417985039</v>
      </c>
      <c r="O224" s="105">
        <f t="shared" si="59"/>
        <v>2851.3049962557575</v>
      </c>
      <c r="P224" s="105">
        <f t="shared" si="60"/>
        <v>944.82347748328937</v>
      </c>
      <c r="Q224" s="105">
        <f t="shared" si="61"/>
        <v>23331.696375243941</v>
      </c>
      <c r="R224" s="112">
        <f t="shared" si="62"/>
        <v>0.31018573463730303</v>
      </c>
      <c r="S224" s="175">
        <f t="shared" si="63"/>
        <v>23331.696375243941</v>
      </c>
      <c r="T224" s="105"/>
      <c r="U224" s="105">
        <f>IFERROR(INDEX('Revised 2019 MFAM(2017 PYAs)'!AD$26:AD$270,MATCH(B224,'Revised 2019 MFAM(2017 PYAs)'!B$26:B$270,0)),0)</f>
        <v>457.68129106700144</v>
      </c>
      <c r="V224" s="105">
        <f>IFERROR(INDEX('Revised 2018 MFAM(2016 PYAs)'!AF$26:AF$266,MATCH(B224,'Revised 2018 MFAM(2016 PYAs)'!B$26:B$266,0)),0)</f>
        <v>-343.71867352878689</v>
      </c>
      <c r="W224" s="105">
        <f t="shared" si="64"/>
        <v>0.88390828495587737</v>
      </c>
      <c r="X224" s="105">
        <f t="shared" si="65"/>
        <v>114.84652582317042</v>
      </c>
      <c r="Y224" s="105"/>
      <c r="Z224" s="106">
        <f t="shared" si="66"/>
        <v>23446.542901067111</v>
      </c>
      <c r="AA224" s="107">
        <v>0</v>
      </c>
      <c r="AB224" s="108">
        <f t="shared" si="67"/>
        <v>0</v>
      </c>
      <c r="AC224" s="108">
        <f>IFERROR(INDEX('Revised 2019 MFAM(2017 PYAs)'!AF$26:AF$270,MATCH(B224,'Revised 2019 MFAM(2017 PYAs)'!B$26:B$270,0)),0)</f>
        <v>51.907214229709638</v>
      </c>
      <c r="AD224" s="216">
        <f>AC224/AC$24*('Revised 2019 MFAM(2017 PYAs)'!AF$24-'2020 Funding'!AC$24)</f>
        <v>4.7558393033313856E-2</v>
      </c>
      <c r="AE224" s="105">
        <f t="shared" si="68"/>
        <v>23498.497673689853</v>
      </c>
      <c r="AF224" s="111"/>
      <c r="AG224" s="105">
        <v>6115.6105189511663</v>
      </c>
      <c r="AH224" s="214">
        <v>6115.6105189511663</v>
      </c>
      <c r="AI224" s="105">
        <v>6115.6105189511663</v>
      </c>
      <c r="AJ224" s="105">
        <f t="shared" si="69"/>
        <v>5151.6661168363562</v>
      </c>
    </row>
    <row r="225" spans="2:36" x14ac:dyDescent="0.25">
      <c r="B225">
        <v>818</v>
      </c>
      <c r="C225" s="27">
        <v>8</v>
      </c>
      <c r="D225" s="39" t="s">
        <v>488</v>
      </c>
      <c r="E225" s="162">
        <f>INDEX('2018 Data Lockdown'!H$5:H$255, MATCH(B225,'2018 Data Lockdown'!B$5:B$255,0))</f>
        <v>39.084698998412264</v>
      </c>
      <c r="F225" s="5">
        <f>INDEX('2018 Data Lockdown'!E$5:E$255,MATCH(B225,'2018 Data Lockdown'!B$5:B$255,0))</f>
        <v>16701.97</v>
      </c>
      <c r="G225" s="5">
        <f>INDEX('2018 Data Lockdown'!F$5:F$255, MATCH(B225,'2018 Data Lockdown'!B$5:B$255,0))</f>
        <v>0</v>
      </c>
      <c r="H225" s="5">
        <f t="shared" si="53"/>
        <v>16701.97</v>
      </c>
      <c r="I225" s="103">
        <f t="shared" si="54"/>
        <v>427.32758414433442</v>
      </c>
      <c r="J225" s="6">
        <f t="shared" si="55"/>
        <v>427.32758414433442</v>
      </c>
      <c r="K225" s="5">
        <f t="shared" si="56"/>
        <v>16701.97</v>
      </c>
      <c r="L225" s="140">
        <f>INDEX('2018 Best Practice Scores'!M$4:M$255,MATCH(B225,'2018 Best Practice Scores'!A$4:A$255,0))</f>
        <v>0.22241071428571429</v>
      </c>
      <c r="M225" s="105">
        <f t="shared" si="57"/>
        <v>3680.2305491520688</v>
      </c>
      <c r="N225" s="105">
        <f t="shared" si="58"/>
        <v>2208.7665410827071</v>
      </c>
      <c r="O225" s="105">
        <f t="shared" si="59"/>
        <v>245.55681155190544</v>
      </c>
      <c r="P225" s="105">
        <f t="shared" si="60"/>
        <v>209.79439459778399</v>
      </c>
      <c r="Q225" s="105">
        <f t="shared" si="61"/>
        <v>6344.3482963844654</v>
      </c>
      <c r="R225" s="112">
        <f t="shared" si="62"/>
        <v>0.37985628619764406</v>
      </c>
      <c r="S225" s="175">
        <f t="shared" si="63"/>
        <v>6344.3482963844654</v>
      </c>
      <c r="T225" s="105"/>
      <c r="U225" s="105">
        <f>IFERROR(INDEX('Revised 2019 MFAM(2017 PYAs)'!AD$26:AD$270,MATCH(B225,'Revised 2019 MFAM(2017 PYAs)'!B$26:B$270,0)),0)</f>
        <v>91.683073609007806</v>
      </c>
      <c r="V225" s="105">
        <f>IFERROR(INDEX('Revised 2018 MFAM(2016 PYAs)'!AF$26:AF$266,MATCH(B225,'Revised 2018 MFAM(2016 PYAs)'!B$26:B$266,0)),0)</f>
        <v>177.16221383521315</v>
      </c>
      <c r="W225" s="105">
        <f t="shared" si="64"/>
        <v>0.24035209149087444</v>
      </c>
      <c r="X225" s="105">
        <f t="shared" si="65"/>
        <v>269.08563953571183</v>
      </c>
      <c r="Y225" s="105"/>
      <c r="Z225" s="106">
        <f t="shared" si="66"/>
        <v>6613.4339359201767</v>
      </c>
      <c r="AA225" s="107">
        <v>0</v>
      </c>
      <c r="AB225" s="108">
        <f t="shared" si="67"/>
        <v>0</v>
      </c>
      <c r="AC225" s="108">
        <f>IFERROR(INDEX('Revised 2019 MFAM(2017 PYAs)'!AF$26:AF$270,MATCH(B225,'Revised 2019 MFAM(2017 PYAs)'!B$26:B$270,0)),0)</f>
        <v>13.318805850033948</v>
      </c>
      <c r="AD225" s="216">
        <f>AC225/AC$24*('Revised 2019 MFAM(2017 PYAs)'!AF$24-'2020 Funding'!AC$24)</f>
        <v>1.2202947369650385E-2</v>
      </c>
      <c r="AE225" s="105">
        <f t="shared" si="68"/>
        <v>6626.76494471758</v>
      </c>
      <c r="AF225" s="111"/>
      <c r="AG225" s="105">
        <v>1707.8611014173896</v>
      </c>
      <c r="AH225" s="214">
        <v>1707.8611014173896</v>
      </c>
      <c r="AI225" s="105">
        <v>1707.8611014173896</v>
      </c>
      <c r="AJ225" s="105">
        <f t="shared" si="69"/>
        <v>1503.1816404654116</v>
      </c>
    </row>
    <row r="226" spans="2:36" x14ac:dyDescent="0.25">
      <c r="B226">
        <v>833</v>
      </c>
      <c r="C226" s="27">
        <v>8</v>
      </c>
      <c r="D226" s="39" t="s">
        <v>489</v>
      </c>
      <c r="E226" s="162">
        <f>INDEX('2018 Data Lockdown'!H$5:H$255, MATCH(B226,'2018 Data Lockdown'!B$5:B$255,0))</f>
        <v>68.497718442678561</v>
      </c>
      <c r="F226" s="5">
        <f>INDEX('2018 Data Lockdown'!E$5:E$255,MATCH(B226,'2018 Data Lockdown'!B$5:B$255,0))</f>
        <v>53144.45</v>
      </c>
      <c r="G226" s="5">
        <f>INDEX('2018 Data Lockdown'!F$5:F$255, MATCH(B226,'2018 Data Lockdown'!B$5:B$255,0))</f>
        <v>0</v>
      </c>
      <c r="H226" s="5">
        <f t="shared" si="53"/>
        <v>53144.45</v>
      </c>
      <c r="I226" s="103">
        <f t="shared" si="54"/>
        <v>775.85722865314483</v>
      </c>
      <c r="J226" s="6">
        <f t="shared" si="55"/>
        <v>775.85722865314483</v>
      </c>
      <c r="K226" s="5">
        <f t="shared" si="56"/>
        <v>53144.45</v>
      </c>
      <c r="L226" s="140">
        <f>INDEX('2018 Best Practice Scores'!M$4:M$255,MATCH(B226,'2018 Best Practice Scores'!A$4:A$255,0))</f>
        <v>0.25010119047619045</v>
      </c>
      <c r="M226" s="105">
        <f t="shared" si="57"/>
        <v>11710.225105654281</v>
      </c>
      <c r="N226" s="105">
        <f t="shared" si="58"/>
        <v>3870.9641500076114</v>
      </c>
      <c r="O226" s="105">
        <f t="shared" si="59"/>
        <v>878.62237190049257</v>
      </c>
      <c r="P226" s="105">
        <f t="shared" si="60"/>
        <v>667.55045745994028</v>
      </c>
      <c r="Q226" s="105">
        <f t="shared" si="61"/>
        <v>17127.362085022323</v>
      </c>
      <c r="R226" s="112">
        <f t="shared" si="62"/>
        <v>0.32227941177342739</v>
      </c>
      <c r="S226" s="175">
        <f t="shared" si="63"/>
        <v>17127.362085022323</v>
      </c>
      <c r="T226" s="105"/>
      <c r="U226" s="105">
        <f>IFERROR(INDEX('Revised 2019 MFAM(2017 PYAs)'!AD$26:AD$270,MATCH(B226,'Revised 2019 MFAM(2017 PYAs)'!B$26:B$270,0)),0)</f>
        <v>280.95627295970917</v>
      </c>
      <c r="V226" s="105">
        <f>IFERROR(INDEX('Revised 2018 MFAM(2016 PYAs)'!AF$26:AF$266,MATCH(B226,'Revised 2018 MFAM(2016 PYAs)'!B$26:B$266,0)),0)</f>
        <v>-9126.628937770085</v>
      </c>
      <c r="W226" s="105">
        <f t="shared" si="64"/>
        <v>0.6488605458818516</v>
      </c>
      <c r="X226" s="105">
        <f t="shared" si="65"/>
        <v>-8845.0238042644942</v>
      </c>
      <c r="Y226" s="105"/>
      <c r="Z226" s="106">
        <f t="shared" si="66"/>
        <v>8282.3382807578291</v>
      </c>
      <c r="AA226" s="107">
        <v>0</v>
      </c>
      <c r="AB226" s="108">
        <f t="shared" si="67"/>
        <v>0</v>
      </c>
      <c r="AC226" s="108">
        <f>IFERROR(INDEX('Revised 2019 MFAM(2017 PYAs)'!AF$26:AF$270,MATCH(B226,'Revised 2019 MFAM(2017 PYAs)'!B$26:B$270,0)),0)</f>
        <v>35.583507943939836</v>
      </c>
      <c r="AD226" s="216">
        <f>AC226/AC$24*('Revised 2019 MFAM(2017 PYAs)'!AF$24-'2020 Funding'!AC$24)</f>
        <v>3.2602297800318744E-2</v>
      </c>
      <c r="AE226" s="105">
        <f t="shared" si="68"/>
        <v>8317.95439099957</v>
      </c>
      <c r="AF226" s="111"/>
      <c r="AG226" s="105">
        <v>2255.5370875641188</v>
      </c>
      <c r="AH226" s="214">
        <v>2255.5370875641188</v>
      </c>
      <c r="AI226" s="105">
        <v>2255.5370875641188</v>
      </c>
      <c r="AJ226" s="105">
        <f t="shared" si="69"/>
        <v>1551.3431283072141</v>
      </c>
    </row>
    <row r="227" spans="2:36" x14ac:dyDescent="0.25">
      <c r="B227">
        <v>834</v>
      </c>
      <c r="C227" s="27">
        <v>8</v>
      </c>
      <c r="D227" s="39" t="s">
        <v>490</v>
      </c>
      <c r="E227" s="162">
        <f>INDEX('2018 Data Lockdown'!H$5:H$255, MATCH(B227,'2018 Data Lockdown'!B$5:B$255,0))</f>
        <v>93.830000000000013</v>
      </c>
      <c r="F227" s="5">
        <f>INDEX('2018 Data Lockdown'!E$5:E$255,MATCH(B227,'2018 Data Lockdown'!B$5:B$255,0))</f>
        <v>64791.31</v>
      </c>
      <c r="G227" s="5">
        <f>INDEX('2018 Data Lockdown'!F$5:F$255, MATCH(B227,'2018 Data Lockdown'!B$5:B$255,0))</f>
        <v>5551.2800000000007</v>
      </c>
      <c r="H227" s="5">
        <f t="shared" si="53"/>
        <v>59240.03</v>
      </c>
      <c r="I227" s="103">
        <f t="shared" si="54"/>
        <v>631.35489715442816</v>
      </c>
      <c r="J227" s="6">
        <f t="shared" si="55"/>
        <v>631.35489715442816</v>
      </c>
      <c r="K227" s="5">
        <f t="shared" si="56"/>
        <v>59240.03</v>
      </c>
      <c r="L227" s="140">
        <f>INDEX('2018 Best Practice Scores'!M$4:M$255,MATCH(B227,'2018 Best Practice Scores'!A$4:A$255,0))</f>
        <v>0.66815773809523804</v>
      </c>
      <c r="M227" s="105">
        <f t="shared" si="57"/>
        <v>13053.368443284535</v>
      </c>
      <c r="N227" s="105">
        <f t="shared" si="58"/>
        <v>5302.5498433084904</v>
      </c>
      <c r="O227" s="105">
        <f t="shared" si="59"/>
        <v>2616.512740076626</v>
      </c>
      <c r="P227" s="105">
        <f t="shared" si="60"/>
        <v>744.11738434475456</v>
      </c>
      <c r="Q227" s="105">
        <f t="shared" si="61"/>
        <v>21716.548411014406</v>
      </c>
      <c r="R227" s="112">
        <f t="shared" si="62"/>
        <v>0.36658570920734523</v>
      </c>
      <c r="S227" s="175">
        <f t="shared" si="63"/>
        <v>21716.548411014406</v>
      </c>
      <c r="T227" s="105"/>
      <c r="U227" s="105">
        <f>IFERROR(INDEX('Revised 2019 MFAM(2017 PYAs)'!AD$26:AD$270,MATCH(B227,'Revised 2019 MFAM(2017 PYAs)'!B$26:B$270,0)),0)</f>
        <v>239.95544019239605</v>
      </c>
      <c r="V227" s="105">
        <f>IFERROR(INDEX('Revised 2018 MFAM(2016 PYAs)'!AF$26:AF$266,MATCH(B227,'Revised 2018 MFAM(2016 PYAs)'!B$26:B$266,0)),0)</f>
        <v>78.171602328868175</v>
      </c>
      <c r="W227" s="105">
        <f t="shared" si="64"/>
        <v>0.82271930649278957</v>
      </c>
      <c r="X227" s="105">
        <f t="shared" si="65"/>
        <v>318.94976182775702</v>
      </c>
      <c r="Y227" s="105"/>
      <c r="Z227" s="106">
        <f t="shared" si="66"/>
        <v>22035.498172842163</v>
      </c>
      <c r="AA227" s="107">
        <v>0</v>
      </c>
      <c r="AB227" s="108">
        <f t="shared" si="67"/>
        <v>0</v>
      </c>
      <c r="AC227" s="108">
        <f>IFERROR(INDEX('Revised 2019 MFAM(2017 PYAs)'!AF$26:AF$270,MATCH(B227,'Revised 2019 MFAM(2017 PYAs)'!B$26:B$270,0)),0)</f>
        <v>34.265287542245034</v>
      </c>
      <c r="AD227" s="216">
        <f>AC227/AC$24*('Revised 2019 MFAM(2017 PYAs)'!AF$24-'2020 Funding'!AC$24)</f>
        <v>3.1394518787349647E-2</v>
      </c>
      <c r="AE227" s="105">
        <f t="shared" si="68"/>
        <v>22069.794854903197</v>
      </c>
      <c r="AF227" s="111"/>
      <c r="AG227" s="105">
        <v>5695.4489033823638</v>
      </c>
      <c r="AH227" s="214">
        <v>5695.4489033823638</v>
      </c>
      <c r="AI227" s="105">
        <v>5695.4489033823638</v>
      </c>
      <c r="AJ227" s="105">
        <f t="shared" si="69"/>
        <v>4983.4481447561075</v>
      </c>
    </row>
    <row r="228" spans="2:36" x14ac:dyDescent="0.25">
      <c r="B228">
        <v>837</v>
      </c>
      <c r="C228" s="27">
        <v>8</v>
      </c>
      <c r="D228" s="39" t="s">
        <v>491</v>
      </c>
      <c r="E228" s="162">
        <f>INDEX('2018 Data Lockdown'!H$5:H$255, MATCH(B228,'2018 Data Lockdown'!B$5:B$255,0))</f>
        <v>191.19000000000003</v>
      </c>
      <c r="F228" s="5">
        <f>INDEX('2018 Data Lockdown'!E$5:E$255,MATCH(B228,'2018 Data Lockdown'!B$5:B$255,0))</f>
        <v>133882.48000000001</v>
      </c>
      <c r="G228" s="5">
        <f>INDEX('2018 Data Lockdown'!F$5:F$255, MATCH(B228,'2018 Data Lockdown'!B$5:B$255,0))</f>
        <v>0</v>
      </c>
      <c r="H228" s="5">
        <f t="shared" si="53"/>
        <v>133882.48000000001</v>
      </c>
      <c r="I228" s="103">
        <f t="shared" si="54"/>
        <v>700.25880014645111</v>
      </c>
      <c r="J228" s="6">
        <f t="shared" si="55"/>
        <v>700.25880014645111</v>
      </c>
      <c r="K228" s="5">
        <f t="shared" si="56"/>
        <v>133882.48000000001</v>
      </c>
      <c r="L228" s="140">
        <f>INDEX('2018 Best Practice Scores'!M$4:M$255,MATCH(B228,'2018 Best Practice Scores'!A$4:A$255,0))</f>
        <v>0.58590773809523811</v>
      </c>
      <c r="M228" s="105">
        <f t="shared" si="57"/>
        <v>29500.615370057596</v>
      </c>
      <c r="N228" s="105">
        <f t="shared" si="58"/>
        <v>10804.588133242567</v>
      </c>
      <c r="O228" s="105">
        <f t="shared" si="59"/>
        <v>5185.3916471664179</v>
      </c>
      <c r="P228" s="105">
        <f t="shared" si="60"/>
        <v>1681.7054418640389</v>
      </c>
      <c r="Q228" s="105">
        <f t="shared" si="61"/>
        <v>47172.300592330619</v>
      </c>
      <c r="R228" s="112">
        <f t="shared" si="62"/>
        <v>0.35234110237822464</v>
      </c>
      <c r="S228" s="175">
        <f t="shared" si="63"/>
        <v>47172.300592330619</v>
      </c>
      <c r="T228" s="105"/>
      <c r="U228" s="105">
        <f>IFERROR(INDEX('Revised 2019 MFAM(2017 PYAs)'!AD$26:AD$270,MATCH(B228,'Revised 2019 MFAM(2017 PYAs)'!B$26:B$270,0)),0)</f>
        <v>542.87093044623907</v>
      </c>
      <c r="V228" s="105">
        <f>IFERROR(INDEX('Revised 2018 MFAM(2016 PYAs)'!AF$26:AF$266,MATCH(B228,'Revised 2018 MFAM(2016 PYAs)'!B$26:B$266,0)),0)</f>
        <v>106.59230016497168</v>
      </c>
      <c r="W228" s="105">
        <f t="shared" si="64"/>
        <v>1.7870962592429216</v>
      </c>
      <c r="X228" s="105">
        <f t="shared" si="65"/>
        <v>651.2503268704537</v>
      </c>
      <c r="Y228" s="105"/>
      <c r="Z228" s="106">
        <f t="shared" si="66"/>
        <v>47823.550919201072</v>
      </c>
      <c r="AA228" s="107">
        <v>0</v>
      </c>
      <c r="AB228" s="108">
        <f t="shared" si="67"/>
        <v>0</v>
      </c>
      <c r="AC228" s="108">
        <f>IFERROR(INDEX('Revised 2019 MFAM(2017 PYAs)'!AF$26:AF$270,MATCH(B228,'Revised 2019 MFAM(2017 PYAs)'!B$26:B$270,0)),0)</f>
        <v>71.663208631508368</v>
      </c>
      <c r="AD228" s="216">
        <f>AC228/AC$24*('Revised 2019 MFAM(2017 PYAs)'!AF$24-'2020 Funding'!AC$24)</f>
        <v>6.565921698365644E-2</v>
      </c>
      <c r="AE228" s="105">
        <f t="shared" si="68"/>
        <v>47895.279787049563</v>
      </c>
      <c r="AF228" s="111"/>
      <c r="AG228" s="105">
        <v>12361.194519156219</v>
      </c>
      <c r="AH228" s="214">
        <v>12361.194519156219</v>
      </c>
      <c r="AI228" s="105">
        <v>12361.194519156219</v>
      </c>
      <c r="AJ228" s="105">
        <f t="shared" si="69"/>
        <v>10811.696229580906</v>
      </c>
    </row>
    <row r="229" spans="2:36" x14ac:dyDescent="0.25">
      <c r="B229">
        <v>845</v>
      </c>
      <c r="C229" s="27">
        <v>8</v>
      </c>
      <c r="D229" s="39" t="s">
        <v>564</v>
      </c>
      <c r="E229" s="162">
        <f>INDEX('2018 Data Lockdown'!H$5:H$255, MATCH(B229,'2018 Data Lockdown'!B$5:B$255,0))</f>
        <v>5.5265652735971607</v>
      </c>
      <c r="F229" s="5">
        <f>INDEX('2018 Data Lockdown'!E$5:E$255,MATCH(B229,'2018 Data Lockdown'!B$5:B$255,0))</f>
        <v>9336.9500000000007</v>
      </c>
      <c r="G229" s="5">
        <f>INDEX('2018 Data Lockdown'!F$5:F$255, MATCH(B229,'2018 Data Lockdown'!B$5:B$255,0))</f>
        <v>0</v>
      </c>
      <c r="H229" s="5">
        <f t="shared" si="53"/>
        <v>9336.9500000000007</v>
      </c>
      <c r="I229" s="103">
        <f t="shared" si="54"/>
        <v>1689.4670627716509</v>
      </c>
      <c r="J229" s="6">
        <f t="shared" si="55"/>
        <v>1689.4670627716509</v>
      </c>
      <c r="K229" s="5">
        <f t="shared" si="56"/>
        <v>9336.9500000000007</v>
      </c>
      <c r="L229" s="140">
        <f>INDEX('2018 Best Practice Scores'!M$4:M$255,MATCH(B229,'2018 Best Practice Scores'!A$4:A$255,0))</f>
        <v>0.2215</v>
      </c>
      <c r="M229" s="105">
        <f t="shared" si="57"/>
        <v>2057.3697968506353</v>
      </c>
      <c r="N229" s="105">
        <f t="shared" si="58"/>
        <v>312.31895796170483</v>
      </c>
      <c r="O229" s="105">
        <f t="shared" si="59"/>
        <v>136.71222300072472</v>
      </c>
      <c r="P229" s="105">
        <f t="shared" si="60"/>
        <v>117.28195971132622</v>
      </c>
      <c r="Q229" s="105">
        <f t="shared" si="61"/>
        <v>2623.682937524391</v>
      </c>
      <c r="R229" s="112">
        <f t="shared" si="62"/>
        <v>0.28099999866384534</v>
      </c>
      <c r="S229" s="175">
        <f t="shared" si="63"/>
        <v>2623.682937524391</v>
      </c>
      <c r="T229" s="105"/>
      <c r="U229" s="105">
        <f>IFERROR(INDEX('Revised 2019 MFAM(2017 PYAs)'!AD$26:AD$270,MATCH(B229,'Revised 2019 MFAM(2017 PYAs)'!B$26:B$270,0)),0)</f>
        <v>19.315769781744393</v>
      </c>
      <c r="V229" s="105">
        <f>IFERROR(INDEX('Revised 2018 MFAM(2016 PYAs)'!AF$26:AF$266,MATCH(B229,'Revised 2018 MFAM(2016 PYAs)'!B$26:B$266,0)),0)</f>
        <v>0</v>
      </c>
      <c r="W229" s="105">
        <f t="shared" si="64"/>
        <v>9.9396762596133184E-2</v>
      </c>
      <c r="X229" s="105">
        <f t="shared" si="65"/>
        <v>19.415166544340526</v>
      </c>
      <c r="Y229" s="105"/>
      <c r="Z229" s="106">
        <f t="shared" si="66"/>
        <v>2643.0981040687316</v>
      </c>
      <c r="AA229" s="107">
        <v>0</v>
      </c>
      <c r="AB229" s="108">
        <f t="shared" si="67"/>
        <v>0</v>
      </c>
      <c r="AC229" s="108">
        <f>IFERROR(INDEX('Revised 2019 MFAM(2017 PYAs)'!AF$26:AF$270,MATCH(B229,'Revised 2019 MFAM(2017 PYAs)'!B$26:B$270,0)),0)</f>
        <v>2.4932071257368862</v>
      </c>
      <c r="AD229" s="216">
        <f>AC229/AC$24*('Revised 2019 MFAM(2017 PYAs)'!AF$24-'2020 Funding'!AC$24)</f>
        <v>2.2843245617944785E-3</v>
      </c>
      <c r="AE229" s="105">
        <f t="shared" si="68"/>
        <v>2645.5935955190303</v>
      </c>
      <c r="AF229" s="111"/>
      <c r="AG229" s="105">
        <v>683.32943597829524</v>
      </c>
      <c r="AH229" s="214">
        <v>683.32943597829524</v>
      </c>
      <c r="AI229" s="105">
        <v>683.32943597829524</v>
      </c>
      <c r="AJ229" s="105">
        <f t="shared" si="69"/>
        <v>595.60528758414432</v>
      </c>
    </row>
    <row r="230" spans="2:36" x14ac:dyDescent="0.25">
      <c r="B230">
        <v>847</v>
      </c>
      <c r="C230" s="44">
        <v>8</v>
      </c>
      <c r="D230" s="39" t="s">
        <v>492</v>
      </c>
      <c r="E230" s="162">
        <f>INDEX('2018 Data Lockdown'!H$5:H$255, MATCH(B230,'2018 Data Lockdown'!B$5:B$255,0))</f>
        <v>70.589802523602913</v>
      </c>
      <c r="F230" s="5">
        <f>INDEX('2018 Data Lockdown'!E$5:E$255,MATCH(B230,'2018 Data Lockdown'!B$5:B$255,0))</f>
        <v>114871.03</v>
      </c>
      <c r="G230" s="5">
        <f>INDEX('2018 Data Lockdown'!F$5:F$255, MATCH(B230,'2018 Data Lockdown'!B$5:B$255,0))</f>
        <v>0</v>
      </c>
      <c r="H230" s="5">
        <f t="shared" si="53"/>
        <v>114871.03</v>
      </c>
      <c r="I230" s="103">
        <f t="shared" si="54"/>
        <v>1627.3034615954748</v>
      </c>
      <c r="J230" s="6">
        <f t="shared" si="55"/>
        <v>1627.3034615954748</v>
      </c>
      <c r="K230" s="5">
        <f t="shared" si="56"/>
        <v>114871.03</v>
      </c>
      <c r="L230" s="140">
        <f>INDEX('2018 Best Practice Scores'!M$4:M$255,MATCH(B230,'2018 Best Practice Scores'!A$4:A$255,0))</f>
        <v>0.3290892857142857</v>
      </c>
      <c r="M230" s="105">
        <f t="shared" si="57"/>
        <v>25311.497614866013</v>
      </c>
      <c r="N230" s="105">
        <f t="shared" si="58"/>
        <v>3989.1926495865696</v>
      </c>
      <c r="O230" s="105">
        <f t="shared" si="59"/>
        <v>2498.9228011305308</v>
      </c>
      <c r="P230" s="105">
        <f t="shared" si="60"/>
        <v>1442.9015377032697</v>
      </c>
      <c r="Q230" s="105">
        <f t="shared" si="61"/>
        <v>33242.514603286385</v>
      </c>
      <c r="R230" s="112">
        <f t="shared" si="62"/>
        <v>0.28938988884565919</v>
      </c>
      <c r="S230" s="175">
        <f t="shared" si="63"/>
        <v>33242.514603286385</v>
      </c>
      <c r="T230" s="105"/>
      <c r="U230" s="105">
        <f>IFERROR(INDEX('Revised 2019 MFAM(2017 PYAs)'!AD$26:AD$270,MATCH(B230,'Revised 2019 MFAM(2017 PYAs)'!B$26:B$270,0)),0)</f>
        <v>417.07879604086338</v>
      </c>
      <c r="V230" s="105">
        <f>IFERROR(INDEX('Revised 2018 MFAM(2016 PYAs)'!AF$26:AF$266,MATCH(B230,'Revised 2018 MFAM(2016 PYAs)'!B$26:B$266,0)),0)</f>
        <v>-25495.13173223706</v>
      </c>
      <c r="W230" s="105">
        <f t="shared" si="64"/>
        <v>1.2593740977097883</v>
      </c>
      <c r="X230" s="105">
        <f t="shared" si="65"/>
        <v>-25076.793562098486</v>
      </c>
      <c r="Y230" s="105"/>
      <c r="Z230" s="106">
        <f t="shared" si="66"/>
        <v>8165.7210411878987</v>
      </c>
      <c r="AA230" s="107">
        <v>1</v>
      </c>
      <c r="AB230" s="108">
        <f t="shared" si="67"/>
        <v>-816.57210411878987</v>
      </c>
      <c r="AC230" s="108">
        <f>IFERROR(INDEX('Revised 2019 MFAM(2017 PYAs)'!AF$26:AF$270,MATCH(B230,'Revised 2019 MFAM(2017 PYAs)'!B$26:B$270,0)),0)</f>
        <v>50.411096729563333</v>
      </c>
      <c r="AD230" s="216">
        <f>AC230/AC$24*('Revised 2019 MFAM(2017 PYAs)'!AF$24-'2020 Funding'!AC$24)</f>
        <v>4.6187621260028205E-2</v>
      </c>
      <c r="AE230" s="105">
        <f t="shared" si="68"/>
        <v>7399.6062214199328</v>
      </c>
      <c r="AF230" s="111"/>
      <c r="AG230" s="105">
        <v>2167.9290564590433</v>
      </c>
      <c r="AH230" s="214">
        <v>2167.9290564590433</v>
      </c>
      <c r="AI230" s="105">
        <v>2167.9290564590433</v>
      </c>
      <c r="AJ230" s="105">
        <f t="shared" si="69"/>
        <v>895.81905204280247</v>
      </c>
    </row>
    <row r="231" spans="2:36" x14ac:dyDescent="0.25">
      <c r="B231">
        <v>866</v>
      </c>
      <c r="C231" s="27">
        <v>8</v>
      </c>
      <c r="D231" s="39" t="s">
        <v>493</v>
      </c>
      <c r="E231" s="162">
        <f>INDEX('2018 Data Lockdown'!H$5:H$255, MATCH(B231,'2018 Data Lockdown'!B$5:B$255,0))</f>
        <v>160.53138279575614</v>
      </c>
      <c r="F231" s="5">
        <f>INDEX('2018 Data Lockdown'!E$5:E$255,MATCH(B231,'2018 Data Lockdown'!B$5:B$255,0))</f>
        <v>63164.800000000003</v>
      </c>
      <c r="G231" s="5">
        <f>INDEX('2018 Data Lockdown'!F$5:F$255, MATCH(B231,'2018 Data Lockdown'!B$5:B$255,0))</f>
        <v>0</v>
      </c>
      <c r="H231" s="5">
        <f t="shared" si="53"/>
        <v>63164.800000000003</v>
      </c>
      <c r="I231" s="103">
        <f t="shared" si="54"/>
        <v>393.47321937894532</v>
      </c>
      <c r="J231" s="6">
        <f t="shared" si="55"/>
        <v>393.47321937894532</v>
      </c>
      <c r="K231" s="5">
        <f t="shared" si="56"/>
        <v>63164.800000000003</v>
      </c>
      <c r="L231" s="140">
        <f>INDEX('2018 Best Practice Scores'!M$4:M$255,MATCH(B231,'2018 Best Practice Scores'!A$4:A$255,0))</f>
        <v>0.68916666666666659</v>
      </c>
      <c r="M231" s="105">
        <f t="shared" si="57"/>
        <v>13918.180106363536</v>
      </c>
      <c r="N231" s="105">
        <f t="shared" si="58"/>
        <v>9071.9989202785018</v>
      </c>
      <c r="O231" s="105">
        <f t="shared" si="59"/>
        <v>2877.5837369906608</v>
      </c>
      <c r="P231" s="105">
        <f t="shared" si="60"/>
        <v>793.41664341931551</v>
      </c>
      <c r="Q231" s="105">
        <f t="shared" si="61"/>
        <v>26661.179407052012</v>
      </c>
      <c r="R231" s="112">
        <f t="shared" si="62"/>
        <v>0.42208919219331037</v>
      </c>
      <c r="S231" s="175">
        <f t="shared" si="63"/>
        <v>26661.179407052012</v>
      </c>
      <c r="T231" s="105"/>
      <c r="U231" s="105">
        <f>IFERROR(INDEX('Revised 2019 MFAM(2017 PYAs)'!AD$26:AD$270,MATCH(B231,'Revised 2019 MFAM(2017 PYAs)'!B$26:B$270,0)),0)</f>
        <v>335.64629069712464</v>
      </c>
      <c r="V231" s="105">
        <f>IFERROR(INDEX('Revised 2018 MFAM(2016 PYAs)'!AF$26:AF$266,MATCH(B231,'Revised 2018 MFAM(2016 PYAs)'!B$26:B$266,0)),0)</f>
        <v>418.99794064887101</v>
      </c>
      <c r="W231" s="105">
        <f t="shared" si="64"/>
        <v>1.0100438898901927</v>
      </c>
      <c r="X231" s="105">
        <f t="shared" si="65"/>
        <v>755.65427523588585</v>
      </c>
      <c r="Y231" s="105"/>
      <c r="Z231" s="106">
        <f t="shared" si="66"/>
        <v>27416.833682287899</v>
      </c>
      <c r="AA231" s="107">
        <v>0</v>
      </c>
      <c r="AB231" s="108">
        <f t="shared" si="67"/>
        <v>0</v>
      </c>
      <c r="AC231" s="108">
        <f>IFERROR(INDEX('Revised 2019 MFAM(2017 PYAs)'!AF$26:AF$270,MATCH(B231,'Revised 2019 MFAM(2017 PYAs)'!B$26:B$270,0)),0)</f>
        <v>45.685240892984645</v>
      </c>
      <c r="AD231" s="216">
        <f>AC231/AC$24*('Revised 2019 MFAM(2017 PYAs)'!AF$24-'2020 Funding'!AC$24)</f>
        <v>4.1857700792708091E-2</v>
      </c>
      <c r="AE231" s="105">
        <f t="shared" si="68"/>
        <v>27462.560780881675</v>
      </c>
      <c r="AF231" s="111"/>
      <c r="AG231" s="105">
        <v>7128.0874280454855</v>
      </c>
      <c r="AH231" s="214">
        <v>7128.0874280454855</v>
      </c>
      <c r="AI231" s="105">
        <v>7128.0874280454855</v>
      </c>
      <c r="AJ231" s="105">
        <f t="shared" si="69"/>
        <v>6078.2984967452203</v>
      </c>
    </row>
    <row r="232" spans="2:36" x14ac:dyDescent="0.25">
      <c r="B232">
        <v>871</v>
      </c>
      <c r="C232" s="27">
        <v>8</v>
      </c>
      <c r="D232" s="39" t="s">
        <v>494</v>
      </c>
      <c r="E232" s="162">
        <f>INDEX('2018 Data Lockdown'!H$5:H$255, MATCH(B232,'2018 Data Lockdown'!B$5:B$255,0))</f>
        <v>16.078387570207461</v>
      </c>
      <c r="F232" s="5">
        <f>INDEX('2018 Data Lockdown'!E$5:E$255,MATCH(B232,'2018 Data Lockdown'!B$5:B$255,0))</f>
        <v>11872.16</v>
      </c>
      <c r="G232" s="5">
        <f>INDEX('2018 Data Lockdown'!F$5:F$255, MATCH(B232,'2018 Data Lockdown'!B$5:B$255,0))</f>
        <v>0</v>
      </c>
      <c r="H232" s="5">
        <f t="shared" si="53"/>
        <v>11872.16</v>
      </c>
      <c r="I232" s="103">
        <f t="shared" si="54"/>
        <v>738.39245062101782</v>
      </c>
      <c r="J232" s="6">
        <f t="shared" si="55"/>
        <v>738.39245062101782</v>
      </c>
      <c r="K232" s="5">
        <f t="shared" si="56"/>
        <v>11872.16</v>
      </c>
      <c r="L232" s="140">
        <f>INDEX('2018 Best Practice Scores'!M$4:M$255,MATCH(B232,'2018 Best Practice Scores'!A$4:A$255,0))</f>
        <v>0.22280952380952382</v>
      </c>
      <c r="M232" s="105">
        <f t="shared" si="57"/>
        <v>2615.9959523589864</v>
      </c>
      <c r="N232" s="105">
        <f t="shared" si="58"/>
        <v>908.62678771242395</v>
      </c>
      <c r="O232" s="105">
        <f t="shared" si="59"/>
        <v>174.86064372982423</v>
      </c>
      <c r="P232" s="105">
        <f t="shared" si="60"/>
        <v>149.12687663599124</v>
      </c>
      <c r="Q232" s="105">
        <f t="shared" si="61"/>
        <v>3848.6102604372259</v>
      </c>
      <c r="R232" s="112">
        <f t="shared" si="62"/>
        <v>0.32417102367532324</v>
      </c>
      <c r="S232" s="175">
        <f t="shared" si="63"/>
        <v>3848.6102604372259</v>
      </c>
      <c r="T232" s="105"/>
      <c r="U232" s="105">
        <f>IFERROR(INDEX('Revised 2019 MFAM(2017 PYAs)'!AD$26:AD$270,MATCH(B232,'Revised 2019 MFAM(2017 PYAs)'!B$26:B$270,0)),0)</f>
        <v>55.613518785928136</v>
      </c>
      <c r="V232" s="105">
        <f>IFERROR(INDEX('Revised 2018 MFAM(2016 PYAs)'!AF$26:AF$266,MATCH(B232,'Revised 2018 MFAM(2016 PYAs)'!B$26:B$266,0)),0)</f>
        <v>141.3388912940004</v>
      </c>
      <c r="W232" s="105">
        <f t="shared" si="64"/>
        <v>0.14580245002571501</v>
      </c>
      <c r="X232" s="105">
        <f t="shared" si="65"/>
        <v>197.09821252995425</v>
      </c>
      <c r="Y232" s="105"/>
      <c r="Z232" s="106">
        <f t="shared" si="66"/>
        <v>4045.7084729671801</v>
      </c>
      <c r="AA232" s="107">
        <v>0</v>
      </c>
      <c r="AB232" s="108">
        <f t="shared" si="67"/>
        <v>0</v>
      </c>
      <c r="AC232" s="108">
        <f>IFERROR(INDEX('Revised 2019 MFAM(2017 PYAs)'!AF$26:AF$270,MATCH(B232,'Revised 2019 MFAM(2017 PYAs)'!B$26:B$270,0)),0)</f>
        <v>7.2362138381677337</v>
      </c>
      <c r="AD232" s="216">
        <f>AC232/AC$24*('Revised 2019 MFAM(2017 PYAs)'!AF$24-'2020 Funding'!AC$24)</f>
        <v>6.6299589930933333E-3</v>
      </c>
      <c r="AE232" s="105">
        <f t="shared" si="68"/>
        <v>4052.9513167643408</v>
      </c>
      <c r="AF232" s="111"/>
      <c r="AG232" s="105">
        <v>1044.50064396736</v>
      </c>
      <c r="AH232" s="214">
        <v>1044.50064396736</v>
      </c>
      <c r="AI232" s="105">
        <v>1044.50064396736</v>
      </c>
      <c r="AJ232" s="105">
        <f t="shared" si="69"/>
        <v>919.44938486226101</v>
      </c>
    </row>
    <row r="233" spans="2:36" x14ac:dyDescent="0.25">
      <c r="B233">
        <v>873</v>
      </c>
      <c r="C233" s="27">
        <v>8</v>
      </c>
      <c r="D233" s="39" t="s">
        <v>495</v>
      </c>
      <c r="E233" s="162">
        <f>INDEX('2018 Data Lockdown'!H$5:H$255, MATCH(B233,'2018 Data Lockdown'!B$5:B$255,0))</f>
        <v>159.24</v>
      </c>
      <c r="F233" s="5">
        <f>INDEX('2018 Data Lockdown'!E$5:E$255,MATCH(B233,'2018 Data Lockdown'!B$5:B$255,0))</f>
        <v>68071.05</v>
      </c>
      <c r="G233" s="5">
        <f>INDEX('2018 Data Lockdown'!F$5:F$255, MATCH(B233,'2018 Data Lockdown'!B$5:B$255,0))</f>
        <v>0</v>
      </c>
      <c r="H233" s="5">
        <f t="shared" si="53"/>
        <v>68071.05</v>
      </c>
      <c r="I233" s="103">
        <f t="shared" si="54"/>
        <v>427.47456669178598</v>
      </c>
      <c r="J233" s="6">
        <f t="shared" si="55"/>
        <v>427.47456669178598</v>
      </c>
      <c r="K233" s="5">
        <f t="shared" si="56"/>
        <v>68071.05</v>
      </c>
      <c r="L233" s="140">
        <f>INDEX('2018 Best Practice Scores'!M$4:M$255,MATCH(B233,'2018 Best Practice Scores'!A$4:A$255,0))</f>
        <v>0.47672363095238091</v>
      </c>
      <c r="M233" s="105">
        <f t="shared" si="57"/>
        <v>14999.258035001734</v>
      </c>
      <c r="N233" s="105">
        <f t="shared" si="58"/>
        <v>8999.0198982036</v>
      </c>
      <c r="O233" s="105">
        <f t="shared" si="59"/>
        <v>2145.1502256113104</v>
      </c>
      <c r="P233" s="105">
        <f t="shared" si="60"/>
        <v>855.0443285663597</v>
      </c>
      <c r="Q233" s="105">
        <f t="shared" si="61"/>
        <v>26998.472487383002</v>
      </c>
      <c r="R233" s="112">
        <f t="shared" si="62"/>
        <v>0.39662194849914906</v>
      </c>
      <c r="S233" s="175">
        <f t="shared" si="63"/>
        <v>26998.472487383002</v>
      </c>
      <c r="T233" s="105"/>
      <c r="U233" s="105">
        <f>IFERROR(INDEX('Revised 2019 MFAM(2017 PYAs)'!AD$26:AD$270,MATCH(B233,'Revised 2019 MFAM(2017 PYAs)'!B$26:B$270,0)),0)</f>
        <v>387.11365280059908</v>
      </c>
      <c r="V233" s="105">
        <f>IFERROR(INDEX('Revised 2018 MFAM(2016 PYAs)'!AF$26:AF$266,MATCH(B233,'Revised 2018 MFAM(2016 PYAs)'!B$26:B$266,0)),0)</f>
        <v>869.14273473486173</v>
      </c>
      <c r="W233" s="105">
        <f t="shared" si="64"/>
        <v>1.0228220498391276</v>
      </c>
      <c r="X233" s="105">
        <f t="shared" si="65"/>
        <v>1257.2792095852999</v>
      </c>
      <c r="Y233" s="105"/>
      <c r="Z233" s="106">
        <f t="shared" si="66"/>
        <v>28255.751696968302</v>
      </c>
      <c r="AA233" s="107">
        <v>0</v>
      </c>
      <c r="AB233" s="108">
        <f t="shared" si="67"/>
        <v>0</v>
      </c>
      <c r="AC233" s="108">
        <f>IFERROR(INDEX('Revised 2019 MFAM(2017 PYAs)'!AF$26:AF$270,MATCH(B233,'Revised 2019 MFAM(2017 PYAs)'!B$26:B$270,0)),0)</f>
        <v>53.591144711157924</v>
      </c>
      <c r="AD233" s="216">
        <f>AC233/AC$24*('Revised 2019 MFAM(2017 PYAs)'!AF$24-'2020 Funding'!AC$24)</f>
        <v>4.9101242690455682E-2</v>
      </c>
      <c r="AE233" s="105">
        <f t="shared" si="68"/>
        <v>28309.39194292215</v>
      </c>
      <c r="AF233" s="111"/>
      <c r="AG233" s="105">
        <v>7295.855437941801</v>
      </c>
      <c r="AH233" s="214">
        <v>7295.855437941801</v>
      </c>
      <c r="AI233" s="105">
        <v>7295.855437941801</v>
      </c>
      <c r="AJ233" s="105">
        <f t="shared" si="69"/>
        <v>6421.8256290967447</v>
      </c>
    </row>
    <row r="234" spans="2:36" x14ac:dyDescent="0.25">
      <c r="B234">
        <v>895</v>
      </c>
      <c r="C234" s="27">
        <v>8</v>
      </c>
      <c r="D234" s="39" t="s">
        <v>496</v>
      </c>
      <c r="E234" s="162">
        <f>INDEX('2018 Data Lockdown'!H$5:H$255, MATCH(B234,'2018 Data Lockdown'!B$5:B$255,0))</f>
        <v>9.8090552475101163</v>
      </c>
      <c r="F234" s="5">
        <f>INDEX('2018 Data Lockdown'!E$5:E$255,MATCH(B234,'2018 Data Lockdown'!B$5:B$255,0))</f>
        <v>4417.1099999999997</v>
      </c>
      <c r="G234" s="5">
        <f>INDEX('2018 Data Lockdown'!F$5:F$255, MATCH(B234,'2018 Data Lockdown'!B$5:B$255,0))</f>
        <v>0</v>
      </c>
      <c r="H234" s="5">
        <f t="shared" si="53"/>
        <v>4417.1099999999997</v>
      </c>
      <c r="I234" s="103">
        <f t="shared" si="54"/>
        <v>450.30942211496034</v>
      </c>
      <c r="J234" s="6">
        <f t="shared" si="55"/>
        <v>450.30942211496034</v>
      </c>
      <c r="K234" s="5">
        <f t="shared" si="56"/>
        <v>4417.1099999999997</v>
      </c>
      <c r="L234" s="140">
        <f>INDEX('2018 Best Practice Scores'!M$4:M$255,MATCH(B234,'2018 Best Practice Scores'!A$4:A$255,0))</f>
        <v>0.16628571428571429</v>
      </c>
      <c r="M234" s="105">
        <f t="shared" si="57"/>
        <v>973.29735120857549</v>
      </c>
      <c r="N234" s="105">
        <f t="shared" si="58"/>
        <v>554.33234962900008</v>
      </c>
      <c r="O234" s="105">
        <f t="shared" si="59"/>
        <v>48.553633577433509</v>
      </c>
      <c r="P234" s="105">
        <f t="shared" si="60"/>
        <v>55.483569801754967</v>
      </c>
      <c r="Q234" s="105">
        <f t="shared" si="61"/>
        <v>1631.6669042167639</v>
      </c>
      <c r="R234" s="112">
        <f t="shared" si="62"/>
        <v>0.36939693696031206</v>
      </c>
      <c r="S234" s="175">
        <f t="shared" si="63"/>
        <v>1631.6669042167639</v>
      </c>
      <c r="T234" s="105"/>
      <c r="U234" s="105">
        <f>IFERROR(INDEX('Revised 2019 MFAM(2017 PYAs)'!AD$26:AD$270,MATCH(B234,'Revised 2019 MFAM(2017 PYAs)'!B$26:B$270,0)),0)</f>
        <v>62.571629399485573</v>
      </c>
      <c r="V234" s="105">
        <f>IFERROR(INDEX('Revised 2018 MFAM(2016 PYAs)'!AF$26:AF$266,MATCH(B234,'Revised 2018 MFAM(2016 PYAs)'!B$26:B$266,0)),0)</f>
        <v>152.884970643815</v>
      </c>
      <c r="W234" s="105">
        <f t="shared" si="64"/>
        <v>6.181478927763677E-2</v>
      </c>
      <c r="X234" s="105">
        <f t="shared" si="65"/>
        <v>215.5184148325782</v>
      </c>
      <c r="Y234" s="105"/>
      <c r="Z234" s="106">
        <f t="shared" si="66"/>
        <v>1847.1853190493421</v>
      </c>
      <c r="AA234" s="107">
        <v>0</v>
      </c>
      <c r="AB234" s="108">
        <f t="shared" si="67"/>
        <v>0</v>
      </c>
      <c r="AC234" s="108">
        <f>IFERROR(INDEX('Revised 2019 MFAM(2017 PYAs)'!AF$26:AF$270,MATCH(B234,'Revised 2019 MFAM(2017 PYAs)'!B$26:B$270,0)),0)</f>
        <v>9.6799229959199113</v>
      </c>
      <c r="AD234" s="216">
        <f>AC234/AC$24*('Revised 2019 MFAM(2017 PYAs)'!AF$24-'2020 Funding'!AC$24)</f>
        <v>8.8689325598344144E-3</v>
      </c>
      <c r="AE234" s="105">
        <f t="shared" si="68"/>
        <v>1856.8741109778218</v>
      </c>
      <c r="AF234" s="111"/>
      <c r="AG234" s="105">
        <v>472.6755359162745</v>
      </c>
      <c r="AH234" s="214">
        <v>472.6755359162745</v>
      </c>
      <c r="AI234" s="105">
        <v>472.6755359162745</v>
      </c>
      <c r="AJ234" s="105">
        <f t="shared" si="69"/>
        <v>438.84750322899822</v>
      </c>
    </row>
    <row r="235" spans="2:36" x14ac:dyDescent="0.25">
      <c r="B235">
        <v>905</v>
      </c>
      <c r="C235" s="44">
        <v>8</v>
      </c>
      <c r="D235" s="39" t="s">
        <v>498</v>
      </c>
      <c r="E235" s="162">
        <f>INDEX('2018 Data Lockdown'!H$5:H$255, MATCH(B235,'2018 Data Lockdown'!B$5:B$255,0))</f>
        <v>92.836231091018377</v>
      </c>
      <c r="F235" s="5">
        <f>INDEX('2018 Data Lockdown'!E$5:E$255,MATCH(B235,'2018 Data Lockdown'!B$5:B$255,0))</f>
        <v>57092.91</v>
      </c>
      <c r="G235" s="5">
        <f>INDEX('2018 Data Lockdown'!F$5:F$255, MATCH(B235,'2018 Data Lockdown'!B$5:B$255,0))</f>
        <v>0</v>
      </c>
      <c r="H235" s="5">
        <f t="shared" si="53"/>
        <v>57092.91</v>
      </c>
      <c r="I235" s="103">
        <f t="shared" si="54"/>
        <v>614.98521998404965</v>
      </c>
      <c r="J235" s="6">
        <f t="shared" si="55"/>
        <v>614.98521998404965</v>
      </c>
      <c r="K235" s="5">
        <f t="shared" si="56"/>
        <v>57092.91</v>
      </c>
      <c r="L235" s="140">
        <f>INDEX('2018 Best Practice Scores'!M$4:M$255,MATCH(B235,'2018 Best Practice Scores'!A$4:A$255,0))</f>
        <v>0.2362559523809524</v>
      </c>
      <c r="M235" s="105">
        <f t="shared" si="57"/>
        <v>12580.25679138387</v>
      </c>
      <c r="N235" s="105">
        <f t="shared" si="58"/>
        <v>5246.3896688162649</v>
      </c>
      <c r="O235" s="105">
        <f t="shared" si="59"/>
        <v>891.6481648336021</v>
      </c>
      <c r="P235" s="105">
        <f t="shared" si="60"/>
        <v>717.1472879711655</v>
      </c>
      <c r="Q235" s="105">
        <f t="shared" si="61"/>
        <v>19435.441913004903</v>
      </c>
      <c r="R235" s="112">
        <f t="shared" si="62"/>
        <v>0.3404177841522687</v>
      </c>
      <c r="S235" s="175">
        <f t="shared" si="63"/>
        <v>19435.441913004903</v>
      </c>
      <c r="T235" s="105"/>
      <c r="U235" s="105">
        <f>IFERROR(INDEX('Revised 2019 MFAM(2017 PYAs)'!AD$26:AD$270,MATCH(B235,'Revised 2019 MFAM(2017 PYAs)'!B$26:B$270,0)),0)</f>
        <v>284.20421487441126</v>
      </c>
      <c r="V235" s="105">
        <f>IFERROR(INDEX('Revised 2018 MFAM(2016 PYAs)'!AF$26:AF$266,MATCH(B235,'Revised 2018 MFAM(2016 PYAs)'!B$26:B$266,0)),0)</f>
        <v>610.50603215251613</v>
      </c>
      <c r="W235" s="105">
        <f t="shared" si="64"/>
        <v>0.73630086095718472</v>
      </c>
      <c r="X235" s="105">
        <f t="shared" si="65"/>
        <v>895.44654788788455</v>
      </c>
      <c r="Y235" s="105"/>
      <c r="Z235" s="106">
        <f t="shared" si="66"/>
        <v>20330.888460892787</v>
      </c>
      <c r="AA235" s="107">
        <v>0</v>
      </c>
      <c r="AB235" s="108">
        <f t="shared" si="67"/>
        <v>0</v>
      </c>
      <c r="AC235" s="108">
        <f>IFERROR(INDEX('Revised 2019 MFAM(2017 PYAs)'!AF$26:AF$270,MATCH(B235,'Revised 2019 MFAM(2017 PYAs)'!B$26:B$270,0)),0)</f>
        <v>38.165620672090391</v>
      </c>
      <c r="AD235" s="216">
        <f>AC235/AC$24*('Revised 2019 MFAM(2017 PYAs)'!AF$24-'2020 Funding'!AC$24)</f>
        <v>3.4968079393572112E-2</v>
      </c>
      <c r="AE235" s="105">
        <f t="shared" si="68"/>
        <v>20369.089049644273</v>
      </c>
      <c r="AF235" s="111"/>
      <c r="AG235" s="105">
        <v>5209.1546528795516</v>
      </c>
      <c r="AH235" s="214">
        <v>5209.1546528795516</v>
      </c>
      <c r="AI235" s="105">
        <v>5209.1546528795516</v>
      </c>
      <c r="AJ235" s="105">
        <f t="shared" si="69"/>
        <v>4741.6250910056187</v>
      </c>
    </row>
    <row r="236" spans="2:36" x14ac:dyDescent="0.25">
      <c r="B236">
        <v>907</v>
      </c>
      <c r="C236" s="44">
        <v>8</v>
      </c>
      <c r="D236" s="39" t="s">
        <v>499</v>
      </c>
      <c r="E236" s="162">
        <f>INDEX('2018 Data Lockdown'!H$5:H$255, MATCH(B236,'2018 Data Lockdown'!B$5:B$255,0))</f>
        <v>17.277728875220131</v>
      </c>
      <c r="F236" s="5">
        <f>INDEX('2018 Data Lockdown'!E$5:E$255,MATCH(B236,'2018 Data Lockdown'!B$5:B$255,0))</f>
        <v>19453.25</v>
      </c>
      <c r="G236" s="5">
        <f>INDEX('2018 Data Lockdown'!F$5:F$255, MATCH(B236,'2018 Data Lockdown'!B$5:B$255,0))</f>
        <v>0</v>
      </c>
      <c r="H236" s="5">
        <f t="shared" si="53"/>
        <v>19453.25</v>
      </c>
      <c r="I236" s="103">
        <f t="shared" si="54"/>
        <v>1125.9147623215699</v>
      </c>
      <c r="J236" s="6">
        <f t="shared" si="55"/>
        <v>1125.9147623215699</v>
      </c>
      <c r="K236" s="5">
        <f t="shared" si="56"/>
        <v>19453.25</v>
      </c>
      <c r="L236" s="140">
        <f>INDEX('2018 Best Practice Scores'!M$4:M$255,MATCH(B236,'2018 Best Practice Scores'!A$4:A$255,0))</f>
        <v>0.168375</v>
      </c>
      <c r="M236" s="105">
        <f t="shared" si="57"/>
        <v>4286.4671012037788</v>
      </c>
      <c r="N236" s="105">
        <f t="shared" si="58"/>
        <v>976.4043327296713</v>
      </c>
      <c r="O236" s="105">
        <f t="shared" si="59"/>
        <v>216.52016944955588</v>
      </c>
      <c r="P236" s="105">
        <f t="shared" si="60"/>
        <v>244.3533790750038</v>
      </c>
      <c r="Q236" s="105">
        <f t="shared" si="61"/>
        <v>5723.7449824580099</v>
      </c>
      <c r="R236" s="112">
        <f t="shared" si="62"/>
        <v>0.29423078315746776</v>
      </c>
      <c r="S236" s="175">
        <f t="shared" si="63"/>
        <v>5723.7449824580099</v>
      </c>
      <c r="T236" s="105"/>
      <c r="U236" s="105">
        <f>IFERROR(INDEX('Revised 2019 MFAM(2017 PYAs)'!AD$26:AD$270,MATCH(B236,'Revised 2019 MFAM(2017 PYAs)'!B$26:B$270,0)),0)</f>
        <v>1871.0298815205242</v>
      </c>
      <c r="V236" s="105">
        <f>IFERROR(INDEX('Revised 2018 MFAM(2016 PYAs)'!AF$26:AF$266,MATCH(B236,'Revised 2018 MFAM(2016 PYAs)'!B$26:B$266,0)),0)</f>
        <v>110.40548289357321</v>
      </c>
      <c r="W236" s="105">
        <f t="shared" si="64"/>
        <v>0.21684088158876411</v>
      </c>
      <c r="X236" s="105">
        <f t="shared" si="65"/>
        <v>1981.6522052956861</v>
      </c>
      <c r="Y236" s="105"/>
      <c r="Z236" s="106">
        <f t="shared" si="66"/>
        <v>7705.397187753696</v>
      </c>
      <c r="AA236" s="107">
        <v>0</v>
      </c>
      <c r="AB236" s="108">
        <f t="shared" si="67"/>
        <v>0</v>
      </c>
      <c r="AC236" s="108">
        <f>IFERROR(INDEX('Revised 2019 MFAM(2017 PYAs)'!AF$26:AF$270,MATCH(B236,'Revised 2019 MFAM(2017 PYAs)'!B$26:B$270,0)),0)</f>
        <v>10.362472081514314</v>
      </c>
      <c r="AD236" s="216">
        <f>AC236/AC$24*('Revised 2019 MFAM(2017 PYAs)'!AF$24-'2020 Funding'!AC$24)</f>
        <v>9.4942972255931141E-3</v>
      </c>
      <c r="AE236" s="105">
        <f t="shared" si="68"/>
        <v>7715.7691541324357</v>
      </c>
      <c r="AF236" s="111"/>
      <c r="AG236" s="105">
        <v>1975.5485267255367</v>
      </c>
      <c r="AH236" s="214">
        <v>1975.5485267255367</v>
      </c>
      <c r="AI236" s="105">
        <v>1975.5485267255367</v>
      </c>
      <c r="AJ236" s="105">
        <f t="shared" si="69"/>
        <v>1789.123573955826</v>
      </c>
    </row>
    <row r="237" spans="2:36" x14ac:dyDescent="0.25">
      <c r="B237">
        <v>918</v>
      </c>
      <c r="C237" s="27">
        <v>8</v>
      </c>
      <c r="D237" s="39" t="s">
        <v>500</v>
      </c>
      <c r="E237" s="162">
        <f>INDEX('2018 Data Lockdown'!H$5:H$255, MATCH(B237,'2018 Data Lockdown'!B$5:B$255,0))</f>
        <v>63.790529260598753</v>
      </c>
      <c r="F237" s="5">
        <f>INDEX('2018 Data Lockdown'!E$5:E$255,MATCH(B237,'2018 Data Lockdown'!B$5:B$255,0))</f>
        <v>58594.77</v>
      </c>
      <c r="G237" s="5">
        <f>INDEX('2018 Data Lockdown'!F$5:F$255, MATCH(B237,'2018 Data Lockdown'!B$5:B$255,0))</f>
        <v>0</v>
      </c>
      <c r="H237" s="5">
        <f t="shared" si="53"/>
        <v>58594.77</v>
      </c>
      <c r="I237" s="103">
        <f t="shared" si="54"/>
        <v>918.54967624781887</v>
      </c>
      <c r="J237" s="6">
        <f t="shared" si="55"/>
        <v>918.54967624781887</v>
      </c>
      <c r="K237" s="5">
        <f t="shared" si="56"/>
        <v>58594.77</v>
      </c>
      <c r="L237" s="140">
        <f>INDEX('2018 Best Practice Scores'!M$4:M$255,MATCH(B237,'2018 Best Practice Scores'!A$4:A$255,0))</f>
        <v>0.43569345238095236</v>
      </c>
      <c r="M237" s="105">
        <f t="shared" si="57"/>
        <v>12911.187277580975</v>
      </c>
      <c r="N237" s="105">
        <f t="shared" si="58"/>
        <v>3604.9500259549559</v>
      </c>
      <c r="O237" s="105">
        <f t="shared" si="59"/>
        <v>1687.5959277918853</v>
      </c>
      <c r="P237" s="105">
        <f t="shared" si="60"/>
        <v>736.0122368047837</v>
      </c>
      <c r="Q237" s="105">
        <f t="shared" si="61"/>
        <v>18939.745468132602</v>
      </c>
      <c r="R237" s="112">
        <f t="shared" si="62"/>
        <v>0.32323269582136088</v>
      </c>
      <c r="S237" s="175">
        <f t="shared" si="63"/>
        <v>18939.745468132602</v>
      </c>
      <c r="T237" s="105"/>
      <c r="U237" s="105">
        <f>IFERROR(INDEX('Revised 2019 MFAM(2017 PYAs)'!AD$26:AD$270,MATCH(B237,'Revised 2019 MFAM(2017 PYAs)'!B$26:B$270,0)),0)</f>
        <v>194.65655195345425</v>
      </c>
      <c r="V237" s="105">
        <f>IFERROR(INDEX('Revised 2018 MFAM(2016 PYAs)'!AF$26:AF$266,MATCH(B237,'Revised 2018 MFAM(2016 PYAs)'!B$26:B$266,0)),0)</f>
        <v>65.015953052312398</v>
      </c>
      <c r="W237" s="105">
        <f t="shared" si="64"/>
        <v>0.71752167802084676</v>
      </c>
      <c r="X237" s="105">
        <f t="shared" si="65"/>
        <v>260.39002668378748</v>
      </c>
      <c r="Y237" s="105"/>
      <c r="Z237" s="106">
        <f t="shared" si="66"/>
        <v>19200.13549481639</v>
      </c>
      <c r="AA237" s="107">
        <v>0</v>
      </c>
      <c r="AB237" s="108">
        <f t="shared" si="67"/>
        <v>0</v>
      </c>
      <c r="AC237" s="108">
        <f>IFERROR(INDEX('Revised 2019 MFAM(2017 PYAs)'!AF$26:AF$270,MATCH(B237,'Revised 2019 MFAM(2017 PYAs)'!B$26:B$270,0)),0)</f>
        <v>25.463114847487589</v>
      </c>
      <c r="AD237" s="216">
        <f>AC237/AC$24*('Revised 2019 MFAM(2017 PYAs)'!AF$24-'2020 Funding'!AC$24)</f>
        <v>2.3329798020177789E-2</v>
      </c>
      <c r="AE237" s="105">
        <f t="shared" si="68"/>
        <v>19225.621939461897</v>
      </c>
      <c r="AF237" s="111"/>
      <c r="AG237" s="105">
        <v>4962.7960897209714</v>
      </c>
      <c r="AH237" s="214">
        <v>4962.7960897209714</v>
      </c>
      <c r="AI237" s="105">
        <v>4962.7960897209714</v>
      </c>
      <c r="AJ237" s="105">
        <f t="shared" si="69"/>
        <v>4337.2336702989842</v>
      </c>
    </row>
    <row r="238" spans="2:36" x14ac:dyDescent="0.25">
      <c r="B238">
        <v>922</v>
      </c>
      <c r="C238" s="27">
        <v>8</v>
      </c>
      <c r="D238" s="39" t="s">
        <v>501</v>
      </c>
      <c r="E238" s="162">
        <f>INDEX('2018 Data Lockdown'!H$5:H$255, MATCH(B238,'2018 Data Lockdown'!B$5:B$255,0))</f>
        <v>137.06999999999996</v>
      </c>
      <c r="F238" s="5">
        <f>INDEX('2018 Data Lockdown'!E$5:E$255,MATCH(B238,'2018 Data Lockdown'!B$5:B$255,0))</f>
        <v>138545.48000000001</v>
      </c>
      <c r="G238" s="5">
        <f>INDEX('2018 Data Lockdown'!F$5:F$255, MATCH(B238,'2018 Data Lockdown'!B$5:B$255,0))</f>
        <v>12389.89</v>
      </c>
      <c r="H238" s="5">
        <f t="shared" si="53"/>
        <v>126155.59000000001</v>
      </c>
      <c r="I238" s="103">
        <f t="shared" si="54"/>
        <v>920.37345881666329</v>
      </c>
      <c r="J238" s="6">
        <f t="shared" si="55"/>
        <v>920.37345881666329</v>
      </c>
      <c r="K238" s="5">
        <f t="shared" si="56"/>
        <v>126155.59000000001</v>
      </c>
      <c r="L238" s="140">
        <f>INDEX('2018 Best Practice Scores'!M$4:M$255,MATCH(B238,'2018 Best Practice Scores'!A$4:A$255,0))</f>
        <v>0.41308630952380954</v>
      </c>
      <c r="M238" s="105">
        <f t="shared" si="57"/>
        <v>27798.017614946217</v>
      </c>
      <c r="N238" s="105">
        <f t="shared" si="58"/>
        <v>7746.1420337023801</v>
      </c>
      <c r="O238" s="105">
        <f t="shared" si="59"/>
        <v>3444.8941525907944</v>
      </c>
      <c r="P238" s="105">
        <f t="shared" si="60"/>
        <v>1584.6475373369879</v>
      </c>
      <c r="Q238" s="105">
        <f t="shared" si="61"/>
        <v>40573.701338576378</v>
      </c>
      <c r="R238" s="112">
        <f t="shared" si="62"/>
        <v>0.32161635753577289</v>
      </c>
      <c r="S238" s="175">
        <f t="shared" si="63"/>
        <v>40573.701338576378</v>
      </c>
      <c r="T238" s="105"/>
      <c r="U238" s="105">
        <f>IFERROR(INDEX('Revised 2019 MFAM(2017 PYAs)'!AD$26:AD$270,MATCH(B238,'Revised 2019 MFAM(2017 PYAs)'!B$26:B$270,0)),0)</f>
        <v>593.0797481779955</v>
      </c>
      <c r="V238" s="105">
        <f>IFERROR(INDEX('Revised 2018 MFAM(2016 PYAs)'!AF$26:AF$266,MATCH(B238,'Revised 2018 MFAM(2016 PYAs)'!B$26:B$266,0)),0)</f>
        <v>10774.838853680587</v>
      </c>
      <c r="W238" s="105">
        <f t="shared" si="64"/>
        <v>1.5371120122472479</v>
      </c>
      <c r="X238" s="105">
        <f t="shared" si="65"/>
        <v>11369.45571387083</v>
      </c>
      <c r="Y238" s="105"/>
      <c r="Z238" s="106">
        <f t="shared" si="66"/>
        <v>51943.157052447204</v>
      </c>
      <c r="AA238" s="107">
        <v>0</v>
      </c>
      <c r="AB238" s="108">
        <f t="shared" si="67"/>
        <v>0</v>
      </c>
      <c r="AC238" s="108">
        <f>IFERROR(INDEX('Revised 2019 MFAM(2017 PYAs)'!AF$26:AF$270,MATCH(B238,'Revised 2019 MFAM(2017 PYAs)'!B$26:B$270,0)),0)</f>
        <v>74.95159380956602</v>
      </c>
      <c r="AD238" s="216">
        <f>AC238/AC$24*('Revised 2019 MFAM(2017 PYAs)'!AF$24-'2020 Funding'!AC$24)</f>
        <v>6.8672099047619686E-2</v>
      </c>
      <c r="AE238" s="105">
        <f t="shared" si="68"/>
        <v>52018.177318355818</v>
      </c>
      <c r="AF238" s="111"/>
      <c r="AG238" s="105">
        <v>13244.824989936591</v>
      </c>
      <c r="AH238" s="214">
        <v>13244.824989936591</v>
      </c>
      <c r="AI238" s="105">
        <v>13244.824989936591</v>
      </c>
      <c r="AJ238" s="105">
        <f t="shared" si="69"/>
        <v>12283.702348546045</v>
      </c>
    </row>
    <row r="239" spans="2:36" x14ac:dyDescent="0.25">
      <c r="B239">
        <v>924</v>
      </c>
      <c r="C239" s="27">
        <v>8</v>
      </c>
      <c r="D239" s="39" t="s">
        <v>502</v>
      </c>
      <c r="E239" s="162">
        <f>INDEX('2018 Data Lockdown'!H$5:H$255, MATCH(B239,'2018 Data Lockdown'!B$5:B$255,0))</f>
        <v>101.88088769949739</v>
      </c>
      <c r="F239" s="5">
        <f>INDEX('2018 Data Lockdown'!E$5:E$255,MATCH(B239,'2018 Data Lockdown'!B$5:B$255,0))</f>
        <v>59433.15</v>
      </c>
      <c r="G239" s="5">
        <f>INDEX('2018 Data Lockdown'!F$5:F$255, MATCH(B239,'2018 Data Lockdown'!B$5:B$255,0))</f>
        <v>0</v>
      </c>
      <c r="H239" s="5">
        <f t="shared" si="53"/>
        <v>59433.15</v>
      </c>
      <c r="I239" s="103">
        <f t="shared" si="54"/>
        <v>583.35916914368624</v>
      </c>
      <c r="J239" s="6">
        <f t="shared" si="55"/>
        <v>583.35916914368624</v>
      </c>
      <c r="K239" s="5">
        <f t="shared" si="56"/>
        <v>59433.15</v>
      </c>
      <c r="L239" s="140">
        <f>INDEX('2018 Best Practice Scores'!M$4:M$255,MATCH(B239,'2018 Best Practice Scores'!A$4:A$255,0))</f>
        <v>0.30095238095238092</v>
      </c>
      <c r="M239" s="105">
        <f t="shared" si="57"/>
        <v>13095.921874026672</v>
      </c>
      <c r="N239" s="105">
        <f t="shared" si="58"/>
        <v>5757.5240872546065</v>
      </c>
      <c r="O239" s="105">
        <f t="shared" si="59"/>
        <v>1182.3746606264078</v>
      </c>
      <c r="P239" s="105">
        <f t="shared" si="60"/>
        <v>746.54317564271059</v>
      </c>
      <c r="Q239" s="105">
        <f t="shared" si="61"/>
        <v>20782.363797550395</v>
      </c>
      <c r="R239" s="112">
        <f t="shared" si="62"/>
        <v>0.34967629677293555</v>
      </c>
      <c r="S239" s="175">
        <f t="shared" si="63"/>
        <v>20782.363797550395</v>
      </c>
      <c r="T239" s="105"/>
      <c r="U239" s="105">
        <f>IFERROR(INDEX('Revised 2019 MFAM(2017 PYAs)'!AD$26:AD$270,MATCH(B239,'Revised 2019 MFAM(2017 PYAs)'!B$26:B$270,0)),0)</f>
        <v>-3299.8124643596639</v>
      </c>
      <c r="V239" s="105">
        <f>IFERROR(INDEX('Revised 2018 MFAM(2016 PYAs)'!AF$26:AF$266,MATCH(B239,'Revised 2018 MFAM(2016 PYAs)'!B$26:B$266,0)),0)</f>
        <v>-16093.936402483825</v>
      </c>
      <c r="W239" s="105">
        <f t="shared" si="64"/>
        <v>0.78732824421258241</v>
      </c>
      <c r="X239" s="105">
        <f t="shared" si="65"/>
        <v>-19392.961538599277</v>
      </c>
      <c r="Y239" s="105"/>
      <c r="Z239" s="106">
        <f t="shared" si="66"/>
        <v>1389.4022589511187</v>
      </c>
      <c r="AA239" s="107">
        <v>0</v>
      </c>
      <c r="AB239" s="108">
        <f t="shared" si="67"/>
        <v>0</v>
      </c>
      <c r="AC239" s="108">
        <f>IFERROR(INDEX('Revised 2019 MFAM(2017 PYAs)'!AF$26:AF$270,MATCH(B239,'Revised 2019 MFAM(2017 PYAs)'!B$26:B$270,0)),0)</f>
        <v>40.156843596883391</v>
      </c>
      <c r="AD239" s="216">
        <f>AC239/AC$24*('Revised 2019 MFAM(2017 PYAs)'!AF$24-'2020 Funding'!AC$24)</f>
        <v>3.6792476327207752E-2</v>
      </c>
      <c r="AE239" s="105">
        <f t="shared" si="68"/>
        <v>1429.5958950243294</v>
      </c>
      <c r="AF239" s="111"/>
      <c r="AG239" s="105">
        <v>483.68346910449236</v>
      </c>
      <c r="AH239" s="214">
        <v>483.68346910449236</v>
      </c>
      <c r="AI239" s="105">
        <v>483.68346910449236</v>
      </c>
      <c r="AJ239" s="105">
        <f t="shared" si="69"/>
        <v>-21.454512289147715</v>
      </c>
    </row>
    <row r="240" spans="2:36" x14ac:dyDescent="0.25">
      <c r="B240">
        <v>929</v>
      </c>
      <c r="C240" s="27">
        <v>8</v>
      </c>
      <c r="D240" s="39" t="s">
        <v>503</v>
      </c>
      <c r="E240" s="162">
        <f>INDEX('2018 Data Lockdown'!H$5:H$255, MATCH(B240,'2018 Data Lockdown'!B$5:B$255,0))</f>
        <v>63.123226579614247</v>
      </c>
      <c r="F240" s="5">
        <f>INDEX('2018 Data Lockdown'!E$5:E$255,MATCH(B240,'2018 Data Lockdown'!B$5:B$255,0))</f>
        <v>48337.61</v>
      </c>
      <c r="G240" s="5">
        <f>INDEX('2018 Data Lockdown'!F$5:F$255, MATCH(B240,'2018 Data Lockdown'!B$5:B$255,0))</f>
        <v>0</v>
      </c>
      <c r="H240" s="5">
        <f t="shared" si="53"/>
        <v>48337.61</v>
      </c>
      <c r="I240" s="103">
        <f t="shared" si="54"/>
        <v>765.76583009479293</v>
      </c>
      <c r="J240" s="6">
        <f t="shared" si="55"/>
        <v>765.76583009479293</v>
      </c>
      <c r="K240" s="5">
        <f t="shared" si="56"/>
        <v>48337.61</v>
      </c>
      <c r="L240" s="140">
        <f>INDEX('2018 Best Practice Scores'!M$4:M$255,MATCH(B240,'2018 Best Practice Scores'!A$4:A$255,0))</f>
        <v>0.38105952380952385</v>
      </c>
      <c r="M240" s="105">
        <f t="shared" si="57"/>
        <v>10651.051881604297</v>
      </c>
      <c r="N240" s="105">
        <f t="shared" si="58"/>
        <v>3567.2392114340805</v>
      </c>
      <c r="O240" s="105">
        <f t="shared" si="59"/>
        <v>1217.6054274224</v>
      </c>
      <c r="P240" s="105">
        <f t="shared" si="60"/>
        <v>607.17146697388318</v>
      </c>
      <c r="Q240" s="105">
        <f t="shared" si="61"/>
        <v>16043.067987434661</v>
      </c>
      <c r="R240" s="112">
        <f t="shared" si="62"/>
        <v>0.33189617747825473</v>
      </c>
      <c r="S240" s="175">
        <f t="shared" si="63"/>
        <v>16043.067987434661</v>
      </c>
      <c r="T240" s="105"/>
      <c r="U240" s="105">
        <f>IFERROR(INDEX('Revised 2019 MFAM(2017 PYAs)'!AD$26:AD$270,MATCH(B240,'Revised 2019 MFAM(2017 PYAs)'!B$26:B$270,0)),0)</f>
        <v>285.20165833734427</v>
      </c>
      <c r="V240" s="105">
        <f>IFERROR(INDEX('Revised 2018 MFAM(2016 PYAs)'!AF$26:AF$266,MATCH(B240,'Revised 2018 MFAM(2016 PYAs)'!B$26:B$266,0)),0)</f>
        <v>-1592.5782002991473</v>
      </c>
      <c r="W240" s="105">
        <f t="shared" si="64"/>
        <v>0.6077826696412103</v>
      </c>
      <c r="X240" s="105">
        <f t="shared" si="65"/>
        <v>-1306.7687592921618</v>
      </c>
      <c r="Y240" s="105"/>
      <c r="Z240" s="106">
        <f t="shared" si="66"/>
        <v>14736.299228142499</v>
      </c>
      <c r="AA240" s="107">
        <v>0</v>
      </c>
      <c r="AB240" s="108">
        <f t="shared" si="67"/>
        <v>0</v>
      </c>
      <c r="AC240" s="108">
        <f>IFERROR(INDEX('Revised 2019 MFAM(2017 PYAs)'!AF$26:AF$270,MATCH(B240,'Revised 2019 MFAM(2017 PYAs)'!B$26:B$270,0)),0)</f>
        <v>33.184171499842776</v>
      </c>
      <c r="AD240" s="216">
        <f>AC240/AC$24*('Revised 2019 MFAM(2017 PYAs)'!AF$24-'2020 Funding'!AC$24)</f>
        <v>3.0403979371544151E-2</v>
      </c>
      <c r="AE240" s="105">
        <f t="shared" si="68"/>
        <v>14769.513803621714</v>
      </c>
      <c r="AF240" s="111"/>
      <c r="AG240" s="105">
        <v>3821.9356000135272</v>
      </c>
      <c r="AH240" s="214">
        <v>3821.9356000135272</v>
      </c>
      <c r="AI240" s="105">
        <v>3821.9356000135272</v>
      </c>
      <c r="AJ240" s="105">
        <f t="shared" si="69"/>
        <v>3303.7070035811334</v>
      </c>
    </row>
    <row r="241" spans="2:36" x14ac:dyDescent="0.25">
      <c r="B241">
        <v>955</v>
      </c>
      <c r="C241" s="27">
        <v>8</v>
      </c>
      <c r="D241" s="39" t="s">
        <v>504</v>
      </c>
      <c r="E241" s="162">
        <f>INDEX('2018 Data Lockdown'!H$5:H$255, MATCH(B241,'2018 Data Lockdown'!B$5:B$255,0))</f>
        <v>40.67169248967609</v>
      </c>
      <c r="F241" s="5">
        <f>INDEX('2018 Data Lockdown'!E$5:E$255,MATCH(B241,'2018 Data Lockdown'!B$5:B$255,0))</f>
        <v>22678.11</v>
      </c>
      <c r="G241" s="5">
        <f>INDEX('2018 Data Lockdown'!F$5:F$255, MATCH(B241,'2018 Data Lockdown'!B$5:B$255,0))</f>
        <v>0</v>
      </c>
      <c r="H241" s="5">
        <f t="shared" si="53"/>
        <v>22678.11</v>
      </c>
      <c r="I241" s="103">
        <f t="shared" si="54"/>
        <v>557.58953246798137</v>
      </c>
      <c r="J241" s="6">
        <f t="shared" si="55"/>
        <v>557.58953246798137</v>
      </c>
      <c r="K241" s="5">
        <f t="shared" si="56"/>
        <v>22678.11</v>
      </c>
      <c r="L241" s="140">
        <f>INDEX('2018 Best Practice Scores'!M$4:M$255,MATCH(B241,'2018 Best Practice Scores'!A$4:A$255,0))</f>
        <v>0.16628571428571429</v>
      </c>
      <c r="M241" s="105">
        <f t="shared" si="57"/>
        <v>4997.0556299065929</v>
      </c>
      <c r="N241" s="105">
        <f t="shared" si="58"/>
        <v>2298.4512057787811</v>
      </c>
      <c r="O241" s="105">
        <f t="shared" si="59"/>
        <v>249.28168942334031</v>
      </c>
      <c r="P241" s="105">
        <f t="shared" si="60"/>
        <v>284.86102885300062</v>
      </c>
      <c r="Q241" s="105">
        <f t="shared" si="61"/>
        <v>7829.6495539617144</v>
      </c>
      <c r="R241" s="112">
        <f t="shared" si="62"/>
        <v>0.34525141442394069</v>
      </c>
      <c r="S241" s="175">
        <f t="shared" si="63"/>
        <v>7829.6495539617144</v>
      </c>
      <c r="T241" s="105"/>
      <c r="U241" s="105">
        <f>IFERROR(INDEX('Revised 2019 MFAM(2017 PYAs)'!AD$26:AD$270,MATCH(B241,'Revised 2019 MFAM(2017 PYAs)'!B$26:B$270,0)),0)</f>
        <v>111.71671377294842</v>
      </c>
      <c r="V241" s="105">
        <f>IFERROR(INDEX('Revised 2018 MFAM(2016 PYAs)'!AF$26:AF$266,MATCH(B241,'Revised 2018 MFAM(2016 PYAs)'!B$26:B$266,0)),0)</f>
        <v>265.2011266664731</v>
      </c>
      <c r="W241" s="105">
        <f t="shared" si="64"/>
        <v>0.29662189999999483</v>
      </c>
      <c r="X241" s="105">
        <f t="shared" si="65"/>
        <v>377.21446233942152</v>
      </c>
      <c r="Y241" s="105"/>
      <c r="Z241" s="106">
        <f t="shared" si="66"/>
        <v>8206.8640163011369</v>
      </c>
      <c r="AA241" s="107">
        <v>0</v>
      </c>
      <c r="AB241" s="108">
        <f t="shared" si="67"/>
        <v>0</v>
      </c>
      <c r="AC241" s="108">
        <f>IFERROR(INDEX('Revised 2019 MFAM(2017 PYAs)'!AF$26:AF$270,MATCH(B241,'Revised 2019 MFAM(2017 PYAs)'!B$26:B$270,0)),0)</f>
        <v>16.053611830633034</v>
      </c>
      <c r="AD241" s="216">
        <f>AC241/AC$24*('Revised 2019 MFAM(2017 PYAs)'!AF$24-'2020 Funding'!AC$24)</f>
        <v>1.4708629472327085E-2</v>
      </c>
      <c r="AE241" s="105">
        <f t="shared" si="68"/>
        <v>8222.9323367612433</v>
      </c>
      <c r="AF241" s="111"/>
      <c r="AG241" s="105">
        <v>2102.8766430180931</v>
      </c>
      <c r="AH241" s="214">
        <v>2102.8766430180931</v>
      </c>
      <c r="AI241" s="105">
        <v>2102.8766430180931</v>
      </c>
      <c r="AJ241" s="105">
        <f t="shared" si="69"/>
        <v>1914.302407706964</v>
      </c>
    </row>
    <row r="242" spans="2:36" x14ac:dyDescent="0.25">
      <c r="B242">
        <v>973</v>
      </c>
      <c r="C242" s="27">
        <v>8</v>
      </c>
      <c r="D242" s="39" t="s">
        <v>505</v>
      </c>
      <c r="E242" s="162">
        <f>INDEX('2018 Data Lockdown'!H$5:H$255, MATCH(B242,'2018 Data Lockdown'!B$5:B$255,0))</f>
        <v>7.5601498980809678</v>
      </c>
      <c r="F242" s="5">
        <f>INDEX('2018 Data Lockdown'!E$5:E$255,MATCH(B242,'2018 Data Lockdown'!B$5:B$255,0))</f>
        <v>10497.69</v>
      </c>
      <c r="G242" s="5">
        <f>INDEX('2018 Data Lockdown'!F$5:F$255, MATCH(B242,'2018 Data Lockdown'!B$5:B$255,0))</f>
        <v>0</v>
      </c>
      <c r="H242" s="5">
        <f t="shared" si="53"/>
        <v>10497.69</v>
      </c>
      <c r="I242" s="103">
        <f t="shared" si="54"/>
        <v>1388.5558013426009</v>
      </c>
      <c r="J242" s="6">
        <f t="shared" si="55"/>
        <v>1388.5558013426009</v>
      </c>
      <c r="K242" s="5">
        <f t="shared" si="56"/>
        <v>10497.69</v>
      </c>
      <c r="L242" s="140">
        <f>INDEX('2018 Best Practice Scores'!M$4:M$255,MATCH(B242,'2018 Best Practice Scores'!A$4:A$255,0))</f>
        <v>0.11225</v>
      </c>
      <c r="M242" s="105">
        <f t="shared" si="57"/>
        <v>2313.1354824328018</v>
      </c>
      <c r="N242" s="105">
        <f t="shared" si="58"/>
        <v>427.24151825064399</v>
      </c>
      <c r="O242" s="105">
        <f t="shared" si="59"/>
        <v>77.894837370924606</v>
      </c>
      <c r="P242" s="105">
        <f t="shared" si="60"/>
        <v>131.8620808338903</v>
      </c>
      <c r="Q242" s="105">
        <f t="shared" si="61"/>
        <v>2950.1339188882603</v>
      </c>
      <c r="R242" s="112">
        <f t="shared" si="62"/>
        <v>0.28102696106364927</v>
      </c>
      <c r="S242" s="175">
        <f t="shared" si="63"/>
        <v>2950.1339188882603</v>
      </c>
      <c r="T242" s="105"/>
      <c r="U242" s="105">
        <f>IFERROR(INDEX('Revised 2019 MFAM(2017 PYAs)'!AD$26:AD$270,MATCH(B242,'Revised 2019 MFAM(2017 PYAs)'!B$26:B$270,0)),0)</f>
        <v>33.068902221147709</v>
      </c>
      <c r="V242" s="105">
        <f>IFERROR(INDEX('Revised 2018 MFAM(2016 PYAs)'!AF$26:AF$266,MATCH(B242,'Revised 2018 MFAM(2016 PYAs)'!B$26:B$266,0)),0)</f>
        <v>44.52183037744453</v>
      </c>
      <c r="W242" s="105">
        <f t="shared" si="64"/>
        <v>0.111764175681693</v>
      </c>
      <c r="X242" s="105">
        <f t="shared" si="65"/>
        <v>77.702496774273939</v>
      </c>
      <c r="Y242" s="105"/>
      <c r="Z242" s="106">
        <f t="shared" si="66"/>
        <v>3027.8364156625344</v>
      </c>
      <c r="AA242" s="107">
        <v>0</v>
      </c>
      <c r="AB242" s="108">
        <f t="shared" si="67"/>
        <v>0</v>
      </c>
      <c r="AC242" s="108">
        <f>IFERROR(INDEX('Revised 2019 MFAM(2017 PYAs)'!AF$26:AF$270,MATCH(B242,'Revised 2019 MFAM(2017 PYAs)'!B$26:B$270,0)),0)</f>
        <v>4.1537838883254539</v>
      </c>
      <c r="AD242" s="216">
        <f>AC242/AC$24*('Revised 2019 MFAM(2017 PYAs)'!AF$24-'2020 Funding'!AC$24)</f>
        <v>3.805777090294326E-3</v>
      </c>
      <c r="AE242" s="105">
        <f t="shared" si="68"/>
        <v>3031.9940053279502</v>
      </c>
      <c r="AF242" s="111"/>
      <c r="AG242" s="105">
        <v>782.320395501745</v>
      </c>
      <c r="AH242" s="214">
        <v>782.320395501745</v>
      </c>
      <c r="AI242" s="105">
        <v>782.320395501745</v>
      </c>
      <c r="AJ242" s="105">
        <f t="shared" si="69"/>
        <v>685.0328188227154</v>
      </c>
    </row>
    <row r="243" spans="2:36" x14ac:dyDescent="0.25">
      <c r="B243">
        <v>974</v>
      </c>
      <c r="C243" s="27">
        <v>8</v>
      </c>
      <c r="D243" s="39" t="s">
        <v>506</v>
      </c>
      <c r="E243" s="162">
        <f>INDEX('2018 Data Lockdown'!H$5:H$255, MATCH(B243,'2018 Data Lockdown'!B$5:B$255,0))</f>
        <v>15.839999999999998</v>
      </c>
      <c r="F243" s="5">
        <f>INDEX('2018 Data Lockdown'!E$5:E$255,MATCH(B243,'2018 Data Lockdown'!B$5:B$255,0))</f>
        <v>14226.72</v>
      </c>
      <c r="G243" s="5">
        <f>INDEX('2018 Data Lockdown'!F$5:F$255, MATCH(B243,'2018 Data Lockdown'!B$5:B$255,0))</f>
        <v>0</v>
      </c>
      <c r="H243" s="5">
        <f t="shared" si="53"/>
        <v>14226.72</v>
      </c>
      <c r="I243" s="103">
        <f t="shared" si="54"/>
        <v>898.15151515151524</v>
      </c>
      <c r="J243" s="6">
        <f t="shared" si="55"/>
        <v>898.15151515151524</v>
      </c>
      <c r="K243" s="5">
        <f t="shared" si="56"/>
        <v>14226.72</v>
      </c>
      <c r="L243" s="140">
        <f>INDEX('2018 Best Practice Scores'!M$4:M$255,MATCH(B243,'2018 Best Practice Scores'!A$4:A$255,0))</f>
        <v>0.28751785714285716</v>
      </c>
      <c r="M243" s="105">
        <f t="shared" si="57"/>
        <v>3134.8164053840783</v>
      </c>
      <c r="N243" s="105">
        <f t="shared" si="58"/>
        <v>895.15495596298035</v>
      </c>
      <c r="O243" s="105">
        <f t="shared" si="59"/>
        <v>270.39470862369132</v>
      </c>
      <c r="P243" s="105">
        <f t="shared" si="60"/>
        <v>178.70263864156055</v>
      </c>
      <c r="Q243" s="105">
        <f t="shared" si="61"/>
        <v>4479.0687086123107</v>
      </c>
      <c r="R243" s="112">
        <f t="shared" si="62"/>
        <v>0.31483495202072653</v>
      </c>
      <c r="S243" s="175">
        <f t="shared" si="63"/>
        <v>4479.0687086123107</v>
      </c>
      <c r="T243" s="105"/>
      <c r="U243" s="105">
        <f>IFERROR(INDEX('Revised 2019 MFAM(2017 PYAs)'!AD$26:AD$270,MATCH(B243,'Revised 2019 MFAM(2017 PYAs)'!B$26:B$270,0)),0)</f>
        <v>64.603342593623893</v>
      </c>
      <c r="V243" s="105">
        <f>IFERROR(INDEX('Revised 2018 MFAM(2016 PYAs)'!AF$26:AF$266,MATCH(B243,'Revised 2018 MFAM(2016 PYAs)'!B$26:B$266,0)),0)</f>
        <v>89.031028574723678</v>
      </c>
      <c r="W243" s="105">
        <f t="shared" si="64"/>
        <v>0.16968701618412224</v>
      </c>
      <c r="X243" s="105">
        <f t="shared" si="65"/>
        <v>153.8040581845317</v>
      </c>
      <c r="Y243" s="105"/>
      <c r="Z243" s="106">
        <f t="shared" si="66"/>
        <v>4632.8727667968424</v>
      </c>
      <c r="AA243" s="107">
        <v>0</v>
      </c>
      <c r="AB243" s="108">
        <f t="shared" si="67"/>
        <v>0</v>
      </c>
      <c r="AC243" s="108">
        <f>IFERROR(INDEX('Revised 2019 MFAM(2017 PYAs)'!AF$26:AF$270,MATCH(B243,'Revised 2019 MFAM(2017 PYAs)'!B$26:B$270,0)),0)</f>
        <v>8.4531281831384586</v>
      </c>
      <c r="AD243" s="216">
        <f>AC243/AC$24*('Revised 2019 MFAM(2017 PYAs)'!AF$24-'2020 Funding'!AC$24)</f>
        <v>7.7449194386660473E-3</v>
      </c>
      <c r="AE243" s="105">
        <f t="shared" si="68"/>
        <v>4641.3336398994197</v>
      </c>
      <c r="AF243" s="111"/>
      <c r="AG243" s="105">
        <v>1186.602782056571</v>
      </c>
      <c r="AH243" s="214">
        <v>1186.602782056571</v>
      </c>
      <c r="AI243" s="105">
        <v>1186.602782056571</v>
      </c>
      <c r="AJ243" s="105">
        <f t="shared" si="69"/>
        <v>1081.5252937297068</v>
      </c>
    </row>
    <row r="244" spans="2:36" x14ac:dyDescent="0.25">
      <c r="B244">
        <v>985</v>
      </c>
      <c r="C244" s="27">
        <v>8</v>
      </c>
      <c r="D244" s="39" t="s">
        <v>508</v>
      </c>
      <c r="E244" s="162">
        <f>INDEX('2018 Data Lockdown'!H$5:H$255, MATCH(B244,'2018 Data Lockdown'!B$5:B$255,0))</f>
        <v>44.348575474077556</v>
      </c>
      <c r="F244" s="5">
        <f>INDEX('2018 Data Lockdown'!E$5:E$255,MATCH(B244,'2018 Data Lockdown'!B$5:B$255,0))</f>
        <v>97273.34</v>
      </c>
      <c r="G244" s="5">
        <f>INDEX('2018 Data Lockdown'!F$5:F$255, MATCH(B244,'2018 Data Lockdown'!B$5:B$255,0))</f>
        <v>0</v>
      </c>
      <c r="H244" s="5">
        <f t="shared" si="53"/>
        <v>97273.34</v>
      </c>
      <c r="I244" s="103">
        <f t="shared" si="54"/>
        <v>2193.3813873425947</v>
      </c>
      <c r="J244" s="6">
        <f t="shared" si="55"/>
        <v>1714.0233298154035</v>
      </c>
      <c r="K244" s="5">
        <f t="shared" si="56"/>
        <v>76014.493006648147</v>
      </c>
      <c r="L244" s="140">
        <f>INDEX('2018 Best Practice Scores'!M$4:M$255,MATCH(B244,'2018 Best Practice Scores'!A$4:A$255,0))</f>
        <v>0.28862500000000002</v>
      </c>
      <c r="M244" s="105">
        <f t="shared" si="57"/>
        <v>16749.572615767647</v>
      </c>
      <c r="N244" s="105">
        <f t="shared" si="58"/>
        <v>2506.2403488332584</v>
      </c>
      <c r="O244" s="105">
        <f t="shared" si="59"/>
        <v>1450.3036188677813</v>
      </c>
      <c r="P244" s="105">
        <f t="shared" si="60"/>
        <v>954.8223677199295</v>
      </c>
      <c r="Q244" s="105">
        <f t="shared" si="61"/>
        <v>21660.938951188615</v>
      </c>
      <c r="R244" s="112">
        <f t="shared" si="62"/>
        <v>0.28495801385262376</v>
      </c>
      <c r="S244" s="175">
        <f t="shared" si="63"/>
        <v>21660.938951188615</v>
      </c>
      <c r="T244" s="105"/>
      <c r="U244" s="105">
        <f>IFERROR(INDEX('Revised 2019 MFAM(2017 PYAs)'!AD$26:AD$270,MATCH(B244,'Revised 2019 MFAM(2017 PYAs)'!B$26:B$270,0)),0)</f>
        <v>1327.2625350309827</v>
      </c>
      <c r="V244" s="105">
        <f>IFERROR(INDEX('Revised 2018 MFAM(2016 PYAs)'!AF$26:AF$266,MATCH(B244,'Revised 2018 MFAM(2016 PYAs)'!B$26:B$266,0)),0)</f>
        <v>711.91973670379411</v>
      </c>
      <c r="W244" s="105">
        <f t="shared" si="64"/>
        <v>0.82061257316867131</v>
      </c>
      <c r="X244" s="105">
        <f t="shared" si="65"/>
        <v>2040.0028843079456</v>
      </c>
      <c r="Y244" s="105"/>
      <c r="Z244" s="106">
        <f t="shared" si="66"/>
        <v>23700.94183549656</v>
      </c>
      <c r="AA244" s="107">
        <v>0</v>
      </c>
      <c r="AB244" s="108">
        <f t="shared" si="67"/>
        <v>0</v>
      </c>
      <c r="AC244" s="108">
        <f>IFERROR(INDEX('Revised 2019 MFAM(2017 PYAs)'!AF$26:AF$270,MATCH(B244,'Revised 2019 MFAM(2017 PYAs)'!B$26:B$270,0)),0)</f>
        <v>20.899196205424822</v>
      </c>
      <c r="AD244" s="216">
        <f>AC244/AC$24*('Revised 2019 MFAM(2017 PYAs)'!AF$24-'2020 Funding'!AC$24)</f>
        <v>1.91482475406867E-2</v>
      </c>
      <c r="AE244" s="105">
        <f t="shared" si="68"/>
        <v>23721.860179949526</v>
      </c>
      <c r="AF244" s="111"/>
      <c r="AG244" s="105">
        <v>6111.4403354120432</v>
      </c>
      <c r="AH244" s="214">
        <v>6111.4403354120432</v>
      </c>
      <c r="AI244" s="105">
        <v>6111.4403354120432</v>
      </c>
      <c r="AJ244" s="105">
        <f t="shared" si="69"/>
        <v>5387.539173713395</v>
      </c>
    </row>
    <row r="245" spans="2:36" x14ac:dyDescent="0.25">
      <c r="B245">
        <v>159</v>
      </c>
      <c r="C245" s="27">
        <v>9</v>
      </c>
      <c r="D245" s="39" t="s">
        <v>510</v>
      </c>
      <c r="E245" s="162">
        <f>INDEX('2018 Data Lockdown'!H$5:H$255, MATCH(B245,'2018 Data Lockdown'!B$5:B$255,0))</f>
        <v>836.31061134951221</v>
      </c>
      <c r="F245" s="5">
        <f>INDEX('2018 Data Lockdown'!E$5:E$255,MATCH(B245,'2018 Data Lockdown'!B$5:B$255,0))</f>
        <v>185850.32</v>
      </c>
      <c r="G245" s="5">
        <f>INDEX('2018 Data Lockdown'!F$5:F$255, MATCH(B245,'2018 Data Lockdown'!B$5:B$255,0))</f>
        <v>0</v>
      </c>
      <c r="H245" s="5">
        <f t="shared" si="53"/>
        <v>185850.32</v>
      </c>
      <c r="I245" s="103">
        <f t="shared" si="54"/>
        <v>222.22642816895834</v>
      </c>
      <c r="J245" s="6">
        <f t="shared" si="55"/>
        <v>222.22642816895834</v>
      </c>
      <c r="K245" s="5">
        <f t="shared" si="56"/>
        <v>185850.32</v>
      </c>
      <c r="L245" s="140">
        <f>INDEX('2018 Best Practice Scores'!M$4:M$255,MATCH(B245,'2018 Best Practice Scores'!A$4:A$255,0))</f>
        <v>0.77770833333333333</v>
      </c>
      <c r="M245" s="105">
        <f t="shared" si="57"/>
        <v>40951.577881752135</v>
      </c>
      <c r="N245" s="105">
        <f t="shared" si="58"/>
        <v>47261.842706688505</v>
      </c>
      <c r="O245" s="105">
        <f t="shared" si="59"/>
        <v>9554.5150145362932</v>
      </c>
      <c r="P245" s="105">
        <f t="shared" si="60"/>
        <v>2334.476434229281</v>
      </c>
      <c r="Q245" s="105">
        <f t="shared" si="61"/>
        <v>100102.41203720622</v>
      </c>
      <c r="R245" s="112">
        <f t="shared" si="62"/>
        <v>0.53861845401829933</v>
      </c>
      <c r="S245" s="175">
        <f t="shared" si="63"/>
        <v>100102.41203720622</v>
      </c>
      <c r="T245" s="105"/>
      <c r="U245" s="105">
        <f>IFERROR(INDEX('Revised 2019 MFAM(2017 PYAs)'!AD$26:AD$270,MATCH(B245,'Revised 2019 MFAM(2017 PYAs)'!B$26:B$270,0)),0)</f>
        <v>951.61797913890041</v>
      </c>
      <c r="V245" s="105">
        <f>IFERROR(INDEX('Revised 2018 MFAM(2016 PYAs)'!AF$26:AF$266,MATCH(B245,'Revised 2018 MFAM(2016 PYAs)'!B$26:B$266,0)),0)</f>
        <v>1195.9530591291114</v>
      </c>
      <c r="W245" s="105">
        <f t="shared" si="64"/>
        <v>3.7923239665349202</v>
      </c>
      <c r="X245" s="105">
        <f t="shared" si="65"/>
        <v>2151.3633622345465</v>
      </c>
      <c r="Y245" s="105"/>
      <c r="Z245" s="106">
        <f t="shared" si="66"/>
        <v>102253.77539944077</v>
      </c>
      <c r="AA245" s="107">
        <v>0</v>
      </c>
      <c r="AB245" s="108">
        <f t="shared" si="67"/>
        <v>0</v>
      </c>
      <c r="AC245" s="108">
        <f>IFERROR(INDEX('Revised 2019 MFAM(2017 PYAs)'!AF$26:AF$270,MATCH(B245,'Revised 2019 MFAM(2017 PYAs)'!B$26:B$270,0)),0)</f>
        <v>170.32758771345334</v>
      </c>
      <c r="AD245" s="216">
        <f>AC245/AC$24*('Revised 2019 MFAM(2017 PYAs)'!AF$24-'2020 Funding'!AC$24)</f>
        <v>0.15605742826121929</v>
      </c>
      <c r="AE245" s="105">
        <f t="shared" si="68"/>
        <v>102424.25904458249</v>
      </c>
      <c r="AF245" s="105"/>
      <c r="AG245" s="105">
        <v>26422.900286441287</v>
      </c>
      <c r="AH245" s="105">
        <v>26422.900286441287</v>
      </c>
      <c r="AI245" s="105">
        <v>26422.900286441287</v>
      </c>
      <c r="AJ245" s="105">
        <f t="shared" si="69"/>
        <v>23155.558185258622</v>
      </c>
    </row>
    <row r="246" spans="2:36" x14ac:dyDescent="0.25">
      <c r="B246">
        <v>173</v>
      </c>
      <c r="C246" s="27">
        <v>9</v>
      </c>
      <c r="D246" s="39" t="s">
        <v>511</v>
      </c>
      <c r="E246" s="162">
        <f>INDEX('2018 Data Lockdown'!H$5:H$255, MATCH(B246,'2018 Data Lockdown'!B$5:B$255,0))</f>
        <v>331.48</v>
      </c>
      <c r="F246" s="5">
        <f>INDEX('2018 Data Lockdown'!E$5:E$255,MATCH(B246,'2018 Data Lockdown'!B$5:B$255,0))</f>
        <v>163416.66</v>
      </c>
      <c r="G246" s="5">
        <f>INDEX('2018 Data Lockdown'!F$5:F$255, MATCH(B246,'2018 Data Lockdown'!B$5:B$255,0))</f>
        <v>8.85</v>
      </c>
      <c r="H246" s="5">
        <f t="shared" si="53"/>
        <v>163407.81</v>
      </c>
      <c r="I246" s="103">
        <f t="shared" si="54"/>
        <v>492.96431157234218</v>
      </c>
      <c r="J246" s="6">
        <f t="shared" si="55"/>
        <v>492.96431157234218</v>
      </c>
      <c r="K246" s="5">
        <f t="shared" si="56"/>
        <v>163407.81</v>
      </c>
      <c r="L246" s="140">
        <f>INDEX('2018 Best Practice Scores'!M$4:M$255,MATCH(B246,'2018 Best Practice Scores'!A$4:A$255,0))</f>
        <v>0.83794047619047607</v>
      </c>
      <c r="M246" s="105">
        <f t="shared" si="57"/>
        <v>36006.436027129552</v>
      </c>
      <c r="N246" s="105">
        <f t="shared" si="58"/>
        <v>18732.699798144498</v>
      </c>
      <c r="O246" s="105">
        <f t="shared" si="59"/>
        <v>9051.3750451484539</v>
      </c>
      <c r="P246" s="105">
        <f t="shared" si="60"/>
        <v>2052.574790369023</v>
      </c>
      <c r="Q246" s="105">
        <f t="shared" si="61"/>
        <v>65843.085660791519</v>
      </c>
      <c r="R246" s="112">
        <f t="shared" si="62"/>
        <v>0.40293720147642587</v>
      </c>
      <c r="S246" s="175">
        <f t="shared" si="63"/>
        <v>65843.085660791519</v>
      </c>
      <c r="T246" s="105"/>
      <c r="U246" s="105">
        <f>IFERROR(INDEX('Revised 2019 MFAM(2017 PYAs)'!AD$26:AD$270,MATCH(B246,'Revised 2019 MFAM(2017 PYAs)'!B$26:B$270,0)),0)</f>
        <v>988.37744499843393</v>
      </c>
      <c r="V246" s="105">
        <f>IFERROR(INDEX('Revised 2018 MFAM(2016 PYAs)'!AF$26:AF$266,MATCH(B246,'Revised 2018 MFAM(2016 PYAs)'!B$26:B$266,0)),0)</f>
        <v>275.56338718370534</v>
      </c>
      <c r="W246" s="105">
        <f t="shared" si="64"/>
        <v>2.4944285227535095</v>
      </c>
      <c r="X246" s="105">
        <f t="shared" si="65"/>
        <v>1266.4352607048927</v>
      </c>
      <c r="Y246" s="105"/>
      <c r="Z246" s="106">
        <f t="shared" si="66"/>
        <v>67109.520921496412</v>
      </c>
      <c r="AA246" s="107">
        <v>0</v>
      </c>
      <c r="AB246" s="108">
        <f t="shared" si="67"/>
        <v>0</v>
      </c>
      <c r="AC246" s="108">
        <f>IFERROR(INDEX('Revised 2019 MFAM(2017 PYAs)'!AF$26:AF$270,MATCH(B246,'Revised 2019 MFAM(2017 PYAs)'!B$26:B$270,0)),0)</f>
        <v>130.20853896112257</v>
      </c>
      <c r="AD246" s="216">
        <f>AC246/AC$24*('Revised 2019 MFAM(2017 PYAs)'!AF$24-'2020 Funding'!AC$24)</f>
        <v>0.11929958030115745</v>
      </c>
      <c r="AE246" s="105">
        <f t="shared" si="68"/>
        <v>67239.848760037828</v>
      </c>
      <c r="AF246" s="111"/>
      <c r="AG246" s="105">
        <v>17342.957240724187</v>
      </c>
      <c r="AH246" s="214">
        <v>17342.957240724187</v>
      </c>
      <c r="AI246" s="105">
        <v>17342.957240724187</v>
      </c>
      <c r="AJ246" s="105">
        <f t="shared" si="69"/>
        <v>15210.977037865268</v>
      </c>
    </row>
    <row r="247" spans="2:36" x14ac:dyDescent="0.25">
      <c r="B247">
        <v>204</v>
      </c>
      <c r="C247" s="27">
        <v>9</v>
      </c>
      <c r="D247" s="39" t="s">
        <v>512</v>
      </c>
      <c r="E247" s="162">
        <f>INDEX('2018 Data Lockdown'!H$5:H$255, MATCH(B247,'2018 Data Lockdown'!B$5:B$255,0))</f>
        <v>580.96721526919669</v>
      </c>
      <c r="F247" s="5">
        <f>INDEX('2018 Data Lockdown'!E$5:E$255,MATCH(B247,'2018 Data Lockdown'!B$5:B$255,0))</f>
        <v>537687.29</v>
      </c>
      <c r="G247" s="5">
        <f>INDEX('2018 Data Lockdown'!F$5:F$255, MATCH(B247,'2018 Data Lockdown'!B$5:B$255,0))</f>
        <v>13863.43</v>
      </c>
      <c r="H247" s="5">
        <f t="shared" si="53"/>
        <v>523823.86000000004</v>
      </c>
      <c r="I247" s="103">
        <f t="shared" si="54"/>
        <v>901.64099837764729</v>
      </c>
      <c r="J247" s="6">
        <f t="shared" si="55"/>
        <v>901.64099837764729</v>
      </c>
      <c r="K247" s="5">
        <f t="shared" si="56"/>
        <v>523823.86000000004</v>
      </c>
      <c r="L247" s="140">
        <f>INDEX('2018 Best Practice Scores'!M$4:M$255,MATCH(B247,'2018 Best Practice Scores'!A$4:A$255,0))</f>
        <v>0.38543303571428572</v>
      </c>
      <c r="M247" s="105">
        <f t="shared" si="57"/>
        <v>115423.06518014081</v>
      </c>
      <c r="N247" s="105">
        <f t="shared" si="58"/>
        <v>32831.79810607533</v>
      </c>
      <c r="O247" s="105">
        <f t="shared" si="59"/>
        <v>13346.358721148861</v>
      </c>
      <c r="P247" s="105">
        <f t="shared" si="60"/>
        <v>6579.7812823621616</v>
      </c>
      <c r="Q247" s="105">
        <f t="shared" si="61"/>
        <v>168181.00328972714</v>
      </c>
      <c r="R247" s="112">
        <f t="shared" si="62"/>
        <v>0.32106403723138371</v>
      </c>
      <c r="S247" s="175">
        <f t="shared" si="63"/>
        <v>168181.00328972714</v>
      </c>
      <c r="T247" s="105"/>
      <c r="U247" s="105">
        <f>IFERROR(INDEX('Revised 2019 MFAM(2017 PYAs)'!AD$26:AD$270,MATCH(B247,'Revised 2019 MFAM(2017 PYAs)'!B$26:B$270,0)),0)</f>
        <v>26424.610891524935</v>
      </c>
      <c r="V247" s="105">
        <f>IFERROR(INDEX('Revised 2018 MFAM(2016 PYAs)'!AF$26:AF$266,MATCH(B247,'Revised 2018 MFAM(2016 PYAs)'!B$26:B$266,0)),0)</f>
        <v>1613.3906524883059</v>
      </c>
      <c r="W247" s="105">
        <f t="shared" si="64"/>
        <v>6.3714433699605886</v>
      </c>
      <c r="X247" s="105">
        <f t="shared" si="65"/>
        <v>28044.372987383202</v>
      </c>
      <c r="Y247" s="105"/>
      <c r="Z247" s="106">
        <f t="shared" si="66"/>
        <v>196225.37627711034</v>
      </c>
      <c r="AA247" s="107">
        <v>0</v>
      </c>
      <c r="AB247" s="108">
        <f t="shared" si="67"/>
        <v>0</v>
      </c>
      <c r="AC247" s="108">
        <f>IFERROR(INDEX('Revised 2019 MFAM(2017 PYAs)'!AF$26:AF$270,MATCH(B247,'Revised 2019 MFAM(2017 PYAs)'!B$26:B$270,0)),0)</f>
        <v>358.31307654681217</v>
      </c>
      <c r="AD247" s="216">
        <f>AC247/AC$24*('Revised 2019 MFAM(2017 PYAs)'!AF$24-'2020 Funding'!AC$24)</f>
        <v>0.32829336685218774</v>
      </c>
      <c r="AE247" s="105">
        <f t="shared" si="68"/>
        <v>196584.01764702401</v>
      </c>
      <c r="AF247" s="111"/>
      <c r="AG247" s="105">
        <v>50501.661200834838</v>
      </c>
      <c r="AH247" s="214">
        <v>50501.661200834838</v>
      </c>
      <c r="AI247" s="105">
        <v>50501.661200834838</v>
      </c>
      <c r="AJ247" s="105">
        <f t="shared" si="69"/>
        <v>45079.034044519482</v>
      </c>
    </row>
    <row r="248" spans="2:36" x14ac:dyDescent="0.25">
      <c r="B248">
        <v>230</v>
      </c>
      <c r="C248" s="27">
        <v>9</v>
      </c>
      <c r="D248" s="39" t="s">
        <v>514</v>
      </c>
      <c r="E248" s="162">
        <f>INDEX('2018 Data Lockdown'!H$5:H$255, MATCH(B248,'2018 Data Lockdown'!B$5:B$255,0))</f>
        <v>138.87109847515134</v>
      </c>
      <c r="F248" s="5">
        <f>INDEX('2018 Data Lockdown'!E$5:E$255,MATCH(B248,'2018 Data Lockdown'!B$5:B$255,0))</f>
        <v>74126.899999999994</v>
      </c>
      <c r="G248" s="5">
        <f>INDEX('2018 Data Lockdown'!F$5:F$255, MATCH(B248,'2018 Data Lockdown'!B$5:B$255,0))</f>
        <v>2183.36</v>
      </c>
      <c r="H248" s="5">
        <f t="shared" si="53"/>
        <v>71943.539999999994</v>
      </c>
      <c r="I248" s="103">
        <f t="shared" si="54"/>
        <v>518.05984679290975</v>
      </c>
      <c r="J248" s="6">
        <f t="shared" si="55"/>
        <v>518.05984679290975</v>
      </c>
      <c r="K248" s="5">
        <f t="shared" si="56"/>
        <v>71943.539999999994</v>
      </c>
      <c r="L248" s="140">
        <f>INDEX('2018 Best Practice Scores'!M$4:M$255,MATCH(B248,'2018 Best Practice Scores'!A$4:A$255,0))</f>
        <v>0.28373511904761906</v>
      </c>
      <c r="M248" s="105">
        <f t="shared" si="57"/>
        <v>15852.549952020259</v>
      </c>
      <c r="N248" s="105">
        <f t="shared" si="58"/>
        <v>7847.926265154977</v>
      </c>
      <c r="O248" s="105">
        <f t="shared" si="59"/>
        <v>1349.3775443534385</v>
      </c>
      <c r="P248" s="105">
        <f t="shared" si="60"/>
        <v>903.68689558905055</v>
      </c>
      <c r="Q248" s="105">
        <f t="shared" si="61"/>
        <v>25953.540657117726</v>
      </c>
      <c r="R248" s="112">
        <f t="shared" si="62"/>
        <v>0.36074872958875431</v>
      </c>
      <c r="S248" s="175">
        <f t="shared" si="63"/>
        <v>25953.540657117726</v>
      </c>
      <c r="T248" s="105"/>
      <c r="U248" s="105">
        <f>IFERROR(INDEX('Revised 2019 MFAM(2017 PYAs)'!AD$26:AD$270,MATCH(B248,'Revised 2019 MFAM(2017 PYAs)'!B$26:B$270,0)),0)</f>
        <v>-6269.8741430149639</v>
      </c>
      <c r="V248" s="105">
        <f>IFERROR(INDEX('Revised 2018 MFAM(2016 PYAs)'!AF$26:AF$266,MATCH(B248,'Revised 2018 MFAM(2016 PYAs)'!B$26:B$266,0)),0)</f>
        <v>614.91771535697262</v>
      </c>
      <c r="W248" s="105">
        <f t="shared" si="64"/>
        <v>0.98323539110969227</v>
      </c>
      <c r="X248" s="105">
        <f t="shared" si="65"/>
        <v>-5653.9731922668816</v>
      </c>
      <c r="Y248" s="105"/>
      <c r="Z248" s="106">
        <f t="shared" si="66"/>
        <v>20299.567464850843</v>
      </c>
      <c r="AA248" s="107">
        <v>0</v>
      </c>
      <c r="AB248" s="108">
        <f t="shared" si="67"/>
        <v>0</v>
      </c>
      <c r="AC248" s="108">
        <f>IFERROR(INDEX('Revised 2019 MFAM(2017 PYAs)'!AF$26:AF$270,MATCH(B248,'Revised 2019 MFAM(2017 PYAs)'!B$26:B$270,0)),0)</f>
        <v>46.331125909971689</v>
      </c>
      <c r="AD248" s="216">
        <f>AC248/AC$24*('Revised 2019 MFAM(2017 PYAs)'!AF$24-'2020 Funding'!AC$24)</f>
        <v>4.2449473130099627E-2</v>
      </c>
      <c r="AE248" s="105">
        <f t="shared" si="68"/>
        <v>20345.941040233945</v>
      </c>
      <c r="AF248" s="111"/>
      <c r="AG248" s="105">
        <v>5297.8750165499223</v>
      </c>
      <c r="AH248" s="214">
        <v>5297.8750165499223</v>
      </c>
      <c r="AI248" s="105">
        <v>5297.8750165499223</v>
      </c>
      <c r="AJ248" s="105">
        <f t="shared" si="69"/>
        <v>4452.3159905841785</v>
      </c>
    </row>
    <row r="249" spans="2:36" x14ac:dyDescent="0.25">
      <c r="B249" s="17">
        <v>277</v>
      </c>
      <c r="C249" s="27">
        <v>9</v>
      </c>
      <c r="D249" s="39" t="s">
        <v>515</v>
      </c>
      <c r="E249" s="162">
        <f>INDEX('2018 Data Lockdown'!H$5:H$255, MATCH(B249,'2018 Data Lockdown'!B$5:B$255,0))</f>
        <v>116.68788323704716</v>
      </c>
      <c r="F249" s="5">
        <f>INDEX('2018 Data Lockdown'!E$5:E$255,MATCH(B249,'2018 Data Lockdown'!B$5:B$255,0))</f>
        <v>80836.320000000007</v>
      </c>
      <c r="G249" s="5">
        <f>INDEX('2018 Data Lockdown'!F$5:F$255, MATCH(B249,'2018 Data Lockdown'!B$5:B$255,0))</f>
        <v>0</v>
      </c>
      <c r="H249" s="5">
        <f t="shared" si="53"/>
        <v>80836.320000000007</v>
      </c>
      <c r="I249" s="103">
        <f t="shared" si="54"/>
        <v>692.75676066369272</v>
      </c>
      <c r="J249" s="6">
        <f t="shared" si="55"/>
        <v>692.75676066369272</v>
      </c>
      <c r="K249" s="5">
        <f t="shared" si="56"/>
        <v>80836.320000000007</v>
      </c>
      <c r="L249" s="140">
        <f>INDEX('2018 Best Practice Scores'!M$4:M$255,MATCH(B249,'2018 Best Practice Scores'!A$4:A$255,0))</f>
        <v>0.35522321428571429</v>
      </c>
      <c r="M249" s="105">
        <f t="shared" si="57"/>
        <v>17812.048180246544</v>
      </c>
      <c r="N249" s="105">
        <f t="shared" si="58"/>
        <v>6594.3015770500233</v>
      </c>
      <c r="O249" s="105">
        <f t="shared" si="59"/>
        <v>1898.1759022797557</v>
      </c>
      <c r="P249" s="105">
        <f t="shared" si="60"/>
        <v>1015.389610681419</v>
      </c>
      <c r="Q249" s="105">
        <f t="shared" si="61"/>
        <v>27319.915270257741</v>
      </c>
      <c r="R249" s="112">
        <f t="shared" si="62"/>
        <v>0.33796584592492257</v>
      </c>
      <c r="S249" s="175">
        <f t="shared" si="63"/>
        <v>27319.915270257741</v>
      </c>
      <c r="T249" s="105"/>
      <c r="U249" s="105">
        <f>IFERROR(INDEX('Revised 2019 MFAM(2017 PYAs)'!AD$26:AD$270,MATCH(B249,'Revised 2019 MFAM(2017 PYAs)'!B$26:B$270,0)),0)</f>
        <v>370.36094767387112</v>
      </c>
      <c r="V249" s="105">
        <f>IFERROR(INDEX('Revised 2018 MFAM(2016 PYAs)'!AF$26:AF$266,MATCH(B249,'Revised 2018 MFAM(2016 PYAs)'!B$26:B$266,0)),0)</f>
        <v>246.27156219061362</v>
      </c>
      <c r="W249" s="105">
        <f t="shared" si="64"/>
        <v>1.0349997301223206</v>
      </c>
      <c r="X249" s="105">
        <f t="shared" si="65"/>
        <v>617.66750959460705</v>
      </c>
      <c r="Y249" s="105"/>
      <c r="Z249" s="106">
        <f t="shared" si="66"/>
        <v>27937.58277985235</v>
      </c>
      <c r="AA249" s="107">
        <v>0</v>
      </c>
      <c r="AB249" s="108">
        <f t="shared" si="67"/>
        <v>0</v>
      </c>
      <c r="AC249" s="108">
        <f>IFERROR(INDEX('Revised 2019 MFAM(2017 PYAs)'!AF$26:AF$270,MATCH(B249,'Revised 2019 MFAM(2017 PYAs)'!B$26:B$270,0)),0)</f>
        <v>48.522912366245933</v>
      </c>
      <c r="AD249" s="216">
        <f>AC249/AC$24*('Revised 2019 MFAM(2017 PYAs)'!AF$24-'2020 Funding'!AC$24)</f>
        <v>4.445763024813127E-2</v>
      </c>
      <c r="AE249" s="105">
        <f t="shared" si="68"/>
        <v>27986.150149848843</v>
      </c>
      <c r="AF249" s="111"/>
      <c r="AG249" s="105">
        <v>7219.1508845517374</v>
      </c>
      <c r="AH249" s="214">
        <v>7219.1508845517374</v>
      </c>
      <c r="AI249" s="105">
        <v>7219.1508845517374</v>
      </c>
      <c r="AJ249" s="105">
        <f t="shared" si="69"/>
        <v>6328.6974961936294</v>
      </c>
    </row>
    <row r="250" spans="2:36" x14ac:dyDescent="0.25">
      <c r="B250" s="17">
        <v>279</v>
      </c>
      <c r="C250" s="44">
        <v>9</v>
      </c>
      <c r="D250" s="39" t="s">
        <v>516</v>
      </c>
      <c r="E250" s="162">
        <f>INDEX('2018 Data Lockdown'!H$5:H$255, MATCH(B250,'2018 Data Lockdown'!B$5:B$255,0))</f>
        <v>433.73772503612372</v>
      </c>
      <c r="F250" s="5">
        <f>INDEX('2018 Data Lockdown'!E$5:E$255,MATCH(B250,'2018 Data Lockdown'!B$5:B$255,0))</f>
        <v>169004.5</v>
      </c>
      <c r="G250" s="5">
        <f>INDEX('2018 Data Lockdown'!F$5:F$255, MATCH(B250,'2018 Data Lockdown'!B$5:B$255,0))</f>
        <v>672</v>
      </c>
      <c r="H250" s="5">
        <f t="shared" si="53"/>
        <v>168332.5</v>
      </c>
      <c r="I250" s="103">
        <f t="shared" si="54"/>
        <v>388.09743834475194</v>
      </c>
      <c r="J250" s="6">
        <f t="shared" si="55"/>
        <v>388.09743834475194</v>
      </c>
      <c r="K250" s="5">
        <f t="shared" si="56"/>
        <v>168332.5</v>
      </c>
      <c r="L250" s="140">
        <f>INDEX('2018 Best Practice Scores'!M$4:M$255,MATCH(B250,'2018 Best Practice Scores'!A$4:A$255,0))</f>
        <v>0.39679464285714283</v>
      </c>
      <c r="M250" s="105">
        <f t="shared" si="57"/>
        <v>37091.577156176223</v>
      </c>
      <c r="N250" s="105">
        <f t="shared" si="58"/>
        <v>24511.519832966838</v>
      </c>
      <c r="O250" s="105">
        <f t="shared" si="59"/>
        <v>4415.3217332079303</v>
      </c>
      <c r="P250" s="105">
        <f t="shared" si="60"/>
        <v>2114.4341014042934</v>
      </c>
      <c r="Q250" s="105">
        <f t="shared" si="61"/>
        <v>68132.852823755282</v>
      </c>
      <c r="R250" s="112">
        <f t="shared" si="62"/>
        <v>0.40475162445609303</v>
      </c>
      <c r="S250" s="175">
        <f t="shared" si="63"/>
        <v>68132.852823755282</v>
      </c>
      <c r="T250" s="105"/>
      <c r="U250" s="105">
        <f>IFERROR(INDEX('Revised 2019 MFAM(2017 PYAs)'!AD$26:AD$270,MATCH(B250,'Revised 2019 MFAM(2017 PYAs)'!B$26:B$270,0)),0)</f>
        <v>607.33762882159499</v>
      </c>
      <c r="V250" s="105">
        <f>IFERROR(INDEX('Revised 2018 MFAM(2016 PYAs)'!AF$26:AF$266,MATCH(B250,'Revised 2018 MFAM(2016 PYAs)'!B$26:B$266,0)),0)</f>
        <v>1162.03671023887</v>
      </c>
      <c r="W250" s="105">
        <f t="shared" si="64"/>
        <v>2.5811750727433802</v>
      </c>
      <c r="X250" s="105">
        <f t="shared" si="65"/>
        <v>1771.9555141332085</v>
      </c>
      <c r="Y250" s="105"/>
      <c r="Z250" s="106">
        <f t="shared" si="66"/>
        <v>69904.808337888491</v>
      </c>
      <c r="AA250" s="107">
        <v>0</v>
      </c>
      <c r="AB250" s="108">
        <f t="shared" si="67"/>
        <v>0</v>
      </c>
      <c r="AC250" s="108">
        <f>IFERROR(INDEX('Revised 2019 MFAM(2017 PYAs)'!AF$26:AF$270,MATCH(B250,'Revised 2019 MFAM(2017 PYAs)'!B$26:B$270,0)),0)</f>
        <v>128.03068505633561</v>
      </c>
      <c r="AD250" s="216">
        <f>AC250/AC$24*('Revised 2019 MFAM(2017 PYAs)'!AF$24-'2020 Funding'!AC$24)</f>
        <v>0.11730418845611187</v>
      </c>
      <c r="AE250" s="105">
        <f t="shared" si="68"/>
        <v>70032.956327133288</v>
      </c>
      <c r="AF250" s="111"/>
      <c r="AG250" s="105">
        <v>18061.442820874247</v>
      </c>
      <c r="AH250" s="214">
        <v>18061.442820874247</v>
      </c>
      <c r="AI250" s="105">
        <v>18061.442820874247</v>
      </c>
      <c r="AJ250" s="105">
        <f t="shared" si="69"/>
        <v>15848.627864510549</v>
      </c>
    </row>
    <row r="251" spans="2:36" x14ac:dyDescent="0.25">
      <c r="B251">
        <v>331</v>
      </c>
      <c r="C251" s="46">
        <v>9</v>
      </c>
      <c r="D251" s="39" t="s">
        <v>517</v>
      </c>
      <c r="E251" s="162">
        <f>INDEX('2018 Data Lockdown'!H$5:H$255, MATCH(B251,'2018 Data Lockdown'!B$5:B$255,0))</f>
        <v>394.99809912383472</v>
      </c>
      <c r="F251" s="5">
        <f>INDEX('2018 Data Lockdown'!E$5:E$255,MATCH(B251,'2018 Data Lockdown'!B$5:B$255,0))</f>
        <v>154031.09</v>
      </c>
      <c r="G251" s="5">
        <f>INDEX('2018 Data Lockdown'!F$5:F$255, MATCH(B251,'2018 Data Lockdown'!B$5:B$255,0))</f>
        <v>1052.98</v>
      </c>
      <c r="H251" s="5">
        <f t="shared" si="53"/>
        <v>152978.10999999999</v>
      </c>
      <c r="I251" s="103">
        <f t="shared" si="54"/>
        <v>387.28821819479253</v>
      </c>
      <c r="J251" s="6">
        <f t="shared" si="55"/>
        <v>387.28821819479253</v>
      </c>
      <c r="K251" s="5">
        <f t="shared" si="56"/>
        <v>152978.10999999999</v>
      </c>
      <c r="L251" s="140">
        <f>INDEX('2018 Best Practice Scores'!M$4:M$255,MATCH(B251,'2018 Best Practice Scores'!A$4:A$255,0))</f>
        <v>0.47747172619047623</v>
      </c>
      <c r="M251" s="105">
        <f t="shared" si="57"/>
        <v>33708.281943599795</v>
      </c>
      <c r="N251" s="105">
        <f t="shared" si="58"/>
        <v>22322.254168349577</v>
      </c>
      <c r="O251" s="105">
        <f t="shared" si="59"/>
        <v>4828.4254699577568</v>
      </c>
      <c r="P251" s="105">
        <f t="shared" si="60"/>
        <v>1921.5667357900415</v>
      </c>
      <c r="Q251" s="105">
        <f t="shared" si="61"/>
        <v>62780.528317697172</v>
      </c>
      <c r="R251" s="112">
        <f t="shared" si="62"/>
        <v>0.41038896556963067</v>
      </c>
      <c r="S251" s="175">
        <f t="shared" si="63"/>
        <v>62780.528317697172</v>
      </c>
      <c r="T251" s="105"/>
      <c r="U251" s="105">
        <f>IFERROR(INDEX('Revised 2019 MFAM(2017 PYAs)'!AD$26:AD$270,MATCH(B251,'Revised 2019 MFAM(2017 PYAs)'!B$26:B$270,0)),0)</f>
        <v>490.28406998047285</v>
      </c>
      <c r="V251" s="105">
        <f>IFERROR(INDEX('Revised 2018 MFAM(2016 PYAs)'!AF$26:AF$266,MATCH(B251,'Revised 2018 MFAM(2016 PYAs)'!B$26:B$266,0)),0)</f>
        <v>-3174.2646605516056</v>
      </c>
      <c r="W251" s="105">
        <f t="shared" si="64"/>
        <v>2.3784052484413238</v>
      </c>
      <c r="X251" s="105">
        <f t="shared" si="65"/>
        <v>-2681.6021853226916</v>
      </c>
      <c r="Y251" s="105"/>
      <c r="Z251" s="106">
        <f t="shared" si="66"/>
        <v>60098.926132374479</v>
      </c>
      <c r="AA251" s="107">
        <v>0</v>
      </c>
      <c r="AB251" s="108">
        <f t="shared" si="67"/>
        <v>0</v>
      </c>
      <c r="AC251" s="108">
        <f>IFERROR(INDEX('Revised 2019 MFAM(2017 PYAs)'!AF$26:AF$270,MATCH(B251,'Revised 2019 MFAM(2017 PYAs)'!B$26:B$270,0)),0)</f>
        <v>114.16366815213114</v>
      </c>
      <c r="AD251" s="216">
        <f>AC251/AC$24*('Revised 2019 MFAM(2017 PYAs)'!AF$24-'2020 Funding'!AC$24)</f>
        <v>0.10459895952182058</v>
      </c>
      <c r="AE251" s="105">
        <f t="shared" si="68"/>
        <v>60213.194399486136</v>
      </c>
      <c r="AF251" s="111"/>
      <c r="AG251" s="105">
        <v>15563.983780171606</v>
      </c>
      <c r="AH251" s="214">
        <v>15563.983780171606</v>
      </c>
      <c r="AI251" s="105">
        <v>15563.983780171606</v>
      </c>
      <c r="AJ251" s="105">
        <f t="shared" si="69"/>
        <v>13521.243058971319</v>
      </c>
    </row>
    <row r="252" spans="2:36" x14ac:dyDescent="0.25">
      <c r="B252">
        <v>369</v>
      </c>
      <c r="C252" s="46">
        <v>9</v>
      </c>
      <c r="D252" s="39" t="s">
        <v>518</v>
      </c>
      <c r="E252" s="162">
        <f>INDEX('2018 Data Lockdown'!H$5:H$255, MATCH(B252,'2018 Data Lockdown'!B$5:B$255,0))</f>
        <v>361.24999999999994</v>
      </c>
      <c r="F252" s="5">
        <f>INDEX('2018 Data Lockdown'!E$5:E$255,MATCH(B252,'2018 Data Lockdown'!B$5:B$255,0))</f>
        <v>450151.28</v>
      </c>
      <c r="G252" s="5">
        <f>INDEX('2018 Data Lockdown'!F$5:F$255, MATCH(B252,'2018 Data Lockdown'!B$5:B$255,0))</f>
        <v>0</v>
      </c>
      <c r="H252" s="5">
        <f t="shared" si="53"/>
        <v>450151.28</v>
      </c>
      <c r="I252" s="103">
        <f t="shared" si="54"/>
        <v>1246.0935086505192</v>
      </c>
      <c r="J252" s="6">
        <f t="shared" si="55"/>
        <v>1246.0935086505192</v>
      </c>
      <c r="K252" s="5">
        <f t="shared" si="56"/>
        <v>450151.27999999997</v>
      </c>
      <c r="L252" s="140">
        <f>INDEX('2018 Best Practice Scores'!M$4:M$255,MATCH(B252,'2018 Best Practice Scores'!A$4:A$255,0))</f>
        <v>0.58527678571428576</v>
      </c>
      <c r="M252" s="105">
        <f t="shared" si="57"/>
        <v>99189.526289168658</v>
      </c>
      <c r="N252" s="105">
        <f t="shared" si="58"/>
        <v>20415.071202122897</v>
      </c>
      <c r="O252" s="105">
        <f t="shared" si="59"/>
        <v>17415.998136914182</v>
      </c>
      <c r="P252" s="105">
        <f t="shared" si="60"/>
        <v>5654.3758170453857</v>
      </c>
      <c r="Q252" s="105">
        <f t="shared" si="61"/>
        <v>142674.97144525114</v>
      </c>
      <c r="R252" s="112">
        <f t="shared" si="62"/>
        <v>0.31694894090993397</v>
      </c>
      <c r="S252" s="175">
        <f t="shared" si="63"/>
        <v>142674.97144525114</v>
      </c>
      <c r="T252" s="105"/>
      <c r="U252" s="105">
        <f>IFERROR(INDEX('Revised 2019 MFAM(2017 PYAs)'!AD$26:AD$270,MATCH(B252,'Revised 2019 MFAM(2017 PYAs)'!B$26:B$270,0)),0)</f>
        <v>2248.683084527147</v>
      </c>
      <c r="V252" s="105">
        <f>IFERROR(INDEX('Revised 2018 MFAM(2016 PYAs)'!AF$26:AF$266,MATCH(B252,'Revised 2018 MFAM(2016 PYAs)'!B$26:B$266,0)),0)</f>
        <v>-554.87855492078234</v>
      </c>
      <c r="W252" s="105">
        <f t="shared" si="64"/>
        <v>5.4051616002560028</v>
      </c>
      <c r="X252" s="105">
        <f t="shared" si="65"/>
        <v>1699.2096912066206</v>
      </c>
      <c r="Y252" s="105"/>
      <c r="Z252" s="106">
        <f t="shared" si="66"/>
        <v>144374.18113645777</v>
      </c>
      <c r="AA252" s="107">
        <v>0</v>
      </c>
      <c r="AB252" s="108">
        <f t="shared" si="67"/>
        <v>0</v>
      </c>
      <c r="AC252" s="108">
        <f>IFERROR(INDEX('Revised 2019 MFAM(2017 PYAs)'!AF$26:AF$270,MATCH(B252,'Revised 2019 MFAM(2017 PYAs)'!B$26:B$270,0)),0)</f>
        <v>267.99346718216856</v>
      </c>
      <c r="AD252" s="216">
        <f>AC252/AC$24*('Revised 2019 MFAM(2017 PYAs)'!AF$24-'2020 Funding'!AC$24)</f>
        <v>0.24554079489234351</v>
      </c>
      <c r="AE252" s="105">
        <f t="shared" si="68"/>
        <v>144642.42014443484</v>
      </c>
      <c r="AF252" s="111"/>
      <c r="AG252" s="105">
        <v>37319.705098188912</v>
      </c>
      <c r="AH252" s="214">
        <v>37319.705098188912</v>
      </c>
      <c r="AI252" s="105">
        <v>37319.705098188912</v>
      </c>
      <c r="AJ252" s="105">
        <f t="shared" si="69"/>
        <v>32683.304849868095</v>
      </c>
    </row>
    <row r="253" spans="2:36" x14ac:dyDescent="0.25">
      <c r="B253">
        <v>416</v>
      </c>
      <c r="C253" s="46">
        <v>9</v>
      </c>
      <c r="D253" s="39" t="s">
        <v>519</v>
      </c>
      <c r="E253" s="162">
        <f>INDEX('2018 Data Lockdown'!H$5:H$255, MATCH(B253,'2018 Data Lockdown'!B$5:B$255,0))</f>
        <v>77.118547672694447</v>
      </c>
      <c r="F253" s="5">
        <f>INDEX('2018 Data Lockdown'!E$5:E$255,MATCH(B253,'2018 Data Lockdown'!B$5:B$255,0))</f>
        <v>53379.53</v>
      </c>
      <c r="G253" s="5">
        <f>INDEX('2018 Data Lockdown'!F$5:F$255, MATCH(B253,'2018 Data Lockdown'!B$5:B$255,0))</f>
        <v>735</v>
      </c>
      <c r="H253" s="5">
        <f t="shared" si="53"/>
        <v>52644.53</v>
      </c>
      <c r="I253" s="103">
        <f t="shared" si="54"/>
        <v>682.6442093208658</v>
      </c>
      <c r="J253" s="6">
        <f t="shared" si="55"/>
        <v>682.6442093208658</v>
      </c>
      <c r="K253" s="5">
        <f t="shared" si="56"/>
        <v>52644.53</v>
      </c>
      <c r="L253" s="140">
        <f>INDEX('2018 Best Practice Scores'!M$4:M$255,MATCH(B253,'2018 Best Practice Scores'!A$4:A$255,0))</f>
        <v>0.66196428571428567</v>
      </c>
      <c r="M253" s="105">
        <f t="shared" si="57"/>
        <v>11600.069186554194</v>
      </c>
      <c r="N253" s="105">
        <f t="shared" si="58"/>
        <v>4358.1471051691806</v>
      </c>
      <c r="O253" s="105">
        <f t="shared" si="59"/>
        <v>2303.6494539940923</v>
      </c>
      <c r="P253" s="105">
        <f t="shared" si="60"/>
        <v>661.27093392185918</v>
      </c>
      <c r="Q253" s="105">
        <f t="shared" si="61"/>
        <v>18923.136679639327</v>
      </c>
      <c r="R253" s="112">
        <f t="shared" si="62"/>
        <v>0.35945114676946166</v>
      </c>
      <c r="S253" s="175">
        <f t="shared" si="63"/>
        <v>18923.136679639327</v>
      </c>
      <c r="T253" s="105"/>
      <c r="U253" s="105">
        <f>IFERROR(INDEX('Revised 2019 MFAM(2017 PYAs)'!AD$26:AD$270,MATCH(B253,'Revised 2019 MFAM(2017 PYAs)'!B$26:B$270,0)),0)</f>
        <v>267.63302914333326</v>
      </c>
      <c r="V253" s="105">
        <f>IFERROR(INDEX('Revised 2018 MFAM(2016 PYAs)'!AF$26:AF$266,MATCH(B253,'Revised 2018 MFAM(2016 PYAs)'!B$26:B$266,0)),0)</f>
        <v>222.41463507664957</v>
      </c>
      <c r="W253" s="105">
        <f t="shared" si="64"/>
        <v>0.71689246334583223</v>
      </c>
      <c r="X253" s="105">
        <f t="shared" si="65"/>
        <v>490.76455668332869</v>
      </c>
      <c r="Y253" s="105"/>
      <c r="Z253" s="106">
        <f t="shared" si="66"/>
        <v>19413.901236322654</v>
      </c>
      <c r="AA253" s="107">
        <v>0</v>
      </c>
      <c r="AB253" s="108">
        <f t="shared" si="67"/>
        <v>0</v>
      </c>
      <c r="AC253" s="108">
        <f>IFERROR(INDEX('Revised 2019 MFAM(2017 PYAs)'!AF$26:AF$270,MATCH(B253,'Revised 2019 MFAM(2017 PYAs)'!B$26:B$270,0)),0)</f>
        <v>34.356443135461475</v>
      </c>
      <c r="AD253" s="216">
        <f>AC253/AC$24*('Revised 2019 MFAM(2017 PYAs)'!AF$24-'2020 Funding'!AC$24)</f>
        <v>3.1478037303873913E-2</v>
      </c>
      <c r="AE253" s="105">
        <f t="shared" si="68"/>
        <v>19448.289157495419</v>
      </c>
      <c r="AF253" s="111"/>
      <c r="AG253" s="105">
        <v>5016.0570594817482</v>
      </c>
      <c r="AH253" s="214">
        <v>5016.0570594817482</v>
      </c>
      <c r="AI253" s="105">
        <v>5016.0570594817482</v>
      </c>
      <c r="AJ253" s="105">
        <f t="shared" si="69"/>
        <v>4400.1179790501765</v>
      </c>
    </row>
    <row r="254" spans="2:36" x14ac:dyDescent="0.25">
      <c r="B254">
        <v>508</v>
      </c>
      <c r="C254" s="46">
        <v>9</v>
      </c>
      <c r="D254" s="39" t="s">
        <v>521</v>
      </c>
      <c r="E254" s="162">
        <f>INDEX('2018 Data Lockdown'!H$5:H$255, MATCH(B254,'2018 Data Lockdown'!B$5:B$255,0))</f>
        <v>97.534402669301102</v>
      </c>
      <c r="F254" s="5">
        <f>INDEX('2018 Data Lockdown'!E$5:E$255,MATCH(B254,'2018 Data Lockdown'!B$5:B$255,0))</f>
        <v>70511.86</v>
      </c>
      <c r="G254" s="5">
        <f>INDEX('2018 Data Lockdown'!F$5:F$255, MATCH(B254,'2018 Data Lockdown'!B$5:B$255,0))</f>
        <v>0</v>
      </c>
      <c r="H254" s="5">
        <f t="shared" si="53"/>
        <v>70511.86</v>
      </c>
      <c r="I254" s="103">
        <f t="shared" si="54"/>
        <v>722.94347502261962</v>
      </c>
      <c r="J254" s="6">
        <f t="shared" si="55"/>
        <v>722.94347502261962</v>
      </c>
      <c r="K254" s="5">
        <f t="shared" si="56"/>
        <v>70511.86</v>
      </c>
      <c r="L254" s="140">
        <f>INDEX('2018 Best Practice Scores'!M$4:M$255,MATCH(B254,'2018 Best Practice Scores'!A$4:A$255,0))</f>
        <v>0.53788839285714285</v>
      </c>
      <c r="M254" s="105">
        <f t="shared" si="57"/>
        <v>15537.083424861486</v>
      </c>
      <c r="N254" s="105">
        <f t="shared" si="58"/>
        <v>5511.8941872672876</v>
      </c>
      <c r="O254" s="105">
        <f t="shared" si="59"/>
        <v>2507.165049925829</v>
      </c>
      <c r="P254" s="105">
        <f t="shared" si="60"/>
        <v>885.7034817248325</v>
      </c>
      <c r="Q254" s="105">
        <f t="shared" si="61"/>
        <v>24441.846143779432</v>
      </c>
      <c r="R254" s="112">
        <f t="shared" si="62"/>
        <v>0.34663453983173087</v>
      </c>
      <c r="S254" s="175">
        <f t="shared" si="63"/>
        <v>24441.846143779432</v>
      </c>
      <c r="T254" s="105"/>
      <c r="U254" s="105">
        <f>IFERROR(INDEX('Revised 2019 MFAM(2017 PYAs)'!AD$26:AD$270,MATCH(B254,'Revised 2019 MFAM(2017 PYAs)'!B$26:B$270,0)),0)</f>
        <v>332.89529574300832</v>
      </c>
      <c r="V254" s="105">
        <f>IFERROR(INDEX('Revised 2018 MFAM(2016 PYAs)'!AF$26:AF$266,MATCH(B254,'Revised 2018 MFAM(2016 PYAs)'!B$26:B$266,0)),0)</f>
        <v>42.917427332267835</v>
      </c>
      <c r="W254" s="105">
        <f t="shared" si="64"/>
        <v>0.9259656888483585</v>
      </c>
      <c r="X254" s="105">
        <f t="shared" si="65"/>
        <v>376.7386887641245</v>
      </c>
      <c r="Y254" s="105"/>
      <c r="Z254" s="106">
        <f t="shared" si="66"/>
        <v>24818.584832543558</v>
      </c>
      <c r="AA254" s="107">
        <v>0</v>
      </c>
      <c r="AB254" s="108">
        <f t="shared" si="67"/>
        <v>0</v>
      </c>
      <c r="AC254" s="108">
        <f>IFERROR(INDEX('Revised 2019 MFAM(2017 PYAs)'!AF$26:AF$270,MATCH(B254,'Revised 2019 MFAM(2017 PYAs)'!B$26:B$270,0)),0)</f>
        <v>42.740770948912306</v>
      </c>
      <c r="AD254" s="216">
        <f>AC254/AC$24*('Revised 2019 MFAM(2017 PYAs)'!AF$24-'2020 Funding'!AC$24)</f>
        <v>3.9159920513934784E-2</v>
      </c>
      <c r="AE254" s="105">
        <f t="shared" si="68"/>
        <v>24861.364763412985</v>
      </c>
      <c r="AF254" s="111"/>
      <c r="AG254" s="105">
        <v>6414.6590902406224</v>
      </c>
      <c r="AH254" s="214">
        <v>6414.6590902406224</v>
      </c>
      <c r="AI254" s="105">
        <v>6414.6590902406224</v>
      </c>
      <c r="AJ254" s="105">
        <f t="shared" si="69"/>
        <v>5617.3874926911194</v>
      </c>
    </row>
    <row r="255" spans="2:36" x14ac:dyDescent="0.25">
      <c r="B255">
        <v>512</v>
      </c>
      <c r="C255" s="46">
        <v>9</v>
      </c>
      <c r="D255" s="39" t="s">
        <v>522</v>
      </c>
      <c r="E255" s="162">
        <f>INDEX('2018 Data Lockdown'!H$5:H$255, MATCH(B255,'2018 Data Lockdown'!B$5:B$255,0))</f>
        <v>240.71591575946039</v>
      </c>
      <c r="F255" s="5">
        <f>INDEX('2018 Data Lockdown'!E$5:E$255,MATCH(B255,'2018 Data Lockdown'!B$5:B$255,0))</f>
        <v>289506.95</v>
      </c>
      <c r="G255" s="5">
        <f>INDEX('2018 Data Lockdown'!F$5:F$255, MATCH(B255,'2018 Data Lockdown'!B$5:B$255,0))</f>
        <v>6673.84</v>
      </c>
      <c r="H255" s="5">
        <f t="shared" si="53"/>
        <v>282833.11</v>
      </c>
      <c r="I255" s="103">
        <f t="shared" si="54"/>
        <v>1174.9663876925611</v>
      </c>
      <c r="J255" s="6">
        <f t="shared" si="55"/>
        <v>1174.9663876925611</v>
      </c>
      <c r="K255" s="5">
        <f t="shared" si="56"/>
        <v>282833.11</v>
      </c>
      <c r="L255" s="140">
        <f>INDEX('2018 Best Practice Scores'!M$4:M$255,MATCH(B255,'2018 Best Practice Scores'!A$4:A$255,0))</f>
        <v>0.57025000000000003</v>
      </c>
      <c r="M255" s="105">
        <f t="shared" si="57"/>
        <v>62321.45380058085</v>
      </c>
      <c r="N255" s="105">
        <f t="shared" si="58"/>
        <v>13603.411930003051</v>
      </c>
      <c r="O255" s="105">
        <f t="shared" si="59"/>
        <v>10661.642708934369</v>
      </c>
      <c r="P255" s="105">
        <f t="shared" si="60"/>
        <v>3552.6827724309428</v>
      </c>
      <c r="Q255" s="105">
        <f t="shared" si="61"/>
        <v>90139.191211949204</v>
      </c>
      <c r="R255" s="112">
        <f t="shared" si="62"/>
        <v>0.31870098664173091</v>
      </c>
      <c r="S255" s="175">
        <f t="shared" si="63"/>
        <v>90139.191211949204</v>
      </c>
      <c r="T255" s="105"/>
      <c r="U255" s="105">
        <f>IFERROR(INDEX('Revised 2019 MFAM(2017 PYAs)'!AD$26:AD$270,MATCH(B255,'Revised 2019 MFAM(2017 PYAs)'!B$26:B$270,0)),0)</f>
        <v>3775.4538784220786</v>
      </c>
      <c r="V255" s="105">
        <f>IFERROR(INDEX('Revised 2018 MFAM(2016 PYAs)'!AF$26:AF$266,MATCH(B255,'Revised 2018 MFAM(2016 PYAs)'!B$26:B$266,0)),0)</f>
        <v>2210.0300694636826</v>
      </c>
      <c r="W255" s="105">
        <f t="shared" si="64"/>
        <v>3.4148729106556828</v>
      </c>
      <c r="X255" s="105">
        <f t="shared" si="65"/>
        <v>5988.8988207964167</v>
      </c>
      <c r="Y255" s="105"/>
      <c r="Z255" s="106">
        <f t="shared" si="66"/>
        <v>96128.090032745618</v>
      </c>
      <c r="AA255" s="107">
        <v>0</v>
      </c>
      <c r="AB255" s="108">
        <f t="shared" si="67"/>
        <v>0</v>
      </c>
      <c r="AC255" s="108">
        <f>IFERROR(INDEX('Revised 2019 MFAM(2017 PYAs)'!AF$26:AF$270,MATCH(B255,'Revised 2019 MFAM(2017 PYAs)'!B$26:B$270,0)),0)</f>
        <v>160.53017469458322</v>
      </c>
      <c r="AD255" s="216">
        <f>AC255/AC$24*('Revised 2019 MFAM(2017 PYAs)'!AF$24-'2020 Funding'!AC$24)</f>
        <v>0.14708084907129931</v>
      </c>
      <c r="AE255" s="105">
        <f t="shared" si="68"/>
        <v>96288.767288289266</v>
      </c>
      <c r="AF255" s="111"/>
      <c r="AG255" s="105">
        <v>24806.675734780463</v>
      </c>
      <c r="AH255" s="214">
        <v>24806.675734780463</v>
      </c>
      <c r="AI255" s="105">
        <v>24806.675734780463</v>
      </c>
      <c r="AJ255" s="105">
        <f t="shared" si="69"/>
        <v>21868.740083947869</v>
      </c>
    </row>
    <row r="256" spans="2:36" x14ac:dyDescent="0.25">
      <c r="B256">
        <v>516</v>
      </c>
      <c r="C256" s="46">
        <v>9</v>
      </c>
      <c r="D256" s="39" t="s">
        <v>523</v>
      </c>
      <c r="E256" s="162">
        <f>INDEX('2018 Data Lockdown'!H$5:H$255, MATCH(B256,'2018 Data Lockdown'!B$5:B$255,0))</f>
        <v>342.01065921214706</v>
      </c>
      <c r="F256" s="5">
        <f>INDEX('2018 Data Lockdown'!E$5:E$255,MATCH(B256,'2018 Data Lockdown'!B$5:B$255,0))</f>
        <v>167497.34</v>
      </c>
      <c r="G256" s="5">
        <f>INDEX('2018 Data Lockdown'!F$5:F$255, MATCH(B256,'2018 Data Lockdown'!B$5:B$255,0))</f>
        <v>180.64</v>
      </c>
      <c r="H256" s="5">
        <f t="shared" si="53"/>
        <v>167316.69999999998</v>
      </c>
      <c r="I256" s="103">
        <f t="shared" si="54"/>
        <v>489.21486945883311</v>
      </c>
      <c r="J256" s="6">
        <f t="shared" si="55"/>
        <v>489.21486945883311</v>
      </c>
      <c r="K256" s="5">
        <f t="shared" si="56"/>
        <v>167316.69999999998</v>
      </c>
      <c r="L256" s="140">
        <f>INDEX('2018 Best Practice Scores'!M$4:M$255,MATCH(B256,'2018 Best Practice Scores'!A$4:A$255,0))</f>
        <v>0.44861904761904758</v>
      </c>
      <c r="M256" s="105">
        <f t="shared" si="57"/>
        <v>36867.748578360028</v>
      </c>
      <c r="N256" s="105">
        <f t="shared" si="58"/>
        <v>19327.811653151479</v>
      </c>
      <c r="O256" s="105">
        <f t="shared" si="59"/>
        <v>4961.8722765247103</v>
      </c>
      <c r="P256" s="105">
        <f t="shared" si="60"/>
        <v>2101.6745798608808</v>
      </c>
      <c r="Q256" s="105">
        <f t="shared" si="61"/>
        <v>63259.1070878971</v>
      </c>
      <c r="R256" s="112">
        <f t="shared" si="62"/>
        <v>0.37808005469804928</v>
      </c>
      <c r="S256" s="175">
        <f t="shared" si="63"/>
        <v>63259.1070878971</v>
      </c>
      <c r="T256" s="105"/>
      <c r="U256" s="105">
        <f>IFERROR(INDEX('Revised 2019 MFAM(2017 PYAs)'!AD$26:AD$270,MATCH(B256,'Revised 2019 MFAM(2017 PYAs)'!B$26:B$270,0)),0)</f>
        <v>797.33621390027838</v>
      </c>
      <c r="V256" s="105">
        <f>IFERROR(INDEX('Revised 2018 MFAM(2016 PYAs)'!AF$26:AF$266,MATCH(B256,'Revised 2018 MFAM(2016 PYAs)'!B$26:B$266,0)),0)</f>
        <v>1227.6928735762049</v>
      </c>
      <c r="W256" s="105">
        <f t="shared" si="64"/>
        <v>2.3965359378339977</v>
      </c>
      <c r="X256" s="105">
        <f t="shared" si="65"/>
        <v>2027.4256234143172</v>
      </c>
      <c r="Y256" s="105"/>
      <c r="Z256" s="106">
        <f t="shared" si="66"/>
        <v>65286.532711311418</v>
      </c>
      <c r="AA256" s="107">
        <v>0</v>
      </c>
      <c r="AB256" s="108">
        <f t="shared" si="67"/>
        <v>0</v>
      </c>
      <c r="AC256" s="108">
        <f>IFERROR(INDEX('Revised 2019 MFAM(2017 PYAs)'!AF$26:AF$270,MATCH(B256,'Revised 2019 MFAM(2017 PYAs)'!B$26:B$270,0)),0)</f>
        <v>110.95027182514295</v>
      </c>
      <c r="AD256" s="216">
        <f>AC256/AC$24*('Revised 2019 MFAM(2017 PYAs)'!AF$24-'2020 Funding'!AC$24)</f>
        <v>0.10165478369272665</v>
      </c>
      <c r="AE256" s="105">
        <f t="shared" si="68"/>
        <v>65397.584637920256</v>
      </c>
      <c r="AF256" s="111"/>
      <c r="AG256" s="105">
        <v>16865.080432734383</v>
      </c>
      <c r="AH256" s="214">
        <v>16865.080432734383</v>
      </c>
      <c r="AI256" s="105">
        <v>16865.080432734383</v>
      </c>
      <c r="AJ256" s="105">
        <f t="shared" si="69"/>
        <v>14802.34333971711</v>
      </c>
    </row>
    <row r="257" spans="2:36" x14ac:dyDescent="0.25">
      <c r="B257">
        <v>521</v>
      </c>
      <c r="C257" s="46">
        <v>9</v>
      </c>
      <c r="D257" s="39" t="s">
        <v>524</v>
      </c>
      <c r="E257" s="162">
        <f>INDEX('2018 Data Lockdown'!H$5:H$255, MATCH(B257,'2018 Data Lockdown'!B$5:B$255,0))</f>
        <v>150.54889539237996</v>
      </c>
      <c r="F257" s="5">
        <f>INDEX('2018 Data Lockdown'!E$5:E$255,MATCH(B257,'2018 Data Lockdown'!B$5:B$255,0))</f>
        <v>373633.01</v>
      </c>
      <c r="G257" s="5">
        <f>INDEX('2018 Data Lockdown'!F$5:F$255, MATCH(B257,'2018 Data Lockdown'!B$5:B$255,0))</f>
        <v>8.85</v>
      </c>
      <c r="H257" s="5">
        <f t="shared" si="53"/>
        <v>373624.16000000003</v>
      </c>
      <c r="I257" s="103">
        <f t="shared" si="54"/>
        <v>2481.746272705705</v>
      </c>
      <c r="J257" s="6">
        <f t="shared" si="55"/>
        <v>1275.7139834414479</v>
      </c>
      <c r="K257" s="5">
        <f t="shared" si="56"/>
        <v>192057.33104372289</v>
      </c>
      <c r="L257" s="140">
        <f>INDEX('2018 Best Practice Scores'!M$4:M$255,MATCH(B257,'2018 Best Practice Scores'!A$4:A$255,0))</f>
        <v>0.51000595238095248</v>
      </c>
      <c r="M257" s="105">
        <f t="shared" si="57"/>
        <v>42319.274726018601</v>
      </c>
      <c r="N257" s="105">
        <f t="shared" si="58"/>
        <v>8507.8655192702809</v>
      </c>
      <c r="O257" s="105">
        <f t="shared" si="59"/>
        <v>6474.9246032142864</v>
      </c>
      <c r="P257" s="105">
        <f t="shared" si="60"/>
        <v>2412.4430527886243</v>
      </c>
      <c r="Q257" s="105">
        <f t="shared" si="61"/>
        <v>59714.507901291785</v>
      </c>
      <c r="R257" s="112">
        <f t="shared" si="62"/>
        <v>0.31092022146083792</v>
      </c>
      <c r="S257" s="175">
        <f t="shared" si="63"/>
        <v>59714.507901291785</v>
      </c>
      <c r="T257" s="105"/>
      <c r="U257" s="105">
        <f>IFERROR(INDEX('Revised 2019 MFAM(2017 PYAs)'!AD$26:AD$270,MATCH(B257,'Revised 2019 MFAM(2017 PYAs)'!B$26:B$270,0)),0)</f>
        <v>1895.9178583950052</v>
      </c>
      <c r="V257" s="105">
        <f>IFERROR(INDEX('Revised 2018 MFAM(2016 PYAs)'!AF$26:AF$266,MATCH(B257,'Revised 2018 MFAM(2016 PYAs)'!B$26:B$266,0)),0)</f>
        <v>206.43334029004473</v>
      </c>
      <c r="W257" s="105">
        <f t="shared" si="64"/>
        <v>2.262250777531094</v>
      </c>
      <c r="X257" s="105">
        <f t="shared" si="65"/>
        <v>2104.6134494625808</v>
      </c>
      <c r="Y257" s="105"/>
      <c r="Z257" s="106">
        <f t="shared" si="66"/>
        <v>61819.121350754365</v>
      </c>
      <c r="AA257" s="107">
        <v>0</v>
      </c>
      <c r="AB257" s="108">
        <f t="shared" si="67"/>
        <v>0</v>
      </c>
      <c r="AC257" s="108">
        <f>IFERROR(INDEX('Revised 2019 MFAM(2017 PYAs)'!AF$26:AF$270,MATCH(B257,'Revised 2019 MFAM(2017 PYAs)'!B$26:B$270,0)),0)</f>
        <v>82.11721976970469</v>
      </c>
      <c r="AD257" s="216">
        <f>AC257/AC$24*('Revised 2019 MFAM(2017 PYAs)'!AF$24-'2020 Funding'!AC$24)</f>
        <v>7.5237384062413246E-2</v>
      </c>
      <c r="AE257" s="105">
        <f t="shared" si="68"/>
        <v>61901.313807908133</v>
      </c>
      <c r="AF257" s="111"/>
      <c r="AG257" s="105">
        <v>15967.99483740765</v>
      </c>
      <c r="AH257" s="214">
        <v>15967.99483740765</v>
      </c>
      <c r="AI257" s="105">
        <v>15967.99483740765</v>
      </c>
      <c r="AJ257" s="105">
        <f t="shared" si="69"/>
        <v>13997.329295685186</v>
      </c>
    </row>
    <row r="258" spans="2:36" x14ac:dyDescent="0.25">
      <c r="B258">
        <v>522</v>
      </c>
      <c r="C258" s="46">
        <v>9</v>
      </c>
      <c r="D258" s="39" t="s">
        <v>525</v>
      </c>
      <c r="E258" s="162">
        <f>INDEX('2018 Data Lockdown'!H$5:H$255, MATCH(B258,'2018 Data Lockdown'!B$5:B$255,0))</f>
        <v>107.92268224354619</v>
      </c>
      <c r="F258" s="5">
        <f>INDEX('2018 Data Lockdown'!E$5:E$255,MATCH(B258,'2018 Data Lockdown'!B$5:B$255,0))</f>
        <v>93639.74</v>
      </c>
      <c r="G258" s="5">
        <f>INDEX('2018 Data Lockdown'!F$5:F$255, MATCH(B258,'2018 Data Lockdown'!B$5:B$255,0))</f>
        <v>36</v>
      </c>
      <c r="H258" s="5">
        <f t="shared" si="53"/>
        <v>93603.74</v>
      </c>
      <c r="I258" s="103">
        <f t="shared" si="54"/>
        <v>867.32221674000823</v>
      </c>
      <c r="J258" s="6">
        <f t="shared" si="55"/>
        <v>867.32221674000823</v>
      </c>
      <c r="K258" s="5">
        <f t="shared" si="56"/>
        <v>93603.74</v>
      </c>
      <c r="L258" s="140">
        <f>INDEX('2018 Best Practice Scores'!M$4:M$255,MATCH(B258,'2018 Best Practice Scores'!A$4:A$255,0))</f>
        <v>0.62838392857142855</v>
      </c>
      <c r="M258" s="105">
        <f t="shared" si="57"/>
        <v>20625.312071742883</v>
      </c>
      <c r="N258" s="105">
        <f t="shared" si="58"/>
        <v>6098.9598403490108</v>
      </c>
      <c r="O258" s="105">
        <f t="shared" si="59"/>
        <v>3888.1843882960502</v>
      </c>
      <c r="P258" s="105">
        <f t="shared" si="60"/>
        <v>1175.7618990686954</v>
      </c>
      <c r="Q258" s="105">
        <f t="shared" si="61"/>
        <v>31788.218199456638</v>
      </c>
      <c r="R258" s="112">
        <f t="shared" si="62"/>
        <v>0.33960414615331219</v>
      </c>
      <c r="S258" s="175">
        <f t="shared" si="63"/>
        <v>31788.218199456638</v>
      </c>
      <c r="T258" s="105"/>
      <c r="U258" s="105">
        <f>IFERROR(INDEX('Revised 2019 MFAM(2017 PYAs)'!AD$26:AD$270,MATCH(B258,'Revised 2019 MFAM(2017 PYAs)'!B$26:B$270,0)),0)</f>
        <v>558.74153093822679</v>
      </c>
      <c r="V258" s="105">
        <f>IFERROR(INDEX('Revised 2018 MFAM(2016 PYAs)'!AF$26:AF$266,MATCH(B258,'Revised 2018 MFAM(2016 PYAs)'!B$26:B$266,0)),0)</f>
        <v>683.89526857464443</v>
      </c>
      <c r="W258" s="105">
        <f t="shared" si="64"/>
        <v>1.2042788907667306</v>
      </c>
      <c r="X258" s="105">
        <f t="shared" si="65"/>
        <v>1243.841078403638</v>
      </c>
      <c r="Y258" s="105"/>
      <c r="Z258" s="106">
        <f t="shared" si="66"/>
        <v>33032.059277860273</v>
      </c>
      <c r="AA258" s="107">
        <v>0</v>
      </c>
      <c r="AB258" s="108">
        <f t="shared" si="67"/>
        <v>0</v>
      </c>
      <c r="AC258" s="108">
        <f>IFERROR(INDEX('Revised 2019 MFAM(2017 PYAs)'!AF$26:AF$270,MATCH(B258,'Revised 2019 MFAM(2017 PYAs)'!B$26:B$270,0)),0)</f>
        <v>64.520952343973832</v>
      </c>
      <c r="AD258" s="216">
        <f>AC258/AC$24*('Revised 2019 MFAM(2017 PYAs)'!AF$24-'2020 Funding'!AC$24)</f>
        <v>5.9115343714633888E-2</v>
      </c>
      <c r="AE258" s="105">
        <f t="shared" si="68"/>
        <v>33096.639345547963</v>
      </c>
      <c r="AF258" s="111"/>
      <c r="AG258" s="105">
        <v>8531.1624415237329</v>
      </c>
      <c r="AH258" s="214">
        <v>8531.1624415237329</v>
      </c>
      <c r="AI258" s="105">
        <v>8531.1624415237329</v>
      </c>
      <c r="AJ258" s="105">
        <f t="shared" si="69"/>
        <v>7503.1520209767659</v>
      </c>
    </row>
    <row r="259" spans="2:36" x14ac:dyDescent="0.25">
      <c r="B259">
        <v>523</v>
      </c>
      <c r="C259" s="46">
        <v>9</v>
      </c>
      <c r="D259" s="39" t="s">
        <v>526</v>
      </c>
      <c r="E259" s="162">
        <f>INDEX('2018 Data Lockdown'!H$5:H$255, MATCH(B259,'2018 Data Lockdown'!B$5:B$255,0))</f>
        <v>909.72292386160336</v>
      </c>
      <c r="F259" s="5">
        <f>INDEX('2018 Data Lockdown'!E$5:E$255,MATCH(B259,'2018 Data Lockdown'!B$5:B$255,0))</f>
        <v>285802.86</v>
      </c>
      <c r="G259" s="5">
        <f>INDEX('2018 Data Lockdown'!F$5:F$255, MATCH(B259,'2018 Data Lockdown'!B$5:B$255,0))</f>
        <v>321.60000000000002</v>
      </c>
      <c r="H259" s="5">
        <f t="shared" si="53"/>
        <v>285481.26</v>
      </c>
      <c r="I259" s="103">
        <f t="shared" si="54"/>
        <v>313.81121934158318</v>
      </c>
      <c r="J259" s="6">
        <f t="shared" si="55"/>
        <v>313.81121934158318</v>
      </c>
      <c r="K259" s="5">
        <f t="shared" si="56"/>
        <v>285481.26</v>
      </c>
      <c r="L259" s="140">
        <f>INDEX('2018 Best Practice Scores'!M$4:M$255,MATCH(B259,'2018 Best Practice Scores'!A$4:A$255,0))</f>
        <v>0.55605357142857148</v>
      </c>
      <c r="M259" s="105">
        <f t="shared" si="57"/>
        <v>62904.965956855653</v>
      </c>
      <c r="N259" s="105">
        <f t="shared" si="58"/>
        <v>51410.541909586333</v>
      </c>
      <c r="O259" s="105">
        <f t="shared" si="59"/>
        <v>10493.559294270686</v>
      </c>
      <c r="P259" s="105">
        <f t="shared" si="60"/>
        <v>3585.9463351157115</v>
      </c>
      <c r="Q259" s="105">
        <f t="shared" si="61"/>
        <v>128395.01349582839</v>
      </c>
      <c r="R259" s="112">
        <f t="shared" si="62"/>
        <v>0.4497493583145471</v>
      </c>
      <c r="S259" s="175">
        <f t="shared" si="63"/>
        <v>128395.01349582839</v>
      </c>
      <c r="T259" s="105"/>
      <c r="U259" s="105">
        <f>IFERROR(INDEX('Revised 2019 MFAM(2017 PYAs)'!AD$26:AD$270,MATCH(B259,'Revised 2019 MFAM(2017 PYAs)'!B$26:B$270,0)),0)</f>
        <v>1506.9901018197997</v>
      </c>
      <c r="V259" s="105">
        <f>IFERROR(INDEX('Revised 2018 MFAM(2016 PYAs)'!AF$26:AF$266,MATCH(B259,'Revised 2018 MFAM(2016 PYAs)'!B$26:B$266,0)),0)</f>
        <v>1659.98650717501</v>
      </c>
      <c r="W259" s="105">
        <f t="shared" si="64"/>
        <v>4.8641733695969993</v>
      </c>
      <c r="X259" s="105">
        <f t="shared" si="65"/>
        <v>3171.840782364407</v>
      </c>
      <c r="Y259" s="105"/>
      <c r="Z259" s="106">
        <f t="shared" si="66"/>
        <v>131566.8542781928</v>
      </c>
      <c r="AA259" s="107">
        <v>0</v>
      </c>
      <c r="AB259" s="108">
        <f t="shared" si="67"/>
        <v>0</v>
      </c>
      <c r="AC259" s="108">
        <f>IFERROR(INDEX('Revised 2019 MFAM(2017 PYAs)'!AF$26:AF$270,MATCH(B259,'Revised 2019 MFAM(2017 PYAs)'!B$26:B$270,0)),0)</f>
        <v>247.06755952904717</v>
      </c>
      <c r="AD259" s="216">
        <f>AC259/AC$24*('Revised 2019 MFAM(2017 PYAs)'!AF$24-'2020 Funding'!AC$24)</f>
        <v>0.22636807380695029</v>
      </c>
      <c r="AE259" s="105">
        <f t="shared" si="68"/>
        <v>131814.14820579565</v>
      </c>
      <c r="AF259" s="111"/>
      <c r="AG259" s="105">
        <v>33994.385133758842</v>
      </c>
      <c r="AH259" s="214">
        <v>33994.385133758842</v>
      </c>
      <c r="AI259" s="105">
        <v>33994.385133758842</v>
      </c>
      <c r="AJ259" s="105">
        <f t="shared" si="69"/>
        <v>29830.992804519119</v>
      </c>
    </row>
    <row r="260" spans="2:36" x14ac:dyDescent="0.25">
      <c r="B260">
        <v>527</v>
      </c>
      <c r="C260" s="46">
        <v>9</v>
      </c>
      <c r="D260" s="39" t="s">
        <v>527</v>
      </c>
      <c r="E260" s="162">
        <f>INDEX('2018 Data Lockdown'!H$5:H$255, MATCH(B260,'2018 Data Lockdown'!B$5:B$255,0))</f>
        <v>178.04356936970052</v>
      </c>
      <c r="F260" s="5">
        <f>INDEX('2018 Data Lockdown'!E$5:E$255,MATCH(B260,'2018 Data Lockdown'!B$5:B$255,0))</f>
        <v>119863.42</v>
      </c>
      <c r="G260" s="5">
        <f>INDEX('2018 Data Lockdown'!F$5:F$255, MATCH(B260,'2018 Data Lockdown'!B$5:B$255,0))</f>
        <v>135</v>
      </c>
      <c r="H260" s="5">
        <f t="shared" si="53"/>
        <v>119728.42</v>
      </c>
      <c r="I260" s="103">
        <f t="shared" si="54"/>
        <v>672.46697212292236</v>
      </c>
      <c r="J260" s="6">
        <f t="shared" si="55"/>
        <v>672.46697212292236</v>
      </c>
      <c r="K260" s="5">
        <f t="shared" si="56"/>
        <v>119728.42</v>
      </c>
      <c r="L260" s="140">
        <f>INDEX('2018 Best Practice Scores'!M$4:M$255,MATCH(B260,'2018 Best Practice Scores'!A$4:A$255,0))</f>
        <v>0.76645238095238089</v>
      </c>
      <c r="M260" s="105">
        <f t="shared" si="57"/>
        <v>26381.809384504311</v>
      </c>
      <c r="N260" s="105">
        <f t="shared" si="58"/>
        <v>10061.652998650639</v>
      </c>
      <c r="O260" s="105">
        <f t="shared" si="59"/>
        <v>6066.120184975558</v>
      </c>
      <c r="P260" s="105">
        <f t="shared" si="60"/>
        <v>1503.9154896128546</v>
      </c>
      <c r="Q260" s="105">
        <f t="shared" si="61"/>
        <v>44013.498057743367</v>
      </c>
      <c r="R260" s="112">
        <f t="shared" si="62"/>
        <v>0.3676111157045534</v>
      </c>
      <c r="S260" s="175">
        <f t="shared" si="63"/>
        <v>44013.498057743367</v>
      </c>
      <c r="T260" s="105"/>
      <c r="U260" s="105">
        <f>IFERROR(INDEX('Revised 2019 MFAM(2017 PYAs)'!AD$26:AD$270,MATCH(B260,'Revised 2019 MFAM(2017 PYAs)'!B$26:B$270,0)),0)</f>
        <v>603.85011607039633</v>
      </c>
      <c r="V260" s="105">
        <f>IFERROR(INDEX('Revised 2018 MFAM(2016 PYAs)'!AF$26:AF$266,MATCH(B260,'Revised 2018 MFAM(2016 PYAs)'!B$26:B$266,0)),0)</f>
        <v>724.17876413898193</v>
      </c>
      <c r="W260" s="105">
        <f t="shared" si="64"/>
        <v>1.6674267896100214</v>
      </c>
      <c r="X260" s="105">
        <f t="shared" si="65"/>
        <v>1329.6963069989883</v>
      </c>
      <c r="Y260" s="105"/>
      <c r="Z260" s="106">
        <f t="shared" si="66"/>
        <v>45343.194364742354</v>
      </c>
      <c r="AA260" s="107">
        <v>0</v>
      </c>
      <c r="AB260" s="108">
        <f t="shared" si="67"/>
        <v>0</v>
      </c>
      <c r="AC260" s="108">
        <f>IFERROR(INDEX('Revised 2019 MFAM(2017 PYAs)'!AF$26:AF$270,MATCH(B260,'Revised 2019 MFAM(2017 PYAs)'!B$26:B$270,0)),0)</f>
        <v>78.480176151153955</v>
      </c>
      <c r="AD260" s="216">
        <f>AC260/AC$24*('Revised 2019 MFAM(2017 PYAs)'!AF$24-'2020 Funding'!AC$24)</f>
        <v>7.1905054395772425E-2</v>
      </c>
      <c r="AE260" s="105">
        <f t="shared" si="68"/>
        <v>45421.746445947909</v>
      </c>
      <c r="AF260" s="111"/>
      <c r="AG260" s="105">
        <v>11713.931596434686</v>
      </c>
      <c r="AH260" s="214">
        <v>11713.931596434686</v>
      </c>
      <c r="AI260" s="105">
        <v>11713.931596434686</v>
      </c>
      <c r="AJ260" s="105">
        <f t="shared" si="69"/>
        <v>10279.951656643847</v>
      </c>
    </row>
    <row r="261" spans="2:36" x14ac:dyDescent="0.25">
      <c r="B261">
        <v>543</v>
      </c>
      <c r="C261" s="46">
        <v>9</v>
      </c>
      <c r="D261" s="39" t="s">
        <v>528</v>
      </c>
      <c r="E261" s="162">
        <f>INDEX('2018 Data Lockdown'!H$5:H$255, MATCH(B261,'2018 Data Lockdown'!B$5:B$255,0))</f>
        <v>64.881659320046367</v>
      </c>
      <c r="F261" s="5">
        <f>INDEX('2018 Data Lockdown'!E$5:E$255,MATCH(B261,'2018 Data Lockdown'!B$5:B$255,0))</f>
        <v>42102.49</v>
      </c>
      <c r="G261" s="5">
        <f>INDEX('2018 Data Lockdown'!F$5:F$255, MATCH(B261,'2018 Data Lockdown'!B$5:B$255,0))</f>
        <v>0</v>
      </c>
      <c r="H261" s="5">
        <f t="shared" si="53"/>
        <v>42102.49</v>
      </c>
      <c r="I261" s="103">
        <f t="shared" si="54"/>
        <v>648.91204141863966</v>
      </c>
      <c r="J261" s="6">
        <f t="shared" si="55"/>
        <v>648.91204141863966</v>
      </c>
      <c r="K261" s="5">
        <f t="shared" si="56"/>
        <v>42102.49</v>
      </c>
      <c r="L261" s="140">
        <f>INDEX('2018 Best Practice Scores'!M$4:M$255,MATCH(B261,'2018 Best Practice Scores'!A$4:A$255,0))</f>
        <v>8.3142857142857143E-2</v>
      </c>
      <c r="M261" s="105">
        <f t="shared" si="57"/>
        <v>9277.1613105142369</v>
      </c>
      <c r="N261" s="105">
        <f t="shared" si="58"/>
        <v>3666.6123037526017</v>
      </c>
      <c r="O261" s="105">
        <f t="shared" si="59"/>
        <v>231.39890925939795</v>
      </c>
      <c r="P261" s="105">
        <f t="shared" si="60"/>
        <v>528.85177021688173</v>
      </c>
      <c r="Q261" s="105">
        <f t="shared" si="61"/>
        <v>13704.024293743118</v>
      </c>
      <c r="R261" s="112">
        <f t="shared" si="62"/>
        <v>0.32549201469421685</v>
      </c>
      <c r="S261" s="175">
        <f t="shared" si="63"/>
        <v>13704.024293743118</v>
      </c>
      <c r="T261" s="105"/>
      <c r="U261" s="105">
        <f>IFERROR(INDEX('Revised 2019 MFAM(2017 PYAs)'!AD$26:AD$270,MATCH(B261,'Revised 2019 MFAM(2017 PYAs)'!B$26:B$270,0)),0)</f>
        <v>689.05480835762319</v>
      </c>
      <c r="V261" s="105">
        <f>IFERROR(INDEX('Revised 2018 MFAM(2016 PYAs)'!AF$26:AF$266,MATCH(B261,'Revised 2018 MFAM(2016 PYAs)'!B$26:B$266,0)),0)</f>
        <v>424.21902409495851</v>
      </c>
      <c r="W261" s="105">
        <f t="shared" si="64"/>
        <v>0.51916930580875997</v>
      </c>
      <c r="X261" s="105">
        <f t="shared" si="65"/>
        <v>1113.7930017583906</v>
      </c>
      <c r="Y261" s="105"/>
      <c r="Z261" s="106">
        <f t="shared" si="66"/>
        <v>14817.817295501509</v>
      </c>
      <c r="AA261" s="107">
        <v>0</v>
      </c>
      <c r="AB261" s="108">
        <f t="shared" si="67"/>
        <v>0</v>
      </c>
      <c r="AC261" s="108">
        <f>IFERROR(INDEX('Revised 2019 MFAM(2017 PYAs)'!AF$26:AF$270,MATCH(B261,'Revised 2019 MFAM(2017 PYAs)'!B$26:B$270,0)),0)</f>
        <v>27.791033770984324</v>
      </c>
      <c r="AD261" s="216">
        <f>AC261/AC$24*('Revised 2019 MFAM(2017 PYAs)'!AF$24-'2020 Funding'!AC$24)</f>
        <v>2.5462682336091998E-2</v>
      </c>
      <c r="AE261" s="105">
        <f t="shared" si="68"/>
        <v>14845.633791954828</v>
      </c>
      <c r="AF261" s="111"/>
      <c r="AG261" s="105">
        <v>3822.2205162044224</v>
      </c>
      <c r="AH261" s="214">
        <v>3822.2205162044224</v>
      </c>
      <c r="AI261" s="105">
        <v>3822.2205162044224</v>
      </c>
      <c r="AJ261" s="105">
        <f t="shared" si="69"/>
        <v>3378.9722433415595</v>
      </c>
    </row>
    <row r="262" spans="2:36" x14ac:dyDescent="0.25">
      <c r="B262">
        <v>547</v>
      </c>
      <c r="C262" s="46">
        <v>9</v>
      </c>
      <c r="D262" s="39" t="s">
        <v>529</v>
      </c>
      <c r="E262" s="162">
        <f>INDEX('2018 Data Lockdown'!H$5:H$255, MATCH(B262,'2018 Data Lockdown'!B$5:B$255,0))</f>
        <v>231.39171343327169</v>
      </c>
      <c r="F262" s="5">
        <f>INDEX('2018 Data Lockdown'!E$5:E$255,MATCH(B262,'2018 Data Lockdown'!B$5:B$255,0))</f>
        <v>122807.2</v>
      </c>
      <c r="G262" s="5">
        <f>INDEX('2018 Data Lockdown'!F$5:F$255, MATCH(B262,'2018 Data Lockdown'!B$5:B$255,0))</f>
        <v>0</v>
      </c>
      <c r="H262" s="5">
        <f t="shared" si="53"/>
        <v>122807.2</v>
      </c>
      <c r="I262" s="103">
        <f t="shared" si="54"/>
        <v>530.73292114851347</v>
      </c>
      <c r="J262" s="6">
        <f t="shared" si="55"/>
        <v>530.73292114851347</v>
      </c>
      <c r="K262" s="5">
        <f t="shared" si="56"/>
        <v>122807.20000000001</v>
      </c>
      <c r="L262" s="140">
        <f>INDEX('2018 Best Practice Scores'!M$4:M$255,MATCH(B262,'2018 Best Practice Scores'!A$4:A$255,0))</f>
        <v>0.67826488095238091</v>
      </c>
      <c r="M262" s="105">
        <f t="shared" si="57"/>
        <v>27060.209609754296</v>
      </c>
      <c r="N262" s="105">
        <f t="shared" si="58"/>
        <v>13076.479737914073</v>
      </c>
      <c r="O262" s="105">
        <f t="shared" si="59"/>
        <v>5506.196954851941</v>
      </c>
      <c r="P262" s="105">
        <f t="shared" si="60"/>
        <v>1542.5882202068965</v>
      </c>
      <c r="Q262" s="105">
        <f t="shared" si="61"/>
        <v>47185.474522727207</v>
      </c>
      <c r="R262" s="112">
        <f t="shared" si="62"/>
        <v>0.38422400740939622</v>
      </c>
      <c r="S262" s="175">
        <f t="shared" si="63"/>
        <v>47185.474522727207</v>
      </c>
      <c r="T262" s="105"/>
      <c r="U262" s="105">
        <f>IFERROR(INDEX('Revised 2019 MFAM(2017 PYAs)'!AD$26:AD$270,MATCH(B262,'Revised 2019 MFAM(2017 PYAs)'!B$26:B$270,0)),0)</f>
        <v>566.54323534414289</v>
      </c>
      <c r="V262" s="105">
        <f>IFERROR(INDEX('Revised 2018 MFAM(2016 PYAs)'!AF$26:AF$266,MATCH(B262,'Revised 2018 MFAM(2016 PYAs)'!B$26:B$266,0)),0)</f>
        <v>815.69751247398381</v>
      </c>
      <c r="W262" s="105">
        <f t="shared" si="64"/>
        <v>1.7875953462375271</v>
      </c>
      <c r="X262" s="105">
        <f t="shared" si="65"/>
        <v>1384.0283431643643</v>
      </c>
      <c r="Y262" s="105"/>
      <c r="Z262" s="106">
        <f t="shared" si="66"/>
        <v>48569.502865891569</v>
      </c>
      <c r="AA262" s="107">
        <v>0</v>
      </c>
      <c r="AB262" s="108">
        <f t="shared" si="67"/>
        <v>0</v>
      </c>
      <c r="AC262" s="108">
        <f>IFERROR(INDEX('Revised 2019 MFAM(2017 PYAs)'!AF$26:AF$270,MATCH(B262,'Revised 2019 MFAM(2017 PYAs)'!B$26:B$270,0)),0)</f>
        <v>79.027142623828311</v>
      </c>
      <c r="AD262" s="216">
        <f>AC262/AC$24*('Revised 2019 MFAM(2017 PYAs)'!AF$24-'2020 Funding'!AC$24)</f>
        <v>7.2406195650789026E-2</v>
      </c>
      <c r="AE262" s="105">
        <f t="shared" si="68"/>
        <v>48648.602414711044</v>
      </c>
      <c r="AF262" s="111"/>
      <c r="AG262" s="105">
        <v>12547.724609297149</v>
      </c>
      <c r="AH262" s="214">
        <v>12547.724609297149</v>
      </c>
      <c r="AI262" s="105">
        <v>12547.724609297149</v>
      </c>
      <c r="AJ262" s="105">
        <f t="shared" si="69"/>
        <v>11005.4285868196</v>
      </c>
    </row>
    <row r="263" spans="2:36" x14ac:dyDescent="0.25">
      <c r="B263">
        <v>552</v>
      </c>
      <c r="C263" s="46">
        <v>9</v>
      </c>
      <c r="D263" s="39" t="s">
        <v>530</v>
      </c>
      <c r="E263" s="162">
        <f>INDEX('2018 Data Lockdown'!H$5:H$255, MATCH(B263,'2018 Data Lockdown'!B$5:B$255,0))</f>
        <v>114.55</v>
      </c>
      <c r="F263" s="5">
        <f>INDEX('2018 Data Lockdown'!E$5:E$255,MATCH(B263,'2018 Data Lockdown'!B$5:B$255,0))</f>
        <v>108827.49</v>
      </c>
      <c r="G263" s="5">
        <f>INDEX('2018 Data Lockdown'!F$5:F$255, MATCH(B263,'2018 Data Lockdown'!B$5:B$255,0))</f>
        <v>0</v>
      </c>
      <c r="H263" s="5">
        <f t="shared" si="53"/>
        <v>108827.49</v>
      </c>
      <c r="I263" s="103">
        <f t="shared" si="54"/>
        <v>950.04356176342219</v>
      </c>
      <c r="J263" s="6">
        <f t="shared" si="55"/>
        <v>950.04356176342219</v>
      </c>
      <c r="K263" s="5">
        <f t="shared" si="56"/>
        <v>108827.49</v>
      </c>
      <c r="L263" s="140">
        <f>INDEX('2018 Best Practice Scores'!M$4:M$255,MATCH(B263,'2018 Best Practice Scores'!A$4:A$255,0))</f>
        <v>0.46030059523809524</v>
      </c>
      <c r="M263" s="105">
        <f t="shared" si="57"/>
        <v>23979.821139993739</v>
      </c>
      <c r="N263" s="105">
        <f t="shared" si="58"/>
        <v>6473.4848614620851</v>
      </c>
      <c r="O263" s="105">
        <f t="shared" si="59"/>
        <v>3311.3777833326531</v>
      </c>
      <c r="P263" s="105">
        <f t="shared" si="60"/>
        <v>1366.9882882166828</v>
      </c>
      <c r="Q263" s="105">
        <f t="shared" si="61"/>
        <v>35131.67207300516</v>
      </c>
      <c r="R263" s="112">
        <f t="shared" si="62"/>
        <v>0.32281983231447459</v>
      </c>
      <c r="S263" s="175">
        <f t="shared" si="63"/>
        <v>35131.67207300516</v>
      </c>
      <c r="T263" s="105"/>
      <c r="U263" s="105">
        <f>IFERROR(INDEX('Revised 2019 MFAM(2017 PYAs)'!AD$26:AD$270,MATCH(B263,'Revised 2019 MFAM(2017 PYAs)'!B$26:B$270,0)),0)</f>
        <v>541.95229147248028</v>
      </c>
      <c r="V263" s="105">
        <f>IFERROR(INDEX('Revised 2018 MFAM(2016 PYAs)'!AF$26:AF$266,MATCH(B263,'Revised 2018 MFAM(2016 PYAs)'!B$26:B$266,0)),0)</f>
        <v>456.745865312143</v>
      </c>
      <c r="W263" s="105">
        <f t="shared" si="64"/>
        <v>1.330943773236789</v>
      </c>
      <c r="X263" s="105">
        <f t="shared" si="65"/>
        <v>1000.02910055786</v>
      </c>
      <c r="Y263" s="105"/>
      <c r="Z263" s="106">
        <f t="shared" si="66"/>
        <v>36131.701173563022</v>
      </c>
      <c r="AA263" s="107">
        <v>0</v>
      </c>
      <c r="AB263" s="108">
        <f t="shared" si="67"/>
        <v>0</v>
      </c>
      <c r="AC263" s="108">
        <f>IFERROR(INDEX('Revised 2019 MFAM(2017 PYAs)'!AF$26:AF$270,MATCH(B263,'Revised 2019 MFAM(2017 PYAs)'!B$26:B$270,0)),0)</f>
        <v>68.221925995007695</v>
      </c>
      <c r="AD263" s="216">
        <f>AC263/AC$24*('Revised 2019 MFAM(2017 PYAs)'!AF$24-'2020 Funding'!AC$24)</f>
        <v>6.2506247312790461E-2</v>
      </c>
      <c r="AE263" s="105">
        <f t="shared" si="68"/>
        <v>36199.985605805341</v>
      </c>
      <c r="AF263" s="111"/>
      <c r="AG263" s="105">
        <v>9334.8367235126934</v>
      </c>
      <c r="AH263" s="214">
        <v>9334.8367235126934</v>
      </c>
      <c r="AI263" s="105">
        <v>9334.8367235126934</v>
      </c>
      <c r="AJ263" s="105">
        <f t="shared" si="69"/>
        <v>8195.4754352672608</v>
      </c>
    </row>
    <row r="264" spans="2:36" x14ac:dyDescent="0.25">
      <c r="B264" s="36">
        <v>567</v>
      </c>
      <c r="C264" s="207">
        <v>9</v>
      </c>
      <c r="D264" s="39" t="s">
        <v>531</v>
      </c>
      <c r="E264" s="162">
        <f>INDEX('2018 Data Lockdown'!H$5:H$255, MATCH(B264,'2018 Data Lockdown'!B$5:B$255,0))</f>
        <v>343.68793351840543</v>
      </c>
      <c r="F264" s="5">
        <f>INDEX('2018 Data Lockdown'!E$5:E$255,MATCH(B264,'2018 Data Lockdown'!B$5:B$255,0))</f>
        <v>195195.07</v>
      </c>
      <c r="G264" s="5">
        <f>INDEX('2018 Data Lockdown'!F$5:F$255, MATCH(B264,'2018 Data Lockdown'!B$5:B$255,0))</f>
        <v>152</v>
      </c>
      <c r="H264" s="5">
        <f t="shared" si="53"/>
        <v>195043.07</v>
      </c>
      <c r="I264" s="103">
        <f t="shared" si="54"/>
        <v>567.50048802500339</v>
      </c>
      <c r="J264" s="6">
        <f t="shared" si="55"/>
        <v>567.50048802500339</v>
      </c>
      <c r="K264" s="5">
        <f t="shared" si="56"/>
        <v>195043.07</v>
      </c>
      <c r="L264" s="140">
        <f>INDEX('2018 Best Practice Scores'!M$4:M$255,MATCH(B264,'2018 Best Practice Scores'!A$4:A$255,0))</f>
        <v>0.70725446428571415</v>
      </c>
      <c r="M264" s="105">
        <f t="shared" si="57"/>
        <v>42977.173627686156</v>
      </c>
      <c r="N264" s="105">
        <f t="shared" si="58"/>
        <v>19422.598295055301</v>
      </c>
      <c r="O264" s="105">
        <f t="shared" si="59"/>
        <v>9118.7393731689881</v>
      </c>
      <c r="P264" s="105">
        <f t="shared" si="60"/>
        <v>2449.9470895435211</v>
      </c>
      <c r="Q264" s="105">
        <f t="shared" si="61"/>
        <v>73968.458385453967</v>
      </c>
      <c r="R264" s="112">
        <f t="shared" si="62"/>
        <v>0.37924166383073216</v>
      </c>
      <c r="S264" s="175">
        <f t="shared" si="63"/>
        <v>73968.458385453967</v>
      </c>
      <c r="T264" s="105"/>
      <c r="U264" s="105">
        <f>IFERROR(INDEX('Revised 2019 MFAM(2017 PYAs)'!AD$26:AD$270,MATCH(B264,'Revised 2019 MFAM(2017 PYAs)'!B$26:B$270,0)),0)</f>
        <v>1115.1225794562924</v>
      </c>
      <c r="V264" s="105">
        <f>IFERROR(INDEX('Revised 2018 MFAM(2016 PYAs)'!AF$26:AF$266,MATCH(B264,'Revised 2018 MFAM(2016 PYAs)'!B$26:B$266,0)),0)</f>
        <v>883.85157530225115</v>
      </c>
      <c r="W264" s="105">
        <f t="shared" si="64"/>
        <v>2.8022537298955066</v>
      </c>
      <c r="X264" s="105">
        <f t="shared" si="65"/>
        <v>2001.7764084884391</v>
      </c>
      <c r="Y264" s="105"/>
      <c r="Z264" s="106">
        <f t="shared" si="66"/>
        <v>75970.234793942407</v>
      </c>
      <c r="AA264" s="107">
        <v>0</v>
      </c>
      <c r="AB264" s="108">
        <f t="shared" si="67"/>
        <v>0</v>
      </c>
      <c r="AC264" s="108">
        <f>IFERROR(INDEX('Revised 2019 MFAM(2017 PYAs)'!AF$26:AF$270,MATCH(B264,'Revised 2019 MFAM(2017 PYAs)'!B$26:B$270,0)),0)</f>
        <v>144.56932119230612</v>
      </c>
      <c r="AD264" s="216">
        <f>AC264/AC$24*('Revised 2019 MFAM(2017 PYAs)'!AF$24-'2020 Funding'!AC$24)</f>
        <v>0.13245720657241183</v>
      </c>
      <c r="AE264" s="105">
        <f t="shared" si="68"/>
        <v>76114.936572341292</v>
      </c>
      <c r="AF264" s="111"/>
      <c r="AG264" s="105">
        <v>19628.004170502376</v>
      </c>
      <c r="AH264" s="214">
        <v>19628.004170502376</v>
      </c>
      <c r="AI264" s="105">
        <v>19628.004170502376</v>
      </c>
      <c r="AJ264" s="105">
        <f t="shared" si="69"/>
        <v>17230.924060834164</v>
      </c>
    </row>
    <row r="265" spans="2:36" x14ac:dyDescent="0.25">
      <c r="B265" s="25">
        <v>629</v>
      </c>
      <c r="C265" s="46">
        <v>9</v>
      </c>
      <c r="D265" s="39" t="s">
        <v>532</v>
      </c>
      <c r="E265" s="162">
        <f>INDEX('2018 Data Lockdown'!H$5:H$255, MATCH(B265,'2018 Data Lockdown'!B$5:B$255,0))</f>
        <v>258.73</v>
      </c>
      <c r="F265" s="5">
        <f>INDEX('2018 Data Lockdown'!E$5:E$255,MATCH(B265,'2018 Data Lockdown'!B$5:B$255,0))</f>
        <v>183277.62</v>
      </c>
      <c r="G265" s="5">
        <f>INDEX('2018 Data Lockdown'!F$5:F$255, MATCH(B265,'2018 Data Lockdown'!B$5:B$255,0))</f>
        <v>561.61</v>
      </c>
      <c r="H265" s="5">
        <f t="shared" si="53"/>
        <v>182716.01</v>
      </c>
      <c r="I265" s="103">
        <f t="shared" si="54"/>
        <v>706.20341668921264</v>
      </c>
      <c r="J265" s="6">
        <f t="shared" si="55"/>
        <v>706.20341668921264</v>
      </c>
      <c r="K265" s="5">
        <f t="shared" si="56"/>
        <v>182716.01</v>
      </c>
      <c r="L265" s="140">
        <f>INDEX('2018 Best Practice Scores'!M$4:M$255,MATCH(B265,'2018 Best Practice Scores'!A$4:A$255,0))</f>
        <v>0.59084821428571421</v>
      </c>
      <c r="M265" s="105">
        <f t="shared" si="57"/>
        <v>40260.941782387039</v>
      </c>
      <c r="N265" s="105">
        <f t="shared" si="58"/>
        <v>14621.429403806942</v>
      </c>
      <c r="O265" s="105">
        <f t="shared" si="59"/>
        <v>7136.4316672753439</v>
      </c>
      <c r="P265" s="105">
        <f t="shared" si="60"/>
        <v>2295.1061881486221</v>
      </c>
      <c r="Q265" s="105">
        <f t="shared" si="61"/>
        <v>64313.909041617946</v>
      </c>
      <c r="R265" s="112">
        <f t="shared" si="62"/>
        <v>0.35198836183877891</v>
      </c>
      <c r="S265" s="175">
        <f t="shared" si="63"/>
        <v>64313.909041617946</v>
      </c>
      <c r="T265" s="105"/>
      <c r="U265" s="105">
        <f>IFERROR(INDEX('Revised 2019 MFAM(2017 PYAs)'!AD$26:AD$270,MATCH(B265,'Revised 2019 MFAM(2017 PYAs)'!B$26:B$270,0)),0)</f>
        <v>6127.7665652667274</v>
      </c>
      <c r="V265" s="105">
        <f>IFERROR(INDEX('Revised 2018 MFAM(2016 PYAs)'!AF$26:AF$266,MATCH(B265,'Revised 2018 MFAM(2016 PYAs)'!B$26:B$266,0)),0)</f>
        <v>4371.7908742817744</v>
      </c>
      <c r="W265" s="105">
        <f t="shared" si="64"/>
        <v>2.436496520677462</v>
      </c>
      <c r="X265" s="105">
        <f t="shared" si="65"/>
        <v>10501.993936069179</v>
      </c>
      <c r="Y265" s="105"/>
      <c r="Z265" s="106">
        <f t="shared" si="66"/>
        <v>74815.902977687132</v>
      </c>
      <c r="AA265" s="107">
        <v>0</v>
      </c>
      <c r="AB265" s="108">
        <f t="shared" si="67"/>
        <v>0</v>
      </c>
      <c r="AC265" s="108">
        <f>IFERROR(INDEX('Revised 2019 MFAM(2017 PYAs)'!AF$26:AF$270,MATCH(B265,'Revised 2019 MFAM(2017 PYAs)'!B$26:B$270,0)),0)</f>
        <v>117.60426067807545</v>
      </c>
      <c r="AD265" s="216">
        <f>AC265/AC$24*('Revised 2019 MFAM(2017 PYAs)'!AF$24-'2020 Funding'!AC$24)</f>
        <v>0.10775129690005514</v>
      </c>
      <c r="AE265" s="105">
        <f t="shared" si="68"/>
        <v>74933.614989662106</v>
      </c>
      <c r="AF265" s="111"/>
      <c r="AG265" s="105">
        <v>19256.56526955144</v>
      </c>
      <c r="AH265" s="214">
        <v>19256.56526955144</v>
      </c>
      <c r="AI265" s="105">
        <v>19256.56526955144</v>
      </c>
      <c r="AJ265" s="105">
        <f t="shared" si="69"/>
        <v>17163.919181007779</v>
      </c>
    </row>
    <row r="266" spans="2:36" x14ac:dyDescent="0.25">
      <c r="B266" s="25">
        <v>630</v>
      </c>
      <c r="C266" s="46">
        <v>9</v>
      </c>
      <c r="D266" s="39" t="s">
        <v>533</v>
      </c>
      <c r="E266" s="162">
        <f>INDEX('2018 Data Lockdown'!H$5:H$255, MATCH(B266,'2018 Data Lockdown'!B$5:B$255,0))</f>
        <v>179.48000000000002</v>
      </c>
      <c r="F266" s="5">
        <f>INDEX('2018 Data Lockdown'!E$5:E$255,MATCH(B266,'2018 Data Lockdown'!B$5:B$255,0))</f>
        <v>233180.61</v>
      </c>
      <c r="G266" s="5">
        <f>INDEX('2018 Data Lockdown'!F$5:F$255, MATCH(B266,'2018 Data Lockdown'!B$5:B$255,0))</f>
        <v>2518.79</v>
      </c>
      <c r="H266" s="5">
        <f t="shared" si="53"/>
        <v>230661.81999999998</v>
      </c>
      <c r="I266" s="103">
        <f t="shared" si="54"/>
        <v>1285.1672609761531</v>
      </c>
      <c r="J266" s="6">
        <f t="shared" si="55"/>
        <v>1275.7139834414479</v>
      </c>
      <c r="K266" s="5">
        <f t="shared" si="56"/>
        <v>228965.14574807108</v>
      </c>
      <c r="L266" s="140">
        <f>INDEX('2018 Best Practice Scores'!M$4:M$255,MATCH(B266,'2018 Best Practice Scores'!A$4:A$255,0))</f>
        <v>0.6128392857142857</v>
      </c>
      <c r="M266" s="105">
        <f t="shared" si="57"/>
        <v>50451.804432238052</v>
      </c>
      <c r="N266" s="105">
        <f t="shared" si="58"/>
        <v>10142.829008600742</v>
      </c>
      <c r="O266" s="105">
        <f t="shared" si="59"/>
        <v>9275.6543373748809</v>
      </c>
      <c r="P266" s="105">
        <f t="shared" si="60"/>
        <v>2876.0442113241697</v>
      </c>
      <c r="Q266" s="105">
        <f t="shared" si="61"/>
        <v>72746.331989537852</v>
      </c>
      <c r="R266" s="112">
        <f t="shared" si="62"/>
        <v>0.31771792930256809</v>
      </c>
      <c r="S266" s="175">
        <f t="shared" si="63"/>
        <v>72746.331989537852</v>
      </c>
      <c r="T266" s="105"/>
      <c r="U266" s="105">
        <f>IFERROR(INDEX('Revised 2019 MFAM(2017 PYAs)'!AD$26:AD$270,MATCH(B266,'Revised 2019 MFAM(2017 PYAs)'!B$26:B$270,0)),0)</f>
        <v>2503.916631521839</v>
      </c>
      <c r="V266" s="105">
        <f>IFERROR(INDEX('Revised 2018 MFAM(2016 PYAs)'!AF$26:AF$266,MATCH(B266,'Revised 2018 MFAM(2016 PYAs)'!B$26:B$266,0)),0)</f>
        <v>415.76378900095006</v>
      </c>
      <c r="W266" s="105">
        <f t="shared" si="64"/>
        <v>2.7559541540207015</v>
      </c>
      <c r="X266" s="105">
        <f t="shared" si="65"/>
        <v>2922.4363746768099</v>
      </c>
      <c r="Y266" s="105"/>
      <c r="Z266" s="106">
        <f t="shared" si="66"/>
        <v>75668.768364214659</v>
      </c>
      <c r="AA266" s="107">
        <v>0</v>
      </c>
      <c r="AB266" s="108">
        <f t="shared" si="67"/>
        <v>0</v>
      </c>
      <c r="AC266" s="108">
        <f>IFERROR(INDEX('Revised 2019 MFAM(2017 PYAs)'!AF$26:AF$270,MATCH(B266,'Revised 2019 MFAM(2017 PYAs)'!B$26:B$270,0)),0)</f>
        <v>106.01848506554745</v>
      </c>
      <c r="AD266" s="216">
        <f>AC266/AC$24*('Revised 2019 MFAM(2017 PYAs)'!AF$24-'2020 Funding'!AC$24)</f>
        <v>9.7136185333135061E-2</v>
      </c>
      <c r="AE266" s="105">
        <f t="shared" si="68"/>
        <v>75774.883985465538</v>
      </c>
      <c r="AF266" s="111"/>
      <c r="AG266" s="105">
        <v>19542.376178953746</v>
      </c>
      <c r="AH266" s="214">
        <v>19542.376178953746</v>
      </c>
      <c r="AI266" s="105">
        <v>19542.376178953746</v>
      </c>
      <c r="AJ266" s="105">
        <f t="shared" si="69"/>
        <v>17147.755448604301</v>
      </c>
    </row>
    <row r="267" spans="2:36" x14ac:dyDescent="0.25">
      <c r="B267" s="25">
        <v>695</v>
      </c>
      <c r="C267" s="46">
        <v>9</v>
      </c>
      <c r="D267" s="39" t="s">
        <v>534</v>
      </c>
      <c r="E267" s="162">
        <f>INDEX('2018 Data Lockdown'!H$5:H$255, MATCH(B267,'2018 Data Lockdown'!B$5:B$255,0))</f>
        <v>29.69831035912819</v>
      </c>
      <c r="F267" s="5">
        <f>INDEX('2018 Data Lockdown'!E$5:E$255,MATCH(B267,'2018 Data Lockdown'!B$5:B$255,0))</f>
        <v>40518.69</v>
      </c>
      <c r="G267" s="5">
        <f>INDEX('2018 Data Lockdown'!F$5:F$255, MATCH(B267,'2018 Data Lockdown'!B$5:B$255,0))</f>
        <v>0</v>
      </c>
      <c r="H267" s="5">
        <f t="shared" si="53"/>
        <v>40518.69</v>
      </c>
      <c r="I267" s="103">
        <f t="shared" si="54"/>
        <v>1364.3432744161494</v>
      </c>
      <c r="J267" s="6">
        <f t="shared" si="55"/>
        <v>1275.7139834414479</v>
      </c>
      <c r="K267" s="5">
        <f t="shared" si="56"/>
        <v>37886.549809723838</v>
      </c>
      <c r="L267" s="140">
        <f>INDEX('2018 Best Practice Scores'!M$4:M$255,MATCH(B267,'2018 Best Practice Scores'!A$4:A$255,0))</f>
        <v>5.541666666666667E-2</v>
      </c>
      <c r="M267" s="105">
        <f t="shared" si="57"/>
        <v>8348.1911422255671</v>
      </c>
      <c r="N267" s="105">
        <f t="shared" si="58"/>
        <v>1678.3200569255255</v>
      </c>
      <c r="O267" s="105">
        <f t="shared" si="59"/>
        <v>138.78867773950006</v>
      </c>
      <c r="P267" s="105">
        <f t="shared" si="60"/>
        <v>475.89510583061758</v>
      </c>
      <c r="Q267" s="105">
        <f t="shared" si="61"/>
        <v>10641.19498272121</v>
      </c>
      <c r="R267" s="112">
        <f t="shared" si="62"/>
        <v>0.2808699930757505</v>
      </c>
      <c r="S267" s="175">
        <f t="shared" si="63"/>
        <v>10641.19498272121</v>
      </c>
      <c r="T267" s="105"/>
      <c r="U267" s="105">
        <f>IFERROR(INDEX('Revised 2019 MFAM(2017 PYAs)'!AD$26:AD$270,MATCH(B267,'Revised 2019 MFAM(2017 PYAs)'!B$26:B$270,0)),0)</f>
        <v>69.71102017625617</v>
      </c>
      <c r="V267" s="105">
        <f>IFERROR(INDEX('Revised 2018 MFAM(2016 PYAs)'!AF$26:AF$266,MATCH(B267,'Revised 2018 MFAM(2016 PYAs)'!B$26:B$266,0)),0)</f>
        <v>85.218469977501627</v>
      </c>
      <c r="W267" s="105">
        <f t="shared" si="64"/>
        <v>0.40313572814355003</v>
      </c>
      <c r="X267" s="105">
        <f t="shared" si="65"/>
        <v>155.33262588190135</v>
      </c>
      <c r="Y267" s="105"/>
      <c r="Z267" s="106">
        <f t="shared" si="66"/>
        <v>10796.527608603112</v>
      </c>
      <c r="AA267" s="107">
        <v>1</v>
      </c>
      <c r="AB267" s="108">
        <f t="shared" si="67"/>
        <v>-1079.6527608603112</v>
      </c>
      <c r="AC267" s="108">
        <f>IFERROR(INDEX('Revised 2019 MFAM(2017 PYAs)'!AF$26:AF$270,MATCH(B267,'Revised 2019 MFAM(2017 PYAs)'!B$26:B$270,0)),0)</f>
        <v>10.348119742287022</v>
      </c>
      <c r="AD267" s="216">
        <f>AC267/AC$24*('Revised 2019 MFAM(2017 PYAs)'!AF$24-'2020 Funding'!AC$24)</f>
        <v>9.4811473349652262E-3</v>
      </c>
      <c r="AE267" s="105">
        <f t="shared" si="68"/>
        <v>9727.2324486324214</v>
      </c>
      <c r="AF267" s="111"/>
      <c r="AG267" s="105">
        <v>2511.5496738533611</v>
      </c>
      <c r="AH267" s="214">
        <v>2511.5496738533611</v>
      </c>
      <c r="AI267" s="105">
        <v>2511.5496738533611</v>
      </c>
      <c r="AJ267" s="105">
        <f t="shared" si="69"/>
        <v>2192.5834270723381</v>
      </c>
    </row>
    <row r="268" spans="2:36" x14ac:dyDescent="0.25">
      <c r="B268" s="25">
        <v>771</v>
      </c>
      <c r="C268" s="46">
        <v>9</v>
      </c>
      <c r="D268" s="39" t="s">
        <v>535</v>
      </c>
      <c r="E268" s="162">
        <f>INDEX('2018 Data Lockdown'!H$5:H$255, MATCH(B268,'2018 Data Lockdown'!B$5:B$255,0))</f>
        <v>176.36629506344221</v>
      </c>
      <c r="F268" s="5">
        <f>INDEX('2018 Data Lockdown'!E$5:E$255,MATCH(B268,'2018 Data Lockdown'!B$5:B$255,0))</f>
        <v>63559.46</v>
      </c>
      <c r="G268" s="5">
        <f>INDEX('2018 Data Lockdown'!F$5:F$255, MATCH(B268,'2018 Data Lockdown'!B$5:B$255,0))</f>
        <v>0</v>
      </c>
      <c r="H268" s="5">
        <f t="shared" si="53"/>
        <v>63559.46</v>
      </c>
      <c r="I268" s="103">
        <f t="shared" si="54"/>
        <v>360.38325790728032</v>
      </c>
      <c r="J268" s="6">
        <f t="shared" si="55"/>
        <v>360.38325790728032</v>
      </c>
      <c r="K268" s="5">
        <f t="shared" si="56"/>
        <v>63559.459999999992</v>
      </c>
      <c r="L268" s="140">
        <f>INDEX('2018 Best Practice Scores'!M$4:M$255,MATCH(B268,'2018 Best Practice Scores'!A$4:A$255,0))</f>
        <v>0.40094940476190483</v>
      </c>
      <c r="M268" s="105">
        <f t="shared" si="57"/>
        <v>14005.142290377058</v>
      </c>
      <c r="N268" s="105">
        <f t="shared" si="58"/>
        <v>9966.8663567468211</v>
      </c>
      <c r="O268" s="105">
        <f t="shared" si="59"/>
        <v>1684.6060394797385</v>
      </c>
      <c r="P268" s="105">
        <f t="shared" si="60"/>
        <v>798.37399011386469</v>
      </c>
      <c r="Q268" s="105">
        <f t="shared" si="61"/>
        <v>26454.988676717483</v>
      </c>
      <c r="R268" s="112">
        <f t="shared" si="62"/>
        <v>0.41622425169624611</v>
      </c>
      <c r="S268" s="175">
        <f t="shared" si="63"/>
        <v>26454.988676717483</v>
      </c>
      <c r="T268" s="105"/>
      <c r="U268" s="105">
        <f>IFERROR(INDEX('Revised 2019 MFAM(2017 PYAs)'!AD$26:AD$270,MATCH(B268,'Revised 2019 MFAM(2017 PYAs)'!B$26:B$270,0)),0)</f>
        <v>-9674.2663525299031</v>
      </c>
      <c r="V268" s="105">
        <f>IFERROR(INDEX('Revised 2018 MFAM(2016 PYAs)'!AF$26:AF$266,MATCH(B268,'Revised 2018 MFAM(2016 PYAs)'!B$26:B$266,0)),0)</f>
        <v>341.728173578118</v>
      </c>
      <c r="W268" s="105">
        <f t="shared" si="64"/>
        <v>1.0022324692419637</v>
      </c>
      <c r="X268" s="105">
        <f t="shared" si="65"/>
        <v>-9331.5359464825433</v>
      </c>
      <c r="Y268" s="105"/>
      <c r="Z268" s="106">
        <f t="shared" si="66"/>
        <v>17123.452730234938</v>
      </c>
      <c r="AA268" s="107">
        <v>0</v>
      </c>
      <c r="AB268" s="108">
        <f t="shared" si="67"/>
        <v>0</v>
      </c>
      <c r="AC268" s="108">
        <f>IFERROR(INDEX('Revised 2019 MFAM(2017 PYAs)'!AF$26:AF$270,MATCH(B268,'Revised 2019 MFAM(2017 PYAs)'!B$26:B$270,0)),0)</f>
        <v>48.446489119506253</v>
      </c>
      <c r="AD268" s="216">
        <f>AC268/AC$24*('Revised 2019 MFAM(2017 PYAs)'!AF$24-'2020 Funding'!AC$24)</f>
        <v>4.4387609792222324E-2</v>
      </c>
      <c r="AE268" s="105">
        <f t="shared" si="68"/>
        <v>17171.943606964236</v>
      </c>
      <c r="AF268" s="111"/>
      <c r="AG268" s="105">
        <v>4508.0920626323996</v>
      </c>
      <c r="AH268" s="214">
        <v>4508.0920626323996</v>
      </c>
      <c r="AI268" s="105">
        <v>4508.0920626323996</v>
      </c>
      <c r="AJ268" s="105">
        <f t="shared" si="69"/>
        <v>3647.6674190670365</v>
      </c>
    </row>
    <row r="269" spans="2:36" x14ac:dyDescent="0.25">
      <c r="B269" s="25">
        <v>830</v>
      </c>
      <c r="C269" s="46">
        <v>9</v>
      </c>
      <c r="D269" s="39" t="s">
        <v>536</v>
      </c>
      <c r="E269" s="162">
        <f>INDEX('2018 Data Lockdown'!H$5:H$255, MATCH(B269,'2018 Data Lockdown'!B$5:B$255,0))</f>
        <v>22.210358152227126</v>
      </c>
      <c r="F269" s="5">
        <f>INDEX('2018 Data Lockdown'!E$5:E$255,MATCH(B269,'2018 Data Lockdown'!B$5:B$255,0))</f>
        <v>25322.05</v>
      </c>
      <c r="G269" s="5">
        <f>INDEX('2018 Data Lockdown'!F$5:F$255, MATCH(B269,'2018 Data Lockdown'!B$5:B$255,0))</f>
        <v>0</v>
      </c>
      <c r="H269" s="5">
        <f t="shared" si="53"/>
        <v>25322.05</v>
      </c>
      <c r="I269" s="103">
        <f t="shared" si="54"/>
        <v>1140.1009306759356</v>
      </c>
      <c r="J269" s="6">
        <f t="shared" si="55"/>
        <v>1140.1009306759356</v>
      </c>
      <c r="K269" s="5">
        <f t="shared" si="56"/>
        <v>25322.05</v>
      </c>
      <c r="L269" s="140">
        <f>INDEX('2018 Best Practice Scores'!M$4:M$255,MATCH(B269,'2018 Best Practice Scores'!A$4:A$255,0))</f>
        <v>0.15983035714285715</v>
      </c>
      <c r="M269" s="105">
        <f t="shared" si="57"/>
        <v>5579.6401249167693</v>
      </c>
      <c r="N269" s="105">
        <f t="shared" si="58"/>
        <v>1255.1585968231627</v>
      </c>
      <c r="O269" s="105">
        <f t="shared" si="59"/>
        <v>267.53876216821897</v>
      </c>
      <c r="P269" s="105">
        <f t="shared" si="60"/>
        <v>318.07170948845049</v>
      </c>
      <c r="Q269" s="105">
        <f t="shared" si="61"/>
        <v>7420.4091933966019</v>
      </c>
      <c r="R269" s="112">
        <f t="shared" si="62"/>
        <v>0.29304140831396358</v>
      </c>
      <c r="S269" s="175">
        <f t="shared" si="63"/>
        <v>7420.4091933966019</v>
      </c>
      <c r="T269" s="105"/>
      <c r="U269" s="105">
        <f>IFERROR(INDEX('Revised 2019 MFAM(2017 PYAs)'!AD$26:AD$270,MATCH(B269,'Revised 2019 MFAM(2017 PYAs)'!B$26:B$270,0)),0)</f>
        <v>329.10533299317649</v>
      </c>
      <c r="V269" s="105">
        <f>IFERROR(INDEX('Revised 2018 MFAM(2016 PYAs)'!AF$26:AF$266,MATCH(B269,'Revised 2018 MFAM(2016 PYAs)'!B$26:B$266,0)),0)</f>
        <v>91.476911699754055</v>
      </c>
      <c r="W269" s="105">
        <f t="shared" si="64"/>
        <v>0.28111805752647251</v>
      </c>
      <c r="X269" s="105">
        <f t="shared" si="65"/>
        <v>420.86336275045704</v>
      </c>
      <c r="Y269" s="105"/>
      <c r="Z269" s="106">
        <f t="shared" si="66"/>
        <v>7841.2725561470588</v>
      </c>
      <c r="AA269" s="107">
        <v>0</v>
      </c>
      <c r="AB269" s="108">
        <f t="shared" si="67"/>
        <v>0</v>
      </c>
      <c r="AC269" s="108">
        <f>IFERROR(INDEX('Revised 2019 MFAM(2017 PYAs)'!AF$26:AF$270,MATCH(B269,'Revised 2019 MFAM(2017 PYAs)'!B$26:B$270,0)),0)</f>
        <v>14.463644015249965</v>
      </c>
      <c r="AD269" s="216">
        <f>AC269/AC$24*('Revised 2019 MFAM(2017 PYAs)'!AF$24-'2020 Funding'!AC$24)</f>
        <v>1.325187022611372E-2</v>
      </c>
      <c r="AE269" s="105">
        <f t="shared" si="68"/>
        <v>7855.7494520325345</v>
      </c>
      <c r="AF269" s="111"/>
      <c r="AG269" s="105">
        <v>2024.1019319932439</v>
      </c>
      <c r="AH269" s="214">
        <v>2024.1019319932439</v>
      </c>
      <c r="AI269" s="105">
        <v>2024.1019319932439</v>
      </c>
      <c r="AJ269" s="105">
        <f t="shared" si="69"/>
        <v>1783.4436560528029</v>
      </c>
    </row>
    <row r="270" spans="2:36" x14ac:dyDescent="0.25">
      <c r="B270" s="25">
        <v>936</v>
      </c>
      <c r="C270" s="46">
        <v>9</v>
      </c>
      <c r="D270" s="39" t="s">
        <v>537</v>
      </c>
      <c r="E270" s="162">
        <f>INDEX('2018 Data Lockdown'!H$5:H$255, MATCH(B270,'2018 Data Lockdown'!B$5:B$255,0))</f>
        <v>43.383691867789167</v>
      </c>
      <c r="F270" s="5">
        <f>INDEX('2018 Data Lockdown'!E$5:E$255,MATCH(B270,'2018 Data Lockdown'!B$5:B$255,0))</f>
        <v>69869.86</v>
      </c>
      <c r="G270" s="5">
        <f>INDEX('2018 Data Lockdown'!F$5:F$255, MATCH(B270,'2018 Data Lockdown'!B$5:B$255,0))</f>
        <v>0</v>
      </c>
      <c r="H270" s="5">
        <f t="shared" si="53"/>
        <v>69869.86</v>
      </c>
      <c r="I270" s="103">
        <f t="shared" si="54"/>
        <v>1610.5097789493536</v>
      </c>
      <c r="J270" s="6">
        <f t="shared" si="55"/>
        <v>1275.7139834414479</v>
      </c>
      <c r="K270" s="5">
        <f t="shared" si="56"/>
        <v>55345.182369053669</v>
      </c>
      <c r="L270" s="140">
        <f>INDEX('2018 Best Practice Scores'!M$4:M$255,MATCH(B270,'2018 Best Practice Scores'!A$4:A$255,0))</f>
        <v>0.44230952380952387</v>
      </c>
      <c r="M270" s="105">
        <f t="shared" si="57"/>
        <v>12195.150087264183</v>
      </c>
      <c r="N270" s="105">
        <f t="shared" si="58"/>
        <v>2451.7125494584802</v>
      </c>
      <c r="O270" s="105">
        <f t="shared" si="59"/>
        <v>1618.2093083650482</v>
      </c>
      <c r="P270" s="105">
        <f t="shared" si="60"/>
        <v>695.19398184882152</v>
      </c>
      <c r="Q270" s="105">
        <f t="shared" si="61"/>
        <v>16960.265926936532</v>
      </c>
      <c r="R270" s="112">
        <f t="shared" si="62"/>
        <v>0.30644520807324843</v>
      </c>
      <c r="S270" s="175">
        <f t="shared" si="63"/>
        <v>16960.265926936532</v>
      </c>
      <c r="T270" s="105"/>
      <c r="U270" s="105">
        <f>IFERROR(INDEX('Revised 2019 MFAM(2017 PYAs)'!AD$26:AD$270,MATCH(B270,'Revised 2019 MFAM(2017 PYAs)'!B$26:B$270,0)),0)</f>
        <v>594.59633819184091</v>
      </c>
      <c r="V270" s="105">
        <f>IFERROR(INDEX('Revised 2018 MFAM(2016 PYAs)'!AF$26:AF$266,MATCH(B270,'Revised 2018 MFAM(2016 PYAs)'!B$26:B$266,0)),0)</f>
        <v>185.67485859501176</v>
      </c>
      <c r="W270" s="105">
        <f t="shared" si="64"/>
        <v>0.64253020126648797</v>
      </c>
      <c r="X270" s="105">
        <f t="shared" si="65"/>
        <v>780.91372698811915</v>
      </c>
      <c r="Y270" s="105"/>
      <c r="Z270" s="106">
        <f t="shared" si="66"/>
        <v>17741.17965392465</v>
      </c>
      <c r="AA270" s="107">
        <v>0</v>
      </c>
      <c r="AB270" s="108">
        <f t="shared" si="67"/>
        <v>0</v>
      </c>
      <c r="AC270" s="108">
        <f>IFERROR(INDEX('Revised 2019 MFAM(2017 PYAs)'!AF$26:AF$270,MATCH(B270,'Revised 2019 MFAM(2017 PYAs)'!B$26:B$270,0)),0)</f>
        <v>25.251894238115831</v>
      </c>
      <c r="AD270" s="216">
        <f>AC270/AC$24*('Revised 2019 MFAM(2017 PYAs)'!AF$24-'2020 Funding'!AC$24)</f>
        <v>2.3136273615019312E-2</v>
      </c>
      <c r="AE270" s="105">
        <f t="shared" si="68"/>
        <v>17766.454684436383</v>
      </c>
      <c r="AF270" s="17"/>
      <c r="AG270" s="105">
        <v>4581.064492495042</v>
      </c>
      <c r="AH270" s="214">
        <v>4581.064492495042</v>
      </c>
      <c r="AI270" s="105">
        <v>4581.064492495042</v>
      </c>
      <c r="AJ270" s="105">
        <f t="shared" si="69"/>
        <v>4023.2612069512552</v>
      </c>
    </row>
    <row r="271" spans="2:36" x14ac:dyDescent="0.25">
      <c r="B271" s="25">
        <v>952</v>
      </c>
      <c r="C271" s="46">
        <v>9</v>
      </c>
      <c r="D271" s="39" t="s">
        <v>538</v>
      </c>
      <c r="E271" s="162">
        <f>INDEX('2018 Data Lockdown'!H$5:H$255, MATCH(B271,'2018 Data Lockdown'!B$5:B$255,0))</f>
        <v>65.756366888363871</v>
      </c>
      <c r="F271" s="5">
        <f>INDEX('2018 Data Lockdown'!E$5:E$255,MATCH(B271,'2018 Data Lockdown'!B$5:B$255,0))</f>
        <v>81300.5</v>
      </c>
      <c r="G271" s="5">
        <f>INDEX('2018 Data Lockdown'!F$5:F$255, MATCH(B271,'2018 Data Lockdown'!B$5:B$255,0))</f>
        <v>3878.1</v>
      </c>
      <c r="H271" s="5">
        <f t="shared" si="53"/>
        <v>77422.399999999994</v>
      </c>
      <c r="I271" s="103">
        <f t="shared" si="54"/>
        <v>1177.4129816423986</v>
      </c>
      <c r="J271" s="6">
        <f t="shared" si="55"/>
        <v>1177.4129816423986</v>
      </c>
      <c r="K271" s="5">
        <f t="shared" si="56"/>
        <v>77422.399999999994</v>
      </c>
      <c r="L271" s="140">
        <f>INDEX('2018 Best Practice Scores'!M$4:M$255,MATCH(B271,'2018 Best Practice Scores'!A$4:A$255,0))</f>
        <v>0.55856845238095243</v>
      </c>
      <c r="M271" s="105">
        <f t="shared" si="57"/>
        <v>17059.800830002157</v>
      </c>
      <c r="N271" s="105">
        <f t="shared" si="58"/>
        <v>3716.0440471110451</v>
      </c>
      <c r="O271" s="105">
        <f t="shared" si="59"/>
        <v>2858.7199642624773</v>
      </c>
      <c r="P271" s="105">
        <f t="shared" si="60"/>
        <v>972.50716749625758</v>
      </c>
      <c r="Q271" s="105">
        <f t="shared" si="61"/>
        <v>24607.072008871935</v>
      </c>
      <c r="R271" s="112">
        <f t="shared" si="62"/>
        <v>0.31782884551333901</v>
      </c>
      <c r="S271" s="175">
        <f t="shared" si="63"/>
        <v>24607.072008871935</v>
      </c>
      <c r="T271" s="105"/>
      <c r="U271" s="105">
        <f>IFERROR(INDEX('Revised 2019 MFAM(2017 PYAs)'!AD$26:AD$270,MATCH(B271,'Revised 2019 MFAM(2017 PYAs)'!B$26:B$270,0)),0)</f>
        <v>1098.7248264619957</v>
      </c>
      <c r="V271" s="105">
        <f>IFERROR(INDEX('Revised 2018 MFAM(2016 PYAs)'!AF$26:AF$266,MATCH(B271,'Revised 2018 MFAM(2016 PYAs)'!B$26:B$266,0)),0)</f>
        <v>-312.40124835399547</v>
      </c>
      <c r="W271" s="105">
        <f t="shared" si="64"/>
        <v>0.93222517845834774</v>
      </c>
      <c r="X271" s="105">
        <f t="shared" si="65"/>
        <v>787.25580328645856</v>
      </c>
      <c r="Y271" s="105"/>
      <c r="Z271" s="106">
        <f t="shared" si="66"/>
        <v>25394.327812158393</v>
      </c>
      <c r="AA271" s="107">
        <v>0</v>
      </c>
      <c r="AB271" s="108">
        <f t="shared" si="67"/>
        <v>0</v>
      </c>
      <c r="AC271" s="108">
        <f>IFERROR(INDEX('Revised 2019 MFAM(2017 PYAs)'!AF$26:AF$270,MATCH(B271,'Revised 2019 MFAM(2017 PYAs)'!B$26:B$270,0)),0)</f>
        <v>46.470947491676249</v>
      </c>
      <c r="AD271" s="216">
        <f>AC271/AC$24*('Revised 2019 MFAM(2017 PYAs)'!AF$24-'2020 Funding'!AC$24)</f>
        <v>4.257758036598052E-2</v>
      </c>
      <c r="AE271" s="105">
        <f t="shared" si="68"/>
        <v>25440.841337230435</v>
      </c>
      <c r="AG271" s="105">
        <v>6560.0556709738266</v>
      </c>
      <c r="AH271" s="214">
        <v>6560.0556709738266</v>
      </c>
      <c r="AI271" s="105">
        <v>6560.0556709738266</v>
      </c>
      <c r="AJ271" s="105">
        <f t="shared" si="69"/>
        <v>5760.674324308955</v>
      </c>
    </row>
    <row r="272" spans="2:36" x14ac:dyDescent="0.25">
      <c r="B272" s="25">
        <v>982</v>
      </c>
      <c r="C272" s="46">
        <v>9</v>
      </c>
      <c r="D272" s="39" t="s">
        <v>539</v>
      </c>
      <c r="E272" s="162">
        <f>INDEX('2018 Data Lockdown'!H$5:H$255, MATCH(B272,'2018 Data Lockdown'!B$5:B$255,0))</f>
        <v>97.412690933606555</v>
      </c>
      <c r="F272" s="5">
        <f>INDEX('2018 Data Lockdown'!E$5:E$255,MATCH(B272,'2018 Data Lockdown'!B$5:B$255,0))</f>
        <v>107892.54</v>
      </c>
      <c r="G272" s="5">
        <f>INDEX('2018 Data Lockdown'!F$5:F$255, MATCH(B272,'2018 Data Lockdown'!B$5:B$255,0))</f>
        <v>0</v>
      </c>
      <c r="H272" s="5">
        <f t="shared" si="53"/>
        <v>107892.54</v>
      </c>
      <c r="I272" s="103">
        <f t="shared" si="54"/>
        <v>1107.5819686937523</v>
      </c>
      <c r="J272" s="6">
        <f t="shared" si="55"/>
        <v>1107.5819686937523</v>
      </c>
      <c r="K272" s="5">
        <f t="shared" si="56"/>
        <v>107892.53999999998</v>
      </c>
      <c r="L272" s="140">
        <f>INDEX('2018 Best Practice Scores'!M$4:M$255,MATCH(B272,'2018 Best Practice Scores'!A$4:A$255,0))</f>
        <v>5.6125000000000001E-2</v>
      </c>
      <c r="M272" s="105">
        <f t="shared" si="57"/>
        <v>23773.807624706034</v>
      </c>
      <c r="N272" s="105">
        <f t="shared" si="58"/>
        <v>5505.0159761936875</v>
      </c>
      <c r="O272" s="105">
        <f t="shared" si="59"/>
        <v>400.29148588098786</v>
      </c>
      <c r="P272" s="105">
        <f t="shared" si="60"/>
        <v>1355.2443281192091</v>
      </c>
      <c r="Q272" s="105">
        <f t="shared" si="61"/>
        <v>31034.359414899922</v>
      </c>
      <c r="R272" s="112">
        <f t="shared" si="62"/>
        <v>0.28764138294362085</v>
      </c>
      <c r="S272" s="175">
        <f t="shared" si="63"/>
        <v>31034.359414899922</v>
      </c>
      <c r="T272" s="105"/>
      <c r="U272" s="105">
        <f>IFERROR(INDEX('Revised 2019 MFAM(2017 PYAs)'!AD$26:AD$270,MATCH(B272,'Revised 2019 MFAM(2017 PYAs)'!B$26:B$270,0)),0)</f>
        <v>103.49288293170866</v>
      </c>
      <c r="V272" s="105">
        <f>IFERROR(INDEX('Revised 2018 MFAM(2016 PYAs)'!AF$26:AF$266,MATCH(B272,'Revised 2018 MFAM(2016 PYAs)'!B$26:B$266,0)),0)</f>
        <v>275.93632365319354</v>
      </c>
      <c r="W272" s="105">
        <f t="shared" si="64"/>
        <v>1.1757193717913565</v>
      </c>
      <c r="X272" s="105">
        <f t="shared" si="65"/>
        <v>380.60492595669353</v>
      </c>
      <c r="Y272" s="105"/>
      <c r="Z272" s="106">
        <f t="shared" si="66"/>
        <v>31414.964340856615</v>
      </c>
      <c r="AA272" s="107">
        <v>0</v>
      </c>
      <c r="AB272" s="108">
        <f t="shared" si="67"/>
        <v>0</v>
      </c>
      <c r="AC272" s="108">
        <f>IFERROR(INDEX('Revised 2019 MFAM(2017 PYAs)'!AF$26:AF$270,MATCH(B272,'Revised 2019 MFAM(2017 PYAs)'!B$26:B$270,0)),0)</f>
        <v>19.418479803019419</v>
      </c>
      <c r="AD272" s="216">
        <f>AC272/AC$24*('Revised 2019 MFAM(2017 PYAs)'!AF$24-'2020 Funding'!AC$24)</f>
        <v>1.7791586550851401E-2</v>
      </c>
      <c r="AE272" s="105">
        <f t="shared" si="68"/>
        <v>31434.400612246183</v>
      </c>
      <c r="AF272" s="17"/>
      <c r="AG272" s="105">
        <v>8120.5166065990179</v>
      </c>
      <c r="AH272" s="214">
        <v>8120.5166065990179</v>
      </c>
      <c r="AI272" s="105">
        <v>8120.5166065990179</v>
      </c>
      <c r="AJ272" s="105">
        <f t="shared" si="69"/>
        <v>7072.8507924491314</v>
      </c>
    </row>
    <row r="273" spans="2:36" x14ac:dyDescent="0.25">
      <c r="B273" s="25">
        <v>987</v>
      </c>
      <c r="C273" s="46">
        <v>9</v>
      </c>
      <c r="D273" s="39" t="s">
        <v>540</v>
      </c>
      <c r="E273" s="162">
        <f>INDEX('2018 Data Lockdown'!H$5:H$255, MATCH(B273,'2018 Data Lockdown'!B$5:B$255,0))</f>
        <v>253.77541145224947</v>
      </c>
      <c r="F273" s="5">
        <f>INDEX('2018 Data Lockdown'!E$5:E$255,MATCH(B273,'2018 Data Lockdown'!B$5:B$255,0))</f>
        <v>88557.58</v>
      </c>
      <c r="G273" s="5">
        <f>INDEX('2018 Data Lockdown'!F$5:F$255, MATCH(B273,'2018 Data Lockdown'!B$5:B$255,0))</f>
        <v>0</v>
      </c>
      <c r="H273" s="5">
        <f t="shared" si="53"/>
        <v>88557.58</v>
      </c>
      <c r="I273" s="103">
        <f t="shared" si="54"/>
        <v>348.96044298863467</v>
      </c>
      <c r="J273" s="6">
        <f t="shared" si="55"/>
        <v>348.96044298863467</v>
      </c>
      <c r="K273" s="5">
        <f t="shared" si="56"/>
        <v>88557.58</v>
      </c>
      <c r="L273" s="140">
        <f>INDEX('2018 Best Practice Scores'!M$4:M$255,MATCH(B273,'2018 Best Practice Scores'!A$4:A$255,0))</f>
        <v>0.46490178571428575</v>
      </c>
      <c r="M273" s="105">
        <f t="shared" si="57"/>
        <v>19513.405381220196</v>
      </c>
      <c r="N273" s="105">
        <f t="shared" si="58"/>
        <v>14341.434170645558</v>
      </c>
      <c r="O273" s="105">
        <f t="shared" si="59"/>
        <v>2721.5451021288063</v>
      </c>
      <c r="P273" s="105">
        <f t="shared" si="60"/>
        <v>1112.376796458431</v>
      </c>
      <c r="Q273" s="105">
        <f t="shared" si="61"/>
        <v>37688.761450452999</v>
      </c>
      <c r="R273" s="112">
        <f t="shared" si="62"/>
        <v>0.42558481668596859</v>
      </c>
      <c r="S273" s="175">
        <f t="shared" si="63"/>
        <v>37688.761450452999</v>
      </c>
      <c r="T273" s="105"/>
      <c r="U273" s="105">
        <f>IFERROR(INDEX('Revised 2019 MFAM(2017 PYAs)'!AD$26:AD$270,MATCH(B273,'Revised 2019 MFAM(2017 PYAs)'!B$26:B$270,0)),0)</f>
        <v>475.88197555518855</v>
      </c>
      <c r="V273" s="105">
        <f>IFERROR(INDEX('Revised 2018 MFAM(2016 PYAs)'!AF$26:AF$266,MATCH(B273,'Revised 2018 MFAM(2016 PYAs)'!B$26:B$266,0)),0)</f>
        <v>-3674.9650676701785</v>
      </c>
      <c r="W273" s="105">
        <f t="shared" si="64"/>
        <v>1.4278176760061148</v>
      </c>
      <c r="X273" s="105">
        <f t="shared" si="65"/>
        <v>-3197.6552744389837</v>
      </c>
      <c r="Y273" s="105"/>
      <c r="Z273" s="106">
        <f t="shared" si="66"/>
        <v>34491.106176014015</v>
      </c>
      <c r="AA273" s="107">
        <v>0</v>
      </c>
      <c r="AB273" s="108">
        <f t="shared" si="67"/>
        <v>0</v>
      </c>
      <c r="AC273" s="108">
        <f>IFERROR(INDEX('Revised 2019 MFAM(2017 PYAs)'!AF$26:AF$270,MATCH(B273,'Revised 2019 MFAM(2017 PYAs)'!B$26:B$270,0)),0)</f>
        <v>75.156043746515536</v>
      </c>
      <c r="AD273" s="216">
        <f>AC273/AC$24*('Revised 2019 MFAM(2017 PYAs)'!AF$24-'2020 Funding'!AC$24)</f>
        <v>6.8859420031829169E-2</v>
      </c>
      <c r="AE273" s="105">
        <f t="shared" si="68"/>
        <v>34566.331079180563</v>
      </c>
      <c r="AF273" s="17"/>
      <c r="AG273" s="105">
        <v>8946.482523197501</v>
      </c>
      <c r="AH273" s="214">
        <v>8946.482523197501</v>
      </c>
      <c r="AI273" s="105">
        <v>8946.482523197501</v>
      </c>
      <c r="AJ273" s="105">
        <f t="shared" si="69"/>
        <v>7726.8835095880604</v>
      </c>
    </row>
    <row r="274" spans="2:36" x14ac:dyDescent="0.25">
      <c r="B274" s="25">
        <v>998</v>
      </c>
      <c r="C274" s="46">
        <v>9</v>
      </c>
      <c r="D274" s="39" t="s">
        <v>545</v>
      </c>
      <c r="E274" s="162">
        <f>INDEX('2018 Data Lockdown'!H$5:H$255, MATCH(B274,'2018 Data Lockdown'!B$5:B$255,0))</f>
        <v>87.200228717838542</v>
      </c>
      <c r="F274" s="5">
        <f>INDEX('2018 Data Lockdown'!E$5:E$255,MATCH(B274,'2018 Data Lockdown'!B$5:B$255,0))</f>
        <v>219857.96</v>
      </c>
      <c r="G274" s="5">
        <f>INDEX('2018 Data Lockdown'!F$5:F$255, MATCH(B274,'2018 Data Lockdown'!B$5:B$255,0))</f>
        <v>0</v>
      </c>
      <c r="H274" s="5">
        <f t="shared" si="53"/>
        <v>219857.96</v>
      </c>
      <c r="I274" s="103">
        <f t="shared" si="54"/>
        <v>2521.3002675877578</v>
      </c>
      <c r="J274" s="6">
        <f t="shared" si="55"/>
        <v>1275.7139834414479</v>
      </c>
      <c r="K274" s="5">
        <f t="shared" si="56"/>
        <v>111242.55113463914</v>
      </c>
      <c r="L274" s="140">
        <f>INDEX('2018 Best Practice Scores'!M$4:M$255,MATCH(B274,'2018 Best Practice Scores'!A$4:A$255,0))</f>
        <v>0.67811011904761898</v>
      </c>
      <c r="M274" s="105">
        <f t="shared" si="57"/>
        <v>24511.97284220425</v>
      </c>
      <c r="N274" s="105">
        <f t="shared" si="58"/>
        <v>4927.8861677953655</v>
      </c>
      <c r="O274" s="105">
        <f t="shared" si="59"/>
        <v>4986.545046635737</v>
      </c>
      <c r="P274" s="105">
        <f t="shared" si="60"/>
        <v>1397.3240084136569</v>
      </c>
      <c r="Q274" s="105">
        <f t="shared" si="61"/>
        <v>35823.728065049007</v>
      </c>
      <c r="R274" s="112">
        <f t="shared" si="62"/>
        <v>0.32203260083176999</v>
      </c>
      <c r="S274" s="175">
        <f t="shared" si="63"/>
        <v>35823.728065049007</v>
      </c>
      <c r="T274" s="105"/>
      <c r="U274" s="105">
        <f>IFERROR(INDEX('Revised 2019 MFAM(2017 PYAs)'!AD$26:AD$270,MATCH(B274,'Revised 2019 MFAM(2017 PYAs)'!B$26:B$270,0)),0)</f>
        <v>0</v>
      </c>
      <c r="V274" s="105">
        <f>IFERROR(INDEX('Revised 2018 MFAM(2016 PYAs)'!AF$26:AF$266,MATCH(B274,'Revised 2018 MFAM(2016 PYAs)'!B$26:B$266,0)),0)</f>
        <v>52.720686296108397</v>
      </c>
      <c r="W274" s="105">
        <f t="shared" si="64"/>
        <v>1.3571619279385609</v>
      </c>
      <c r="X274" s="105">
        <f t="shared" si="65"/>
        <v>54.07784822404696</v>
      </c>
      <c r="Y274" s="105"/>
      <c r="Z274" s="106">
        <f t="shared" si="66"/>
        <v>35877.805913273056</v>
      </c>
      <c r="AA274" s="107">
        <v>0</v>
      </c>
      <c r="AB274" s="108">
        <f t="shared" si="67"/>
        <v>0</v>
      </c>
      <c r="AC274" s="108">
        <f>IFERROR(INDEX('Revised 2019 MFAM(2017 PYAs)'!AF$26:AF$270,MATCH(B274,'Revised 2019 MFAM(2017 PYAs)'!B$26:B$270,0)),0)</f>
        <v>0</v>
      </c>
      <c r="AD274" s="216">
        <f>AC274/AC$24*('Revised 2019 MFAM(2017 PYAs)'!AF$24-'2020 Funding'!AC$24)</f>
        <v>0</v>
      </c>
      <c r="AE274" s="105">
        <f t="shared" si="68"/>
        <v>35877.805913273056</v>
      </c>
      <c r="AG274" s="105">
        <v>9277.3119728576075</v>
      </c>
      <c r="AH274" s="214">
        <v>9277.3119728576075</v>
      </c>
      <c r="AI274" s="105">
        <v>9277.3119728576075</v>
      </c>
      <c r="AJ274" s="105">
        <f t="shared" si="69"/>
        <v>8045.8699947002369</v>
      </c>
    </row>
  </sheetData>
  <sheetProtection sheet="1" objects="1" scenarios="1"/>
  <mergeCells count="5">
    <mergeCell ref="U24:X24"/>
    <mergeCell ref="B2:G2"/>
    <mergeCell ref="P2:Q2"/>
    <mergeCell ref="R24:S24"/>
    <mergeCell ref="M18:S18"/>
  </mergeCells>
  <conditionalFormatting sqref="B171:D183 B185:D190 B234:D256 B103:D169 B192:D202 B204:D232 Y27:Y69 Y103:Y169 Y185:Y190 Y192:Y202 Y234:Y264 Y171:Y183 Y204:Y232 T204:T232 T171:T183 T234:T264 T192:T202 T185:T190 T103:T169 T27:T69 B26:D69 W22:X23 E26:I26 U27:X96 B71:D100 Y71:Y101 T71:T101 K27:K96 K26:Y26 H27:I96 M27:S96 U98:X274 M98:S274 L27:L274 E27:G123 E125:G274 F124:G124 H98:K274">
    <cfRule type="expression" dxfId="98" priority="53">
      <formula>$C22&lt;&gt;$C21</formula>
    </cfRule>
  </conditionalFormatting>
  <conditionalFormatting sqref="R26:R274">
    <cfRule type="expression" dxfId="97" priority="52">
      <formula>R26&gt;75%</formula>
    </cfRule>
  </conditionalFormatting>
  <conditionalFormatting sqref="AA171:AA183 AA185:AA190 AA234:AA264 AA192:AA232 Z27:Z96 AG26:AG31 Z98:Z274 AG98:AG128 AA27:AA169 AG33:AG37 AG39:AG44 AG46:AG59 AG61:AG79 AG81:AG96 AB27:AB96 AG130:AG194 AG196:AG244 AB98:AB274 AG246:AG274 AI27:AJ274 Z26:AJ26 AC27:AE274">
    <cfRule type="expression" dxfId="0" priority="51">
      <formula>$C26&lt;&gt;$C25=TRUE</formula>
    </cfRule>
  </conditionalFormatting>
  <conditionalFormatting sqref="B70:D70 B184:D184 B233:D233 B101:D101 B203:D203 Y70 Y184 Y233 Y203 T203 T233 T184 T70 Y265:Y274 T265:T274">
    <cfRule type="expression" dxfId="96" priority="54">
      <formula>$C70&lt;&gt;$C68</formula>
    </cfRule>
  </conditionalFormatting>
  <conditionalFormatting sqref="AA184 AA233 AA265:AA274">
    <cfRule type="expression" dxfId="95" priority="55">
      <formula>$C184&lt;&gt;$C182=TRUE</formula>
    </cfRule>
  </conditionalFormatting>
  <conditionalFormatting sqref="B170:D170 B191:D191 Y170 Y191 T191 T170">
    <cfRule type="expression" dxfId="94" priority="56">
      <formula>$C170&lt;&gt;#REF!</formula>
    </cfRule>
  </conditionalFormatting>
  <conditionalFormatting sqref="AA170 AA191">
    <cfRule type="expression" dxfId="93" priority="57">
      <formula>$C170&lt;&gt;#REF!=TRUE</formula>
    </cfRule>
  </conditionalFormatting>
  <conditionalFormatting sqref="B102:D102 Y102 T102">
    <cfRule type="expression" dxfId="92" priority="58">
      <formula>$C102&lt;&gt;$C99</formula>
    </cfRule>
  </conditionalFormatting>
  <conditionalFormatting sqref="N3:N11">
    <cfRule type="expression" dxfId="91" priority="50">
      <formula>$C3&lt;&gt;$C2</formula>
    </cfRule>
  </conditionalFormatting>
  <conditionalFormatting sqref="U23:V23">
    <cfRule type="expression" dxfId="90" priority="45">
      <formula>$C23&lt;&gt;$C22</formula>
    </cfRule>
  </conditionalFormatting>
  <conditionalFormatting sqref="E26:F123 E125:F274 F124">
    <cfRule type="expression" dxfId="89" priority="43">
      <formula>E26&lt;=0=TRUE</formula>
    </cfRule>
  </conditionalFormatting>
  <conditionalFormatting sqref="I26:I274">
    <cfRule type="expression" dxfId="88" priority="41">
      <formula>$I26&lt;=$I$22=TRUE</formula>
    </cfRule>
    <cfRule type="expression" dxfId="87" priority="42">
      <formula>$I26&gt;=I$23</formula>
    </cfRule>
  </conditionalFormatting>
  <conditionalFormatting sqref="E266:E274">
    <cfRule type="expression" dxfId="86" priority="38">
      <formula>$C266&lt;&gt;$C265</formula>
    </cfRule>
  </conditionalFormatting>
  <conditionalFormatting sqref="E266:E274">
    <cfRule type="expression" dxfId="85" priority="35">
      <formula>E266&lt;=0=TRUE</formula>
    </cfRule>
  </conditionalFormatting>
  <conditionalFormatting sqref="E24">
    <cfRule type="expression" dxfId="84" priority="30">
      <formula>$C24&lt;&gt;$C23</formula>
    </cfRule>
  </conditionalFormatting>
  <conditionalFormatting sqref="E24">
    <cfRule type="expression" dxfId="83" priority="29">
      <formula>E24&lt;=0=TRUE</formula>
    </cfRule>
  </conditionalFormatting>
  <conditionalFormatting sqref="E24">
    <cfRule type="expression" dxfId="82" priority="28">
      <formula>$C24&lt;&gt;$C23</formula>
    </cfRule>
  </conditionalFormatting>
  <conditionalFormatting sqref="E24">
    <cfRule type="expression" dxfId="81" priority="27">
      <formula>E24&lt;=0=TRUE</formula>
    </cfRule>
  </conditionalFormatting>
  <conditionalFormatting sqref="L3:L10">
    <cfRule type="expression" dxfId="80" priority="26">
      <formula>$C3&lt;&gt;$C2</formula>
    </cfRule>
  </conditionalFormatting>
  <conditionalFormatting sqref="L3:L10">
    <cfRule type="expression" dxfId="79" priority="25">
      <formula>L3&lt;=0=TRUE</formula>
    </cfRule>
  </conditionalFormatting>
  <conditionalFormatting sqref="L3:L10">
    <cfRule type="expression" dxfId="78" priority="24">
      <formula>$C3&lt;&gt;$C2</formula>
    </cfRule>
  </conditionalFormatting>
  <conditionalFormatting sqref="L3:L10">
    <cfRule type="expression" dxfId="77" priority="23">
      <formula>L3&lt;=0=TRUE</formula>
    </cfRule>
  </conditionalFormatting>
  <conditionalFormatting sqref="L11">
    <cfRule type="expression" dxfId="76" priority="22">
      <formula>$C11&lt;&gt;$C10</formula>
    </cfRule>
  </conditionalFormatting>
  <conditionalFormatting sqref="L11">
    <cfRule type="expression" dxfId="75" priority="21">
      <formula>L11&lt;=0=TRUE</formula>
    </cfRule>
  </conditionalFormatting>
  <conditionalFormatting sqref="L11">
    <cfRule type="expression" dxfId="74" priority="20">
      <formula>$C11&lt;&gt;$C10</formula>
    </cfRule>
  </conditionalFormatting>
  <conditionalFormatting sqref="L11">
    <cfRule type="expression" dxfId="73" priority="19">
      <formula>L11&lt;=0=TRUE</formula>
    </cfRule>
  </conditionalFormatting>
  <conditionalFormatting sqref="U97:X97 E97:F97 K97 H97:I97 M97:S97">
    <cfRule type="expression" dxfId="72" priority="65">
      <formula>$C97&lt;&gt;#REF!</formula>
    </cfRule>
  </conditionalFormatting>
  <conditionalFormatting sqref="AG97 Z97 AB97">
    <cfRule type="expression" dxfId="71" priority="76">
      <formula>$C97&lt;&gt;#REF!=TRUE</formula>
    </cfRule>
  </conditionalFormatting>
  <conditionalFormatting sqref="E19">
    <cfRule type="expression" dxfId="70" priority="18">
      <formula>$C19&lt;&gt;$C18</formula>
    </cfRule>
  </conditionalFormatting>
  <conditionalFormatting sqref="E19">
    <cfRule type="expression" dxfId="69" priority="17">
      <formula>E19&lt;=0=TRUE</formula>
    </cfRule>
  </conditionalFormatting>
  <conditionalFormatting sqref="E19">
    <cfRule type="expression" dxfId="68" priority="16">
      <formula>$C19&lt;&gt;$C18</formula>
    </cfRule>
  </conditionalFormatting>
  <conditionalFormatting sqref="E19">
    <cfRule type="expression" dxfId="67" priority="15">
      <formula>E19&lt;=0=TRUE</formula>
    </cfRule>
  </conditionalFormatting>
  <conditionalFormatting sqref="J26:J96">
    <cfRule type="expression" dxfId="66" priority="13">
      <formula>$C26&lt;&gt;$C25</formula>
    </cfRule>
  </conditionalFormatting>
  <conditionalFormatting sqref="J97">
    <cfRule type="expression" dxfId="65" priority="14">
      <formula>$C97&lt;&gt;#REF!</formula>
    </cfRule>
  </conditionalFormatting>
  <conditionalFormatting sqref="J26:J274">
    <cfRule type="expression" dxfId="64" priority="12">
      <formula>J26&lt;I26=TRUE</formula>
    </cfRule>
  </conditionalFormatting>
  <conditionalFormatting sqref="E124">
    <cfRule type="expression" dxfId="63" priority="10">
      <formula>$C124&lt;&gt;$C123</formula>
    </cfRule>
  </conditionalFormatting>
  <conditionalFormatting sqref="E124">
    <cfRule type="expression" dxfId="62" priority="9">
      <formula>E124&lt;=0=TRUE</formula>
    </cfRule>
  </conditionalFormatting>
  <conditionalFormatting sqref="AF32:AH32">
    <cfRule type="expression" dxfId="61" priority="8">
      <formula>$C32&lt;&gt;$C31=TRUE</formula>
    </cfRule>
  </conditionalFormatting>
  <conditionalFormatting sqref="AF38:AH38">
    <cfRule type="expression" dxfId="60" priority="7">
      <formula>$C38&lt;&gt;$C37=TRUE</formula>
    </cfRule>
  </conditionalFormatting>
  <conditionalFormatting sqref="AF45:AH45">
    <cfRule type="expression" dxfId="59" priority="6">
      <formula>$C45&lt;&gt;$C44=TRUE</formula>
    </cfRule>
  </conditionalFormatting>
  <conditionalFormatting sqref="AF60:AH60">
    <cfRule type="expression" dxfId="58" priority="5">
      <formula>$C60&lt;&gt;$C59=TRUE</formula>
    </cfRule>
  </conditionalFormatting>
  <conditionalFormatting sqref="AF80:AH80">
    <cfRule type="expression" dxfId="57" priority="4">
      <formula>$C80&lt;&gt;$C79=TRUE</formula>
    </cfRule>
  </conditionalFormatting>
  <conditionalFormatting sqref="AF129:AH129">
    <cfRule type="expression" dxfId="56" priority="3">
      <formula>$C129&lt;&gt;$C128=TRUE</formula>
    </cfRule>
  </conditionalFormatting>
  <conditionalFormatting sqref="AF195:AH195">
    <cfRule type="expression" dxfId="55" priority="2">
      <formula>$C195&lt;&gt;$C194=TRUE</formula>
    </cfRule>
  </conditionalFormatting>
  <conditionalFormatting sqref="AF245:AH245">
    <cfRule type="expression" dxfId="54" priority="1">
      <formula>$C245&lt;&gt;$C244=TRUE</formula>
    </cfRule>
  </conditionalFormatting>
  <pageMargins left="0.7" right="0.7" top="0.75" bottom="0.75" header="0.3" footer="0.3"/>
  <pageSetup orientation="portrait" r:id="rId1"/>
  <ignoredErrors>
    <ignoredError sqref="O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B2:S254"/>
  <sheetViews>
    <sheetView workbookViewId="0"/>
  </sheetViews>
  <sheetFormatPr defaultRowHeight="15" x14ac:dyDescent="0.25"/>
  <cols>
    <col min="1" max="1" width="5.7109375" customWidth="1"/>
    <col min="2" max="3" width="6.7109375" style="1" customWidth="1"/>
    <col min="4" max="4" width="50.7109375" customWidth="1"/>
    <col min="5" max="11" width="14.7109375" customWidth="1"/>
    <col min="12" max="12" width="5.7109375" customWidth="1"/>
    <col min="13" max="19" width="12.7109375" customWidth="1"/>
  </cols>
  <sheetData>
    <row r="2" spans="2:19" x14ac:dyDescent="0.25">
      <c r="B2" s="22" t="s">
        <v>566</v>
      </c>
      <c r="E2" s="21"/>
      <c r="F2" s="21"/>
      <c r="G2" s="21"/>
      <c r="I2" t="s">
        <v>13</v>
      </c>
      <c r="J2" s="20">
        <v>0</v>
      </c>
    </row>
    <row r="3" spans="2:19" x14ac:dyDescent="0.25">
      <c r="D3" s="18"/>
      <c r="E3" s="19"/>
      <c r="F3" s="19"/>
      <c r="G3" s="19"/>
      <c r="H3" s="18"/>
      <c r="K3" s="16"/>
    </row>
    <row r="4" spans="2:19" ht="15.75" thickBot="1" x14ac:dyDescent="0.3">
      <c r="E4" s="162">
        <f>SUM(E6:E274)</f>
        <v>780555.21799223369</v>
      </c>
      <c r="F4" s="7">
        <f>SUM(F6:F274)</f>
        <v>366648957.74999952</v>
      </c>
      <c r="G4" s="7">
        <f>SUM(G6:G274)</f>
        <v>75098964.159999996</v>
      </c>
      <c r="H4" s="7">
        <f>SUM(H6:H274)</f>
        <v>291549993.58999985</v>
      </c>
      <c r="J4" t="s">
        <v>12</v>
      </c>
      <c r="K4" s="16">
        <f>SUM(K6:K254)</f>
        <v>285983717.82177174</v>
      </c>
      <c r="Q4" s="15">
        <f>100%-R4</f>
        <v>9.9999999999999978E-2</v>
      </c>
      <c r="R4" s="14">
        <f>'2020 Funding'!K2</f>
        <v>0.9</v>
      </c>
    </row>
    <row r="5" spans="2:19" ht="45.75" thickBot="1" x14ac:dyDescent="0.3">
      <c r="B5" s="13" t="s">
        <v>11</v>
      </c>
      <c r="C5" s="13" t="s">
        <v>10</v>
      </c>
      <c r="D5" s="13" t="s">
        <v>9</v>
      </c>
      <c r="E5" s="13" t="s">
        <v>567</v>
      </c>
      <c r="F5" s="13" t="s">
        <v>568</v>
      </c>
      <c r="G5" s="13" t="s">
        <v>569</v>
      </c>
      <c r="H5" s="13" t="s">
        <v>570</v>
      </c>
      <c r="I5" s="13" t="s">
        <v>8</v>
      </c>
      <c r="J5" s="13" t="s">
        <v>1</v>
      </c>
      <c r="K5" s="13" t="s">
        <v>548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>
        <v>1</v>
      </c>
      <c r="C6" s="27">
        <v>1</v>
      </c>
      <c r="D6" s="39" t="s">
        <v>299</v>
      </c>
      <c r="E6" s="162">
        <f>INDEX('2018 Data Lockdown'!H$5:H$255, MATCH(B6,'2018 Data Lockdown'!B$5:B$255,0))</f>
        <v>38779.589531164704</v>
      </c>
      <c r="F6" s="7">
        <f>INDEX('2018 Data Lockdown'!E$5:E$255,MATCH(B6,'2018 Data Lockdown'!B$5:B$255,0))</f>
        <v>9766397.1899999995</v>
      </c>
      <c r="G6" s="7">
        <f>INDEX('2018 Data Lockdown'!F$5:F$255, MATCH(B6,'2018 Data Lockdown'!B$5:B$255,0))</f>
        <v>568925.55000000005</v>
      </c>
      <c r="H6" s="7">
        <f t="shared" ref="H6:H69" si="0">F6-G6</f>
        <v>9197471.6399999987</v>
      </c>
      <c r="I6" s="6">
        <f t="shared" ref="I6:I69" si="1">H6/E6</f>
        <v>237.17300134413676</v>
      </c>
      <c r="J6" s="6">
        <f t="shared" ref="J6:J69" si="2">IF(ISERROR(IF($J$2=1,MAX(MIN(I6,R6),Q6),MIN(I6,R6))),R6,IF($J$2=1,MAX(MIN(I6,R6),Q6),MIN(I6,R6)))</f>
        <v>237.17300134413676</v>
      </c>
      <c r="K6" s="5">
        <f t="shared" ref="K6:K69" si="3">J6*E6</f>
        <v>9197471.6399999987</v>
      </c>
      <c r="L6" s="4">
        <f t="shared" ref="L6:L69" si="4">IF(ISERROR(I6),1,0)</f>
        <v>0</v>
      </c>
      <c r="M6" s="2">
        <f t="shared" ref="M6:M69" si="5">SUMPRODUCT(--($L$6:$L$297&lt;&gt;1),--($C$6:$C$297=$C6),$H$6:$H$297)/SUMPRODUCT(--($L$6:$L$297&lt;&gt;1),--($C$6:$C$297=$C6),$E$6:$E$297)</f>
        <v>426.06642298533001</v>
      </c>
      <c r="N6" s="1">
        <f t="shared" ref="N6:N69" si="6">SUMPRODUCT(--($L$6:$L$297&lt;&gt;1),--($C$6:$C$297=$C6),--($L$6:$L$297&lt;&gt;1))</f>
        <v>6</v>
      </c>
      <c r="O6" s="3">
        <f t="shared" ref="O6:O69" si="7">IF(ISERROR((I6-M6)^2),0,(I6-M6)^2)</f>
        <v>35680.724739317615</v>
      </c>
      <c r="P6" s="2">
        <f t="shared" ref="P6:P69" si="8">SQRT(SUMPRODUCT(--($L$6:$L$297&lt;&gt;1),--($C$6:$C$297=$C6),$E$6:$E$297,$O$6:$O$297)/((N6-1)*SUMPRODUCT(--($L$6:$L$297&lt;&gt;1),--($C$6:$C$297=$C6),$E$6:$E$297)/N6))</f>
        <v>154.58655770364197</v>
      </c>
      <c r="Q6" s="2">
        <f t="shared" ref="Q6:R25" si="9">NORMINV(Q$4,$M6,$P6)</f>
        <v>227.9557779480769</v>
      </c>
      <c r="R6" s="2">
        <f t="shared" si="9"/>
        <v>624.17706802258317</v>
      </c>
      <c r="S6" s="2">
        <f t="shared" ref="S6:S69" si="10">IF($J$2=1,MAX(MIN(I6,R6),Q6),MIN(R6,I6))</f>
        <v>237.17300134413676</v>
      </c>
    </row>
    <row r="7" spans="2:19" x14ac:dyDescent="0.25">
      <c r="B7">
        <v>20</v>
      </c>
      <c r="C7" s="27">
        <v>1</v>
      </c>
      <c r="D7" s="39" t="s">
        <v>300</v>
      </c>
      <c r="E7" s="162">
        <f>INDEX('2018 Data Lockdown'!H$5:H$255, MATCH(B7,'2018 Data Lockdown'!B$5:B$255,0))</f>
        <v>95138.34</v>
      </c>
      <c r="F7" s="7">
        <f>INDEX('2018 Data Lockdown'!E$5:E$255,MATCH(B7,'2018 Data Lockdown'!B$5:B$255,0))</f>
        <v>71739245.819999993</v>
      </c>
      <c r="G7" s="7">
        <f>INDEX('2018 Data Lockdown'!F$5:F$255, MATCH(B7,'2018 Data Lockdown'!B$5:B$255,0))</f>
        <v>10663964.02</v>
      </c>
      <c r="H7" s="7">
        <f t="shared" si="0"/>
        <v>61075281.799999997</v>
      </c>
      <c r="I7" s="6">
        <f t="shared" si="1"/>
        <v>641.96287006899638</v>
      </c>
      <c r="J7" s="6">
        <f t="shared" si="2"/>
        <v>624.17706802258317</v>
      </c>
      <c r="K7" s="5">
        <f t="shared" si="3"/>
        <v>59383170.117735647</v>
      </c>
      <c r="L7" s="4">
        <f t="shared" si="4"/>
        <v>0</v>
      </c>
      <c r="M7" s="2">
        <f t="shared" si="5"/>
        <v>426.06642298533001</v>
      </c>
      <c r="N7" s="1">
        <f t="shared" si="6"/>
        <v>6</v>
      </c>
      <c r="O7" s="3">
        <f t="shared" si="7"/>
        <v>46611.275863350354</v>
      </c>
      <c r="P7" s="2">
        <f t="shared" si="8"/>
        <v>154.58655770364197</v>
      </c>
      <c r="Q7" s="2">
        <f t="shared" si="9"/>
        <v>227.9557779480769</v>
      </c>
      <c r="R7" s="2">
        <f t="shared" si="9"/>
        <v>624.17706802258317</v>
      </c>
      <c r="S7" s="2">
        <f t="shared" si="10"/>
        <v>624.17706802258317</v>
      </c>
    </row>
    <row r="8" spans="2:19" x14ac:dyDescent="0.25">
      <c r="B8">
        <v>50</v>
      </c>
      <c r="C8" s="27">
        <v>1</v>
      </c>
      <c r="D8" s="39" t="s">
        <v>301</v>
      </c>
      <c r="E8" s="162">
        <f>INDEX('2018 Data Lockdown'!H$5:H$255, MATCH(B8,'2018 Data Lockdown'!B$5:B$255,0))</f>
        <v>21832.32</v>
      </c>
      <c r="F8" s="7">
        <f>INDEX('2018 Data Lockdown'!E$5:E$255,MATCH(B8,'2018 Data Lockdown'!B$5:B$255,0))</f>
        <v>10267643.390000001</v>
      </c>
      <c r="G8" s="7">
        <f>INDEX('2018 Data Lockdown'!F$5:F$255, MATCH(B8,'2018 Data Lockdown'!B$5:B$255,0))</f>
        <v>3253400.57</v>
      </c>
      <c r="H8" s="7">
        <f t="shared" si="0"/>
        <v>7014242.8200000003</v>
      </c>
      <c r="I8" s="6">
        <f t="shared" si="1"/>
        <v>321.27794114413859</v>
      </c>
      <c r="J8" s="6">
        <f t="shared" si="2"/>
        <v>321.27794114413859</v>
      </c>
      <c r="K8" s="5">
        <f t="shared" si="3"/>
        <v>7014242.8199999994</v>
      </c>
      <c r="L8" s="4">
        <f t="shared" si="4"/>
        <v>0</v>
      </c>
      <c r="M8" s="2">
        <f t="shared" si="5"/>
        <v>426.06642298533001</v>
      </c>
      <c r="N8" s="1">
        <f t="shared" si="6"/>
        <v>6</v>
      </c>
      <c r="O8" s="3">
        <f t="shared" si="7"/>
        <v>10980.625926581703</v>
      </c>
      <c r="P8" s="2">
        <f t="shared" si="8"/>
        <v>154.58655770364197</v>
      </c>
      <c r="Q8" s="2">
        <f t="shared" si="9"/>
        <v>227.9557779480769</v>
      </c>
      <c r="R8" s="2">
        <f t="shared" si="9"/>
        <v>624.17706802258317</v>
      </c>
      <c r="S8" s="2">
        <f t="shared" si="10"/>
        <v>321.27794114413859</v>
      </c>
    </row>
    <row r="9" spans="2:19" x14ac:dyDescent="0.25">
      <c r="B9">
        <v>97</v>
      </c>
      <c r="C9" s="27">
        <v>1</v>
      </c>
      <c r="D9" s="39" t="s">
        <v>302</v>
      </c>
      <c r="E9" s="162">
        <f>INDEX('2018 Data Lockdown'!H$5:H$255, MATCH(B9,'2018 Data Lockdown'!B$5:B$255,0))</f>
        <v>65811.663101711354</v>
      </c>
      <c r="F9" s="7">
        <f>INDEX('2018 Data Lockdown'!E$5:E$255,MATCH(B9,'2018 Data Lockdown'!B$5:B$255,0))</f>
        <v>29671076.98</v>
      </c>
      <c r="G9" s="7">
        <f>INDEX('2018 Data Lockdown'!F$5:F$255, MATCH(B9,'2018 Data Lockdown'!B$5:B$255,0))</f>
        <v>5189475.3699999992</v>
      </c>
      <c r="H9" s="7">
        <f t="shared" si="0"/>
        <v>24481601.609999999</v>
      </c>
      <c r="I9" s="6">
        <f t="shared" si="1"/>
        <v>371.99487835710664</v>
      </c>
      <c r="J9" s="6">
        <f t="shared" si="2"/>
        <v>371.99487835710664</v>
      </c>
      <c r="K9" s="5">
        <f t="shared" si="3"/>
        <v>24481601.609999999</v>
      </c>
      <c r="L9" s="4">
        <f t="shared" si="4"/>
        <v>0</v>
      </c>
      <c r="M9" s="2">
        <f t="shared" si="5"/>
        <v>426.06642298533001</v>
      </c>
      <c r="N9" s="1">
        <f t="shared" si="6"/>
        <v>6</v>
      </c>
      <c r="O9" s="3">
        <f t="shared" si="7"/>
        <v>2923.7319384819511</v>
      </c>
      <c r="P9" s="2">
        <f t="shared" si="8"/>
        <v>154.58655770364197</v>
      </c>
      <c r="Q9" s="2">
        <f t="shared" si="9"/>
        <v>227.9557779480769</v>
      </c>
      <c r="R9" s="2">
        <f t="shared" si="9"/>
        <v>624.17706802258317</v>
      </c>
      <c r="S9" s="2">
        <f t="shared" si="10"/>
        <v>371.99487835710664</v>
      </c>
    </row>
    <row r="10" spans="2:19" x14ac:dyDescent="0.25">
      <c r="B10">
        <v>172</v>
      </c>
      <c r="C10" s="27">
        <v>1</v>
      </c>
      <c r="D10" s="39" t="s">
        <v>303</v>
      </c>
      <c r="E10" s="162">
        <f>INDEX('2018 Data Lockdown'!H$5:H$255, MATCH(B10,'2018 Data Lockdown'!B$5:B$255,0))</f>
        <v>34341.100000000006</v>
      </c>
      <c r="F10" s="7">
        <f>INDEX('2018 Data Lockdown'!E$5:E$255,MATCH(B10,'2018 Data Lockdown'!B$5:B$255,0))</f>
        <v>15497137.449999999</v>
      </c>
      <c r="G10" s="7">
        <f>INDEX('2018 Data Lockdown'!F$5:F$255, MATCH(B10,'2018 Data Lockdown'!B$5:B$255,0))</f>
        <v>3445193.7500000005</v>
      </c>
      <c r="H10" s="7">
        <f t="shared" si="0"/>
        <v>12051943.699999999</v>
      </c>
      <c r="I10" s="6">
        <f t="shared" si="1"/>
        <v>350.94809717801695</v>
      </c>
      <c r="J10" s="6">
        <f t="shared" si="2"/>
        <v>350.94809717801695</v>
      </c>
      <c r="K10" s="5">
        <f t="shared" si="3"/>
        <v>12051943.699999999</v>
      </c>
      <c r="L10" s="4">
        <f t="shared" si="4"/>
        <v>0</v>
      </c>
      <c r="M10" s="2">
        <f t="shared" si="5"/>
        <v>426.06642298533001</v>
      </c>
      <c r="N10" s="1">
        <f t="shared" si="6"/>
        <v>6</v>
      </c>
      <c r="O10" s="3">
        <f t="shared" si="7"/>
        <v>5642.7628720936345</v>
      </c>
      <c r="P10" s="2">
        <f t="shared" si="8"/>
        <v>154.58655770364197</v>
      </c>
      <c r="Q10" s="2">
        <f t="shared" si="9"/>
        <v>227.9557779480769</v>
      </c>
      <c r="R10" s="2">
        <f t="shared" si="9"/>
        <v>624.17706802258317</v>
      </c>
      <c r="S10" s="2">
        <f t="shared" si="10"/>
        <v>350.94809717801695</v>
      </c>
    </row>
    <row r="11" spans="2:19" x14ac:dyDescent="0.25">
      <c r="B11">
        <v>270</v>
      </c>
      <c r="C11" s="27">
        <v>1</v>
      </c>
      <c r="D11" s="39" t="s">
        <v>304</v>
      </c>
      <c r="E11" s="162">
        <f>INDEX('2018 Data Lockdown'!H$5:H$255, MATCH(B11,'2018 Data Lockdown'!B$5:B$255,0))</f>
        <v>81774.8</v>
      </c>
      <c r="F11" s="7">
        <f>INDEX('2018 Data Lockdown'!E$5:E$255,MATCH(B11,'2018 Data Lockdown'!B$5:B$255,0))</f>
        <v>36853205.850000001</v>
      </c>
      <c r="G11" s="7">
        <f>INDEX('2018 Data Lockdown'!F$5:F$255, MATCH(B11,'2018 Data Lockdown'!B$5:B$255,0))</f>
        <v>6800569.6699999999</v>
      </c>
      <c r="H11" s="7">
        <f t="shared" si="0"/>
        <v>30052636.18</v>
      </c>
      <c r="I11" s="6">
        <f t="shared" si="1"/>
        <v>367.50485699751022</v>
      </c>
      <c r="J11" s="6">
        <f t="shared" si="2"/>
        <v>367.50485699751022</v>
      </c>
      <c r="K11" s="5">
        <f t="shared" si="3"/>
        <v>30052636.18</v>
      </c>
      <c r="L11" s="4">
        <f t="shared" si="4"/>
        <v>0</v>
      </c>
      <c r="M11" s="2">
        <f t="shared" si="5"/>
        <v>426.06642298533001</v>
      </c>
      <c r="N11" s="1">
        <f t="shared" si="6"/>
        <v>6</v>
      </c>
      <c r="O11" s="3">
        <f t="shared" si="7"/>
        <v>3429.4570109457718</v>
      </c>
      <c r="P11" s="2">
        <f t="shared" si="8"/>
        <v>154.58655770364197</v>
      </c>
      <c r="Q11" s="2">
        <f t="shared" si="9"/>
        <v>227.9557779480769</v>
      </c>
      <c r="R11" s="2">
        <f t="shared" si="9"/>
        <v>624.17706802258317</v>
      </c>
      <c r="S11" s="2">
        <f t="shared" si="10"/>
        <v>367.50485699751022</v>
      </c>
    </row>
    <row r="12" spans="2:19" x14ac:dyDescent="0.25">
      <c r="B12">
        <v>6</v>
      </c>
      <c r="C12" s="27">
        <v>2</v>
      </c>
      <c r="D12" s="39" t="s">
        <v>305</v>
      </c>
      <c r="E12" s="162">
        <f>INDEX('2018 Data Lockdown'!H$5:H$255, MATCH(B12,'2018 Data Lockdown'!B$5:B$255,0))</f>
        <v>43278</v>
      </c>
      <c r="F12" s="7">
        <f>INDEX('2018 Data Lockdown'!E$5:E$255,MATCH(B12,'2018 Data Lockdown'!B$5:B$255,0))</f>
        <v>19454497.760000002</v>
      </c>
      <c r="G12" s="7">
        <f>INDEX('2018 Data Lockdown'!F$5:F$255, MATCH(B12,'2018 Data Lockdown'!B$5:B$255,0))</f>
        <v>4664058.9000000004</v>
      </c>
      <c r="H12" s="7">
        <f t="shared" si="0"/>
        <v>14790438.860000001</v>
      </c>
      <c r="I12" s="6">
        <f t="shared" si="1"/>
        <v>341.75421368824811</v>
      </c>
      <c r="J12" s="6">
        <f t="shared" si="2"/>
        <v>320.69251139425216</v>
      </c>
      <c r="K12" s="5">
        <f t="shared" si="3"/>
        <v>13878930.508120446</v>
      </c>
      <c r="L12" s="4">
        <f t="shared" si="4"/>
        <v>0</v>
      </c>
      <c r="M12" s="2">
        <f t="shared" si="5"/>
        <v>243.88282853776408</v>
      </c>
      <c r="N12" s="1">
        <f t="shared" si="6"/>
        <v>6</v>
      </c>
      <c r="O12" s="3">
        <f t="shared" si="7"/>
        <v>9578.8080312743859</v>
      </c>
      <c r="P12" s="2">
        <f t="shared" si="8"/>
        <v>59.934913991422178</v>
      </c>
      <c r="Q12" s="2">
        <f t="shared" si="9"/>
        <v>167.073145681276</v>
      </c>
      <c r="R12" s="2">
        <f t="shared" si="9"/>
        <v>320.69251139425216</v>
      </c>
      <c r="S12" s="2">
        <f t="shared" si="10"/>
        <v>320.69251139425216</v>
      </c>
    </row>
    <row r="13" spans="2:19" x14ac:dyDescent="0.25">
      <c r="B13">
        <v>18</v>
      </c>
      <c r="C13" s="27">
        <v>2</v>
      </c>
      <c r="D13" s="39" t="s">
        <v>306</v>
      </c>
      <c r="E13" s="162">
        <f>INDEX('2018 Data Lockdown'!H$5:H$255, MATCH(B13,'2018 Data Lockdown'!B$5:B$255,0))</f>
        <v>23157.74</v>
      </c>
      <c r="F13" s="7">
        <f>INDEX('2018 Data Lockdown'!E$5:E$255,MATCH(B13,'2018 Data Lockdown'!B$5:B$255,0))</f>
        <v>8155555.9199999999</v>
      </c>
      <c r="G13" s="7">
        <f>INDEX('2018 Data Lockdown'!F$5:F$255, MATCH(B13,'2018 Data Lockdown'!B$5:B$255,0))</f>
        <v>3204604.9</v>
      </c>
      <c r="H13" s="7">
        <f t="shared" si="0"/>
        <v>4950951.0199999996</v>
      </c>
      <c r="I13" s="6">
        <f t="shared" si="1"/>
        <v>213.79249529530944</v>
      </c>
      <c r="J13" s="6">
        <f t="shared" si="2"/>
        <v>213.79249529530944</v>
      </c>
      <c r="K13" s="5">
        <f t="shared" si="3"/>
        <v>4950951.0199999996</v>
      </c>
      <c r="L13" s="4">
        <f t="shared" si="4"/>
        <v>0</v>
      </c>
      <c r="M13" s="2">
        <f t="shared" si="5"/>
        <v>243.88282853776408</v>
      </c>
      <c r="N13" s="1">
        <f t="shared" si="6"/>
        <v>6</v>
      </c>
      <c r="O13" s="3">
        <f t="shared" si="7"/>
        <v>905.42815464197122</v>
      </c>
      <c r="P13" s="2">
        <f t="shared" si="8"/>
        <v>59.934913991422178</v>
      </c>
      <c r="Q13" s="2">
        <f t="shared" si="9"/>
        <v>167.073145681276</v>
      </c>
      <c r="R13" s="2">
        <f t="shared" si="9"/>
        <v>320.69251139425216</v>
      </c>
      <c r="S13" s="2">
        <f t="shared" si="10"/>
        <v>213.79249529530944</v>
      </c>
    </row>
    <row r="14" spans="2:19" x14ac:dyDescent="0.25">
      <c r="B14">
        <v>53</v>
      </c>
      <c r="C14" s="27">
        <v>2</v>
      </c>
      <c r="D14" s="39" t="s">
        <v>307</v>
      </c>
      <c r="E14" s="162">
        <f>INDEX('2018 Data Lockdown'!H$5:H$255, MATCH(B14,'2018 Data Lockdown'!B$5:B$255,0))</f>
        <v>36449.64</v>
      </c>
      <c r="F14" s="7">
        <f>INDEX('2018 Data Lockdown'!E$5:E$255,MATCH(B14,'2018 Data Lockdown'!B$5:B$255,0))</f>
        <v>11201363.85</v>
      </c>
      <c r="G14" s="7">
        <f>INDEX('2018 Data Lockdown'!F$5:F$255, MATCH(B14,'2018 Data Lockdown'!B$5:B$255,0))</f>
        <v>3914991.95</v>
      </c>
      <c r="H14" s="7">
        <f t="shared" si="0"/>
        <v>7286371.8999999994</v>
      </c>
      <c r="I14" s="6">
        <f t="shared" si="1"/>
        <v>199.90243799390061</v>
      </c>
      <c r="J14" s="6">
        <f t="shared" si="2"/>
        <v>199.90243799390061</v>
      </c>
      <c r="K14" s="5">
        <f t="shared" si="3"/>
        <v>7286371.8999999994</v>
      </c>
      <c r="L14" s="4">
        <f t="shared" si="4"/>
        <v>0</v>
      </c>
      <c r="M14" s="2">
        <f t="shared" si="5"/>
        <v>243.88282853776408</v>
      </c>
      <c r="N14" s="1">
        <f t="shared" si="6"/>
        <v>6</v>
      </c>
      <c r="O14" s="3">
        <f t="shared" si="7"/>
        <v>1934.274752390756</v>
      </c>
      <c r="P14" s="2">
        <f t="shared" si="8"/>
        <v>59.934913991422178</v>
      </c>
      <c r="Q14" s="2">
        <f t="shared" si="9"/>
        <v>167.073145681276</v>
      </c>
      <c r="R14" s="2">
        <f t="shared" si="9"/>
        <v>320.69251139425216</v>
      </c>
      <c r="S14" s="2">
        <f t="shared" si="10"/>
        <v>199.90243799390061</v>
      </c>
    </row>
    <row r="15" spans="2:19" x14ac:dyDescent="0.25">
      <c r="B15">
        <v>335</v>
      </c>
      <c r="C15" s="27">
        <v>2</v>
      </c>
      <c r="D15" s="39" t="s">
        <v>308</v>
      </c>
      <c r="E15" s="162">
        <f>INDEX('2018 Data Lockdown'!H$5:H$255, MATCH(B15,'2018 Data Lockdown'!B$5:B$255,0))</f>
        <v>24830.720000000001</v>
      </c>
      <c r="F15" s="7">
        <f>INDEX('2018 Data Lockdown'!E$5:E$255,MATCH(B15,'2018 Data Lockdown'!B$5:B$255,0))</f>
        <v>10253567.189999999</v>
      </c>
      <c r="G15" s="7">
        <f>INDEX('2018 Data Lockdown'!F$5:F$255, MATCH(B15,'2018 Data Lockdown'!B$5:B$255,0))</f>
        <v>3115651.2</v>
      </c>
      <c r="H15" s="7">
        <f t="shared" si="0"/>
        <v>7137915.9899999993</v>
      </c>
      <c r="I15" s="6">
        <f t="shared" si="1"/>
        <v>287.46310980913961</v>
      </c>
      <c r="J15" s="6">
        <f t="shared" si="2"/>
        <v>287.46310980913961</v>
      </c>
      <c r="K15" s="5">
        <f t="shared" si="3"/>
        <v>7137915.9899999993</v>
      </c>
      <c r="L15" s="4">
        <f t="shared" si="4"/>
        <v>0</v>
      </c>
      <c r="M15" s="2">
        <f t="shared" si="5"/>
        <v>243.88282853776408</v>
      </c>
      <c r="N15" s="1">
        <f t="shared" si="6"/>
        <v>6</v>
      </c>
      <c r="O15" s="3">
        <f t="shared" si="7"/>
        <v>1899.2409156922045</v>
      </c>
      <c r="P15" s="2">
        <f t="shared" si="8"/>
        <v>59.934913991422178</v>
      </c>
      <c r="Q15" s="2">
        <f t="shared" si="9"/>
        <v>167.073145681276</v>
      </c>
      <c r="R15" s="2">
        <f t="shared" si="9"/>
        <v>320.69251139425216</v>
      </c>
      <c r="S15" s="2">
        <f t="shared" si="10"/>
        <v>287.46310980913961</v>
      </c>
    </row>
    <row r="16" spans="2:19" x14ac:dyDescent="0.25">
      <c r="B16">
        <v>357</v>
      </c>
      <c r="C16" s="27">
        <v>2</v>
      </c>
      <c r="D16" s="39" t="s">
        <v>309</v>
      </c>
      <c r="E16" s="162">
        <f>INDEX('2018 Data Lockdown'!H$5:H$255, MATCH(B16,'2018 Data Lockdown'!B$5:B$255,0))</f>
        <v>35854.92</v>
      </c>
      <c r="F16" s="7">
        <f>INDEX('2018 Data Lockdown'!E$5:E$255,MATCH(B16,'2018 Data Lockdown'!B$5:B$255,0))</f>
        <v>12842982.59</v>
      </c>
      <c r="G16" s="7">
        <f>INDEX('2018 Data Lockdown'!F$5:F$255, MATCH(B16,'2018 Data Lockdown'!B$5:B$255,0))</f>
        <v>4901152.2100000009</v>
      </c>
      <c r="H16" s="7">
        <f t="shared" si="0"/>
        <v>7941830.379999999</v>
      </c>
      <c r="I16" s="6">
        <f t="shared" si="1"/>
        <v>221.49904057797366</v>
      </c>
      <c r="J16" s="6">
        <f t="shared" si="2"/>
        <v>221.49904057797366</v>
      </c>
      <c r="K16" s="5">
        <f t="shared" si="3"/>
        <v>7941830.379999999</v>
      </c>
      <c r="L16" s="4">
        <f t="shared" si="4"/>
        <v>0</v>
      </c>
      <c r="M16" s="2">
        <f t="shared" si="5"/>
        <v>243.88282853776408</v>
      </c>
      <c r="N16" s="1">
        <f t="shared" si="6"/>
        <v>6</v>
      </c>
      <c r="O16" s="3">
        <f t="shared" si="7"/>
        <v>501.03396342885878</v>
      </c>
      <c r="P16" s="2">
        <f t="shared" si="8"/>
        <v>59.934913991422178</v>
      </c>
      <c r="Q16" s="2">
        <f t="shared" si="9"/>
        <v>167.073145681276</v>
      </c>
      <c r="R16" s="2">
        <f t="shared" si="9"/>
        <v>320.69251139425216</v>
      </c>
      <c r="S16" s="2">
        <f t="shared" si="10"/>
        <v>221.49904057797366</v>
      </c>
    </row>
    <row r="17" spans="2:19" x14ac:dyDescent="0.25">
      <c r="B17">
        <v>441</v>
      </c>
      <c r="C17" s="27">
        <v>2</v>
      </c>
      <c r="D17" s="39" t="s">
        <v>310</v>
      </c>
      <c r="E17" s="162">
        <f>INDEX('2018 Data Lockdown'!H$5:H$255, MATCH(B17,'2018 Data Lockdown'!B$5:B$255,0))</f>
        <v>56329.880000000012</v>
      </c>
      <c r="F17" s="7">
        <f>INDEX('2018 Data Lockdown'!E$5:E$255,MATCH(B17,'2018 Data Lockdown'!B$5:B$255,0))</f>
        <v>19699264.510000002</v>
      </c>
      <c r="G17" s="7">
        <f>INDEX('2018 Data Lockdown'!F$5:F$255, MATCH(B17,'2018 Data Lockdown'!B$5:B$255,0))</f>
        <v>8176719.169999999</v>
      </c>
      <c r="H17" s="7">
        <f t="shared" si="0"/>
        <v>11522545.340000004</v>
      </c>
      <c r="I17" s="6">
        <f t="shared" si="1"/>
        <v>204.55476454059553</v>
      </c>
      <c r="J17" s="6">
        <f t="shared" si="2"/>
        <v>204.55476454059553</v>
      </c>
      <c r="K17" s="5">
        <f t="shared" si="3"/>
        <v>11522545.340000004</v>
      </c>
      <c r="L17" s="4">
        <f t="shared" si="4"/>
        <v>0</v>
      </c>
      <c r="M17" s="2">
        <f t="shared" si="5"/>
        <v>243.88282853776408</v>
      </c>
      <c r="N17" s="1">
        <f t="shared" si="6"/>
        <v>6</v>
      </c>
      <c r="O17" s="3">
        <f t="shared" si="7"/>
        <v>1546.6966177653856</v>
      </c>
      <c r="P17" s="2">
        <f t="shared" si="8"/>
        <v>59.934913991422178</v>
      </c>
      <c r="Q17" s="2">
        <f t="shared" si="9"/>
        <v>167.073145681276</v>
      </c>
      <c r="R17" s="2">
        <f t="shared" si="9"/>
        <v>320.69251139425216</v>
      </c>
      <c r="S17" s="2">
        <f t="shared" si="10"/>
        <v>204.55476454059553</v>
      </c>
    </row>
    <row r="18" spans="2:19" x14ac:dyDescent="0.25">
      <c r="B18">
        <v>14</v>
      </c>
      <c r="C18" s="27">
        <v>3</v>
      </c>
      <c r="D18" s="39" t="s">
        <v>311</v>
      </c>
      <c r="E18" s="162">
        <f>INDEX('2018 Data Lockdown'!H$5:H$255, MATCH(B18,'2018 Data Lockdown'!B$5:B$255,0))</f>
        <v>11367.08</v>
      </c>
      <c r="F18" s="7">
        <f>INDEX('2018 Data Lockdown'!E$5:E$255,MATCH(B18,'2018 Data Lockdown'!B$5:B$255,0))</f>
        <v>2606685.4500000002</v>
      </c>
      <c r="G18" s="7">
        <f>INDEX('2018 Data Lockdown'!F$5:F$255, MATCH(B18,'2018 Data Lockdown'!B$5:B$255,0))</f>
        <v>263239.97000000003</v>
      </c>
      <c r="H18" s="7">
        <f t="shared" si="0"/>
        <v>2343445.48</v>
      </c>
      <c r="I18" s="6">
        <f t="shared" si="1"/>
        <v>206.16072729320106</v>
      </c>
      <c r="J18" s="6">
        <f t="shared" si="2"/>
        <v>206.16072729320106</v>
      </c>
      <c r="K18" s="5">
        <f t="shared" si="3"/>
        <v>2343445.48</v>
      </c>
      <c r="L18" s="4">
        <f t="shared" si="4"/>
        <v>0</v>
      </c>
      <c r="M18" s="2">
        <f t="shared" si="5"/>
        <v>303.46719151218764</v>
      </c>
      <c r="N18" s="1">
        <f t="shared" si="6"/>
        <v>7</v>
      </c>
      <c r="O18" s="3">
        <f t="shared" si="7"/>
        <v>9468.5479788009143</v>
      </c>
      <c r="P18" s="2">
        <f t="shared" si="8"/>
        <v>183.82798940840919</v>
      </c>
      <c r="Q18" s="2">
        <f t="shared" si="9"/>
        <v>67.882143894924582</v>
      </c>
      <c r="R18" s="2">
        <f t="shared" si="9"/>
        <v>539.05223912945075</v>
      </c>
      <c r="S18" s="2">
        <f t="shared" si="10"/>
        <v>206.16072729320106</v>
      </c>
    </row>
    <row r="19" spans="2:19" x14ac:dyDescent="0.25">
      <c r="B19">
        <v>36</v>
      </c>
      <c r="C19" s="27">
        <v>3</v>
      </c>
      <c r="D19" s="39" t="s">
        <v>312</v>
      </c>
      <c r="E19" s="162">
        <f>INDEX('2018 Data Lockdown'!H$5:H$255, MATCH(B19,'2018 Data Lockdown'!B$5:B$255,0))</f>
        <v>8138.780484742425</v>
      </c>
      <c r="F19" s="7">
        <f>INDEX('2018 Data Lockdown'!E$5:E$255,MATCH(B19,'2018 Data Lockdown'!B$5:B$255,0))</f>
        <v>6197835.3200000003</v>
      </c>
      <c r="G19" s="7">
        <f>INDEX('2018 Data Lockdown'!F$5:F$255, MATCH(B19,'2018 Data Lockdown'!B$5:B$255,0))</f>
        <v>874483.81000000017</v>
      </c>
      <c r="H19" s="7">
        <f t="shared" si="0"/>
        <v>5323351.51</v>
      </c>
      <c r="I19" s="6">
        <f t="shared" si="1"/>
        <v>654.07237853134859</v>
      </c>
      <c r="J19" s="6">
        <f t="shared" si="2"/>
        <v>539.05223912945075</v>
      </c>
      <c r="K19" s="5">
        <f t="shared" si="3"/>
        <v>4387227.8440834805</v>
      </c>
      <c r="L19" s="4">
        <f t="shared" si="4"/>
        <v>0</v>
      </c>
      <c r="M19" s="2">
        <f t="shared" si="5"/>
        <v>303.46719151218764</v>
      </c>
      <c r="N19" s="1">
        <f t="shared" si="6"/>
        <v>7</v>
      </c>
      <c r="O19" s="3">
        <f t="shared" si="7"/>
        <v>122923.99716474082</v>
      </c>
      <c r="P19" s="2">
        <f t="shared" si="8"/>
        <v>183.82798940840919</v>
      </c>
      <c r="Q19" s="2">
        <f t="shared" si="9"/>
        <v>67.882143894924582</v>
      </c>
      <c r="R19" s="2">
        <f t="shared" si="9"/>
        <v>539.05223912945075</v>
      </c>
      <c r="S19" s="2">
        <f t="shared" si="10"/>
        <v>539.05223912945075</v>
      </c>
    </row>
    <row r="20" spans="2:19" x14ac:dyDescent="0.25">
      <c r="B20">
        <v>55</v>
      </c>
      <c r="C20" s="27">
        <v>3</v>
      </c>
      <c r="D20" s="39" t="s">
        <v>313</v>
      </c>
      <c r="E20" s="162">
        <f>INDEX('2018 Data Lockdown'!H$5:H$255, MATCH(B20,'2018 Data Lockdown'!B$5:B$255,0))</f>
        <v>3445.1599999999994</v>
      </c>
      <c r="F20" s="7">
        <f>INDEX('2018 Data Lockdown'!E$5:E$255,MATCH(B20,'2018 Data Lockdown'!B$5:B$255,0))</f>
        <v>1492885.07</v>
      </c>
      <c r="G20" s="7">
        <f>INDEX('2018 Data Lockdown'!F$5:F$255, MATCH(B20,'2018 Data Lockdown'!B$5:B$255,0))</f>
        <v>67559.319999999992</v>
      </c>
      <c r="H20" s="7">
        <f t="shared" si="0"/>
        <v>1425325.75</v>
      </c>
      <c r="I20" s="6">
        <f t="shared" si="1"/>
        <v>413.71830335891519</v>
      </c>
      <c r="J20" s="6">
        <f t="shared" si="2"/>
        <v>413.71830335891519</v>
      </c>
      <c r="K20" s="5">
        <f t="shared" si="3"/>
        <v>1425325.75</v>
      </c>
      <c r="L20" s="4">
        <f t="shared" si="4"/>
        <v>0</v>
      </c>
      <c r="M20" s="2">
        <f t="shared" si="5"/>
        <v>303.46719151218764</v>
      </c>
      <c r="N20" s="1">
        <f t="shared" si="6"/>
        <v>7</v>
      </c>
      <c r="O20" s="3">
        <f t="shared" si="7"/>
        <v>12155.307663439629</v>
      </c>
      <c r="P20" s="2">
        <f t="shared" si="8"/>
        <v>183.82798940840919</v>
      </c>
      <c r="Q20" s="2">
        <f t="shared" si="9"/>
        <v>67.882143894924582</v>
      </c>
      <c r="R20" s="2">
        <f t="shared" si="9"/>
        <v>539.05223912945075</v>
      </c>
      <c r="S20" s="2">
        <f t="shared" si="10"/>
        <v>413.71830335891519</v>
      </c>
    </row>
    <row r="21" spans="2:19" x14ac:dyDescent="0.25">
      <c r="B21">
        <v>103</v>
      </c>
      <c r="C21" s="27">
        <v>3</v>
      </c>
      <c r="D21" s="39" t="s">
        <v>314</v>
      </c>
      <c r="E21" s="162">
        <f>INDEX('2018 Data Lockdown'!H$5:H$255, MATCH(B21,'2018 Data Lockdown'!B$5:B$255,0))</f>
        <v>4118.84</v>
      </c>
      <c r="F21" s="7">
        <f>INDEX('2018 Data Lockdown'!E$5:E$255,MATCH(B21,'2018 Data Lockdown'!B$5:B$255,0))</f>
        <v>1518639.38</v>
      </c>
      <c r="G21" s="7">
        <f>INDEX('2018 Data Lockdown'!F$5:F$255, MATCH(B21,'2018 Data Lockdown'!B$5:B$255,0))</f>
        <v>554001.79</v>
      </c>
      <c r="H21" s="7">
        <f t="shared" si="0"/>
        <v>964637.58999999985</v>
      </c>
      <c r="I21" s="6">
        <f t="shared" si="1"/>
        <v>234.20127754416288</v>
      </c>
      <c r="J21" s="6">
        <f t="shared" si="2"/>
        <v>234.20127754416288</v>
      </c>
      <c r="K21" s="5">
        <f t="shared" si="3"/>
        <v>964637.58999999985</v>
      </c>
      <c r="L21" s="4">
        <f t="shared" si="4"/>
        <v>0</v>
      </c>
      <c r="M21" s="2">
        <f t="shared" si="5"/>
        <v>303.46719151218764</v>
      </c>
      <c r="N21" s="1">
        <f t="shared" si="6"/>
        <v>7</v>
      </c>
      <c r="O21" s="3">
        <f t="shared" si="7"/>
        <v>4797.7668378258077</v>
      </c>
      <c r="P21" s="2">
        <f t="shared" si="8"/>
        <v>183.82798940840919</v>
      </c>
      <c r="Q21" s="2">
        <f t="shared" si="9"/>
        <v>67.882143894924582</v>
      </c>
      <c r="R21" s="2">
        <f t="shared" si="9"/>
        <v>539.05223912945075</v>
      </c>
      <c r="S21" s="2">
        <f t="shared" si="10"/>
        <v>234.20127754416288</v>
      </c>
    </row>
    <row r="22" spans="2:19" x14ac:dyDescent="0.25">
      <c r="B22">
        <v>123</v>
      </c>
      <c r="C22" s="27">
        <v>3</v>
      </c>
      <c r="D22" s="39" t="s">
        <v>315</v>
      </c>
      <c r="E22" s="162">
        <f>INDEX('2018 Data Lockdown'!H$5:H$255, MATCH(B22,'2018 Data Lockdown'!B$5:B$255,0))</f>
        <v>6660.5800000000008</v>
      </c>
      <c r="F22" s="7">
        <f>INDEX('2018 Data Lockdown'!E$5:E$255,MATCH(B22,'2018 Data Lockdown'!B$5:B$255,0))</f>
        <v>1284089.29</v>
      </c>
      <c r="G22" s="7">
        <f>INDEX('2018 Data Lockdown'!F$5:F$255, MATCH(B22,'2018 Data Lockdown'!B$5:B$255,0))</f>
        <v>0</v>
      </c>
      <c r="H22" s="7">
        <f t="shared" si="0"/>
        <v>1284089.29</v>
      </c>
      <c r="I22" s="6">
        <f t="shared" si="1"/>
        <v>192.78941023154138</v>
      </c>
      <c r="J22" s="6">
        <f t="shared" si="2"/>
        <v>192.78941023154138</v>
      </c>
      <c r="K22" s="5">
        <f t="shared" si="3"/>
        <v>1284089.29</v>
      </c>
      <c r="L22" s="4">
        <f t="shared" si="4"/>
        <v>0</v>
      </c>
      <c r="M22" s="2">
        <f t="shared" si="5"/>
        <v>303.46719151218764</v>
      </c>
      <c r="N22" s="1">
        <f t="shared" si="6"/>
        <v>7</v>
      </c>
      <c r="O22" s="3">
        <f t="shared" si="7"/>
        <v>12249.571269206572</v>
      </c>
      <c r="P22" s="2">
        <f t="shared" si="8"/>
        <v>183.82798940840919</v>
      </c>
      <c r="Q22" s="2">
        <f t="shared" si="9"/>
        <v>67.882143894924582</v>
      </c>
      <c r="R22" s="2">
        <f t="shared" si="9"/>
        <v>539.05223912945075</v>
      </c>
      <c r="S22" s="2">
        <f t="shared" si="10"/>
        <v>192.78941023154138</v>
      </c>
    </row>
    <row r="23" spans="2:19" x14ac:dyDescent="0.25">
      <c r="B23">
        <v>179</v>
      </c>
      <c r="C23" s="27">
        <v>3</v>
      </c>
      <c r="D23" s="39" t="s">
        <v>316</v>
      </c>
      <c r="E23" s="162">
        <f>INDEX('2018 Data Lockdown'!H$5:H$255, MATCH(B23,'2018 Data Lockdown'!B$5:B$255,0))</f>
        <v>6074.0999999999995</v>
      </c>
      <c r="F23" s="7">
        <f>INDEX('2018 Data Lockdown'!E$5:E$255,MATCH(B23,'2018 Data Lockdown'!B$5:B$255,0))</f>
        <v>2468879.0699999998</v>
      </c>
      <c r="G23" s="7">
        <f>INDEX('2018 Data Lockdown'!F$5:F$255, MATCH(B23,'2018 Data Lockdown'!B$5:B$255,0))</f>
        <v>713319.58000000007</v>
      </c>
      <c r="H23" s="7">
        <f t="shared" si="0"/>
        <v>1755559.4899999998</v>
      </c>
      <c r="I23" s="6">
        <f t="shared" si="1"/>
        <v>289.02380434961555</v>
      </c>
      <c r="J23" s="6">
        <f t="shared" si="2"/>
        <v>289.02380434961555</v>
      </c>
      <c r="K23" s="5">
        <f t="shared" si="3"/>
        <v>1755559.4899999995</v>
      </c>
      <c r="L23" s="4">
        <f t="shared" si="4"/>
        <v>0</v>
      </c>
      <c r="M23" s="2">
        <f t="shared" si="5"/>
        <v>303.46719151218764</v>
      </c>
      <c r="N23" s="1">
        <f t="shared" si="6"/>
        <v>7</v>
      </c>
      <c r="O23" s="3">
        <f t="shared" si="7"/>
        <v>208.61143272795238</v>
      </c>
      <c r="P23" s="2">
        <f t="shared" si="8"/>
        <v>183.82798940840919</v>
      </c>
      <c r="Q23" s="2">
        <f t="shared" si="9"/>
        <v>67.882143894924582</v>
      </c>
      <c r="R23" s="2">
        <f t="shared" si="9"/>
        <v>539.05223912945075</v>
      </c>
      <c r="S23" s="2">
        <f t="shared" si="10"/>
        <v>289.02380434961555</v>
      </c>
    </row>
    <row r="24" spans="2:19" x14ac:dyDescent="0.25">
      <c r="B24">
        <v>293</v>
      </c>
      <c r="C24" s="27">
        <v>3</v>
      </c>
      <c r="D24" s="39" t="s">
        <v>317</v>
      </c>
      <c r="E24" s="162">
        <f>INDEX('2018 Data Lockdown'!H$5:H$255, MATCH(B24,'2018 Data Lockdown'!B$5:B$255,0))</f>
        <v>7938.2</v>
      </c>
      <c r="F24" s="7">
        <f>INDEX('2018 Data Lockdown'!E$5:E$255,MATCH(B24,'2018 Data Lockdown'!B$5:B$255,0))</f>
        <v>2337931.94</v>
      </c>
      <c r="G24" s="7">
        <f>INDEX('2018 Data Lockdown'!F$5:F$255, MATCH(B24,'2018 Data Lockdown'!B$5:B$255,0))</f>
        <v>945985.67999999993</v>
      </c>
      <c r="H24" s="7">
        <f t="shared" si="0"/>
        <v>1391946.26</v>
      </c>
      <c r="I24" s="6">
        <f t="shared" si="1"/>
        <v>175.34784459953138</v>
      </c>
      <c r="J24" s="6">
        <f t="shared" si="2"/>
        <v>175.34784459953138</v>
      </c>
      <c r="K24" s="5">
        <f t="shared" si="3"/>
        <v>1391946.26</v>
      </c>
      <c r="L24" s="4">
        <f t="shared" si="4"/>
        <v>0</v>
      </c>
      <c r="M24" s="2">
        <f t="shared" si="5"/>
        <v>303.46719151218764</v>
      </c>
      <c r="N24" s="1">
        <f t="shared" si="6"/>
        <v>7</v>
      </c>
      <c r="O24" s="3">
        <f t="shared" si="7"/>
        <v>16414.567053325562</v>
      </c>
      <c r="P24" s="2">
        <f t="shared" si="8"/>
        <v>183.82798940840919</v>
      </c>
      <c r="Q24" s="2">
        <f t="shared" si="9"/>
        <v>67.882143894924582</v>
      </c>
      <c r="R24" s="2">
        <f t="shared" si="9"/>
        <v>539.05223912945075</v>
      </c>
      <c r="S24" s="2">
        <f t="shared" si="10"/>
        <v>175.34784459953138</v>
      </c>
    </row>
    <row r="25" spans="2:19" x14ac:dyDescent="0.25">
      <c r="B25">
        <v>12</v>
      </c>
      <c r="C25" s="27">
        <v>4</v>
      </c>
      <c r="D25" s="39" t="s">
        <v>318</v>
      </c>
      <c r="E25" s="162">
        <f>INDEX('2018 Data Lockdown'!H$5:H$255, MATCH(B25,'2018 Data Lockdown'!B$5:B$255,0))</f>
        <v>5092.2999999999993</v>
      </c>
      <c r="F25" s="7">
        <f>INDEX('2018 Data Lockdown'!E$5:E$255,MATCH(B25,'2018 Data Lockdown'!B$5:B$255,0))</f>
        <v>2922626.6</v>
      </c>
      <c r="G25" s="7">
        <f>INDEX('2018 Data Lockdown'!F$5:F$255, MATCH(B25,'2018 Data Lockdown'!B$5:B$255,0))</f>
        <v>693708.37</v>
      </c>
      <c r="H25" s="7">
        <f t="shared" si="0"/>
        <v>2228918.23</v>
      </c>
      <c r="I25" s="6">
        <f t="shared" si="1"/>
        <v>437.70363686349987</v>
      </c>
      <c r="J25" s="6">
        <f t="shared" si="2"/>
        <v>437.70363686349987</v>
      </c>
      <c r="K25" s="5">
        <f t="shared" si="3"/>
        <v>2228918.23</v>
      </c>
      <c r="L25" s="4">
        <f t="shared" si="4"/>
        <v>0</v>
      </c>
      <c r="M25" s="2">
        <f t="shared" si="5"/>
        <v>415.54724622442467</v>
      </c>
      <c r="N25" s="1">
        <f t="shared" si="6"/>
        <v>15</v>
      </c>
      <c r="O25" s="3">
        <f t="shared" si="7"/>
        <v>490.90564615129904</v>
      </c>
      <c r="P25" s="2">
        <f t="shared" si="8"/>
        <v>131.7744755107955</v>
      </c>
      <c r="Q25" s="2">
        <f t="shared" si="9"/>
        <v>246.67146083474606</v>
      </c>
      <c r="R25" s="2">
        <f t="shared" si="9"/>
        <v>584.42303161410325</v>
      </c>
      <c r="S25" s="2">
        <f t="shared" si="10"/>
        <v>437.70363686349987</v>
      </c>
    </row>
    <row r="26" spans="2:19" x14ac:dyDescent="0.25">
      <c r="B26">
        <v>21</v>
      </c>
      <c r="C26" s="27">
        <v>4</v>
      </c>
      <c r="D26" s="39" t="s">
        <v>319</v>
      </c>
      <c r="E26" s="162">
        <f>INDEX('2018 Data Lockdown'!H$5:H$255, MATCH(B26,'2018 Data Lockdown'!B$5:B$255,0))</f>
        <v>5179.17</v>
      </c>
      <c r="F26" s="7">
        <f>INDEX('2018 Data Lockdown'!E$5:E$255,MATCH(B26,'2018 Data Lockdown'!B$5:B$255,0))</f>
        <v>3018158.71</v>
      </c>
      <c r="G26" s="7">
        <f>INDEX('2018 Data Lockdown'!F$5:F$255, MATCH(B26,'2018 Data Lockdown'!B$5:B$255,0))</f>
        <v>630793.78</v>
      </c>
      <c r="H26" s="7">
        <f t="shared" si="0"/>
        <v>2387364.9299999997</v>
      </c>
      <c r="I26" s="6">
        <f t="shared" si="1"/>
        <v>460.95512022196601</v>
      </c>
      <c r="J26" s="6">
        <f t="shared" si="2"/>
        <v>460.95512022196601</v>
      </c>
      <c r="K26" s="5">
        <f t="shared" si="3"/>
        <v>2387364.9299999997</v>
      </c>
      <c r="L26" s="4">
        <f t="shared" si="4"/>
        <v>0</v>
      </c>
      <c r="M26" s="2">
        <f t="shared" si="5"/>
        <v>415.54724622442467</v>
      </c>
      <c r="N26" s="1">
        <f t="shared" si="6"/>
        <v>15</v>
      </c>
      <c r="O26" s="3">
        <f t="shared" si="7"/>
        <v>2061.8750209765913</v>
      </c>
      <c r="P26" s="2">
        <f t="shared" si="8"/>
        <v>131.7744755107955</v>
      </c>
      <c r="Q26" s="2">
        <f t="shared" ref="Q26:R45" si="11">NORMINV(Q$4,$M26,$P26)</f>
        <v>246.67146083474606</v>
      </c>
      <c r="R26" s="2">
        <f t="shared" si="11"/>
        <v>584.42303161410325</v>
      </c>
      <c r="S26" s="2">
        <f t="shared" si="10"/>
        <v>460.95512022196601</v>
      </c>
    </row>
    <row r="27" spans="2:19" x14ac:dyDescent="0.25">
      <c r="B27">
        <v>34</v>
      </c>
      <c r="C27" s="27">
        <v>4</v>
      </c>
      <c r="D27" s="39" t="s">
        <v>320</v>
      </c>
      <c r="E27" s="162">
        <f>INDEX('2018 Data Lockdown'!H$5:H$255, MATCH(B27,'2018 Data Lockdown'!B$5:B$255,0))</f>
        <v>4762.82</v>
      </c>
      <c r="F27" s="7">
        <f>INDEX('2018 Data Lockdown'!E$5:E$255,MATCH(B27,'2018 Data Lockdown'!B$5:B$255,0))</f>
        <v>2143525.2799999998</v>
      </c>
      <c r="G27" s="7">
        <f>INDEX('2018 Data Lockdown'!F$5:F$255, MATCH(B27,'2018 Data Lockdown'!B$5:B$255,0))</f>
        <v>564954.64</v>
      </c>
      <c r="H27" s="7">
        <f t="shared" si="0"/>
        <v>1578570.6399999997</v>
      </c>
      <c r="I27" s="6">
        <f t="shared" si="1"/>
        <v>331.43613237535743</v>
      </c>
      <c r="J27" s="6">
        <f t="shared" si="2"/>
        <v>331.43613237535743</v>
      </c>
      <c r="K27" s="5">
        <f t="shared" si="3"/>
        <v>1578570.64</v>
      </c>
      <c r="L27" s="4">
        <f t="shared" si="4"/>
        <v>0</v>
      </c>
      <c r="M27" s="2">
        <f t="shared" si="5"/>
        <v>415.54724622442467</v>
      </c>
      <c r="N27" s="1">
        <f t="shared" si="6"/>
        <v>15</v>
      </c>
      <c r="O27" s="3">
        <f t="shared" si="7"/>
        <v>7074.6794729307503</v>
      </c>
      <c r="P27" s="2">
        <f t="shared" si="8"/>
        <v>131.7744755107955</v>
      </c>
      <c r="Q27" s="2">
        <f t="shared" si="11"/>
        <v>246.67146083474606</v>
      </c>
      <c r="R27" s="2">
        <f t="shared" si="11"/>
        <v>584.42303161410325</v>
      </c>
      <c r="S27" s="2">
        <f t="shared" si="10"/>
        <v>331.43613237535743</v>
      </c>
    </row>
    <row r="28" spans="2:19" x14ac:dyDescent="0.25">
      <c r="B28">
        <v>87</v>
      </c>
      <c r="C28" s="27">
        <v>4</v>
      </c>
      <c r="D28" s="39" t="s">
        <v>321</v>
      </c>
      <c r="E28" s="162">
        <f>INDEX('2018 Data Lockdown'!H$5:H$255, MATCH(B28,'2018 Data Lockdown'!B$5:B$255,0))</f>
        <v>10810.4</v>
      </c>
      <c r="F28" s="7">
        <f>INDEX('2018 Data Lockdown'!E$5:E$255,MATCH(B28,'2018 Data Lockdown'!B$5:B$255,0))</f>
        <v>5182853.97</v>
      </c>
      <c r="G28" s="7">
        <f>INDEX('2018 Data Lockdown'!F$5:F$255, MATCH(B28,'2018 Data Lockdown'!B$5:B$255,0))</f>
        <v>1110329.5500000003</v>
      </c>
      <c r="H28" s="7">
        <f t="shared" si="0"/>
        <v>4072524.4199999995</v>
      </c>
      <c r="I28" s="6">
        <f t="shared" si="1"/>
        <v>376.72282431732401</v>
      </c>
      <c r="J28" s="6">
        <f t="shared" si="2"/>
        <v>376.72282431732401</v>
      </c>
      <c r="K28" s="5">
        <f t="shared" si="3"/>
        <v>4072524.4199999995</v>
      </c>
      <c r="L28" s="4">
        <f t="shared" si="4"/>
        <v>0</v>
      </c>
      <c r="M28" s="2">
        <f t="shared" si="5"/>
        <v>415.54724622442467</v>
      </c>
      <c r="N28" s="1">
        <f t="shared" si="6"/>
        <v>15</v>
      </c>
      <c r="O28" s="3">
        <f t="shared" si="7"/>
        <v>1507.3357364205574</v>
      </c>
      <c r="P28" s="2">
        <f t="shared" si="8"/>
        <v>131.7744755107955</v>
      </c>
      <c r="Q28" s="2">
        <f t="shared" si="11"/>
        <v>246.67146083474606</v>
      </c>
      <c r="R28" s="2">
        <f t="shared" si="11"/>
        <v>584.42303161410325</v>
      </c>
      <c r="S28" s="2">
        <f t="shared" si="10"/>
        <v>376.72282431732401</v>
      </c>
    </row>
    <row r="29" spans="2:19" x14ac:dyDescent="0.25">
      <c r="B29">
        <v>88</v>
      </c>
      <c r="C29" s="27">
        <v>4</v>
      </c>
      <c r="D29" s="39" t="s">
        <v>322</v>
      </c>
      <c r="E29" s="162">
        <f>INDEX('2018 Data Lockdown'!H$5:H$255, MATCH(B29,'2018 Data Lockdown'!B$5:B$255,0))</f>
        <v>4759.3799999999992</v>
      </c>
      <c r="F29" s="7">
        <f>INDEX('2018 Data Lockdown'!E$5:E$255,MATCH(B29,'2018 Data Lockdown'!B$5:B$255,0))</f>
        <v>2125011.54</v>
      </c>
      <c r="G29" s="7">
        <f>INDEX('2018 Data Lockdown'!F$5:F$255, MATCH(B29,'2018 Data Lockdown'!B$5:B$255,0))</f>
        <v>560089.80000000005</v>
      </c>
      <c r="H29" s="7">
        <f t="shared" si="0"/>
        <v>1564921.74</v>
      </c>
      <c r="I29" s="6">
        <f t="shared" si="1"/>
        <v>328.80789934823451</v>
      </c>
      <c r="J29" s="6">
        <f t="shared" si="2"/>
        <v>328.80789934823451</v>
      </c>
      <c r="K29" s="5">
        <f t="shared" si="3"/>
        <v>1564921.7400000002</v>
      </c>
      <c r="L29" s="4">
        <f t="shared" si="4"/>
        <v>0</v>
      </c>
      <c r="M29" s="2">
        <f t="shared" si="5"/>
        <v>415.54724622442467</v>
      </c>
      <c r="N29" s="1">
        <f t="shared" si="6"/>
        <v>15</v>
      </c>
      <c r="O29" s="3">
        <f t="shared" si="7"/>
        <v>7523.7142965080384</v>
      </c>
      <c r="P29" s="2">
        <f t="shared" si="8"/>
        <v>131.7744755107955</v>
      </c>
      <c r="Q29" s="2">
        <f t="shared" si="11"/>
        <v>246.67146083474606</v>
      </c>
      <c r="R29" s="2">
        <f t="shared" si="11"/>
        <v>584.42303161410325</v>
      </c>
      <c r="S29" s="2">
        <f t="shared" si="10"/>
        <v>328.80789934823451</v>
      </c>
    </row>
    <row r="30" spans="2:19" x14ac:dyDescent="0.25">
      <c r="B30">
        <v>89</v>
      </c>
      <c r="C30" s="27">
        <v>4</v>
      </c>
      <c r="D30" s="39" t="s">
        <v>555</v>
      </c>
      <c r="E30" s="162">
        <f>INDEX('2018 Data Lockdown'!H$5:H$255, MATCH(B30,'2018 Data Lockdown'!B$5:B$255,0))</f>
        <v>5636.98</v>
      </c>
      <c r="F30" s="7">
        <f>INDEX('2018 Data Lockdown'!E$5:E$255,MATCH(B30,'2018 Data Lockdown'!B$5:B$255,0))</f>
        <v>3750607.74</v>
      </c>
      <c r="G30" s="7">
        <f>INDEX('2018 Data Lockdown'!F$5:F$255, MATCH(B30,'2018 Data Lockdown'!B$5:B$255,0))</f>
        <v>559601.63</v>
      </c>
      <c r="H30" s="7">
        <f t="shared" si="0"/>
        <v>3191006.1100000003</v>
      </c>
      <c r="I30" s="6">
        <f t="shared" si="1"/>
        <v>566.0843412607461</v>
      </c>
      <c r="J30" s="6">
        <f t="shared" si="2"/>
        <v>566.0843412607461</v>
      </c>
      <c r="K30" s="5">
        <f t="shared" si="3"/>
        <v>3191006.1100000003</v>
      </c>
      <c r="L30" s="4">
        <f t="shared" si="4"/>
        <v>0</v>
      </c>
      <c r="M30" s="2">
        <f t="shared" si="5"/>
        <v>415.54724622442467</v>
      </c>
      <c r="N30" s="1">
        <f t="shared" si="6"/>
        <v>15</v>
      </c>
      <c r="O30" s="3">
        <f t="shared" si="7"/>
        <v>22661.416981974471</v>
      </c>
      <c r="P30" s="2">
        <f t="shared" si="8"/>
        <v>131.7744755107955</v>
      </c>
      <c r="Q30" s="2">
        <f t="shared" si="11"/>
        <v>246.67146083474606</v>
      </c>
      <c r="R30" s="2">
        <f t="shared" si="11"/>
        <v>584.42303161410325</v>
      </c>
      <c r="S30" s="2">
        <f t="shared" si="10"/>
        <v>566.0843412607461</v>
      </c>
    </row>
    <row r="31" spans="2:19" x14ac:dyDescent="0.25">
      <c r="B31">
        <v>143</v>
      </c>
      <c r="C31" s="27">
        <v>4</v>
      </c>
      <c r="D31" s="39" t="s">
        <v>324</v>
      </c>
      <c r="E31" s="162">
        <f>INDEX('2018 Data Lockdown'!H$5:H$255, MATCH(B31,'2018 Data Lockdown'!B$5:B$255,0))</f>
        <v>2834.8</v>
      </c>
      <c r="F31" s="7">
        <f>INDEX('2018 Data Lockdown'!E$5:E$255,MATCH(B31,'2018 Data Lockdown'!B$5:B$255,0))</f>
        <v>956347.7</v>
      </c>
      <c r="G31" s="7">
        <f>INDEX('2018 Data Lockdown'!F$5:F$255, MATCH(B31,'2018 Data Lockdown'!B$5:B$255,0))</f>
        <v>393346.75</v>
      </c>
      <c r="H31" s="7">
        <f t="shared" si="0"/>
        <v>563000.94999999995</v>
      </c>
      <c r="I31" s="6">
        <f t="shared" si="1"/>
        <v>198.60341117539153</v>
      </c>
      <c r="J31" s="6">
        <f t="shared" si="2"/>
        <v>198.60341117539153</v>
      </c>
      <c r="K31" s="5">
        <f t="shared" si="3"/>
        <v>563000.94999999995</v>
      </c>
      <c r="L31" s="4">
        <f t="shared" si="4"/>
        <v>0</v>
      </c>
      <c r="M31" s="2">
        <f t="shared" si="5"/>
        <v>415.54724622442467</v>
      </c>
      <c r="N31" s="1">
        <f t="shared" si="6"/>
        <v>15</v>
      </c>
      <c r="O31" s="3">
        <f t="shared" si="7"/>
        <v>47064.627565782102</v>
      </c>
      <c r="P31" s="2">
        <f t="shared" si="8"/>
        <v>131.7744755107955</v>
      </c>
      <c r="Q31" s="2">
        <f t="shared" si="11"/>
        <v>246.67146083474606</v>
      </c>
      <c r="R31" s="2">
        <f t="shared" si="11"/>
        <v>584.42303161410325</v>
      </c>
      <c r="S31" s="2">
        <f t="shared" si="10"/>
        <v>198.60341117539153</v>
      </c>
    </row>
    <row r="32" spans="2:19" x14ac:dyDescent="0.25">
      <c r="B32">
        <v>183</v>
      </c>
      <c r="C32" s="27">
        <v>4</v>
      </c>
      <c r="D32" s="39" t="s">
        <v>325</v>
      </c>
      <c r="E32" s="162">
        <f>INDEX('2018 Data Lockdown'!H$5:H$255, MATCH(B32,'2018 Data Lockdown'!B$5:B$255,0))</f>
        <v>11774.169999999998</v>
      </c>
      <c r="F32" s="7">
        <f>INDEX('2018 Data Lockdown'!E$5:E$255,MATCH(B32,'2018 Data Lockdown'!B$5:B$255,0))</f>
        <v>6696146.4100000001</v>
      </c>
      <c r="G32" s="7">
        <f>INDEX('2018 Data Lockdown'!F$5:F$255, MATCH(B32,'2018 Data Lockdown'!B$5:B$255,0))</f>
        <v>412366.9599999999</v>
      </c>
      <c r="H32" s="7">
        <f t="shared" si="0"/>
        <v>6283779.4500000002</v>
      </c>
      <c r="I32" s="6">
        <f t="shared" si="1"/>
        <v>533.69192478110995</v>
      </c>
      <c r="J32" s="6">
        <f t="shared" si="2"/>
        <v>533.69192478110995</v>
      </c>
      <c r="K32" s="5">
        <f t="shared" si="3"/>
        <v>6283779.4500000002</v>
      </c>
      <c r="L32" s="4">
        <f t="shared" si="4"/>
        <v>0</v>
      </c>
      <c r="M32" s="2">
        <f t="shared" si="5"/>
        <v>415.54724622442467</v>
      </c>
      <c r="N32" s="1">
        <f t="shared" si="6"/>
        <v>15</v>
      </c>
      <c r="O32" s="3">
        <f t="shared" si="7"/>
        <v>13958.165071262491</v>
      </c>
      <c r="P32" s="2">
        <f t="shared" si="8"/>
        <v>131.7744755107955</v>
      </c>
      <c r="Q32" s="2">
        <f t="shared" si="11"/>
        <v>246.67146083474606</v>
      </c>
      <c r="R32" s="2">
        <f t="shared" si="11"/>
        <v>584.42303161410325</v>
      </c>
      <c r="S32" s="2">
        <f t="shared" si="10"/>
        <v>533.69192478110995</v>
      </c>
    </row>
    <row r="33" spans="2:19" x14ac:dyDescent="0.25">
      <c r="B33">
        <v>186</v>
      </c>
      <c r="C33" s="27">
        <v>4</v>
      </c>
      <c r="D33" s="39" t="s">
        <v>326</v>
      </c>
      <c r="E33" s="162">
        <f>INDEX('2018 Data Lockdown'!H$5:H$255, MATCH(B33,'2018 Data Lockdown'!B$5:B$255,0))</f>
        <v>11101.34</v>
      </c>
      <c r="F33" s="7">
        <f>INDEX('2018 Data Lockdown'!E$5:E$255,MATCH(B33,'2018 Data Lockdown'!B$5:B$255,0))</f>
        <v>8005773.7000000002</v>
      </c>
      <c r="G33" s="7">
        <f>INDEX('2018 Data Lockdown'!F$5:F$255, MATCH(B33,'2018 Data Lockdown'!B$5:B$255,0))</f>
        <v>1431664.65</v>
      </c>
      <c r="H33" s="7">
        <f t="shared" si="0"/>
        <v>6574109.0500000007</v>
      </c>
      <c r="I33" s="6">
        <f t="shared" si="1"/>
        <v>592.19058690212182</v>
      </c>
      <c r="J33" s="6">
        <f t="shared" si="2"/>
        <v>584.42303161410325</v>
      </c>
      <c r="K33" s="5">
        <f t="shared" si="3"/>
        <v>6487878.7777789095</v>
      </c>
      <c r="L33" s="4">
        <f t="shared" si="4"/>
        <v>0</v>
      </c>
      <c r="M33" s="2">
        <f t="shared" si="5"/>
        <v>415.54724622442467</v>
      </c>
      <c r="N33" s="1">
        <f t="shared" si="6"/>
        <v>15</v>
      </c>
      <c r="O33" s="3">
        <f t="shared" si="7"/>
        <v>31202.869805776976</v>
      </c>
      <c r="P33" s="2">
        <f t="shared" si="8"/>
        <v>131.7744755107955</v>
      </c>
      <c r="Q33" s="2">
        <f t="shared" si="11"/>
        <v>246.67146083474606</v>
      </c>
      <c r="R33" s="2">
        <f t="shared" si="11"/>
        <v>584.42303161410325</v>
      </c>
      <c r="S33" s="2">
        <f t="shared" si="10"/>
        <v>584.42303161410325</v>
      </c>
    </row>
    <row r="34" spans="2:19" x14ac:dyDescent="0.25">
      <c r="B34">
        <v>190</v>
      </c>
      <c r="C34" s="27">
        <v>4</v>
      </c>
      <c r="D34" s="39" t="s">
        <v>327</v>
      </c>
      <c r="E34" s="162">
        <f>INDEX('2018 Data Lockdown'!H$5:H$255, MATCH(B34,'2018 Data Lockdown'!B$5:B$255,0))</f>
        <v>3309.0599999999995</v>
      </c>
      <c r="F34" s="7">
        <f>INDEX('2018 Data Lockdown'!E$5:E$255,MATCH(B34,'2018 Data Lockdown'!B$5:B$255,0))</f>
        <v>2284236.41</v>
      </c>
      <c r="G34" s="7">
        <f>INDEX('2018 Data Lockdown'!F$5:F$255, MATCH(B34,'2018 Data Lockdown'!B$5:B$255,0))</f>
        <v>599429.44999999995</v>
      </c>
      <c r="H34" s="7">
        <f t="shared" si="0"/>
        <v>1684806.9600000002</v>
      </c>
      <c r="I34" s="6">
        <f t="shared" si="1"/>
        <v>509.14971623361333</v>
      </c>
      <c r="J34" s="6">
        <f t="shared" si="2"/>
        <v>509.14971623361333</v>
      </c>
      <c r="K34" s="5">
        <f t="shared" si="3"/>
        <v>1684806.9600000002</v>
      </c>
      <c r="L34" s="4">
        <f t="shared" si="4"/>
        <v>0</v>
      </c>
      <c r="M34" s="2">
        <f t="shared" si="5"/>
        <v>415.54724622442467</v>
      </c>
      <c r="N34" s="1">
        <f t="shared" si="6"/>
        <v>15</v>
      </c>
      <c r="O34" s="3">
        <f t="shared" si="7"/>
        <v>8761.4223918210628</v>
      </c>
      <c r="P34" s="2">
        <f t="shared" si="8"/>
        <v>131.7744755107955</v>
      </c>
      <c r="Q34" s="2">
        <f t="shared" si="11"/>
        <v>246.67146083474606</v>
      </c>
      <c r="R34" s="2">
        <f t="shared" si="11"/>
        <v>584.42303161410325</v>
      </c>
      <c r="S34" s="2">
        <f t="shared" si="10"/>
        <v>509.14971623361333</v>
      </c>
    </row>
    <row r="35" spans="2:19" x14ac:dyDescent="0.25">
      <c r="B35">
        <v>324</v>
      </c>
      <c r="C35" s="27">
        <v>4</v>
      </c>
      <c r="D35" s="39" t="s">
        <v>328</v>
      </c>
      <c r="E35" s="162">
        <f>INDEX('2018 Data Lockdown'!H$5:H$255, MATCH(B35,'2018 Data Lockdown'!B$5:B$255,0))</f>
        <v>7987.3900000000021</v>
      </c>
      <c r="F35" s="7">
        <f>INDEX('2018 Data Lockdown'!E$5:E$255,MATCH(B35,'2018 Data Lockdown'!B$5:B$255,0))</f>
        <v>4196501.4400000004</v>
      </c>
      <c r="G35" s="7">
        <f>INDEX('2018 Data Lockdown'!F$5:F$255, MATCH(B35,'2018 Data Lockdown'!B$5:B$255,0))</f>
        <v>1059029.5799999998</v>
      </c>
      <c r="H35" s="7">
        <f t="shared" si="0"/>
        <v>3137471.8600000003</v>
      </c>
      <c r="I35" s="6">
        <f t="shared" si="1"/>
        <v>392.80313844697696</v>
      </c>
      <c r="J35" s="6">
        <f t="shared" si="2"/>
        <v>392.80313844697696</v>
      </c>
      <c r="K35" s="5">
        <f t="shared" si="3"/>
        <v>3137471.8600000003</v>
      </c>
      <c r="L35" s="4">
        <f t="shared" si="4"/>
        <v>0</v>
      </c>
      <c r="M35" s="2">
        <f t="shared" si="5"/>
        <v>415.54724622442467</v>
      </c>
      <c r="N35" s="1">
        <f t="shared" si="6"/>
        <v>15</v>
      </c>
      <c r="O35" s="3">
        <f t="shared" si="7"/>
        <v>517.29443859215735</v>
      </c>
      <c r="P35" s="2">
        <f t="shared" si="8"/>
        <v>131.7744755107955</v>
      </c>
      <c r="Q35" s="2">
        <f t="shared" si="11"/>
        <v>246.67146083474606</v>
      </c>
      <c r="R35" s="2">
        <f t="shared" si="11"/>
        <v>584.42303161410325</v>
      </c>
      <c r="S35" s="2">
        <f t="shared" si="10"/>
        <v>392.80313844697696</v>
      </c>
    </row>
    <row r="36" spans="2:19" x14ac:dyDescent="0.25">
      <c r="B36">
        <v>429</v>
      </c>
      <c r="C36" s="27">
        <v>4</v>
      </c>
      <c r="D36" s="39" t="s">
        <v>329</v>
      </c>
      <c r="E36" s="162">
        <f>INDEX('2018 Data Lockdown'!H$5:H$255, MATCH(B36,'2018 Data Lockdown'!B$5:B$255,0))</f>
        <v>4357.0309999999999</v>
      </c>
      <c r="F36" s="7">
        <f>INDEX('2018 Data Lockdown'!E$5:E$255,MATCH(B36,'2018 Data Lockdown'!B$5:B$255,0))</f>
        <v>1673741.25</v>
      </c>
      <c r="G36" s="7">
        <f>INDEX('2018 Data Lockdown'!F$5:F$255, MATCH(B36,'2018 Data Lockdown'!B$5:B$255,0))</f>
        <v>427615.25</v>
      </c>
      <c r="H36" s="7">
        <f t="shared" si="0"/>
        <v>1246126</v>
      </c>
      <c r="I36" s="6">
        <f t="shared" si="1"/>
        <v>286.00347346622044</v>
      </c>
      <c r="J36" s="6">
        <f t="shared" si="2"/>
        <v>286.00347346622044</v>
      </c>
      <c r="K36" s="5">
        <f t="shared" si="3"/>
        <v>1246126</v>
      </c>
      <c r="L36" s="4">
        <f t="shared" si="4"/>
        <v>0</v>
      </c>
      <c r="M36" s="2">
        <f t="shared" si="5"/>
        <v>415.54724622442467</v>
      </c>
      <c r="N36" s="1">
        <f t="shared" si="6"/>
        <v>15</v>
      </c>
      <c r="O36" s="3">
        <f t="shared" si="7"/>
        <v>16781.589060429254</v>
      </c>
      <c r="P36" s="2">
        <f t="shared" si="8"/>
        <v>131.7744755107955</v>
      </c>
      <c r="Q36" s="2">
        <f t="shared" si="11"/>
        <v>246.67146083474606</v>
      </c>
      <c r="R36" s="2">
        <f t="shared" si="11"/>
        <v>584.42303161410325</v>
      </c>
      <c r="S36" s="2">
        <f t="shared" si="10"/>
        <v>286.00347346622044</v>
      </c>
    </row>
    <row r="37" spans="2:19" x14ac:dyDescent="0.25">
      <c r="B37">
        <v>601</v>
      </c>
      <c r="C37" s="27">
        <v>4</v>
      </c>
      <c r="D37" s="39" t="s">
        <v>330</v>
      </c>
      <c r="E37" s="162">
        <f>INDEX('2018 Data Lockdown'!H$5:H$255, MATCH(B37,'2018 Data Lockdown'!B$5:B$255,0))</f>
        <v>5915.7199999999993</v>
      </c>
      <c r="F37" s="7">
        <f>INDEX('2018 Data Lockdown'!E$5:E$255,MATCH(B37,'2018 Data Lockdown'!B$5:B$255,0))</f>
        <v>3078679.08</v>
      </c>
      <c r="G37" s="7">
        <f>INDEX('2018 Data Lockdown'!F$5:F$255, MATCH(B37,'2018 Data Lockdown'!B$5:B$255,0))</f>
        <v>303552.10000000003</v>
      </c>
      <c r="H37" s="7">
        <f t="shared" si="0"/>
        <v>2775126.98</v>
      </c>
      <c r="I37" s="6">
        <f t="shared" si="1"/>
        <v>469.11060361207092</v>
      </c>
      <c r="J37" s="6">
        <f t="shared" si="2"/>
        <v>469.11060361207092</v>
      </c>
      <c r="K37" s="5">
        <f t="shared" si="3"/>
        <v>2775126.98</v>
      </c>
      <c r="L37" s="4">
        <f t="shared" si="4"/>
        <v>0</v>
      </c>
      <c r="M37" s="2">
        <f t="shared" si="5"/>
        <v>415.54724622442467</v>
      </c>
      <c r="N37" s="1">
        <f t="shared" si="6"/>
        <v>15</v>
      </c>
      <c r="O37" s="3">
        <f t="shared" si="7"/>
        <v>2869.0332546367181</v>
      </c>
      <c r="P37" s="2">
        <f t="shared" si="8"/>
        <v>131.7744755107955</v>
      </c>
      <c r="Q37" s="2">
        <f t="shared" si="11"/>
        <v>246.67146083474606</v>
      </c>
      <c r="R37" s="2">
        <f t="shared" si="11"/>
        <v>584.42303161410325</v>
      </c>
      <c r="S37" s="2">
        <f t="shared" si="10"/>
        <v>469.11060361207092</v>
      </c>
    </row>
    <row r="38" spans="2:19" x14ac:dyDescent="0.25">
      <c r="B38">
        <v>760</v>
      </c>
      <c r="C38" s="27">
        <v>4</v>
      </c>
      <c r="D38" s="39" t="s">
        <v>331</v>
      </c>
      <c r="E38" s="162">
        <f>INDEX('2018 Data Lockdown'!H$5:H$255, MATCH(B38,'2018 Data Lockdown'!B$5:B$255,0))</f>
        <v>5286.9399999999987</v>
      </c>
      <c r="F38" s="7">
        <f>INDEX('2018 Data Lockdown'!E$5:E$255,MATCH(B38,'2018 Data Lockdown'!B$5:B$255,0))</f>
        <v>1441842.03</v>
      </c>
      <c r="G38" s="7">
        <f>INDEX('2018 Data Lockdown'!F$5:F$255, MATCH(B38,'2018 Data Lockdown'!B$5:B$255,0))</f>
        <v>713377.46</v>
      </c>
      <c r="H38" s="7">
        <f t="shared" si="0"/>
        <v>728464.57000000007</v>
      </c>
      <c r="I38" s="6">
        <f t="shared" si="1"/>
        <v>137.78566997166607</v>
      </c>
      <c r="J38" s="6">
        <f t="shared" si="2"/>
        <v>137.78566997166607</v>
      </c>
      <c r="K38" s="5">
        <f t="shared" si="3"/>
        <v>728464.57000000007</v>
      </c>
      <c r="L38" s="4">
        <f t="shared" si="4"/>
        <v>0</v>
      </c>
      <c r="M38" s="2">
        <f t="shared" si="5"/>
        <v>415.54724622442467</v>
      </c>
      <c r="N38" s="1">
        <f t="shared" si="6"/>
        <v>15</v>
      </c>
      <c r="O38" s="3">
        <f t="shared" si="7"/>
        <v>77151.493242417011</v>
      </c>
      <c r="P38" s="2">
        <f t="shared" si="8"/>
        <v>131.7744755107955</v>
      </c>
      <c r="Q38" s="2">
        <f t="shared" si="11"/>
        <v>246.67146083474606</v>
      </c>
      <c r="R38" s="2">
        <f t="shared" si="11"/>
        <v>584.42303161410325</v>
      </c>
      <c r="S38" s="2">
        <f t="shared" si="10"/>
        <v>137.78566997166607</v>
      </c>
    </row>
    <row r="39" spans="2:19" x14ac:dyDescent="0.25">
      <c r="B39">
        <v>878</v>
      </c>
      <c r="C39" s="27">
        <v>4</v>
      </c>
      <c r="D39" s="39" t="s">
        <v>332</v>
      </c>
      <c r="E39" s="162">
        <f>INDEX('2018 Data Lockdown'!H$5:H$255, MATCH(B39,'2018 Data Lockdown'!B$5:B$255,0))</f>
        <v>7663.1599999999989</v>
      </c>
      <c r="F39" s="7">
        <f>INDEX('2018 Data Lockdown'!E$5:E$255,MATCH(B39,'2018 Data Lockdown'!B$5:B$255,0))</f>
        <v>2910917.69</v>
      </c>
      <c r="G39" s="7">
        <f>INDEX('2018 Data Lockdown'!F$5:F$255, MATCH(B39,'2018 Data Lockdown'!B$5:B$255,0))</f>
        <v>838992.06</v>
      </c>
      <c r="H39" s="7">
        <f t="shared" si="0"/>
        <v>2071925.63</v>
      </c>
      <c r="I39" s="6">
        <f t="shared" si="1"/>
        <v>270.37483622944063</v>
      </c>
      <c r="J39" s="6">
        <f t="shared" si="2"/>
        <v>270.37483622944063</v>
      </c>
      <c r="K39" s="5">
        <f t="shared" si="3"/>
        <v>2071925.63</v>
      </c>
      <c r="L39" s="4">
        <f t="shared" si="4"/>
        <v>0</v>
      </c>
      <c r="M39" s="2">
        <f t="shared" si="5"/>
        <v>415.54724622442467</v>
      </c>
      <c r="N39" s="1">
        <f t="shared" si="6"/>
        <v>15</v>
      </c>
      <c r="O39" s="3">
        <f t="shared" si="7"/>
        <v>21075.028623751739</v>
      </c>
      <c r="P39" s="2">
        <f t="shared" si="8"/>
        <v>131.7744755107955</v>
      </c>
      <c r="Q39" s="2">
        <f t="shared" si="11"/>
        <v>246.67146083474606</v>
      </c>
      <c r="R39" s="2">
        <f t="shared" si="11"/>
        <v>584.42303161410325</v>
      </c>
      <c r="S39" s="2">
        <f t="shared" si="10"/>
        <v>270.37483622944063</v>
      </c>
    </row>
    <row r="40" spans="2:19" x14ac:dyDescent="0.25">
      <c r="B40">
        <v>8</v>
      </c>
      <c r="C40" s="27">
        <v>5</v>
      </c>
      <c r="D40" s="39" t="s">
        <v>333</v>
      </c>
      <c r="E40" s="162">
        <f>INDEX('2018 Data Lockdown'!H$5:H$255, MATCH(B40,'2018 Data Lockdown'!B$5:B$255,0))</f>
        <v>2105.2199999999998</v>
      </c>
      <c r="F40" s="7">
        <f>INDEX('2018 Data Lockdown'!E$5:E$255,MATCH(B40,'2018 Data Lockdown'!B$5:B$255,0))</f>
        <v>627029.25</v>
      </c>
      <c r="G40" s="7">
        <f>INDEX('2018 Data Lockdown'!F$5:F$255, MATCH(B40,'2018 Data Lockdown'!B$5:B$255,0))</f>
        <v>25077.3</v>
      </c>
      <c r="H40" s="7">
        <f t="shared" si="0"/>
        <v>601951.94999999995</v>
      </c>
      <c r="I40" s="6">
        <f t="shared" si="1"/>
        <v>285.93303787727649</v>
      </c>
      <c r="J40" s="6">
        <f t="shared" si="2"/>
        <v>285.93303787727649</v>
      </c>
      <c r="K40" s="5">
        <f t="shared" si="3"/>
        <v>601951.94999999995</v>
      </c>
      <c r="L40" s="4">
        <f t="shared" si="4"/>
        <v>0</v>
      </c>
      <c r="M40" s="2">
        <f t="shared" si="5"/>
        <v>289.31794858935302</v>
      </c>
      <c r="N40" s="1">
        <f t="shared" si="6"/>
        <v>20</v>
      </c>
      <c r="O40" s="3">
        <f t="shared" si="7"/>
        <v>11.457620528730459</v>
      </c>
      <c r="P40" s="2">
        <f t="shared" si="8"/>
        <v>133.22443029464137</v>
      </c>
      <c r="Q40" s="2">
        <f t="shared" si="11"/>
        <v>118.58397137646787</v>
      </c>
      <c r="R40" s="2">
        <f t="shared" si="11"/>
        <v>460.0519258022382</v>
      </c>
      <c r="S40" s="2">
        <f t="shared" si="10"/>
        <v>285.93303787727649</v>
      </c>
    </row>
    <row r="41" spans="2:19" x14ac:dyDescent="0.25">
      <c r="B41">
        <v>41</v>
      </c>
      <c r="C41" s="44">
        <v>5</v>
      </c>
      <c r="D41" s="39" t="s">
        <v>334</v>
      </c>
      <c r="E41" s="162">
        <f>INDEX('2018 Data Lockdown'!H$5:H$255, MATCH(B41,'2018 Data Lockdown'!B$5:B$255,0))</f>
        <v>1688.06</v>
      </c>
      <c r="F41" s="7">
        <f>INDEX('2018 Data Lockdown'!E$5:E$255,MATCH(B41,'2018 Data Lockdown'!B$5:B$255,0))</f>
        <v>652189.06000000006</v>
      </c>
      <c r="G41" s="7">
        <f>INDEX('2018 Data Lockdown'!F$5:F$255, MATCH(B41,'2018 Data Lockdown'!B$5:B$255,0))</f>
        <v>215017.75000000003</v>
      </c>
      <c r="H41" s="7">
        <f t="shared" si="0"/>
        <v>437171.31000000006</v>
      </c>
      <c r="I41" s="6">
        <f t="shared" si="1"/>
        <v>258.97853749274321</v>
      </c>
      <c r="J41" s="6">
        <f t="shared" si="2"/>
        <v>258.97853749274321</v>
      </c>
      <c r="K41" s="5">
        <f t="shared" si="3"/>
        <v>437171.31000000011</v>
      </c>
      <c r="L41" s="4">
        <f t="shared" si="4"/>
        <v>0</v>
      </c>
      <c r="M41" s="2">
        <f t="shared" si="5"/>
        <v>289.31794858935302</v>
      </c>
      <c r="N41" s="1">
        <f t="shared" si="6"/>
        <v>20</v>
      </c>
      <c r="O41" s="3">
        <f t="shared" si="7"/>
        <v>920.47986568909039</v>
      </c>
      <c r="P41" s="2">
        <f t="shared" si="8"/>
        <v>133.22443029464137</v>
      </c>
      <c r="Q41" s="2">
        <f t="shared" si="11"/>
        <v>118.58397137646787</v>
      </c>
      <c r="R41" s="2">
        <f t="shared" si="11"/>
        <v>460.0519258022382</v>
      </c>
      <c r="S41" s="2">
        <f t="shared" si="10"/>
        <v>258.97853749274321</v>
      </c>
    </row>
    <row r="42" spans="2:19" x14ac:dyDescent="0.25">
      <c r="B42">
        <v>56</v>
      </c>
      <c r="C42" s="44">
        <v>5</v>
      </c>
      <c r="D42" s="39" t="s">
        <v>335</v>
      </c>
      <c r="E42" s="162">
        <f>INDEX('2018 Data Lockdown'!H$5:H$255, MATCH(B42,'2018 Data Lockdown'!B$5:B$255,0))</f>
        <v>3016.58</v>
      </c>
      <c r="F42" s="7">
        <f>INDEX('2018 Data Lockdown'!E$5:E$255,MATCH(B42,'2018 Data Lockdown'!B$5:B$255,0))</f>
        <v>561942.06999999995</v>
      </c>
      <c r="G42" s="7">
        <f>INDEX('2018 Data Lockdown'!F$5:F$255, MATCH(B42,'2018 Data Lockdown'!B$5:B$255,0))</f>
        <v>2316.81</v>
      </c>
      <c r="H42" s="7">
        <f t="shared" si="0"/>
        <v>559625.25999999989</v>
      </c>
      <c r="I42" s="6">
        <f t="shared" si="1"/>
        <v>185.51646566641691</v>
      </c>
      <c r="J42" s="6">
        <f t="shared" si="2"/>
        <v>185.51646566641691</v>
      </c>
      <c r="K42" s="5">
        <f t="shared" si="3"/>
        <v>559625.25999999989</v>
      </c>
      <c r="L42" s="4">
        <f t="shared" si="4"/>
        <v>0</v>
      </c>
      <c r="M42" s="2">
        <f t="shared" si="5"/>
        <v>289.31794858935302</v>
      </c>
      <c r="N42" s="1">
        <f t="shared" si="6"/>
        <v>20</v>
      </c>
      <c r="O42" s="3">
        <f t="shared" si="7"/>
        <v>10774.747857000599</v>
      </c>
      <c r="P42" s="2">
        <f t="shared" si="8"/>
        <v>133.22443029464137</v>
      </c>
      <c r="Q42" s="2">
        <f t="shared" si="11"/>
        <v>118.58397137646787</v>
      </c>
      <c r="R42" s="2">
        <f t="shared" si="11"/>
        <v>460.0519258022382</v>
      </c>
      <c r="S42" s="2">
        <f t="shared" si="10"/>
        <v>185.51646566641691</v>
      </c>
    </row>
    <row r="43" spans="2:19" x14ac:dyDescent="0.25">
      <c r="B43">
        <v>67</v>
      </c>
      <c r="C43" s="27">
        <v>5</v>
      </c>
      <c r="D43" s="39" t="s">
        <v>336</v>
      </c>
      <c r="E43" s="162">
        <f>INDEX('2018 Data Lockdown'!H$5:H$255, MATCH(B43,'2018 Data Lockdown'!B$5:B$255,0))</f>
        <v>1474.6758017491509</v>
      </c>
      <c r="F43" s="7">
        <f>INDEX('2018 Data Lockdown'!E$5:E$255,MATCH(B43,'2018 Data Lockdown'!B$5:B$255,0))</f>
        <v>218449.94</v>
      </c>
      <c r="G43" s="7">
        <f>INDEX('2018 Data Lockdown'!F$5:F$255, MATCH(B43,'2018 Data Lockdown'!B$5:B$255,0))</f>
        <v>0</v>
      </c>
      <c r="H43" s="7">
        <f t="shared" si="0"/>
        <v>218449.94</v>
      </c>
      <c r="I43" s="6">
        <f t="shared" si="1"/>
        <v>148.13421345958949</v>
      </c>
      <c r="J43" s="6">
        <f t="shared" si="2"/>
        <v>148.13421345958949</v>
      </c>
      <c r="K43" s="5">
        <f t="shared" si="3"/>
        <v>218449.93999999997</v>
      </c>
      <c r="L43" s="4">
        <f t="shared" si="4"/>
        <v>0</v>
      </c>
      <c r="M43" s="2">
        <f t="shared" si="5"/>
        <v>289.31794858935302</v>
      </c>
      <c r="N43" s="1">
        <f t="shared" si="6"/>
        <v>20</v>
      </c>
      <c r="O43" s="3">
        <f t="shared" si="7"/>
        <v>19932.847065191225</v>
      </c>
      <c r="P43" s="2">
        <f t="shared" si="8"/>
        <v>133.22443029464137</v>
      </c>
      <c r="Q43" s="2">
        <f t="shared" si="11"/>
        <v>118.58397137646787</v>
      </c>
      <c r="R43" s="2">
        <f t="shared" si="11"/>
        <v>460.0519258022382</v>
      </c>
      <c r="S43" s="2">
        <f t="shared" si="10"/>
        <v>148.13421345958949</v>
      </c>
    </row>
    <row r="44" spans="2:19" x14ac:dyDescent="0.25">
      <c r="B44">
        <v>157</v>
      </c>
      <c r="C44" s="27">
        <v>5</v>
      </c>
      <c r="D44" s="39" t="s">
        <v>337</v>
      </c>
      <c r="E44" s="162">
        <f>INDEX('2018 Data Lockdown'!H$5:H$255, MATCH(B44,'2018 Data Lockdown'!B$5:B$255,0))</f>
        <v>446.65493195328992</v>
      </c>
      <c r="F44" s="7">
        <f>INDEX('2018 Data Lockdown'!E$5:E$255,MATCH(B44,'2018 Data Lockdown'!B$5:B$255,0))</f>
        <v>145211.09</v>
      </c>
      <c r="G44" s="7">
        <f>INDEX('2018 Data Lockdown'!F$5:F$255, MATCH(B44,'2018 Data Lockdown'!B$5:B$255,0))</f>
        <v>320</v>
      </c>
      <c r="H44" s="7">
        <f t="shared" si="0"/>
        <v>144891.09</v>
      </c>
      <c r="I44" s="6">
        <f t="shared" si="1"/>
        <v>324.39155964621108</v>
      </c>
      <c r="J44" s="6">
        <f t="shared" si="2"/>
        <v>324.39155964621108</v>
      </c>
      <c r="K44" s="5">
        <f t="shared" si="3"/>
        <v>144891.09</v>
      </c>
      <c r="L44" s="4">
        <f t="shared" si="4"/>
        <v>0</v>
      </c>
      <c r="M44" s="2">
        <f t="shared" si="5"/>
        <v>289.31794858935302</v>
      </c>
      <c r="N44" s="1">
        <f t="shared" si="6"/>
        <v>20</v>
      </c>
      <c r="O44" s="3">
        <f t="shared" si="7"/>
        <v>1230.1581925677556</v>
      </c>
      <c r="P44" s="2">
        <f t="shared" si="8"/>
        <v>133.22443029464137</v>
      </c>
      <c r="Q44" s="2">
        <f t="shared" si="11"/>
        <v>118.58397137646787</v>
      </c>
      <c r="R44" s="2">
        <f t="shared" si="11"/>
        <v>460.0519258022382</v>
      </c>
      <c r="S44" s="2">
        <f t="shared" si="10"/>
        <v>324.39155964621108</v>
      </c>
    </row>
    <row r="45" spans="2:19" x14ac:dyDescent="0.25">
      <c r="B45">
        <v>214</v>
      </c>
      <c r="C45" s="27">
        <v>5</v>
      </c>
      <c r="D45" s="39" t="s">
        <v>338</v>
      </c>
      <c r="E45" s="162">
        <f>INDEX('2018 Data Lockdown'!H$5:H$255, MATCH(B45,'2018 Data Lockdown'!B$5:B$255,0))</f>
        <v>2922.96</v>
      </c>
      <c r="F45" s="7">
        <f>INDEX('2018 Data Lockdown'!E$5:E$255,MATCH(B45,'2018 Data Lockdown'!B$5:B$255,0))</f>
        <v>1677840.57</v>
      </c>
      <c r="G45" s="7">
        <f>INDEX('2018 Data Lockdown'!F$5:F$255, MATCH(B45,'2018 Data Lockdown'!B$5:B$255,0))</f>
        <v>291173.04000000004</v>
      </c>
      <c r="H45" s="7">
        <f t="shared" si="0"/>
        <v>1386667.53</v>
      </c>
      <c r="I45" s="6">
        <f t="shared" si="1"/>
        <v>474.40523647261682</v>
      </c>
      <c r="J45" s="6">
        <f t="shared" si="2"/>
        <v>460.0519258022382</v>
      </c>
      <c r="K45" s="5">
        <f t="shared" si="3"/>
        <v>1344713.3770429101</v>
      </c>
      <c r="L45" s="4">
        <f t="shared" si="4"/>
        <v>0</v>
      </c>
      <c r="M45" s="2">
        <f t="shared" si="5"/>
        <v>289.31794858935302</v>
      </c>
      <c r="N45" s="1">
        <f t="shared" si="6"/>
        <v>20</v>
      </c>
      <c r="O45" s="3">
        <f t="shared" si="7"/>
        <v>34257.304135982173</v>
      </c>
      <c r="P45" s="2">
        <f t="shared" si="8"/>
        <v>133.22443029464137</v>
      </c>
      <c r="Q45" s="2">
        <f t="shared" si="11"/>
        <v>118.58397137646787</v>
      </c>
      <c r="R45" s="2">
        <f t="shared" si="11"/>
        <v>460.0519258022382</v>
      </c>
      <c r="S45" s="2">
        <f t="shared" si="10"/>
        <v>460.0519258022382</v>
      </c>
    </row>
    <row r="46" spans="2:19" x14ac:dyDescent="0.25">
      <c r="B46">
        <v>223</v>
      </c>
      <c r="C46" s="27">
        <v>5</v>
      </c>
      <c r="D46" s="39" t="s">
        <v>339</v>
      </c>
      <c r="E46" s="162">
        <f>INDEX('2018 Data Lockdown'!H$5:H$255, MATCH(B46,'2018 Data Lockdown'!B$5:B$255,0))</f>
        <v>297.74</v>
      </c>
      <c r="F46" s="7">
        <f>INDEX('2018 Data Lockdown'!E$5:E$255,MATCH(B46,'2018 Data Lockdown'!B$5:B$255,0))</f>
        <v>244596.98</v>
      </c>
      <c r="G46" s="7">
        <f>INDEX('2018 Data Lockdown'!F$5:F$255, MATCH(B46,'2018 Data Lockdown'!B$5:B$255,0))</f>
        <v>1303.98</v>
      </c>
      <c r="H46" s="7">
        <f t="shared" si="0"/>
        <v>243293</v>
      </c>
      <c r="I46" s="6">
        <f t="shared" si="1"/>
        <v>817.13239739369919</v>
      </c>
      <c r="J46" s="6">
        <f t="shared" si="2"/>
        <v>460.0519258022382</v>
      </c>
      <c r="K46" s="5">
        <f t="shared" si="3"/>
        <v>136975.86038835841</v>
      </c>
      <c r="L46" s="4">
        <f t="shared" si="4"/>
        <v>0</v>
      </c>
      <c r="M46" s="2">
        <f t="shared" si="5"/>
        <v>289.31794858935302</v>
      </c>
      <c r="N46" s="1">
        <f t="shared" si="6"/>
        <v>20</v>
      </c>
      <c r="O46" s="3">
        <f t="shared" si="7"/>
        <v>278588.09236663574</v>
      </c>
      <c r="P46" s="2">
        <f t="shared" si="8"/>
        <v>133.22443029464137</v>
      </c>
      <c r="Q46" s="2">
        <f t="shared" ref="Q46:R65" si="12">NORMINV(Q$4,$M46,$P46)</f>
        <v>118.58397137646787</v>
      </c>
      <c r="R46" s="2">
        <f t="shared" si="12"/>
        <v>460.0519258022382</v>
      </c>
      <c r="S46" s="2">
        <f t="shared" si="10"/>
        <v>460.0519258022382</v>
      </c>
    </row>
    <row r="47" spans="2:19" x14ac:dyDescent="0.25">
      <c r="B47">
        <v>224</v>
      </c>
      <c r="C47" s="27">
        <v>5</v>
      </c>
      <c r="D47" s="39" t="s">
        <v>340</v>
      </c>
      <c r="E47" s="162">
        <f>INDEX('2018 Data Lockdown'!H$5:H$255, MATCH(B47,'2018 Data Lockdown'!B$5:B$255,0))</f>
        <v>257.07384904737762</v>
      </c>
      <c r="F47" s="7">
        <f>INDEX('2018 Data Lockdown'!E$5:E$255,MATCH(B47,'2018 Data Lockdown'!B$5:B$255,0))</f>
        <v>73965.39</v>
      </c>
      <c r="G47" s="7">
        <f>INDEX('2018 Data Lockdown'!F$5:F$255, MATCH(B47,'2018 Data Lockdown'!B$5:B$255,0))</f>
        <v>245</v>
      </c>
      <c r="H47" s="7">
        <f t="shared" si="0"/>
        <v>73720.39</v>
      </c>
      <c r="I47" s="6">
        <f t="shared" si="1"/>
        <v>286.76736382631299</v>
      </c>
      <c r="J47" s="6">
        <f t="shared" si="2"/>
        <v>286.76736382631299</v>
      </c>
      <c r="K47" s="5">
        <f t="shared" si="3"/>
        <v>73720.39</v>
      </c>
      <c r="L47" s="4">
        <f t="shared" si="4"/>
        <v>0</v>
      </c>
      <c r="M47" s="2">
        <f t="shared" si="5"/>
        <v>289.31794858935302</v>
      </c>
      <c r="N47" s="1">
        <f t="shared" si="6"/>
        <v>20</v>
      </c>
      <c r="O47" s="3">
        <f t="shared" si="7"/>
        <v>6.5054826334519928</v>
      </c>
      <c r="P47" s="2">
        <f t="shared" si="8"/>
        <v>133.22443029464137</v>
      </c>
      <c r="Q47" s="2">
        <f t="shared" si="12"/>
        <v>118.58397137646787</v>
      </c>
      <c r="R47" s="2">
        <f t="shared" si="12"/>
        <v>460.0519258022382</v>
      </c>
      <c r="S47" s="2">
        <f t="shared" si="10"/>
        <v>286.76736382631299</v>
      </c>
    </row>
    <row r="48" spans="2:19" x14ac:dyDescent="0.25">
      <c r="B48">
        <v>233</v>
      </c>
      <c r="C48" s="44">
        <v>5</v>
      </c>
      <c r="D48" s="39" t="s">
        <v>341</v>
      </c>
      <c r="E48" s="162">
        <f>INDEX('2018 Data Lockdown'!H$5:H$255, MATCH(B48,'2018 Data Lockdown'!B$5:B$255,0))</f>
        <v>2096.4900000000002</v>
      </c>
      <c r="F48" s="7">
        <f>INDEX('2018 Data Lockdown'!E$5:E$255,MATCH(B48,'2018 Data Lockdown'!B$5:B$255,0))</f>
        <v>657892.93999999994</v>
      </c>
      <c r="G48" s="7">
        <f>INDEX('2018 Data Lockdown'!F$5:F$255, MATCH(B48,'2018 Data Lockdown'!B$5:B$255,0))</f>
        <v>285320.61</v>
      </c>
      <c r="H48" s="7">
        <f t="shared" si="0"/>
        <v>372572.32999999996</v>
      </c>
      <c r="I48" s="6">
        <f t="shared" si="1"/>
        <v>177.71242886920516</v>
      </c>
      <c r="J48" s="6">
        <f t="shared" si="2"/>
        <v>177.71242886920516</v>
      </c>
      <c r="K48" s="5">
        <f t="shared" si="3"/>
        <v>372572.32999999996</v>
      </c>
      <c r="L48" s="4">
        <f t="shared" si="4"/>
        <v>0</v>
      </c>
      <c r="M48" s="2">
        <f t="shared" si="5"/>
        <v>289.31794858935302</v>
      </c>
      <c r="N48" s="1">
        <f t="shared" si="6"/>
        <v>20</v>
      </c>
      <c r="O48" s="3">
        <f t="shared" si="7"/>
        <v>12455.792032004314</v>
      </c>
      <c r="P48" s="2">
        <f t="shared" si="8"/>
        <v>133.22443029464137</v>
      </c>
      <c r="Q48" s="2">
        <f t="shared" si="12"/>
        <v>118.58397137646787</v>
      </c>
      <c r="R48" s="2">
        <f t="shared" si="12"/>
        <v>460.0519258022382</v>
      </c>
      <c r="S48" s="2">
        <f t="shared" si="10"/>
        <v>177.71242886920516</v>
      </c>
    </row>
    <row r="49" spans="2:19" x14ac:dyDescent="0.25">
      <c r="B49">
        <v>272</v>
      </c>
      <c r="C49" s="27">
        <v>5</v>
      </c>
      <c r="D49" s="39" t="s">
        <v>342</v>
      </c>
      <c r="E49" s="162">
        <f>INDEX('2018 Data Lockdown'!H$5:H$255, MATCH(B49,'2018 Data Lockdown'!B$5:B$255,0))</f>
        <v>365.3662530466043</v>
      </c>
      <c r="F49" s="7">
        <f>INDEX('2018 Data Lockdown'!E$5:E$255,MATCH(B49,'2018 Data Lockdown'!B$5:B$255,0))</f>
        <v>79352.12</v>
      </c>
      <c r="G49" s="7">
        <f>INDEX('2018 Data Lockdown'!F$5:F$255, MATCH(B49,'2018 Data Lockdown'!B$5:B$255,0))</f>
        <v>0</v>
      </c>
      <c r="H49" s="7">
        <f t="shared" si="0"/>
        <v>79352.12</v>
      </c>
      <c r="I49" s="6">
        <f t="shared" si="1"/>
        <v>217.18513775786028</v>
      </c>
      <c r="J49" s="6">
        <f t="shared" si="2"/>
        <v>217.18513775786028</v>
      </c>
      <c r="K49" s="5">
        <f t="shared" si="3"/>
        <v>79352.12</v>
      </c>
      <c r="L49" s="4">
        <f t="shared" si="4"/>
        <v>0</v>
      </c>
      <c r="M49" s="2">
        <f t="shared" si="5"/>
        <v>289.31794858935302</v>
      </c>
      <c r="N49" s="1">
        <f t="shared" si="6"/>
        <v>20</v>
      </c>
      <c r="O49" s="3">
        <f t="shared" si="7"/>
        <v>5203.1423984519179</v>
      </c>
      <c r="P49" s="2">
        <f t="shared" si="8"/>
        <v>133.22443029464137</v>
      </c>
      <c r="Q49" s="2">
        <f t="shared" si="12"/>
        <v>118.58397137646787</v>
      </c>
      <c r="R49" s="2">
        <f t="shared" si="12"/>
        <v>460.0519258022382</v>
      </c>
      <c r="S49" s="2">
        <f t="shared" si="10"/>
        <v>217.18513775786028</v>
      </c>
    </row>
    <row r="50" spans="2:19" x14ac:dyDescent="0.25">
      <c r="B50">
        <v>427</v>
      </c>
      <c r="C50" s="27">
        <v>5</v>
      </c>
      <c r="D50" s="39" t="s">
        <v>343</v>
      </c>
      <c r="E50" s="162">
        <f>INDEX('2018 Data Lockdown'!H$5:H$255, MATCH(B50,'2018 Data Lockdown'!B$5:B$255,0))</f>
        <v>444.9199999999999</v>
      </c>
      <c r="F50" s="7">
        <f>INDEX('2018 Data Lockdown'!E$5:E$255,MATCH(B50,'2018 Data Lockdown'!B$5:B$255,0))</f>
        <v>198493.19</v>
      </c>
      <c r="G50" s="7">
        <f>INDEX('2018 Data Lockdown'!F$5:F$255, MATCH(B50,'2018 Data Lockdown'!B$5:B$255,0))</f>
        <v>56867.6</v>
      </c>
      <c r="H50" s="7">
        <f t="shared" si="0"/>
        <v>141625.59</v>
      </c>
      <c r="I50" s="6">
        <f t="shared" si="1"/>
        <v>318.31697833318356</v>
      </c>
      <c r="J50" s="6">
        <f t="shared" si="2"/>
        <v>318.31697833318356</v>
      </c>
      <c r="K50" s="5">
        <f t="shared" si="3"/>
        <v>141625.59</v>
      </c>
      <c r="L50" s="4">
        <f t="shared" si="4"/>
        <v>0</v>
      </c>
      <c r="M50" s="2">
        <f t="shared" si="5"/>
        <v>289.31794858935302</v>
      </c>
      <c r="N50" s="1">
        <f t="shared" si="6"/>
        <v>20</v>
      </c>
      <c r="O50" s="3">
        <f t="shared" si="7"/>
        <v>840.94372608356798</v>
      </c>
      <c r="P50" s="2">
        <f t="shared" si="8"/>
        <v>133.22443029464137</v>
      </c>
      <c r="Q50" s="2">
        <f t="shared" si="12"/>
        <v>118.58397137646787</v>
      </c>
      <c r="R50" s="2">
        <f t="shared" si="12"/>
        <v>460.0519258022382</v>
      </c>
      <c r="S50" s="2">
        <f t="shared" si="10"/>
        <v>318.31697833318356</v>
      </c>
    </row>
    <row r="51" spans="2:19" x14ac:dyDescent="0.25">
      <c r="B51">
        <v>524</v>
      </c>
      <c r="C51" s="27">
        <v>5</v>
      </c>
      <c r="D51" s="39" t="s">
        <v>344</v>
      </c>
      <c r="E51" s="162">
        <f>INDEX('2018 Data Lockdown'!H$5:H$255, MATCH(B51,'2018 Data Lockdown'!B$5:B$255,0))</f>
        <v>503.24541510407607</v>
      </c>
      <c r="F51" s="7">
        <f>INDEX('2018 Data Lockdown'!E$5:E$255,MATCH(B51,'2018 Data Lockdown'!B$5:B$255,0))</f>
        <v>234790.57</v>
      </c>
      <c r="G51" s="7">
        <f>INDEX('2018 Data Lockdown'!F$5:F$255, MATCH(B51,'2018 Data Lockdown'!B$5:B$255,0))</f>
        <v>453.75</v>
      </c>
      <c r="H51" s="7">
        <f t="shared" si="0"/>
        <v>234336.82</v>
      </c>
      <c r="I51" s="6">
        <f t="shared" si="1"/>
        <v>465.65117727210065</v>
      </c>
      <c r="J51" s="6">
        <f t="shared" si="2"/>
        <v>460.0519258022382</v>
      </c>
      <c r="K51" s="5">
        <f t="shared" si="3"/>
        <v>231519.02236977697</v>
      </c>
      <c r="L51" s="4">
        <f t="shared" si="4"/>
        <v>0</v>
      </c>
      <c r="M51" s="2">
        <f t="shared" si="5"/>
        <v>289.31794858935302</v>
      </c>
      <c r="N51" s="1">
        <f t="shared" si="6"/>
        <v>20</v>
      </c>
      <c r="O51" s="3">
        <f t="shared" si="7"/>
        <v>31093.407537682171</v>
      </c>
      <c r="P51" s="2">
        <f t="shared" si="8"/>
        <v>133.22443029464137</v>
      </c>
      <c r="Q51" s="2">
        <f t="shared" si="12"/>
        <v>118.58397137646787</v>
      </c>
      <c r="R51" s="2">
        <f t="shared" si="12"/>
        <v>460.0519258022382</v>
      </c>
      <c r="S51" s="2">
        <f t="shared" si="10"/>
        <v>460.0519258022382</v>
      </c>
    </row>
    <row r="52" spans="2:19" x14ac:dyDescent="0.25">
      <c r="B52">
        <v>565</v>
      </c>
      <c r="C52" s="27">
        <v>5</v>
      </c>
      <c r="D52" s="39" t="s">
        <v>345</v>
      </c>
      <c r="E52" s="162">
        <f>INDEX('2018 Data Lockdown'!H$5:H$255, MATCH(B52,'2018 Data Lockdown'!B$5:B$255,0))</f>
        <v>471.64773139908056</v>
      </c>
      <c r="F52" s="7">
        <f>INDEX('2018 Data Lockdown'!E$5:E$255,MATCH(B52,'2018 Data Lockdown'!B$5:B$255,0))</f>
        <v>165733.01</v>
      </c>
      <c r="G52" s="7">
        <f>INDEX('2018 Data Lockdown'!F$5:F$255, MATCH(B52,'2018 Data Lockdown'!B$5:B$255,0))</f>
        <v>710</v>
      </c>
      <c r="H52" s="7">
        <f t="shared" si="0"/>
        <v>165023.01</v>
      </c>
      <c r="I52" s="6">
        <f t="shared" si="1"/>
        <v>349.8861523418783</v>
      </c>
      <c r="J52" s="6">
        <f t="shared" si="2"/>
        <v>349.8861523418783</v>
      </c>
      <c r="K52" s="5">
        <f t="shared" si="3"/>
        <v>165023.01</v>
      </c>
      <c r="L52" s="4">
        <f t="shared" si="4"/>
        <v>0</v>
      </c>
      <c r="M52" s="2">
        <f t="shared" si="5"/>
        <v>289.31794858935302</v>
      </c>
      <c r="N52" s="1">
        <f t="shared" si="6"/>
        <v>20</v>
      </c>
      <c r="O52" s="3">
        <f t="shared" si="7"/>
        <v>3668.5073058074172</v>
      </c>
      <c r="P52" s="2">
        <f t="shared" si="8"/>
        <v>133.22443029464137</v>
      </c>
      <c r="Q52" s="2">
        <f t="shared" si="12"/>
        <v>118.58397137646787</v>
      </c>
      <c r="R52" s="2">
        <f t="shared" si="12"/>
        <v>460.0519258022382</v>
      </c>
      <c r="S52" s="2">
        <f t="shared" si="10"/>
        <v>349.8861523418783</v>
      </c>
    </row>
    <row r="53" spans="2:19" x14ac:dyDescent="0.25">
      <c r="B53">
        <v>696</v>
      </c>
      <c r="C53" s="27">
        <v>5</v>
      </c>
      <c r="D53" s="39" t="s">
        <v>347</v>
      </c>
      <c r="E53" s="162">
        <f>INDEX('2018 Data Lockdown'!H$5:H$255, MATCH(B53,'2018 Data Lockdown'!B$5:B$255,0))</f>
        <v>295.10104095842627</v>
      </c>
      <c r="F53" s="7">
        <f>INDEX('2018 Data Lockdown'!E$5:E$255,MATCH(B53,'2018 Data Lockdown'!B$5:B$255,0))</f>
        <v>126909.24</v>
      </c>
      <c r="G53" s="7">
        <f>INDEX('2018 Data Lockdown'!F$5:F$255, MATCH(B53,'2018 Data Lockdown'!B$5:B$255,0))</f>
        <v>38.94</v>
      </c>
      <c r="H53" s="7">
        <f t="shared" si="0"/>
        <v>126870.3</v>
      </c>
      <c r="I53" s="6">
        <f t="shared" si="1"/>
        <v>429.92156038471393</v>
      </c>
      <c r="J53" s="6">
        <f t="shared" si="2"/>
        <v>429.92156038471393</v>
      </c>
      <c r="K53" s="5">
        <f t="shared" si="3"/>
        <v>126870.3</v>
      </c>
      <c r="L53" s="4">
        <f t="shared" si="4"/>
        <v>0</v>
      </c>
      <c r="M53" s="2">
        <f t="shared" si="5"/>
        <v>289.31794858935302</v>
      </c>
      <c r="N53" s="1">
        <f t="shared" si="6"/>
        <v>20</v>
      </c>
      <c r="O53" s="3">
        <f t="shared" si="7"/>
        <v>19769.375649900554</v>
      </c>
      <c r="P53" s="2">
        <f t="shared" si="8"/>
        <v>133.22443029464137</v>
      </c>
      <c r="Q53" s="2">
        <f t="shared" si="12"/>
        <v>118.58397137646787</v>
      </c>
      <c r="R53" s="2">
        <f t="shared" si="12"/>
        <v>460.0519258022382</v>
      </c>
      <c r="S53" s="2">
        <f t="shared" si="10"/>
        <v>429.92156038471393</v>
      </c>
    </row>
    <row r="54" spans="2:19" x14ac:dyDescent="0.25">
      <c r="B54">
        <v>731</v>
      </c>
      <c r="C54" s="27">
        <v>5</v>
      </c>
      <c r="D54" s="39" t="s">
        <v>348</v>
      </c>
      <c r="E54" s="162">
        <f>INDEX('2018 Data Lockdown'!H$5:H$255, MATCH(B54,'2018 Data Lockdown'!B$5:B$255,0))</f>
        <v>859.8900000000001</v>
      </c>
      <c r="F54" s="7">
        <f>INDEX('2018 Data Lockdown'!E$5:E$255,MATCH(B54,'2018 Data Lockdown'!B$5:B$255,0))</f>
        <v>227370.13</v>
      </c>
      <c r="G54" s="7">
        <f>INDEX('2018 Data Lockdown'!F$5:F$255, MATCH(B54,'2018 Data Lockdown'!B$5:B$255,0))</f>
        <v>35311</v>
      </c>
      <c r="H54" s="7">
        <f t="shared" si="0"/>
        <v>192059.13</v>
      </c>
      <c r="I54" s="6">
        <f t="shared" si="1"/>
        <v>223.35313819209432</v>
      </c>
      <c r="J54" s="6">
        <f t="shared" si="2"/>
        <v>223.35313819209432</v>
      </c>
      <c r="K54" s="5">
        <f t="shared" si="3"/>
        <v>192059.13</v>
      </c>
      <c r="L54" s="4">
        <f t="shared" si="4"/>
        <v>0</v>
      </c>
      <c r="M54" s="2">
        <f t="shared" si="5"/>
        <v>289.31794858935302</v>
      </c>
      <c r="N54" s="1">
        <f t="shared" si="6"/>
        <v>20</v>
      </c>
      <c r="O54" s="3">
        <f t="shared" si="7"/>
        <v>4351.3562107462894</v>
      </c>
      <c r="P54" s="2">
        <f t="shared" si="8"/>
        <v>133.22443029464137</v>
      </c>
      <c r="Q54" s="2">
        <f t="shared" si="12"/>
        <v>118.58397137646787</v>
      </c>
      <c r="R54" s="2">
        <f t="shared" si="12"/>
        <v>460.0519258022382</v>
      </c>
      <c r="S54" s="2">
        <f t="shared" si="10"/>
        <v>223.35313819209432</v>
      </c>
    </row>
    <row r="55" spans="2:19" x14ac:dyDescent="0.25">
      <c r="B55">
        <v>732</v>
      </c>
      <c r="C55" s="27">
        <v>5</v>
      </c>
      <c r="D55" s="39" t="s">
        <v>349</v>
      </c>
      <c r="E55" s="162">
        <f>INDEX('2018 Data Lockdown'!H$5:H$255, MATCH(B55,'2018 Data Lockdown'!B$5:B$255,0))</f>
        <v>215.10540422039867</v>
      </c>
      <c r="F55" s="7">
        <f>INDEX('2018 Data Lockdown'!E$5:E$255,MATCH(B55,'2018 Data Lockdown'!B$5:B$255,0))</f>
        <v>69856.94</v>
      </c>
      <c r="G55" s="7">
        <f>INDEX('2018 Data Lockdown'!F$5:F$255, MATCH(B55,'2018 Data Lockdown'!B$5:B$255,0))</f>
        <v>0</v>
      </c>
      <c r="H55" s="7">
        <f t="shared" si="0"/>
        <v>69856.94</v>
      </c>
      <c r="I55" s="6">
        <f t="shared" si="1"/>
        <v>324.75678727450304</v>
      </c>
      <c r="J55" s="6">
        <f t="shared" si="2"/>
        <v>324.75678727450304</v>
      </c>
      <c r="K55" s="5">
        <f t="shared" si="3"/>
        <v>69856.94</v>
      </c>
      <c r="L55" s="4">
        <f t="shared" si="4"/>
        <v>0</v>
      </c>
      <c r="M55" s="2">
        <f t="shared" si="5"/>
        <v>289.31794858935302</v>
      </c>
      <c r="N55" s="1">
        <f t="shared" si="6"/>
        <v>20</v>
      </c>
      <c r="O55" s="3">
        <f t="shared" si="7"/>
        <v>1255.9112873520853</v>
      </c>
      <c r="P55" s="2">
        <f t="shared" si="8"/>
        <v>133.22443029464137</v>
      </c>
      <c r="Q55" s="2">
        <f t="shared" si="12"/>
        <v>118.58397137646787</v>
      </c>
      <c r="R55" s="2">
        <f t="shared" si="12"/>
        <v>460.0519258022382</v>
      </c>
      <c r="S55" s="2">
        <f t="shared" si="10"/>
        <v>324.75678727450304</v>
      </c>
    </row>
    <row r="56" spans="2:19" x14ac:dyDescent="0.25">
      <c r="B56">
        <v>754</v>
      </c>
      <c r="C56" s="27">
        <v>5</v>
      </c>
      <c r="D56" s="39" t="s">
        <v>350</v>
      </c>
      <c r="E56" s="162">
        <f>INDEX('2018 Data Lockdown'!H$5:H$255, MATCH(B56,'2018 Data Lockdown'!B$5:B$255,0))</f>
        <v>114.00956480658041</v>
      </c>
      <c r="F56" s="7">
        <f>INDEX('2018 Data Lockdown'!E$5:E$255,MATCH(B56,'2018 Data Lockdown'!B$5:B$255,0))</f>
        <v>34950.230000000003</v>
      </c>
      <c r="G56" s="7">
        <f>INDEX('2018 Data Lockdown'!F$5:F$255, MATCH(B56,'2018 Data Lockdown'!B$5:B$255,0))</f>
        <v>0</v>
      </c>
      <c r="H56" s="7">
        <f t="shared" si="0"/>
        <v>34950.230000000003</v>
      </c>
      <c r="I56" s="6">
        <f t="shared" si="1"/>
        <v>306.55524437176643</v>
      </c>
      <c r="J56" s="6">
        <f t="shared" si="2"/>
        <v>306.55524437176643</v>
      </c>
      <c r="K56" s="5">
        <f t="shared" si="3"/>
        <v>34950.230000000003</v>
      </c>
      <c r="L56" s="4">
        <f t="shared" si="4"/>
        <v>0</v>
      </c>
      <c r="M56" s="2">
        <f t="shared" si="5"/>
        <v>289.31794858935302</v>
      </c>
      <c r="N56" s="1">
        <f t="shared" si="6"/>
        <v>20</v>
      </c>
      <c r="O56" s="3">
        <f t="shared" si="7"/>
        <v>297.1243658904072</v>
      </c>
      <c r="P56" s="2">
        <f t="shared" si="8"/>
        <v>133.22443029464137</v>
      </c>
      <c r="Q56" s="2">
        <f t="shared" si="12"/>
        <v>118.58397137646787</v>
      </c>
      <c r="R56" s="2">
        <f t="shared" si="12"/>
        <v>460.0519258022382</v>
      </c>
      <c r="S56" s="2">
        <f t="shared" si="10"/>
        <v>306.55524437176643</v>
      </c>
    </row>
    <row r="57" spans="2:19" x14ac:dyDescent="0.25">
      <c r="B57">
        <v>885</v>
      </c>
      <c r="C57" s="27">
        <v>5</v>
      </c>
      <c r="D57" s="39" t="s">
        <v>351</v>
      </c>
      <c r="E57" s="162">
        <f>INDEX('2018 Data Lockdown'!H$5:H$255, MATCH(B57,'2018 Data Lockdown'!B$5:B$255,0))</f>
        <v>442.78000000000003</v>
      </c>
      <c r="F57" s="7">
        <f>INDEX('2018 Data Lockdown'!E$5:E$255,MATCH(B57,'2018 Data Lockdown'!B$5:B$255,0))</f>
        <v>148663.73000000001</v>
      </c>
      <c r="G57" s="7">
        <f>INDEX('2018 Data Lockdown'!F$5:F$255, MATCH(B57,'2018 Data Lockdown'!B$5:B$255,0))</f>
        <v>61071.180000000008</v>
      </c>
      <c r="H57" s="7">
        <f t="shared" si="0"/>
        <v>87592.55</v>
      </c>
      <c r="I57" s="6">
        <f t="shared" si="1"/>
        <v>197.82408871222728</v>
      </c>
      <c r="J57" s="6">
        <f t="shared" si="2"/>
        <v>197.82408871222728</v>
      </c>
      <c r="K57" s="5">
        <f t="shared" si="3"/>
        <v>87592.55</v>
      </c>
      <c r="L57" s="4">
        <f t="shared" si="4"/>
        <v>0</v>
      </c>
      <c r="M57" s="2">
        <f t="shared" si="5"/>
        <v>289.31794858935302</v>
      </c>
      <c r="N57" s="1">
        <f t="shared" si="6"/>
        <v>20</v>
      </c>
      <c r="O57" s="3">
        <f t="shared" si="7"/>
        <v>8371.1263952151203</v>
      </c>
      <c r="P57" s="2">
        <f t="shared" si="8"/>
        <v>133.22443029464137</v>
      </c>
      <c r="Q57" s="2">
        <f t="shared" si="12"/>
        <v>118.58397137646787</v>
      </c>
      <c r="R57" s="2">
        <f t="shared" si="12"/>
        <v>460.0519258022382</v>
      </c>
      <c r="S57" s="2">
        <f t="shared" si="10"/>
        <v>197.82408871222728</v>
      </c>
    </row>
    <row r="58" spans="2:19" x14ac:dyDescent="0.25">
      <c r="B58">
        <v>909</v>
      </c>
      <c r="C58" s="27">
        <v>5</v>
      </c>
      <c r="D58" s="39" t="s">
        <v>352</v>
      </c>
      <c r="E58" s="162">
        <f>INDEX('2018 Data Lockdown'!H$5:H$255, MATCH(B58,'2018 Data Lockdown'!B$5:B$255,0))</f>
        <v>496.92000000000007</v>
      </c>
      <c r="F58" s="7">
        <f>INDEX('2018 Data Lockdown'!E$5:E$255,MATCH(B58,'2018 Data Lockdown'!B$5:B$255,0))</f>
        <v>238013.06</v>
      </c>
      <c r="G58" s="7">
        <f>INDEX('2018 Data Lockdown'!F$5:F$255, MATCH(B58,'2018 Data Lockdown'!B$5:B$255,0))</f>
        <v>67250.02</v>
      </c>
      <c r="H58" s="7">
        <f t="shared" si="0"/>
        <v>170763.03999999998</v>
      </c>
      <c r="I58" s="6">
        <f t="shared" si="1"/>
        <v>343.64292038959985</v>
      </c>
      <c r="J58" s="6">
        <f t="shared" si="2"/>
        <v>343.64292038959985</v>
      </c>
      <c r="K58" s="5">
        <f t="shared" si="3"/>
        <v>170763.03999999998</v>
      </c>
      <c r="L58" s="4">
        <f t="shared" si="4"/>
        <v>0</v>
      </c>
      <c r="M58" s="2">
        <f t="shared" si="5"/>
        <v>289.31794858935302</v>
      </c>
      <c r="N58" s="1">
        <f t="shared" si="6"/>
        <v>20</v>
      </c>
      <c r="O58" s="3">
        <f t="shared" si="7"/>
        <v>2951.2025610976129</v>
      </c>
      <c r="P58" s="2">
        <f t="shared" si="8"/>
        <v>133.22443029464137</v>
      </c>
      <c r="Q58" s="2">
        <f t="shared" si="12"/>
        <v>118.58397137646787</v>
      </c>
      <c r="R58" s="2">
        <f t="shared" si="12"/>
        <v>460.0519258022382</v>
      </c>
      <c r="S58" s="2">
        <f t="shared" si="10"/>
        <v>343.64292038959985</v>
      </c>
    </row>
    <row r="59" spans="2:19" x14ac:dyDescent="0.25">
      <c r="B59">
        <v>923</v>
      </c>
      <c r="C59" s="27">
        <v>5</v>
      </c>
      <c r="D59" s="39" t="s">
        <v>353</v>
      </c>
      <c r="E59" s="162">
        <f>INDEX('2018 Data Lockdown'!H$5:H$255, MATCH(B59,'2018 Data Lockdown'!B$5:B$255,0))</f>
        <v>49.064782259954448</v>
      </c>
      <c r="F59" s="7">
        <f>INDEX('2018 Data Lockdown'!E$5:E$255,MATCH(B59,'2018 Data Lockdown'!B$5:B$255,0))</f>
        <v>30138.59</v>
      </c>
      <c r="G59" s="7">
        <f>INDEX('2018 Data Lockdown'!F$5:F$255, MATCH(B59,'2018 Data Lockdown'!B$5:B$255,0))</f>
        <v>156</v>
      </c>
      <c r="H59" s="7">
        <f t="shared" si="0"/>
        <v>29982.59</v>
      </c>
      <c r="I59" s="6">
        <f t="shared" si="1"/>
        <v>611.0816887181237</v>
      </c>
      <c r="J59" s="6">
        <f t="shared" si="2"/>
        <v>460.0519258022382</v>
      </c>
      <c r="K59" s="5">
        <f t="shared" si="3"/>
        <v>22572.347567759538</v>
      </c>
      <c r="L59" s="4">
        <f t="shared" si="4"/>
        <v>0</v>
      </c>
      <c r="M59" s="2">
        <f t="shared" si="5"/>
        <v>289.31794858935302</v>
      </c>
      <c r="N59" s="1">
        <f t="shared" si="6"/>
        <v>20</v>
      </c>
      <c r="O59" s="3">
        <f t="shared" si="7"/>
        <v>103531.90446165507</v>
      </c>
      <c r="P59" s="2">
        <f t="shared" si="8"/>
        <v>133.22443029464137</v>
      </c>
      <c r="Q59" s="2">
        <f t="shared" si="12"/>
        <v>118.58397137646787</v>
      </c>
      <c r="R59" s="2">
        <f t="shared" si="12"/>
        <v>460.0519258022382</v>
      </c>
      <c r="S59" s="2">
        <f t="shared" si="10"/>
        <v>460.0519258022382</v>
      </c>
    </row>
    <row r="60" spans="2:19" x14ac:dyDescent="0.25">
      <c r="B60">
        <v>394</v>
      </c>
      <c r="C60" s="27">
        <v>6</v>
      </c>
      <c r="D60" s="39" t="s">
        <v>354</v>
      </c>
      <c r="E60" s="162">
        <f>INDEX('2018 Data Lockdown'!H$5:H$255, MATCH(B60,'2018 Data Lockdown'!B$5:B$255,0))</f>
        <v>634.74</v>
      </c>
      <c r="F60" s="7">
        <f>INDEX('2018 Data Lockdown'!E$5:E$255,MATCH(B60,'2018 Data Lockdown'!B$5:B$255,0))</f>
        <v>378356.65</v>
      </c>
      <c r="G60" s="7">
        <f>INDEX('2018 Data Lockdown'!F$5:F$255, MATCH(B60,'2018 Data Lockdown'!B$5:B$255,0))</f>
        <v>36610</v>
      </c>
      <c r="H60" s="7">
        <f t="shared" si="0"/>
        <v>341746.65</v>
      </c>
      <c r="I60" s="6">
        <f t="shared" si="1"/>
        <v>538.40414973059842</v>
      </c>
      <c r="J60" s="6">
        <f t="shared" si="2"/>
        <v>538.40414973059842</v>
      </c>
      <c r="K60" s="5">
        <f t="shared" si="3"/>
        <v>341746.65</v>
      </c>
      <c r="L60" s="4">
        <f t="shared" si="4"/>
        <v>0</v>
      </c>
      <c r="M60" s="2">
        <f t="shared" si="5"/>
        <v>698.28388420281556</v>
      </c>
      <c r="N60" s="1">
        <f t="shared" si="6"/>
        <v>47</v>
      </c>
      <c r="O60" s="3">
        <f t="shared" si="7"/>
        <v>25561.529494906656</v>
      </c>
      <c r="P60" s="2">
        <f t="shared" si="8"/>
        <v>459.92964168861073</v>
      </c>
      <c r="Q60" s="2">
        <f t="shared" si="12"/>
        <v>108.86033185640929</v>
      </c>
      <c r="R60" s="2">
        <f t="shared" si="12"/>
        <v>1287.7074365492217</v>
      </c>
      <c r="S60" s="2">
        <f t="shared" si="10"/>
        <v>538.40414973059842</v>
      </c>
    </row>
    <row r="61" spans="2:19" x14ac:dyDescent="0.25">
      <c r="B61">
        <v>414</v>
      </c>
      <c r="C61" s="27">
        <v>6</v>
      </c>
      <c r="D61" s="39" t="s">
        <v>355</v>
      </c>
      <c r="E61" s="162">
        <f>INDEX('2018 Data Lockdown'!H$5:H$255, MATCH(B61,'2018 Data Lockdown'!B$5:B$255,0))</f>
        <v>248.32677336420244</v>
      </c>
      <c r="F61" s="7">
        <f>INDEX('2018 Data Lockdown'!E$5:E$255,MATCH(B61,'2018 Data Lockdown'!B$5:B$255,0))</f>
        <v>283141.53000000003</v>
      </c>
      <c r="G61" s="7">
        <f>INDEX('2018 Data Lockdown'!F$5:F$255, MATCH(B61,'2018 Data Lockdown'!B$5:B$255,0))</f>
        <v>10663.29</v>
      </c>
      <c r="H61" s="7">
        <f t="shared" si="0"/>
        <v>272478.24000000005</v>
      </c>
      <c r="I61" s="6">
        <f t="shared" si="1"/>
        <v>1097.2567971975234</v>
      </c>
      <c r="J61" s="6">
        <f t="shared" si="2"/>
        <v>1097.2567971975234</v>
      </c>
      <c r="K61" s="5">
        <f t="shared" si="3"/>
        <v>272478.24000000005</v>
      </c>
      <c r="L61" s="4">
        <f t="shared" si="4"/>
        <v>0</v>
      </c>
      <c r="M61" s="2">
        <f t="shared" si="5"/>
        <v>698.28388420281556</v>
      </c>
      <c r="N61" s="1">
        <f t="shared" si="6"/>
        <v>47</v>
      </c>
      <c r="O61" s="3">
        <f t="shared" si="7"/>
        <v>159179.3853034827</v>
      </c>
      <c r="P61" s="2">
        <f t="shared" si="8"/>
        <v>459.92964168861073</v>
      </c>
      <c r="Q61" s="2">
        <f t="shared" si="12"/>
        <v>108.86033185640929</v>
      </c>
      <c r="R61" s="2">
        <f t="shared" si="12"/>
        <v>1287.7074365492217</v>
      </c>
      <c r="S61" s="2">
        <f t="shared" si="10"/>
        <v>1097.2567971975234</v>
      </c>
    </row>
    <row r="62" spans="2:19" x14ac:dyDescent="0.25">
      <c r="B62">
        <v>426</v>
      </c>
      <c r="C62" s="27">
        <v>6</v>
      </c>
      <c r="D62" s="39" t="s">
        <v>356</v>
      </c>
      <c r="E62" s="162">
        <f>INDEX('2018 Data Lockdown'!H$5:H$255, MATCH(B62,'2018 Data Lockdown'!B$5:B$255,0))</f>
        <v>398.46987658571351</v>
      </c>
      <c r="F62" s="7">
        <f>INDEX('2018 Data Lockdown'!E$5:E$255,MATCH(B62,'2018 Data Lockdown'!B$5:B$255,0))</f>
        <v>106980.28</v>
      </c>
      <c r="G62" s="7">
        <f>INDEX('2018 Data Lockdown'!F$5:F$255, MATCH(B62,'2018 Data Lockdown'!B$5:B$255,0))</f>
        <v>0</v>
      </c>
      <c r="H62" s="7">
        <f t="shared" si="0"/>
        <v>106980.28</v>
      </c>
      <c r="I62" s="6">
        <f t="shared" si="1"/>
        <v>268.47771007600329</v>
      </c>
      <c r="J62" s="6">
        <f t="shared" si="2"/>
        <v>268.47771007600329</v>
      </c>
      <c r="K62" s="5">
        <f t="shared" si="3"/>
        <v>106980.28</v>
      </c>
      <c r="L62" s="4">
        <f t="shared" si="4"/>
        <v>0</v>
      </c>
      <c r="M62" s="2">
        <f t="shared" si="5"/>
        <v>698.28388420281556</v>
      </c>
      <c r="N62" s="1">
        <f t="shared" si="6"/>
        <v>47</v>
      </c>
      <c r="O62" s="3">
        <f t="shared" si="7"/>
        <v>184733.34731752766</v>
      </c>
      <c r="P62" s="2">
        <f t="shared" si="8"/>
        <v>459.92964168861073</v>
      </c>
      <c r="Q62" s="2">
        <f t="shared" si="12"/>
        <v>108.86033185640929</v>
      </c>
      <c r="R62" s="2">
        <f t="shared" si="12"/>
        <v>1287.7074365492217</v>
      </c>
      <c r="S62" s="2">
        <f t="shared" si="10"/>
        <v>268.47771007600329</v>
      </c>
    </row>
    <row r="63" spans="2:19" x14ac:dyDescent="0.25">
      <c r="B63">
        <v>430</v>
      </c>
      <c r="C63" s="27">
        <v>6</v>
      </c>
      <c r="D63" s="39" t="s">
        <v>357</v>
      </c>
      <c r="E63" s="162">
        <f>INDEX('2018 Data Lockdown'!H$5:H$255, MATCH(B63,'2018 Data Lockdown'!B$5:B$255,0))</f>
        <v>2885.2977142676095</v>
      </c>
      <c r="F63" s="7">
        <f>INDEX('2018 Data Lockdown'!E$5:E$255,MATCH(B63,'2018 Data Lockdown'!B$5:B$255,0))</f>
        <v>1674152.86</v>
      </c>
      <c r="G63" s="7">
        <f>INDEX('2018 Data Lockdown'!F$5:F$255, MATCH(B63,'2018 Data Lockdown'!B$5:B$255,0))</f>
        <v>100</v>
      </c>
      <c r="H63" s="7">
        <f t="shared" si="0"/>
        <v>1674052.86</v>
      </c>
      <c r="I63" s="6">
        <f t="shared" si="1"/>
        <v>580.20108348678116</v>
      </c>
      <c r="J63" s="6">
        <f t="shared" si="2"/>
        <v>580.20108348678116</v>
      </c>
      <c r="K63" s="5">
        <f t="shared" si="3"/>
        <v>1674052.86</v>
      </c>
      <c r="L63" s="4">
        <f t="shared" si="4"/>
        <v>0</v>
      </c>
      <c r="M63" s="2">
        <f t="shared" si="5"/>
        <v>698.28388420281556</v>
      </c>
      <c r="N63" s="1">
        <f t="shared" si="6"/>
        <v>47</v>
      </c>
      <c r="O63" s="3">
        <f t="shared" si="7"/>
        <v>13943.547824942694</v>
      </c>
      <c r="P63" s="2">
        <f t="shared" si="8"/>
        <v>459.92964168861073</v>
      </c>
      <c r="Q63" s="2">
        <f t="shared" si="12"/>
        <v>108.86033185640929</v>
      </c>
      <c r="R63" s="2">
        <f t="shared" si="12"/>
        <v>1287.7074365492217</v>
      </c>
      <c r="S63" s="2">
        <f t="shared" si="10"/>
        <v>580.20108348678116</v>
      </c>
    </row>
    <row r="64" spans="2:19" x14ac:dyDescent="0.25">
      <c r="B64">
        <v>443</v>
      </c>
      <c r="C64" s="27">
        <v>6</v>
      </c>
      <c r="D64" s="39" t="s">
        <v>358</v>
      </c>
      <c r="E64" s="162">
        <f>INDEX('2018 Data Lockdown'!H$5:H$255, MATCH(B64,'2018 Data Lockdown'!B$5:B$255,0))</f>
        <v>11.627319147048576</v>
      </c>
      <c r="F64" s="7">
        <f>INDEX('2018 Data Lockdown'!E$5:E$255,MATCH(B64,'2018 Data Lockdown'!B$5:B$255,0))</f>
        <v>15830.2</v>
      </c>
      <c r="G64" s="7">
        <f>INDEX('2018 Data Lockdown'!F$5:F$255, MATCH(B64,'2018 Data Lockdown'!B$5:B$255,0))</f>
        <v>0</v>
      </c>
      <c r="H64" s="7">
        <f t="shared" si="0"/>
        <v>15830.2</v>
      </c>
      <c r="I64" s="6">
        <f t="shared" si="1"/>
        <v>1361.4660266737637</v>
      </c>
      <c r="J64" s="6">
        <f t="shared" si="2"/>
        <v>1287.7074365492217</v>
      </c>
      <c r="K64" s="5">
        <f t="shared" si="3"/>
        <v>14972.585332785606</v>
      </c>
      <c r="L64" s="4">
        <f t="shared" si="4"/>
        <v>0</v>
      </c>
      <c r="M64" s="2">
        <f t="shared" si="5"/>
        <v>698.28388420281556</v>
      </c>
      <c r="N64" s="1">
        <f t="shared" si="6"/>
        <v>47</v>
      </c>
      <c r="O64" s="3">
        <f t="shared" si="7"/>
        <v>439810.55409235699</v>
      </c>
      <c r="P64" s="2">
        <f t="shared" si="8"/>
        <v>459.92964168861073</v>
      </c>
      <c r="Q64" s="2">
        <f t="shared" si="12"/>
        <v>108.86033185640929</v>
      </c>
      <c r="R64" s="2">
        <f t="shared" si="12"/>
        <v>1287.7074365492217</v>
      </c>
      <c r="S64" s="2">
        <f t="shared" si="10"/>
        <v>1287.7074365492217</v>
      </c>
    </row>
    <row r="65" spans="2:19" x14ac:dyDescent="0.25">
      <c r="B65">
        <v>562</v>
      </c>
      <c r="C65" s="27">
        <v>6</v>
      </c>
      <c r="D65" s="39" t="s">
        <v>359</v>
      </c>
      <c r="E65" s="162">
        <f>INDEX('2018 Data Lockdown'!H$5:H$255, MATCH(B65,'2018 Data Lockdown'!B$5:B$255,0))</f>
        <v>55.566474597654711</v>
      </c>
      <c r="F65" s="7">
        <f>INDEX('2018 Data Lockdown'!E$5:E$255,MATCH(B65,'2018 Data Lockdown'!B$5:B$255,0))</f>
        <v>47597.599999999999</v>
      </c>
      <c r="G65" s="7">
        <f>INDEX('2018 Data Lockdown'!F$5:F$255, MATCH(B65,'2018 Data Lockdown'!B$5:B$255,0))</f>
        <v>0</v>
      </c>
      <c r="H65" s="7">
        <f t="shared" si="0"/>
        <v>47597.599999999999</v>
      </c>
      <c r="I65" s="6">
        <f t="shared" si="1"/>
        <v>856.58844374497971</v>
      </c>
      <c r="J65" s="6">
        <f t="shared" si="2"/>
        <v>856.58844374497971</v>
      </c>
      <c r="K65" s="5">
        <f t="shared" si="3"/>
        <v>47597.599999999999</v>
      </c>
      <c r="L65" s="4">
        <f t="shared" si="4"/>
        <v>0</v>
      </c>
      <c r="M65" s="2">
        <f t="shared" si="5"/>
        <v>698.28388420281556</v>
      </c>
      <c r="N65" s="1">
        <f t="shared" si="6"/>
        <v>47</v>
      </c>
      <c r="O65" s="3">
        <f t="shared" si="7"/>
        <v>25060.333571838597</v>
      </c>
      <c r="P65" s="2">
        <f t="shared" si="8"/>
        <v>459.92964168861073</v>
      </c>
      <c r="Q65" s="2">
        <f t="shared" si="12"/>
        <v>108.86033185640929</v>
      </c>
      <c r="R65" s="2">
        <f t="shared" si="12"/>
        <v>1287.7074365492217</v>
      </c>
      <c r="S65" s="2">
        <f t="shared" si="10"/>
        <v>856.58844374497971</v>
      </c>
    </row>
    <row r="66" spans="2:19" x14ac:dyDescent="0.25">
      <c r="B66">
        <v>603</v>
      </c>
      <c r="C66" s="27">
        <v>6</v>
      </c>
      <c r="D66" s="39" t="s">
        <v>360</v>
      </c>
      <c r="E66" s="162">
        <f>INDEX('2018 Data Lockdown'!H$5:H$255, MATCH(B66,'2018 Data Lockdown'!B$5:B$255,0))</f>
        <v>109.56634963052151</v>
      </c>
      <c r="F66" s="7">
        <f>INDEX('2018 Data Lockdown'!E$5:E$255,MATCH(B66,'2018 Data Lockdown'!B$5:B$255,0))</f>
        <v>85628.45</v>
      </c>
      <c r="G66" s="7">
        <f>INDEX('2018 Data Lockdown'!F$5:F$255, MATCH(B66,'2018 Data Lockdown'!B$5:B$255,0))</f>
        <v>0</v>
      </c>
      <c r="H66" s="7">
        <f t="shared" si="0"/>
        <v>85628.45</v>
      </c>
      <c r="I66" s="6">
        <f t="shared" si="1"/>
        <v>781.52142778102359</v>
      </c>
      <c r="J66" s="6">
        <f t="shared" si="2"/>
        <v>781.52142778102359</v>
      </c>
      <c r="K66" s="5">
        <f t="shared" si="3"/>
        <v>85628.45</v>
      </c>
      <c r="L66" s="4">
        <f t="shared" si="4"/>
        <v>0</v>
      </c>
      <c r="M66" s="2">
        <f t="shared" si="5"/>
        <v>698.28388420281556</v>
      </c>
      <c r="N66" s="1">
        <f t="shared" si="6"/>
        <v>47</v>
      </c>
      <c r="O66" s="3">
        <f t="shared" si="7"/>
        <v>6928.4886609340811</v>
      </c>
      <c r="P66" s="2">
        <f t="shared" si="8"/>
        <v>459.92964168861073</v>
      </c>
      <c r="Q66" s="2">
        <f t="shared" ref="Q66:R85" si="13">NORMINV(Q$4,$M66,$P66)</f>
        <v>108.86033185640929</v>
      </c>
      <c r="R66" s="2">
        <f t="shared" si="13"/>
        <v>1287.7074365492217</v>
      </c>
      <c r="S66" s="2">
        <f t="shared" si="10"/>
        <v>781.52142778102359</v>
      </c>
    </row>
    <row r="67" spans="2:19" x14ac:dyDescent="0.25">
      <c r="B67">
        <v>618</v>
      </c>
      <c r="C67" s="27">
        <v>6</v>
      </c>
      <c r="D67" s="39" t="s">
        <v>361</v>
      </c>
      <c r="E67" s="162">
        <f>INDEX('2018 Data Lockdown'!H$5:H$255, MATCH(B67,'2018 Data Lockdown'!B$5:B$255,0))</f>
        <v>22.913731248399976</v>
      </c>
      <c r="F67" s="7">
        <f>INDEX('2018 Data Lockdown'!E$5:E$255,MATCH(B67,'2018 Data Lockdown'!B$5:B$255,0))</f>
        <v>16335.8</v>
      </c>
      <c r="G67" s="7">
        <f>INDEX('2018 Data Lockdown'!F$5:F$255, MATCH(B67,'2018 Data Lockdown'!B$5:B$255,0))</f>
        <v>0</v>
      </c>
      <c r="H67" s="7">
        <f t="shared" si="0"/>
        <v>16335.8</v>
      </c>
      <c r="I67" s="6">
        <f t="shared" si="1"/>
        <v>712.9262285094095</v>
      </c>
      <c r="J67" s="6">
        <f t="shared" si="2"/>
        <v>712.9262285094095</v>
      </c>
      <c r="K67" s="5">
        <f t="shared" si="3"/>
        <v>16335.8</v>
      </c>
      <c r="L67" s="4">
        <f t="shared" si="4"/>
        <v>0</v>
      </c>
      <c r="M67" s="2">
        <f t="shared" si="5"/>
        <v>698.28388420281556</v>
      </c>
      <c r="N67" s="1">
        <f t="shared" si="6"/>
        <v>47</v>
      </c>
      <c r="O67" s="3">
        <f t="shared" si="7"/>
        <v>214.39824679284399</v>
      </c>
      <c r="P67" s="2">
        <f t="shared" si="8"/>
        <v>459.92964168861073</v>
      </c>
      <c r="Q67" s="2">
        <f t="shared" si="13"/>
        <v>108.86033185640929</v>
      </c>
      <c r="R67" s="2">
        <f t="shared" si="13"/>
        <v>1287.7074365492217</v>
      </c>
      <c r="S67" s="2">
        <f t="shared" si="10"/>
        <v>712.9262285094095</v>
      </c>
    </row>
    <row r="68" spans="2:19" x14ac:dyDescent="0.25">
      <c r="B68">
        <v>620</v>
      </c>
      <c r="C68" s="27">
        <v>6</v>
      </c>
      <c r="D68" s="39" t="s">
        <v>362</v>
      </c>
      <c r="E68" s="162">
        <f>INDEX('2018 Data Lockdown'!H$5:H$255, MATCH(B68,'2018 Data Lockdown'!B$5:B$255,0))</f>
        <v>247.11841445539267</v>
      </c>
      <c r="F68" s="7">
        <f>INDEX('2018 Data Lockdown'!E$5:E$255,MATCH(B68,'2018 Data Lockdown'!B$5:B$255,0))</f>
        <v>118610.13</v>
      </c>
      <c r="G68" s="7">
        <f>INDEX('2018 Data Lockdown'!F$5:F$255, MATCH(B68,'2018 Data Lockdown'!B$5:B$255,0))</f>
        <v>0</v>
      </c>
      <c r="H68" s="7">
        <f t="shared" si="0"/>
        <v>118610.13</v>
      </c>
      <c r="I68" s="6">
        <f t="shared" si="1"/>
        <v>479.97285132067856</v>
      </c>
      <c r="J68" s="6">
        <f t="shared" si="2"/>
        <v>479.97285132067856</v>
      </c>
      <c r="K68" s="5">
        <f t="shared" si="3"/>
        <v>118610.13</v>
      </c>
      <c r="L68" s="4">
        <f t="shared" si="4"/>
        <v>0</v>
      </c>
      <c r="M68" s="2">
        <f t="shared" si="5"/>
        <v>698.28388420281556</v>
      </c>
      <c r="N68" s="1">
        <f t="shared" si="6"/>
        <v>47</v>
      </c>
      <c r="O68" s="3">
        <f t="shared" si="7"/>
        <v>47659.707078065505</v>
      </c>
      <c r="P68" s="2">
        <f t="shared" si="8"/>
        <v>459.92964168861073</v>
      </c>
      <c r="Q68" s="2">
        <f t="shared" si="13"/>
        <v>108.86033185640929</v>
      </c>
      <c r="R68" s="2">
        <f t="shared" si="13"/>
        <v>1287.7074365492217</v>
      </c>
      <c r="S68" s="2">
        <f t="shared" si="10"/>
        <v>479.97285132067856</v>
      </c>
    </row>
    <row r="69" spans="2:19" x14ac:dyDescent="0.25">
      <c r="B69">
        <v>622</v>
      </c>
      <c r="C69" s="27">
        <v>6</v>
      </c>
      <c r="D69" s="39" t="s">
        <v>363</v>
      </c>
      <c r="E69" s="162">
        <f>INDEX('2018 Data Lockdown'!H$5:H$255, MATCH(B69,'2018 Data Lockdown'!B$5:B$255,0))</f>
        <v>117.76088798616892</v>
      </c>
      <c r="F69" s="7">
        <f>INDEX('2018 Data Lockdown'!E$5:E$255,MATCH(B69,'2018 Data Lockdown'!B$5:B$255,0))</f>
        <v>80933.14</v>
      </c>
      <c r="G69" s="7">
        <f>INDEX('2018 Data Lockdown'!F$5:F$255, MATCH(B69,'2018 Data Lockdown'!B$5:B$255,0))</f>
        <v>715</v>
      </c>
      <c r="H69" s="7">
        <f t="shared" si="0"/>
        <v>80218.14</v>
      </c>
      <c r="I69" s="6">
        <f t="shared" si="1"/>
        <v>681.19510112238333</v>
      </c>
      <c r="J69" s="6">
        <f t="shared" si="2"/>
        <v>681.19510112238333</v>
      </c>
      <c r="K69" s="5">
        <f t="shared" si="3"/>
        <v>80218.14</v>
      </c>
      <c r="L69" s="4">
        <f t="shared" si="4"/>
        <v>0</v>
      </c>
      <c r="M69" s="2">
        <f t="shared" si="5"/>
        <v>698.28388420281556</v>
      </c>
      <c r="N69" s="1">
        <f t="shared" si="6"/>
        <v>47</v>
      </c>
      <c r="O69" s="3">
        <f t="shared" si="7"/>
        <v>292.02650717006657</v>
      </c>
      <c r="P69" s="2">
        <f t="shared" si="8"/>
        <v>459.92964168861073</v>
      </c>
      <c r="Q69" s="2">
        <f t="shared" si="13"/>
        <v>108.86033185640929</v>
      </c>
      <c r="R69" s="2">
        <f t="shared" si="13"/>
        <v>1287.7074365492217</v>
      </c>
      <c r="S69" s="2">
        <f t="shared" si="10"/>
        <v>681.19510112238333</v>
      </c>
    </row>
    <row r="70" spans="2:19" x14ac:dyDescent="0.25">
      <c r="B70">
        <v>623</v>
      </c>
      <c r="C70" s="27">
        <v>6</v>
      </c>
      <c r="D70" s="39" t="s">
        <v>364</v>
      </c>
      <c r="E70" s="162">
        <f>INDEX('2018 Data Lockdown'!H$5:H$255, MATCH(B70,'2018 Data Lockdown'!B$5:B$255,0))</f>
        <v>238.88534218865161</v>
      </c>
      <c r="F70" s="7">
        <f>INDEX('2018 Data Lockdown'!E$5:E$255,MATCH(B70,'2018 Data Lockdown'!B$5:B$255,0))</f>
        <v>85871.33</v>
      </c>
      <c r="G70" s="7">
        <f>INDEX('2018 Data Lockdown'!F$5:F$255, MATCH(B70,'2018 Data Lockdown'!B$5:B$255,0))</f>
        <v>0</v>
      </c>
      <c r="H70" s="7">
        <f t="shared" ref="H70:H133" si="14">F70-G70</f>
        <v>85871.33</v>
      </c>
      <c r="I70" s="6">
        <f t="shared" ref="I70:I133" si="15">H70/E70</f>
        <v>359.4667182726767</v>
      </c>
      <c r="J70" s="6">
        <f t="shared" ref="J70:J133" si="16">IF(ISERROR(IF($J$2=1,MAX(MIN(I70,R70),Q70),MIN(I70,R70))),R70,IF($J$2=1,MAX(MIN(I70,R70),Q70),MIN(I70,R70)))</f>
        <v>359.4667182726767</v>
      </c>
      <c r="K70" s="5">
        <f t="shared" ref="K70:K133" si="17">J70*E70</f>
        <v>85871.33</v>
      </c>
      <c r="L70" s="4">
        <f t="shared" ref="L70:L133" si="18">IF(ISERROR(I70),1,0)</f>
        <v>0</v>
      </c>
      <c r="M70" s="2">
        <f t="shared" ref="M70:M133" si="19">SUMPRODUCT(--($L$6:$L$297&lt;&gt;1),--($C$6:$C$297=$C70),$H$6:$H$297)/SUMPRODUCT(--($L$6:$L$297&lt;&gt;1),--($C$6:$C$297=$C70),$E$6:$E$297)</f>
        <v>698.28388420281556</v>
      </c>
      <c r="N70" s="1">
        <f t="shared" ref="N70:N133" si="20">SUMPRODUCT(--($L$6:$L$297&lt;&gt;1),--($C$6:$C$297=$C70),--($L$6:$L$297&lt;&gt;1))</f>
        <v>47</v>
      </c>
      <c r="O70" s="3">
        <f t="shared" ref="O70:O133" si="21">IF(ISERROR((I70-M70)^2),0,(I70-M70)^2)</f>
        <v>114797.07192893124</v>
      </c>
      <c r="P70" s="2">
        <f t="shared" ref="P70:P133" si="22">SQRT(SUMPRODUCT(--($L$6:$L$297&lt;&gt;1),--($C$6:$C$297=$C70),$E$6:$E$297,$O$6:$O$297)/((N70-1)*SUMPRODUCT(--($L$6:$L$297&lt;&gt;1),--($C$6:$C$297=$C70),$E$6:$E$297)/N70))</f>
        <v>459.92964168861073</v>
      </c>
      <c r="Q70" s="2">
        <f t="shared" si="13"/>
        <v>108.86033185640929</v>
      </c>
      <c r="R70" s="2">
        <f t="shared" si="13"/>
        <v>1287.7074365492217</v>
      </c>
      <c r="S70" s="2">
        <f t="shared" ref="S70:S133" si="23">IF($J$2=1,MAX(MIN(I70,R70),Q70),MIN(R70,I70))</f>
        <v>359.4667182726767</v>
      </c>
    </row>
    <row r="71" spans="2:19" x14ac:dyDescent="0.25">
      <c r="B71">
        <v>626</v>
      </c>
      <c r="C71" s="27">
        <v>6</v>
      </c>
      <c r="D71" s="39" t="s">
        <v>365</v>
      </c>
      <c r="E71" s="162">
        <f>INDEX('2018 Data Lockdown'!H$5:H$255, MATCH(B71,'2018 Data Lockdown'!B$5:B$255,0))</f>
        <v>22.444815850951411</v>
      </c>
      <c r="F71" s="7">
        <f>INDEX('2018 Data Lockdown'!E$5:E$255,MATCH(B71,'2018 Data Lockdown'!B$5:B$255,0))</f>
        <v>17594.09</v>
      </c>
      <c r="G71" s="7">
        <f>INDEX('2018 Data Lockdown'!F$5:F$255, MATCH(B71,'2018 Data Lockdown'!B$5:B$255,0))</f>
        <v>0</v>
      </c>
      <c r="H71" s="7">
        <f t="shared" si="14"/>
        <v>17594.09</v>
      </c>
      <c r="I71" s="6">
        <f t="shared" si="15"/>
        <v>783.88212747373495</v>
      </c>
      <c r="J71" s="6">
        <f t="shared" si="16"/>
        <v>783.88212747373495</v>
      </c>
      <c r="K71" s="5">
        <f t="shared" si="17"/>
        <v>17594.09</v>
      </c>
      <c r="L71" s="4">
        <f t="shared" si="18"/>
        <v>0</v>
      </c>
      <c r="M71" s="2">
        <f t="shared" si="19"/>
        <v>698.28388420281556</v>
      </c>
      <c r="N71" s="1">
        <f t="shared" si="20"/>
        <v>47</v>
      </c>
      <c r="O71" s="3">
        <f t="shared" si="21"/>
        <v>7327.0592510674978</v>
      </c>
      <c r="P71" s="2">
        <f t="shared" si="22"/>
        <v>459.92964168861073</v>
      </c>
      <c r="Q71" s="2">
        <f t="shared" si="13"/>
        <v>108.86033185640929</v>
      </c>
      <c r="R71" s="2">
        <f t="shared" si="13"/>
        <v>1287.7074365492217</v>
      </c>
      <c r="S71" s="2">
        <f t="shared" si="23"/>
        <v>783.88212747373495</v>
      </c>
    </row>
    <row r="72" spans="2:19" x14ac:dyDescent="0.25">
      <c r="B72">
        <v>627</v>
      </c>
      <c r="C72" s="27">
        <v>6</v>
      </c>
      <c r="D72" s="39" t="s">
        <v>366</v>
      </c>
      <c r="E72" s="162">
        <f>INDEX('2018 Data Lockdown'!H$5:H$255, MATCH(B72,'2018 Data Lockdown'!B$5:B$255,0))</f>
        <v>172.58791907246243</v>
      </c>
      <c r="F72" s="7">
        <f>INDEX('2018 Data Lockdown'!E$5:E$255,MATCH(B72,'2018 Data Lockdown'!B$5:B$255,0))</f>
        <v>78681.460000000006</v>
      </c>
      <c r="G72" s="7">
        <f>INDEX('2018 Data Lockdown'!F$5:F$255, MATCH(B72,'2018 Data Lockdown'!B$5:B$255,0))</f>
        <v>0</v>
      </c>
      <c r="H72" s="7">
        <f t="shared" si="14"/>
        <v>78681.460000000006</v>
      </c>
      <c r="I72" s="6">
        <f t="shared" si="15"/>
        <v>455.89204866051466</v>
      </c>
      <c r="J72" s="6">
        <f t="shared" si="16"/>
        <v>455.89204866051466</v>
      </c>
      <c r="K72" s="5">
        <f t="shared" si="17"/>
        <v>78681.460000000006</v>
      </c>
      <c r="L72" s="4">
        <f t="shared" si="18"/>
        <v>0</v>
      </c>
      <c r="M72" s="2">
        <f t="shared" si="19"/>
        <v>698.28388420281556</v>
      </c>
      <c r="N72" s="1">
        <f t="shared" si="20"/>
        <v>47</v>
      </c>
      <c r="O72" s="3">
        <f t="shared" si="21"/>
        <v>58753.80193756584</v>
      </c>
      <c r="P72" s="2">
        <f t="shared" si="22"/>
        <v>459.92964168861073</v>
      </c>
      <c r="Q72" s="2">
        <f t="shared" si="13"/>
        <v>108.86033185640929</v>
      </c>
      <c r="R72" s="2">
        <f t="shared" si="13"/>
        <v>1287.7074365492217</v>
      </c>
      <c r="S72" s="2">
        <f t="shared" si="23"/>
        <v>455.89204866051466</v>
      </c>
    </row>
    <row r="73" spans="2:19" x14ac:dyDescent="0.25">
      <c r="B73">
        <v>634</v>
      </c>
      <c r="C73" s="27">
        <v>6</v>
      </c>
      <c r="D73" s="39" t="s">
        <v>367</v>
      </c>
      <c r="E73" s="162">
        <f>INDEX('2018 Data Lockdown'!H$5:H$255, MATCH(B73,'2018 Data Lockdown'!B$5:B$255,0))</f>
        <v>648.63374679368712</v>
      </c>
      <c r="F73" s="7">
        <f>INDEX('2018 Data Lockdown'!E$5:E$255,MATCH(B73,'2018 Data Lockdown'!B$5:B$255,0))</f>
        <v>582665.36</v>
      </c>
      <c r="G73" s="7">
        <f>INDEX('2018 Data Lockdown'!F$5:F$255, MATCH(B73,'2018 Data Lockdown'!B$5:B$255,0))</f>
        <v>0</v>
      </c>
      <c r="H73" s="7">
        <f t="shared" si="14"/>
        <v>582665.36</v>
      </c>
      <c r="I73" s="6">
        <f t="shared" si="15"/>
        <v>898.29640051912088</v>
      </c>
      <c r="J73" s="6">
        <f t="shared" si="16"/>
        <v>898.29640051912088</v>
      </c>
      <c r="K73" s="5">
        <f t="shared" si="17"/>
        <v>582665.36</v>
      </c>
      <c r="L73" s="4">
        <f t="shared" si="18"/>
        <v>0</v>
      </c>
      <c r="M73" s="2">
        <f t="shared" si="19"/>
        <v>698.28388420281556</v>
      </c>
      <c r="N73" s="1">
        <f t="shared" si="20"/>
        <v>47</v>
      </c>
      <c r="O73" s="3">
        <f t="shared" si="21"/>
        <v>40005.006683180305</v>
      </c>
      <c r="P73" s="2">
        <f t="shared" si="22"/>
        <v>459.92964168861073</v>
      </c>
      <c r="Q73" s="2">
        <f t="shared" si="13"/>
        <v>108.86033185640929</v>
      </c>
      <c r="R73" s="2">
        <f t="shared" si="13"/>
        <v>1287.7074365492217</v>
      </c>
      <c r="S73" s="2">
        <f t="shared" si="23"/>
        <v>898.29640051912088</v>
      </c>
    </row>
    <row r="74" spans="2:19" x14ac:dyDescent="0.25">
      <c r="B74">
        <v>636</v>
      </c>
      <c r="C74" s="27">
        <v>6</v>
      </c>
      <c r="D74" s="39" t="s">
        <v>558</v>
      </c>
      <c r="E74" s="162">
        <f>INDEX('2018 Data Lockdown'!H$5:H$255, MATCH(B74,'2018 Data Lockdown'!B$5:B$255,0))</f>
        <v>72.113777565310741</v>
      </c>
      <c r="F74" s="7">
        <f>INDEX('2018 Data Lockdown'!E$5:E$255,MATCH(B74,'2018 Data Lockdown'!B$5:B$255,0))</f>
        <v>74827.44</v>
      </c>
      <c r="G74" s="7">
        <f>INDEX('2018 Data Lockdown'!F$5:F$255, MATCH(B74,'2018 Data Lockdown'!B$5:B$255,0))</f>
        <v>76212</v>
      </c>
      <c r="H74" s="7">
        <f t="shared" si="14"/>
        <v>-1384.5599999999977</v>
      </c>
      <c r="I74" s="6">
        <f t="shared" si="15"/>
        <v>-19.199659853431665</v>
      </c>
      <c r="J74" s="6">
        <f t="shared" si="16"/>
        <v>-19.199659853431665</v>
      </c>
      <c r="K74" s="5">
        <f t="shared" si="17"/>
        <v>-1384.5599999999977</v>
      </c>
      <c r="L74" s="213">
        <v>1</v>
      </c>
      <c r="M74" s="2">
        <f t="shared" si="19"/>
        <v>698.28388420281556</v>
      </c>
      <c r="N74" s="1">
        <f t="shared" si="20"/>
        <v>47</v>
      </c>
      <c r="O74" s="3">
        <f t="shared" si="21"/>
        <v>514782.6359915128</v>
      </c>
      <c r="P74" s="2">
        <f t="shared" si="22"/>
        <v>459.92964168861073</v>
      </c>
      <c r="Q74" s="2">
        <f t="shared" si="13"/>
        <v>108.86033185640929</v>
      </c>
      <c r="R74" s="2">
        <f t="shared" si="13"/>
        <v>1287.7074365492217</v>
      </c>
      <c r="S74" s="2">
        <f t="shared" si="23"/>
        <v>-19.199659853431665</v>
      </c>
    </row>
    <row r="75" spans="2:19" x14ac:dyDescent="0.25">
      <c r="B75">
        <v>694</v>
      </c>
      <c r="C75" s="27">
        <v>6</v>
      </c>
      <c r="D75" s="39" t="s">
        <v>368</v>
      </c>
      <c r="E75" s="162">
        <f>INDEX('2018 Data Lockdown'!H$5:H$255, MATCH(B75,'2018 Data Lockdown'!B$5:B$255,0))</f>
        <v>10.25564638073009</v>
      </c>
      <c r="F75" s="7">
        <f>INDEX('2018 Data Lockdown'!E$5:E$255,MATCH(B75,'2018 Data Lockdown'!B$5:B$255,0))</f>
        <v>60191.32</v>
      </c>
      <c r="G75" s="7">
        <f>INDEX('2018 Data Lockdown'!F$5:F$255, MATCH(B75,'2018 Data Lockdown'!B$5:B$255,0))</f>
        <v>0</v>
      </c>
      <c r="H75" s="7">
        <f t="shared" si="14"/>
        <v>60191.32</v>
      </c>
      <c r="I75" s="6">
        <f t="shared" si="15"/>
        <v>5869.0908174346623</v>
      </c>
      <c r="J75" s="6">
        <f t="shared" si="16"/>
        <v>1287.7074365492217</v>
      </c>
      <c r="K75" s="5">
        <f t="shared" si="17"/>
        <v>13206.272111085247</v>
      </c>
      <c r="L75" s="4">
        <f t="shared" si="18"/>
        <v>0</v>
      </c>
      <c r="M75" s="2">
        <f t="shared" si="19"/>
        <v>698.28388420281556</v>
      </c>
      <c r="N75" s="1">
        <f t="shared" si="20"/>
        <v>47</v>
      </c>
      <c r="O75" s="3">
        <f t="shared" si="21"/>
        <v>26737244.340758532</v>
      </c>
      <c r="P75" s="2">
        <f t="shared" si="22"/>
        <v>459.92964168861073</v>
      </c>
      <c r="Q75" s="2">
        <f t="shared" si="13"/>
        <v>108.86033185640929</v>
      </c>
      <c r="R75" s="2">
        <f t="shared" si="13"/>
        <v>1287.7074365492217</v>
      </c>
      <c r="S75" s="2">
        <f t="shared" si="23"/>
        <v>1287.7074365492217</v>
      </c>
    </row>
    <row r="76" spans="2:19" x14ac:dyDescent="0.25">
      <c r="B76">
        <v>706</v>
      </c>
      <c r="C76" s="27">
        <v>6</v>
      </c>
      <c r="D76" s="39" t="s">
        <v>476</v>
      </c>
      <c r="E76" s="162">
        <f>INDEX('2018 Data Lockdown'!H$5:H$255, MATCH(B76,'2018 Data Lockdown'!B$5:B$255,0))</f>
        <v>61.701349959338025</v>
      </c>
      <c r="F76" s="7">
        <f>INDEX('2018 Data Lockdown'!E$5:E$255,MATCH(B76,'2018 Data Lockdown'!B$5:B$255,0))</f>
        <v>61219.35</v>
      </c>
      <c r="G76" s="7">
        <f>INDEX('2018 Data Lockdown'!F$5:F$255, MATCH(B76,'2018 Data Lockdown'!B$5:B$255,0))</f>
        <v>0</v>
      </c>
      <c r="H76" s="7">
        <f t="shared" si="14"/>
        <v>61219.35</v>
      </c>
      <c r="I76" s="6">
        <f t="shared" si="15"/>
        <v>992.18817806003153</v>
      </c>
      <c r="J76" s="6">
        <f t="shared" si="16"/>
        <v>992.18817806003153</v>
      </c>
      <c r="K76" s="5">
        <f t="shared" si="17"/>
        <v>61219.35</v>
      </c>
      <c r="L76" s="4">
        <f t="shared" si="18"/>
        <v>0</v>
      </c>
      <c r="M76" s="2">
        <f t="shared" si="19"/>
        <v>698.28388420281556</v>
      </c>
      <c r="N76" s="1">
        <f t="shared" si="20"/>
        <v>47</v>
      </c>
      <c r="O76" s="3">
        <f t="shared" si="21"/>
        <v>86379.733947708766</v>
      </c>
      <c r="P76" s="2">
        <f t="shared" si="22"/>
        <v>459.92964168861073</v>
      </c>
      <c r="Q76" s="2">
        <f t="shared" si="13"/>
        <v>108.86033185640929</v>
      </c>
      <c r="R76" s="2">
        <f t="shared" si="13"/>
        <v>1287.7074365492217</v>
      </c>
      <c r="S76" s="2">
        <f t="shared" si="23"/>
        <v>992.18817806003153</v>
      </c>
    </row>
    <row r="77" spans="2:19" x14ac:dyDescent="0.25">
      <c r="B77">
        <v>710</v>
      </c>
      <c r="C77" s="27">
        <v>6</v>
      </c>
      <c r="D77" s="39" t="s">
        <v>370</v>
      </c>
      <c r="E77" s="162">
        <f>INDEX('2018 Data Lockdown'!H$5:H$255, MATCH(B77,'2018 Data Lockdown'!B$5:B$255,0))</f>
        <v>73.989999999999995</v>
      </c>
      <c r="F77" s="7">
        <f>INDEX('2018 Data Lockdown'!E$5:E$255,MATCH(B77,'2018 Data Lockdown'!B$5:B$255,0))</f>
        <v>49597.59</v>
      </c>
      <c r="G77" s="7">
        <f>INDEX('2018 Data Lockdown'!F$5:F$255, MATCH(B77,'2018 Data Lockdown'!B$5:B$255,0))</f>
        <v>0</v>
      </c>
      <c r="H77" s="7">
        <f t="shared" si="14"/>
        <v>49597.59</v>
      </c>
      <c r="I77" s="6">
        <f t="shared" si="15"/>
        <v>670.32828760643326</v>
      </c>
      <c r="J77" s="6">
        <f t="shared" si="16"/>
        <v>670.32828760643326</v>
      </c>
      <c r="K77" s="5">
        <f t="shared" si="17"/>
        <v>49597.59</v>
      </c>
      <c r="L77" s="4">
        <f t="shared" si="18"/>
        <v>0</v>
      </c>
      <c r="M77" s="2">
        <f t="shared" si="19"/>
        <v>698.28388420281556</v>
      </c>
      <c r="N77" s="1">
        <f t="shared" si="20"/>
        <v>47</v>
      </c>
      <c r="O77" s="3">
        <f t="shared" si="21"/>
        <v>781.51538105966119</v>
      </c>
      <c r="P77" s="2">
        <f t="shared" si="22"/>
        <v>459.92964168861073</v>
      </c>
      <c r="Q77" s="2">
        <f t="shared" si="13"/>
        <v>108.86033185640929</v>
      </c>
      <c r="R77" s="2">
        <f t="shared" si="13"/>
        <v>1287.7074365492217</v>
      </c>
      <c r="S77" s="2">
        <f t="shared" si="23"/>
        <v>670.32828760643326</v>
      </c>
    </row>
    <row r="78" spans="2:19" x14ac:dyDescent="0.25">
      <c r="B78">
        <v>743</v>
      </c>
      <c r="C78" s="27">
        <v>6</v>
      </c>
      <c r="D78" s="39" t="s">
        <v>371</v>
      </c>
      <c r="E78" s="162">
        <f>INDEX('2018 Data Lockdown'!H$5:H$255, MATCH(B78,'2018 Data Lockdown'!B$5:B$255,0))</f>
        <v>82.770881637323171</v>
      </c>
      <c r="F78" s="7">
        <f>INDEX('2018 Data Lockdown'!E$5:E$255,MATCH(B78,'2018 Data Lockdown'!B$5:B$255,0))</f>
        <v>136207.07999999999</v>
      </c>
      <c r="G78" s="7">
        <f>INDEX('2018 Data Lockdown'!F$5:F$255, MATCH(B78,'2018 Data Lockdown'!B$5:B$255,0))</f>
        <v>0</v>
      </c>
      <c r="H78" s="7">
        <f t="shared" si="14"/>
        <v>136207.07999999999</v>
      </c>
      <c r="I78" s="6">
        <f t="shared" si="15"/>
        <v>1645.5917504517831</v>
      </c>
      <c r="J78" s="6">
        <f t="shared" si="16"/>
        <v>1287.7074365492217</v>
      </c>
      <c r="K78" s="5">
        <f t="shared" si="17"/>
        <v>106584.67981411646</v>
      </c>
      <c r="L78" s="4">
        <f t="shared" si="18"/>
        <v>0</v>
      </c>
      <c r="M78" s="2">
        <f t="shared" si="19"/>
        <v>698.28388420281556</v>
      </c>
      <c r="N78" s="1">
        <f t="shared" si="20"/>
        <v>47</v>
      </c>
      <c r="O78" s="3">
        <f t="shared" si="21"/>
        <v>897392.19345717179</v>
      </c>
      <c r="P78" s="2">
        <f t="shared" si="22"/>
        <v>459.92964168861073</v>
      </c>
      <c r="Q78" s="2">
        <f t="shared" si="13"/>
        <v>108.86033185640929</v>
      </c>
      <c r="R78" s="2">
        <f t="shared" si="13"/>
        <v>1287.7074365492217</v>
      </c>
      <c r="S78" s="2">
        <f t="shared" si="23"/>
        <v>1287.7074365492217</v>
      </c>
    </row>
    <row r="79" spans="2:19" x14ac:dyDescent="0.25">
      <c r="B79">
        <v>747</v>
      </c>
      <c r="C79" s="27">
        <v>6</v>
      </c>
      <c r="D79" s="39" t="s">
        <v>372</v>
      </c>
      <c r="E79" s="162">
        <f>INDEX('2018 Data Lockdown'!H$5:H$255, MATCH(B79,'2018 Data Lockdown'!B$5:B$255,0))</f>
        <v>36.5</v>
      </c>
      <c r="F79" s="7">
        <f>INDEX('2018 Data Lockdown'!E$5:E$255,MATCH(B79,'2018 Data Lockdown'!B$5:B$255,0))</f>
        <v>58996.69</v>
      </c>
      <c r="G79" s="7">
        <f>INDEX('2018 Data Lockdown'!F$5:F$255, MATCH(B79,'2018 Data Lockdown'!B$5:B$255,0))</f>
        <v>0</v>
      </c>
      <c r="H79" s="7">
        <f t="shared" si="14"/>
        <v>58996.69</v>
      </c>
      <c r="I79" s="6">
        <f t="shared" si="15"/>
        <v>1616.3476712328768</v>
      </c>
      <c r="J79" s="6">
        <f t="shared" si="16"/>
        <v>1287.7074365492217</v>
      </c>
      <c r="K79" s="5">
        <f t="shared" si="17"/>
        <v>47001.321434046593</v>
      </c>
      <c r="L79" s="4">
        <f t="shared" si="18"/>
        <v>0</v>
      </c>
      <c r="M79" s="2">
        <f t="shared" si="19"/>
        <v>698.28388420281556</v>
      </c>
      <c r="N79" s="1">
        <f t="shared" si="20"/>
        <v>47</v>
      </c>
      <c r="O79" s="3">
        <f t="shared" si="21"/>
        <v>842841.11705597758</v>
      </c>
      <c r="P79" s="2">
        <f t="shared" si="22"/>
        <v>459.92964168861073</v>
      </c>
      <c r="Q79" s="2">
        <f t="shared" si="13"/>
        <v>108.86033185640929</v>
      </c>
      <c r="R79" s="2">
        <f t="shared" si="13"/>
        <v>1287.7074365492217</v>
      </c>
      <c r="S79" s="2">
        <f t="shared" si="23"/>
        <v>1287.7074365492217</v>
      </c>
    </row>
    <row r="80" spans="2:19" x14ac:dyDescent="0.25">
      <c r="B80">
        <v>758</v>
      </c>
      <c r="C80" s="27">
        <v>6</v>
      </c>
      <c r="D80" s="39" t="s">
        <v>373</v>
      </c>
      <c r="E80" s="162">
        <f>INDEX('2018 Data Lockdown'!H$5:H$255, MATCH(B80,'2018 Data Lockdown'!B$5:B$255,0))</f>
        <v>306.60873748050523</v>
      </c>
      <c r="F80" s="7">
        <f>INDEX('2018 Data Lockdown'!E$5:E$255,MATCH(B80,'2018 Data Lockdown'!B$5:B$255,0))</f>
        <v>319509.06</v>
      </c>
      <c r="G80" s="7">
        <f>INDEX('2018 Data Lockdown'!F$5:F$255, MATCH(B80,'2018 Data Lockdown'!B$5:B$255,0))</f>
        <v>785.37</v>
      </c>
      <c r="H80" s="7">
        <f t="shared" si="14"/>
        <v>318723.69</v>
      </c>
      <c r="I80" s="6">
        <f t="shared" si="15"/>
        <v>1039.5127438932332</v>
      </c>
      <c r="J80" s="6">
        <f t="shared" si="16"/>
        <v>1039.5127438932332</v>
      </c>
      <c r="K80" s="5">
        <f t="shared" si="17"/>
        <v>318723.69</v>
      </c>
      <c r="L80" s="4">
        <f t="shared" si="18"/>
        <v>0</v>
      </c>
      <c r="M80" s="2">
        <f t="shared" si="19"/>
        <v>698.28388420281556</v>
      </c>
      <c r="N80" s="1">
        <f t="shared" si="20"/>
        <v>47</v>
      </c>
      <c r="O80" s="3">
        <f t="shared" si="21"/>
        <v>116437.1346856227</v>
      </c>
      <c r="P80" s="2">
        <f t="shared" si="22"/>
        <v>459.92964168861073</v>
      </c>
      <c r="Q80" s="2">
        <f t="shared" si="13"/>
        <v>108.86033185640929</v>
      </c>
      <c r="R80" s="2">
        <f t="shared" si="13"/>
        <v>1287.7074365492217</v>
      </c>
      <c r="S80" s="2">
        <f t="shared" si="23"/>
        <v>1039.5127438932332</v>
      </c>
    </row>
    <row r="81" spans="2:19" x14ac:dyDescent="0.25">
      <c r="B81">
        <v>765</v>
      </c>
      <c r="C81" s="27">
        <v>6</v>
      </c>
      <c r="D81" s="39" t="s">
        <v>374</v>
      </c>
      <c r="E81" s="162">
        <f>INDEX('2018 Data Lockdown'!H$5:H$255, MATCH(B81,'2018 Data Lockdown'!B$5:B$255,0))</f>
        <v>69.141877232449346</v>
      </c>
      <c r="F81" s="7">
        <f>INDEX('2018 Data Lockdown'!E$5:E$255,MATCH(B81,'2018 Data Lockdown'!B$5:B$255,0))</f>
        <v>86969.12</v>
      </c>
      <c r="G81" s="7">
        <f>INDEX('2018 Data Lockdown'!F$5:F$255, MATCH(B81,'2018 Data Lockdown'!B$5:B$255,0))</f>
        <v>0</v>
      </c>
      <c r="H81" s="7">
        <f t="shared" si="14"/>
        <v>86969.12</v>
      </c>
      <c r="I81" s="6">
        <f t="shared" si="15"/>
        <v>1257.8356776113687</v>
      </c>
      <c r="J81" s="6">
        <f t="shared" si="16"/>
        <v>1257.8356776113687</v>
      </c>
      <c r="K81" s="5">
        <f t="shared" si="17"/>
        <v>86969.12</v>
      </c>
      <c r="L81" s="4">
        <f t="shared" si="18"/>
        <v>0</v>
      </c>
      <c r="M81" s="2">
        <f t="shared" si="19"/>
        <v>698.28388420281556</v>
      </c>
      <c r="N81" s="1">
        <f t="shared" si="20"/>
        <v>47</v>
      </c>
      <c r="O81" s="3">
        <f t="shared" si="21"/>
        <v>313098.20950672816</v>
      </c>
      <c r="P81" s="2">
        <f t="shared" si="22"/>
        <v>459.92964168861073</v>
      </c>
      <c r="Q81" s="2">
        <f t="shared" si="13"/>
        <v>108.86033185640929</v>
      </c>
      <c r="R81" s="2">
        <f t="shared" si="13"/>
        <v>1287.7074365492217</v>
      </c>
      <c r="S81" s="2">
        <f t="shared" si="23"/>
        <v>1257.8356776113687</v>
      </c>
    </row>
    <row r="82" spans="2:19" x14ac:dyDescent="0.25">
      <c r="B82">
        <v>770</v>
      </c>
      <c r="C82" s="27">
        <v>6</v>
      </c>
      <c r="D82" s="39" t="s">
        <v>375</v>
      </c>
      <c r="E82" s="162">
        <f>INDEX('2018 Data Lockdown'!H$5:H$255, MATCH(B82,'2018 Data Lockdown'!B$5:B$255,0))</f>
        <v>25.798612785118063</v>
      </c>
      <c r="F82" s="7">
        <f>INDEX('2018 Data Lockdown'!E$5:E$255,MATCH(B82,'2018 Data Lockdown'!B$5:B$255,0))</f>
        <v>24774.6</v>
      </c>
      <c r="G82" s="7">
        <f>INDEX('2018 Data Lockdown'!F$5:F$255, MATCH(B82,'2018 Data Lockdown'!B$5:B$255,0))</f>
        <v>0</v>
      </c>
      <c r="H82" s="7">
        <f t="shared" si="14"/>
        <v>24774.6</v>
      </c>
      <c r="I82" s="6">
        <f t="shared" si="15"/>
        <v>960.30744778227893</v>
      </c>
      <c r="J82" s="6">
        <f t="shared" si="16"/>
        <v>960.30744778227893</v>
      </c>
      <c r="K82" s="5">
        <f t="shared" si="17"/>
        <v>24774.6</v>
      </c>
      <c r="L82" s="4">
        <f t="shared" si="18"/>
        <v>0</v>
      </c>
      <c r="M82" s="2">
        <f t="shared" si="19"/>
        <v>698.28388420281556</v>
      </c>
      <c r="N82" s="1">
        <f t="shared" si="20"/>
        <v>47</v>
      </c>
      <c r="O82" s="3">
        <f t="shared" si="21"/>
        <v>68656.347870881087</v>
      </c>
      <c r="P82" s="2">
        <f t="shared" si="22"/>
        <v>459.92964168861073</v>
      </c>
      <c r="Q82" s="2">
        <f t="shared" si="13"/>
        <v>108.86033185640929</v>
      </c>
      <c r="R82" s="2">
        <f t="shared" si="13"/>
        <v>1287.7074365492217</v>
      </c>
      <c r="S82" s="2">
        <f t="shared" si="23"/>
        <v>960.30744778227893</v>
      </c>
    </row>
    <row r="83" spans="2:19" x14ac:dyDescent="0.25">
      <c r="B83">
        <v>774</v>
      </c>
      <c r="C83" s="27">
        <v>6</v>
      </c>
      <c r="D83" s="39" t="s">
        <v>376</v>
      </c>
      <c r="E83" s="162">
        <f>INDEX('2018 Data Lockdown'!H$5:H$255, MATCH(B83,'2018 Data Lockdown'!B$5:B$255,0))</f>
        <v>457.94097362750716</v>
      </c>
      <c r="F83" s="7">
        <f>INDEX('2018 Data Lockdown'!E$5:E$255,MATCH(B83,'2018 Data Lockdown'!B$5:B$255,0))</f>
        <v>290603.45</v>
      </c>
      <c r="G83" s="7">
        <f>INDEX('2018 Data Lockdown'!F$5:F$255, MATCH(B83,'2018 Data Lockdown'!B$5:B$255,0))</f>
        <v>0</v>
      </c>
      <c r="H83" s="7">
        <f t="shared" si="14"/>
        <v>290603.45</v>
      </c>
      <c r="I83" s="6">
        <f t="shared" si="15"/>
        <v>634.58713400993724</v>
      </c>
      <c r="J83" s="6">
        <f t="shared" si="16"/>
        <v>634.58713400993724</v>
      </c>
      <c r="K83" s="5">
        <f t="shared" si="17"/>
        <v>290603.45</v>
      </c>
      <c r="L83" s="4">
        <f t="shared" si="18"/>
        <v>0</v>
      </c>
      <c r="M83" s="2">
        <f t="shared" si="19"/>
        <v>698.28388420281556</v>
      </c>
      <c r="N83" s="1">
        <f t="shared" si="20"/>
        <v>47</v>
      </c>
      <c r="O83" s="3">
        <f t="shared" si="21"/>
        <v>4057.2759851339433</v>
      </c>
      <c r="P83" s="2">
        <f t="shared" si="22"/>
        <v>459.92964168861073</v>
      </c>
      <c r="Q83" s="2">
        <f t="shared" si="13"/>
        <v>108.86033185640929</v>
      </c>
      <c r="R83" s="2">
        <f t="shared" si="13"/>
        <v>1287.7074365492217</v>
      </c>
      <c r="S83" s="2">
        <f t="shared" si="23"/>
        <v>634.58713400993724</v>
      </c>
    </row>
    <row r="84" spans="2:19" x14ac:dyDescent="0.25">
      <c r="B84">
        <v>794</v>
      </c>
      <c r="C84" s="27">
        <v>6</v>
      </c>
      <c r="D84" s="39" t="s">
        <v>377</v>
      </c>
      <c r="E84" s="162">
        <f>INDEX('2018 Data Lockdown'!H$5:H$255, MATCH(B84,'2018 Data Lockdown'!B$5:B$255,0))</f>
        <v>19.568200239680415</v>
      </c>
      <c r="F84" s="7">
        <f>INDEX('2018 Data Lockdown'!E$5:E$255,MATCH(B84,'2018 Data Lockdown'!B$5:B$255,0))</f>
        <v>45369.11</v>
      </c>
      <c r="G84" s="7">
        <f>INDEX('2018 Data Lockdown'!F$5:F$255, MATCH(B84,'2018 Data Lockdown'!B$5:B$255,0))</f>
        <v>0</v>
      </c>
      <c r="H84" s="7">
        <f t="shared" si="14"/>
        <v>45369.11</v>
      </c>
      <c r="I84" s="6">
        <f t="shared" si="15"/>
        <v>2318.512149523106</v>
      </c>
      <c r="J84" s="6">
        <f t="shared" si="16"/>
        <v>1287.7074365492217</v>
      </c>
      <c r="K84" s="5">
        <f t="shared" si="17"/>
        <v>25198.116968520731</v>
      </c>
      <c r="L84" s="4">
        <f t="shared" si="18"/>
        <v>0</v>
      </c>
      <c r="M84" s="2">
        <f t="shared" si="19"/>
        <v>698.28388420281556</v>
      </c>
      <c r="N84" s="1">
        <f t="shared" si="20"/>
        <v>47</v>
      </c>
      <c r="O84" s="3">
        <f t="shared" si="21"/>
        <v>2625139.6317427978</v>
      </c>
      <c r="P84" s="2">
        <f t="shared" si="22"/>
        <v>459.92964168861073</v>
      </c>
      <c r="Q84" s="2">
        <f t="shared" si="13"/>
        <v>108.86033185640929</v>
      </c>
      <c r="R84" s="2">
        <f t="shared" si="13"/>
        <v>1287.7074365492217</v>
      </c>
      <c r="S84" s="2">
        <f t="shared" si="23"/>
        <v>1287.7074365492217</v>
      </c>
    </row>
    <row r="85" spans="2:19" x14ac:dyDescent="0.25">
      <c r="B85">
        <v>806</v>
      </c>
      <c r="C85" s="27">
        <v>6</v>
      </c>
      <c r="D85" s="39" t="s">
        <v>378</v>
      </c>
      <c r="E85" s="162">
        <f>INDEX('2018 Data Lockdown'!H$5:H$255, MATCH(B85,'2018 Data Lockdown'!B$5:B$255,0))</f>
        <v>23.326411869078932</v>
      </c>
      <c r="F85" s="7">
        <f>INDEX('2018 Data Lockdown'!E$5:E$255,MATCH(B85,'2018 Data Lockdown'!B$5:B$255,0))</f>
        <v>37091.449999999997</v>
      </c>
      <c r="G85" s="7">
        <f>INDEX('2018 Data Lockdown'!F$5:F$255, MATCH(B85,'2018 Data Lockdown'!B$5:B$255,0))</f>
        <v>0</v>
      </c>
      <c r="H85" s="7">
        <f t="shared" si="14"/>
        <v>37091.449999999997</v>
      </c>
      <c r="I85" s="6">
        <f t="shared" si="15"/>
        <v>1590.1052509995225</v>
      </c>
      <c r="J85" s="6">
        <f t="shared" si="16"/>
        <v>1287.7074365492217</v>
      </c>
      <c r="K85" s="5">
        <f t="shared" si="17"/>
        <v>30037.59403182297</v>
      </c>
      <c r="L85" s="4">
        <f t="shared" si="18"/>
        <v>0</v>
      </c>
      <c r="M85" s="2">
        <f t="shared" si="19"/>
        <v>698.28388420281556</v>
      </c>
      <c r="N85" s="1">
        <f t="shared" si="20"/>
        <v>47</v>
      </c>
      <c r="O85" s="3">
        <f t="shared" si="21"/>
        <v>795345.35027514643</v>
      </c>
      <c r="P85" s="2">
        <f t="shared" si="22"/>
        <v>459.92964168861073</v>
      </c>
      <c r="Q85" s="2">
        <f t="shared" si="13"/>
        <v>108.86033185640929</v>
      </c>
      <c r="R85" s="2">
        <f t="shared" si="13"/>
        <v>1287.7074365492217</v>
      </c>
      <c r="S85" s="2">
        <f t="shared" si="23"/>
        <v>1287.7074365492217</v>
      </c>
    </row>
    <row r="86" spans="2:19" x14ac:dyDescent="0.25">
      <c r="B86">
        <v>809</v>
      </c>
      <c r="C86" s="27">
        <v>6</v>
      </c>
      <c r="D86" s="39" t="s">
        <v>563</v>
      </c>
      <c r="E86" s="162">
        <f>INDEX('2018 Data Lockdown'!H$5:H$255, MATCH(B86,'2018 Data Lockdown'!B$5:B$255,0))</f>
        <v>477.2783239455166</v>
      </c>
      <c r="F86" s="7">
        <f>INDEX('2018 Data Lockdown'!E$5:E$255,MATCH(B86,'2018 Data Lockdown'!B$5:B$255,0))</f>
        <v>497452.38</v>
      </c>
      <c r="G86" s="7">
        <f>INDEX('2018 Data Lockdown'!F$5:F$255, MATCH(B86,'2018 Data Lockdown'!B$5:B$255,0))</f>
        <v>0</v>
      </c>
      <c r="H86" s="7">
        <f t="shared" si="14"/>
        <v>497452.38</v>
      </c>
      <c r="I86" s="6">
        <f t="shared" si="15"/>
        <v>1042.2689551197518</v>
      </c>
      <c r="J86" s="6">
        <f t="shared" si="16"/>
        <v>1042.2689551197518</v>
      </c>
      <c r="K86" s="5">
        <f t="shared" si="17"/>
        <v>497452.38</v>
      </c>
      <c r="L86" s="4">
        <f t="shared" si="18"/>
        <v>0</v>
      </c>
      <c r="M86" s="2">
        <f t="shared" si="19"/>
        <v>698.28388420281556</v>
      </c>
      <c r="N86" s="1">
        <f t="shared" si="20"/>
        <v>47</v>
      </c>
      <c r="O86" s="3">
        <f t="shared" si="21"/>
        <v>118325.72901372967</v>
      </c>
      <c r="P86" s="2">
        <f t="shared" si="22"/>
        <v>459.92964168861073</v>
      </c>
      <c r="Q86" s="2">
        <f t="shared" ref="Q86:R105" si="24">NORMINV(Q$4,$M86,$P86)</f>
        <v>108.86033185640929</v>
      </c>
      <c r="R86" s="2">
        <f t="shared" si="24"/>
        <v>1287.7074365492217</v>
      </c>
      <c r="S86" s="2">
        <f t="shared" si="23"/>
        <v>1042.2689551197518</v>
      </c>
    </row>
    <row r="87" spans="2:19" x14ac:dyDescent="0.25">
      <c r="B87">
        <v>811</v>
      </c>
      <c r="C87" s="27">
        <v>6</v>
      </c>
      <c r="D87" s="39" t="s">
        <v>379</v>
      </c>
      <c r="E87" s="162">
        <f>INDEX('2018 Data Lockdown'!H$5:H$255, MATCH(B87,'2018 Data Lockdown'!B$5:B$255,0))</f>
        <v>746.28568297723302</v>
      </c>
      <c r="F87" s="7">
        <f>INDEX('2018 Data Lockdown'!E$5:E$255,MATCH(B87,'2018 Data Lockdown'!B$5:B$255,0))</f>
        <v>505579.98</v>
      </c>
      <c r="G87" s="7">
        <f>INDEX('2018 Data Lockdown'!F$5:F$255, MATCH(B87,'2018 Data Lockdown'!B$5:B$255,0))</f>
        <v>3403.13</v>
      </c>
      <c r="H87" s="7">
        <f t="shared" si="14"/>
        <v>502176.85</v>
      </c>
      <c r="I87" s="6">
        <f t="shared" si="15"/>
        <v>672.9016266218789</v>
      </c>
      <c r="J87" s="6">
        <f t="shared" si="16"/>
        <v>672.9016266218789</v>
      </c>
      <c r="K87" s="5">
        <f t="shared" si="17"/>
        <v>502176.84999999992</v>
      </c>
      <c r="L87" s="4">
        <f t="shared" si="18"/>
        <v>0</v>
      </c>
      <c r="M87" s="2">
        <f t="shared" si="19"/>
        <v>698.28388420281556</v>
      </c>
      <c r="N87" s="1">
        <f t="shared" si="20"/>
        <v>47</v>
      </c>
      <c r="O87" s="3">
        <f t="shared" si="21"/>
        <v>644.25899990501614</v>
      </c>
      <c r="P87" s="2">
        <f t="shared" si="22"/>
        <v>459.92964168861073</v>
      </c>
      <c r="Q87" s="2">
        <f t="shared" si="24"/>
        <v>108.86033185640929</v>
      </c>
      <c r="R87" s="2">
        <f t="shared" si="24"/>
        <v>1287.7074365492217</v>
      </c>
      <c r="S87" s="2">
        <f t="shared" si="23"/>
        <v>672.9016266218789</v>
      </c>
    </row>
    <row r="88" spans="2:19" x14ac:dyDescent="0.25">
      <c r="B88">
        <v>824</v>
      </c>
      <c r="C88" s="27">
        <v>6</v>
      </c>
      <c r="D88" s="39" t="s">
        <v>380</v>
      </c>
      <c r="E88" s="162">
        <f>INDEX('2018 Data Lockdown'!H$5:H$255, MATCH(B88,'2018 Data Lockdown'!B$5:B$255,0))</f>
        <v>35.809199999999997</v>
      </c>
      <c r="F88" s="7">
        <f>INDEX('2018 Data Lockdown'!E$5:E$255,MATCH(B88,'2018 Data Lockdown'!B$5:B$255,0))</f>
        <v>54369.59</v>
      </c>
      <c r="G88" s="7">
        <f>INDEX('2018 Data Lockdown'!F$5:F$255, MATCH(B88,'2018 Data Lockdown'!B$5:B$255,0))</f>
        <v>0</v>
      </c>
      <c r="H88" s="7">
        <f t="shared" si="14"/>
        <v>54369.59</v>
      </c>
      <c r="I88" s="6">
        <f t="shared" si="15"/>
        <v>1518.3134501748154</v>
      </c>
      <c r="J88" s="6">
        <f t="shared" si="16"/>
        <v>1287.7074365492217</v>
      </c>
      <c r="K88" s="5">
        <f t="shared" si="17"/>
        <v>46111.773136878386</v>
      </c>
      <c r="L88" s="4">
        <f t="shared" si="18"/>
        <v>0</v>
      </c>
      <c r="M88" s="2">
        <f t="shared" si="19"/>
        <v>698.28388420281556</v>
      </c>
      <c r="N88" s="1">
        <f t="shared" si="20"/>
        <v>47</v>
      </c>
      <c r="O88" s="3">
        <f t="shared" si="21"/>
        <v>672448.48906822654</v>
      </c>
      <c r="P88" s="2">
        <f t="shared" si="22"/>
        <v>459.92964168861073</v>
      </c>
      <c r="Q88" s="2">
        <f t="shared" si="24"/>
        <v>108.86033185640929</v>
      </c>
      <c r="R88" s="2">
        <f t="shared" si="24"/>
        <v>1287.7074365492217</v>
      </c>
      <c r="S88" s="2">
        <f t="shared" si="23"/>
        <v>1287.7074365492217</v>
      </c>
    </row>
    <row r="89" spans="2:19" x14ac:dyDescent="0.25">
      <c r="B89">
        <v>826</v>
      </c>
      <c r="C89" s="27">
        <v>6</v>
      </c>
      <c r="D89" s="39" t="s">
        <v>381</v>
      </c>
      <c r="E89" s="162">
        <f>INDEX('2018 Data Lockdown'!H$5:H$255, MATCH(B89,'2018 Data Lockdown'!B$5:B$255,0))</f>
        <v>41.71</v>
      </c>
      <c r="F89" s="7">
        <f>INDEX('2018 Data Lockdown'!E$5:E$255,MATCH(B89,'2018 Data Lockdown'!B$5:B$255,0))</f>
        <v>33872.559999999998</v>
      </c>
      <c r="G89" s="7">
        <f>INDEX('2018 Data Lockdown'!F$5:F$255, MATCH(B89,'2018 Data Lockdown'!B$5:B$255,0))</f>
        <v>0</v>
      </c>
      <c r="H89" s="7">
        <f t="shared" si="14"/>
        <v>33872.559999999998</v>
      </c>
      <c r="I89" s="6">
        <f t="shared" si="15"/>
        <v>812.09685926636291</v>
      </c>
      <c r="J89" s="6">
        <f t="shared" si="16"/>
        <v>812.09685926636291</v>
      </c>
      <c r="K89" s="5">
        <f t="shared" si="17"/>
        <v>33872.559999999998</v>
      </c>
      <c r="L89" s="4">
        <f t="shared" si="18"/>
        <v>0</v>
      </c>
      <c r="M89" s="2">
        <f t="shared" si="19"/>
        <v>698.28388420281556</v>
      </c>
      <c r="N89" s="1">
        <f t="shared" si="20"/>
        <v>47</v>
      </c>
      <c r="O89" s="3">
        <f t="shared" si="21"/>
        <v>12953.393292815652</v>
      </c>
      <c r="P89" s="2">
        <f t="shared" si="22"/>
        <v>459.92964168861073</v>
      </c>
      <c r="Q89" s="2">
        <f t="shared" si="24"/>
        <v>108.86033185640929</v>
      </c>
      <c r="R89" s="2">
        <f t="shared" si="24"/>
        <v>1287.7074365492217</v>
      </c>
      <c r="S89" s="2">
        <f t="shared" si="23"/>
        <v>812.09685926636291</v>
      </c>
    </row>
    <row r="90" spans="2:19" x14ac:dyDescent="0.25">
      <c r="B90">
        <v>840</v>
      </c>
      <c r="C90" s="27">
        <v>6</v>
      </c>
      <c r="D90" s="39" t="s">
        <v>382</v>
      </c>
      <c r="E90" s="162">
        <f>INDEX('2018 Data Lockdown'!H$5:H$255, MATCH(B90,'2018 Data Lockdown'!B$5:B$255,0))</f>
        <v>161.72</v>
      </c>
      <c r="F90" s="7">
        <f>INDEX('2018 Data Lockdown'!E$5:E$255,MATCH(B90,'2018 Data Lockdown'!B$5:B$255,0))</f>
        <v>88518.53</v>
      </c>
      <c r="G90" s="7">
        <f>INDEX('2018 Data Lockdown'!F$5:F$255, MATCH(B90,'2018 Data Lockdown'!B$5:B$255,0))</f>
        <v>0</v>
      </c>
      <c r="H90" s="7">
        <f t="shared" si="14"/>
        <v>88518.53</v>
      </c>
      <c r="I90" s="6">
        <f t="shared" si="15"/>
        <v>547.35672767746723</v>
      </c>
      <c r="J90" s="6">
        <f t="shared" si="16"/>
        <v>547.35672767746723</v>
      </c>
      <c r="K90" s="5">
        <f t="shared" si="17"/>
        <v>88518.53</v>
      </c>
      <c r="L90" s="4">
        <f t="shared" si="18"/>
        <v>0</v>
      </c>
      <c r="M90" s="2">
        <f t="shared" si="19"/>
        <v>698.28388420281556</v>
      </c>
      <c r="N90" s="1">
        <f t="shared" si="20"/>
        <v>47</v>
      </c>
      <c r="O90" s="3">
        <f t="shared" si="21"/>
        <v>22779.006576826992</v>
      </c>
      <c r="P90" s="2">
        <f t="shared" si="22"/>
        <v>459.92964168861073</v>
      </c>
      <c r="Q90" s="2">
        <f t="shared" si="24"/>
        <v>108.86033185640929</v>
      </c>
      <c r="R90" s="2">
        <f t="shared" si="24"/>
        <v>1287.7074365492217</v>
      </c>
      <c r="S90" s="2">
        <f t="shared" si="23"/>
        <v>547.35672767746723</v>
      </c>
    </row>
    <row r="91" spans="2:19" x14ac:dyDescent="0.25">
      <c r="B91">
        <v>843</v>
      </c>
      <c r="C91" s="27">
        <v>6</v>
      </c>
      <c r="D91" s="39" t="s">
        <v>383</v>
      </c>
      <c r="E91" s="162">
        <f>INDEX('2018 Data Lockdown'!H$5:H$255, MATCH(B91,'2018 Data Lockdown'!B$5:B$255,0))</f>
        <v>19.13961999514169</v>
      </c>
      <c r="F91" s="7">
        <f>INDEX('2018 Data Lockdown'!E$5:E$255,MATCH(B91,'2018 Data Lockdown'!B$5:B$255,0))</f>
        <v>32653.86</v>
      </c>
      <c r="G91" s="7">
        <f>INDEX('2018 Data Lockdown'!F$5:F$255, MATCH(B91,'2018 Data Lockdown'!B$5:B$255,0))</f>
        <v>0</v>
      </c>
      <c r="H91" s="7">
        <f t="shared" si="14"/>
        <v>32653.86</v>
      </c>
      <c r="I91" s="6">
        <f t="shared" si="15"/>
        <v>1706.0871641280601</v>
      </c>
      <c r="J91" s="6">
        <f t="shared" si="16"/>
        <v>1287.7074365492217</v>
      </c>
      <c r="K91" s="5">
        <f t="shared" si="17"/>
        <v>24646.231000470132</v>
      </c>
      <c r="L91" s="4">
        <f t="shared" si="18"/>
        <v>0</v>
      </c>
      <c r="M91" s="2">
        <f t="shared" si="19"/>
        <v>698.28388420281556</v>
      </c>
      <c r="N91" s="1">
        <f t="shared" si="20"/>
        <v>47</v>
      </c>
      <c r="O91" s="3">
        <f t="shared" si="21"/>
        <v>1015667.4510280808</v>
      </c>
      <c r="P91" s="2">
        <f t="shared" si="22"/>
        <v>459.92964168861073</v>
      </c>
      <c r="Q91" s="2">
        <f t="shared" si="24"/>
        <v>108.86033185640929</v>
      </c>
      <c r="R91" s="2">
        <f t="shared" si="24"/>
        <v>1287.7074365492217</v>
      </c>
      <c r="S91" s="2">
        <f t="shared" si="23"/>
        <v>1287.7074365492217</v>
      </c>
    </row>
    <row r="92" spans="2:19" x14ac:dyDescent="0.25">
      <c r="B92">
        <v>846</v>
      </c>
      <c r="C92" s="27">
        <v>6</v>
      </c>
      <c r="D92" s="39" t="s">
        <v>384</v>
      </c>
      <c r="E92" s="162">
        <f>INDEX('2018 Data Lockdown'!H$5:H$255, MATCH(B92,'2018 Data Lockdown'!B$5:B$255,0))</f>
        <v>24.91</v>
      </c>
      <c r="F92" s="7">
        <f>INDEX('2018 Data Lockdown'!E$5:E$255,MATCH(B92,'2018 Data Lockdown'!B$5:B$255,0))</f>
        <v>42522.03</v>
      </c>
      <c r="G92" s="7">
        <f>INDEX('2018 Data Lockdown'!F$5:F$255, MATCH(B92,'2018 Data Lockdown'!B$5:B$255,0))</f>
        <v>0</v>
      </c>
      <c r="H92" s="7">
        <f t="shared" si="14"/>
        <v>42522.03</v>
      </c>
      <c r="I92" s="6">
        <f t="shared" si="15"/>
        <v>1707.0264953833801</v>
      </c>
      <c r="J92" s="6">
        <f t="shared" si="16"/>
        <v>1287.7074365492217</v>
      </c>
      <c r="K92" s="5">
        <f t="shared" si="17"/>
        <v>32076.792244441112</v>
      </c>
      <c r="L92" s="4">
        <f t="shared" si="18"/>
        <v>0</v>
      </c>
      <c r="M92" s="2">
        <f t="shared" si="19"/>
        <v>698.28388420281556</v>
      </c>
      <c r="N92" s="1">
        <f t="shared" si="20"/>
        <v>47</v>
      </c>
      <c r="O92" s="3">
        <f t="shared" si="21"/>
        <v>1017561.6556113835</v>
      </c>
      <c r="P92" s="2">
        <f t="shared" si="22"/>
        <v>459.92964168861073</v>
      </c>
      <c r="Q92" s="2">
        <f t="shared" si="24"/>
        <v>108.86033185640929</v>
      </c>
      <c r="R92" s="2">
        <f t="shared" si="24"/>
        <v>1287.7074365492217</v>
      </c>
      <c r="S92" s="2">
        <f t="shared" si="23"/>
        <v>1287.7074365492217</v>
      </c>
    </row>
    <row r="93" spans="2:19" x14ac:dyDescent="0.25">
      <c r="B93">
        <v>888</v>
      </c>
      <c r="C93" s="27">
        <v>6</v>
      </c>
      <c r="D93" s="39" t="s">
        <v>385</v>
      </c>
      <c r="E93" s="162">
        <f>INDEX('2018 Data Lockdown'!H$5:H$255, MATCH(B93,'2018 Data Lockdown'!B$5:B$255,0))</f>
        <v>110.31234724977445</v>
      </c>
      <c r="F93" s="7">
        <f>INDEX('2018 Data Lockdown'!E$5:E$255,MATCH(B93,'2018 Data Lockdown'!B$5:B$255,0))</f>
        <v>48959.88</v>
      </c>
      <c r="G93" s="7">
        <f>INDEX('2018 Data Lockdown'!F$5:F$255, MATCH(B93,'2018 Data Lockdown'!B$5:B$255,0))</f>
        <v>0</v>
      </c>
      <c r="H93" s="7">
        <f t="shared" si="14"/>
        <v>48959.88</v>
      </c>
      <c r="I93" s="6">
        <f t="shared" si="15"/>
        <v>443.82955508273898</v>
      </c>
      <c r="J93" s="6">
        <f t="shared" si="16"/>
        <v>443.82955508273898</v>
      </c>
      <c r="K93" s="5">
        <f t="shared" si="17"/>
        <v>48959.88</v>
      </c>
      <c r="L93" s="4">
        <f t="shared" si="18"/>
        <v>0</v>
      </c>
      <c r="M93" s="2">
        <f t="shared" si="19"/>
        <v>698.28388420281556</v>
      </c>
      <c r="N93" s="1">
        <f t="shared" si="20"/>
        <v>47</v>
      </c>
      <c r="O93" s="3">
        <f t="shared" si="21"/>
        <v>64747.005607948253</v>
      </c>
      <c r="P93" s="2">
        <f t="shared" si="22"/>
        <v>459.92964168861073</v>
      </c>
      <c r="Q93" s="2">
        <f t="shared" si="24"/>
        <v>108.86033185640929</v>
      </c>
      <c r="R93" s="2">
        <f t="shared" si="24"/>
        <v>1287.7074365492217</v>
      </c>
      <c r="S93" s="2">
        <f t="shared" si="23"/>
        <v>443.82955508273898</v>
      </c>
    </row>
    <row r="94" spans="2:19" x14ac:dyDescent="0.25">
      <c r="B94">
        <v>889</v>
      </c>
      <c r="C94" s="27">
        <v>6</v>
      </c>
      <c r="D94" s="39" t="s">
        <v>386</v>
      </c>
      <c r="E94" s="162">
        <f>INDEX('2018 Data Lockdown'!H$5:H$255, MATCH(B94,'2018 Data Lockdown'!B$5:B$255,0))</f>
        <v>36.972175568059775</v>
      </c>
      <c r="F94" s="7">
        <f>INDEX('2018 Data Lockdown'!E$5:E$255,MATCH(B94,'2018 Data Lockdown'!B$5:B$255,0))</f>
        <v>50376.82</v>
      </c>
      <c r="G94" s="7">
        <f>INDEX('2018 Data Lockdown'!F$5:F$255, MATCH(B94,'2018 Data Lockdown'!B$5:B$255,0))</f>
        <v>0</v>
      </c>
      <c r="H94" s="7">
        <f t="shared" si="14"/>
        <v>50376.82</v>
      </c>
      <c r="I94" s="6">
        <f t="shared" si="15"/>
        <v>1362.5603369556777</v>
      </c>
      <c r="J94" s="6">
        <f t="shared" si="16"/>
        <v>1287.7074365492217</v>
      </c>
      <c r="K94" s="5">
        <f t="shared" si="17"/>
        <v>47609.345424394021</v>
      </c>
      <c r="L94" s="4">
        <f t="shared" si="18"/>
        <v>0</v>
      </c>
      <c r="M94" s="2">
        <f t="shared" si="19"/>
        <v>698.28388420281556</v>
      </c>
      <c r="N94" s="1">
        <f t="shared" si="20"/>
        <v>47</v>
      </c>
      <c r="O94" s="3">
        <f t="shared" si="21"/>
        <v>441263.20568192552</v>
      </c>
      <c r="P94" s="2">
        <f t="shared" si="22"/>
        <v>459.92964168861073</v>
      </c>
      <c r="Q94" s="2">
        <f t="shared" si="24"/>
        <v>108.86033185640929</v>
      </c>
      <c r="R94" s="2">
        <f t="shared" si="24"/>
        <v>1287.7074365492217</v>
      </c>
      <c r="S94" s="2">
        <f t="shared" si="23"/>
        <v>1287.7074365492217</v>
      </c>
    </row>
    <row r="95" spans="2:19" x14ac:dyDescent="0.25">
      <c r="B95">
        <v>891</v>
      </c>
      <c r="C95" s="27">
        <v>6</v>
      </c>
      <c r="D95" s="39" t="s">
        <v>387</v>
      </c>
      <c r="E95" s="162">
        <f>INDEX('2018 Data Lockdown'!H$5:H$255, MATCH(B95,'2018 Data Lockdown'!B$5:B$255,0))</f>
        <v>291.67983388429468</v>
      </c>
      <c r="F95" s="7">
        <f>INDEX('2018 Data Lockdown'!E$5:E$255,MATCH(B95,'2018 Data Lockdown'!B$5:B$255,0))</f>
        <v>78385.320000000007</v>
      </c>
      <c r="G95" s="7">
        <f>INDEX('2018 Data Lockdown'!F$5:F$255, MATCH(B95,'2018 Data Lockdown'!B$5:B$255,0))</f>
        <v>0</v>
      </c>
      <c r="H95" s="7">
        <f t="shared" si="14"/>
        <v>78385.320000000007</v>
      </c>
      <c r="I95" s="6">
        <f t="shared" si="15"/>
        <v>268.73753648356222</v>
      </c>
      <c r="J95" s="6">
        <f t="shared" si="16"/>
        <v>268.73753648356222</v>
      </c>
      <c r="K95" s="5">
        <f t="shared" si="17"/>
        <v>78385.320000000007</v>
      </c>
      <c r="L95" s="4">
        <f t="shared" si="18"/>
        <v>0</v>
      </c>
      <c r="M95" s="2">
        <f t="shared" si="19"/>
        <v>698.28388420281556</v>
      </c>
      <c r="N95" s="1">
        <f t="shared" si="20"/>
        <v>47</v>
      </c>
      <c r="O95" s="3">
        <f t="shared" si="21"/>
        <v>184510.06483894971</v>
      </c>
      <c r="P95" s="2">
        <f t="shared" si="22"/>
        <v>459.92964168861073</v>
      </c>
      <c r="Q95" s="2">
        <f t="shared" si="24"/>
        <v>108.86033185640929</v>
      </c>
      <c r="R95" s="2">
        <f t="shared" si="24"/>
        <v>1287.7074365492217</v>
      </c>
      <c r="S95" s="2">
        <f t="shared" si="23"/>
        <v>268.73753648356222</v>
      </c>
    </row>
    <row r="96" spans="2:19" x14ac:dyDescent="0.25">
      <c r="B96">
        <v>897</v>
      </c>
      <c r="C96" s="27">
        <v>6</v>
      </c>
      <c r="D96" s="39" t="s">
        <v>497</v>
      </c>
      <c r="E96" s="162">
        <f>INDEX('2018 Data Lockdown'!H$5:H$255, MATCH(B96,'2018 Data Lockdown'!B$5:B$255,0))</f>
        <v>75.298454997553264</v>
      </c>
      <c r="F96" s="7">
        <f>INDEX('2018 Data Lockdown'!E$5:E$255,MATCH(B96,'2018 Data Lockdown'!B$5:B$255,0))</f>
        <v>296933.45</v>
      </c>
      <c r="G96" s="7">
        <f>INDEX('2018 Data Lockdown'!F$5:F$255, MATCH(B96,'2018 Data Lockdown'!B$5:B$255,0))</f>
        <v>119</v>
      </c>
      <c r="H96" s="7">
        <f t="shared" si="14"/>
        <v>296814.45</v>
      </c>
      <c r="I96" s="6">
        <f t="shared" si="15"/>
        <v>3941.8398426587191</v>
      </c>
      <c r="J96" s="6">
        <f t="shared" si="16"/>
        <v>1287.7074365492217</v>
      </c>
      <c r="K96" s="5">
        <f t="shared" si="17"/>
        <v>96962.380461016248</v>
      </c>
      <c r="L96" s="4">
        <f t="shared" si="18"/>
        <v>0</v>
      </c>
      <c r="M96" s="2">
        <f t="shared" si="19"/>
        <v>698.28388420281556</v>
      </c>
      <c r="N96" s="1">
        <f t="shared" si="20"/>
        <v>47</v>
      </c>
      <c r="O96" s="3">
        <f t="shared" si="21"/>
        <v>10520655.255634796</v>
      </c>
      <c r="P96" s="2">
        <f t="shared" si="22"/>
        <v>459.92964168861073</v>
      </c>
      <c r="Q96" s="2">
        <f t="shared" si="24"/>
        <v>108.86033185640929</v>
      </c>
      <c r="R96" s="2">
        <f t="shared" si="24"/>
        <v>1287.7074365492217</v>
      </c>
      <c r="S96" s="2">
        <f t="shared" si="23"/>
        <v>1287.7074365492217</v>
      </c>
    </row>
    <row r="97" spans="2:19" x14ac:dyDescent="0.25">
      <c r="B97">
        <v>904</v>
      </c>
      <c r="C97" s="27">
        <v>6</v>
      </c>
      <c r="D97" s="39" t="s">
        <v>388</v>
      </c>
      <c r="E97" s="162">
        <f>INDEX('2018 Data Lockdown'!H$5:H$255, MATCH(B97,'2018 Data Lockdown'!B$5:B$255,0))</f>
        <v>26.962939668155855</v>
      </c>
      <c r="F97" s="7">
        <f>INDEX('2018 Data Lockdown'!E$5:E$255,MATCH(B97,'2018 Data Lockdown'!B$5:B$255,0))</f>
        <v>14117.02</v>
      </c>
      <c r="G97" s="7">
        <f>INDEX('2018 Data Lockdown'!F$5:F$255, MATCH(B97,'2018 Data Lockdown'!B$5:B$255,0))</f>
        <v>0</v>
      </c>
      <c r="H97" s="7">
        <f t="shared" si="14"/>
        <v>14117.02</v>
      </c>
      <c r="I97" s="6">
        <f t="shared" si="15"/>
        <v>523.57124904569218</v>
      </c>
      <c r="J97" s="6">
        <f t="shared" si="16"/>
        <v>523.57124904569218</v>
      </c>
      <c r="K97" s="5">
        <f t="shared" si="17"/>
        <v>14117.020000000002</v>
      </c>
      <c r="L97" s="4">
        <f t="shared" si="18"/>
        <v>0</v>
      </c>
      <c r="M97" s="2">
        <f t="shared" si="19"/>
        <v>698.28388420281556</v>
      </c>
      <c r="N97" s="1">
        <f t="shared" si="20"/>
        <v>47</v>
      </c>
      <c r="O97" s="3">
        <f t="shared" si="21"/>
        <v>30524.504883546102</v>
      </c>
      <c r="P97" s="2">
        <f t="shared" si="22"/>
        <v>459.92964168861073</v>
      </c>
      <c r="Q97" s="2">
        <f t="shared" si="24"/>
        <v>108.86033185640929</v>
      </c>
      <c r="R97" s="2">
        <f t="shared" si="24"/>
        <v>1287.7074365492217</v>
      </c>
      <c r="S97" s="2">
        <f t="shared" si="23"/>
        <v>523.57124904569218</v>
      </c>
    </row>
    <row r="98" spans="2:19" x14ac:dyDescent="0.25">
      <c r="B98">
        <v>906</v>
      </c>
      <c r="C98" s="27">
        <v>6</v>
      </c>
      <c r="D98" s="39" t="s">
        <v>565</v>
      </c>
      <c r="E98" s="162">
        <f>INDEX('2018 Data Lockdown'!H$5:H$255, MATCH(B98,'2018 Data Lockdown'!B$5:B$255,0))</f>
        <v>185.1</v>
      </c>
      <c r="F98" s="7">
        <f>INDEX('2018 Data Lockdown'!E$5:E$255,MATCH(B98,'2018 Data Lockdown'!B$5:B$255,0))</f>
        <v>218001.44</v>
      </c>
      <c r="G98" s="7">
        <f>INDEX('2018 Data Lockdown'!F$5:F$255, MATCH(B98,'2018 Data Lockdown'!B$5:B$255,0))</f>
        <v>29.22</v>
      </c>
      <c r="H98" s="7">
        <f t="shared" si="14"/>
        <v>217972.22</v>
      </c>
      <c r="I98" s="6">
        <f t="shared" si="15"/>
        <v>1177.5916801728795</v>
      </c>
      <c r="J98" s="6">
        <f t="shared" si="16"/>
        <v>1177.5916801728795</v>
      </c>
      <c r="K98" s="5">
        <f t="shared" si="17"/>
        <v>217972.21999999997</v>
      </c>
      <c r="L98" s="4">
        <f t="shared" si="18"/>
        <v>0</v>
      </c>
      <c r="M98" s="2">
        <f t="shared" si="19"/>
        <v>698.28388420281556</v>
      </c>
      <c r="N98" s="1">
        <f t="shared" si="20"/>
        <v>47</v>
      </c>
      <c r="O98" s="3">
        <f t="shared" si="21"/>
        <v>229735.96327768042</v>
      </c>
      <c r="P98" s="2">
        <f t="shared" si="22"/>
        <v>459.92964168861073</v>
      </c>
      <c r="Q98" s="2">
        <f t="shared" si="24"/>
        <v>108.86033185640929</v>
      </c>
      <c r="R98" s="2">
        <f t="shared" si="24"/>
        <v>1287.7074365492217</v>
      </c>
      <c r="S98" s="2">
        <f t="shared" si="23"/>
        <v>1177.5916801728795</v>
      </c>
    </row>
    <row r="99" spans="2:19" x14ac:dyDescent="0.25">
      <c r="B99">
        <v>917</v>
      </c>
      <c r="C99" s="27">
        <v>6</v>
      </c>
      <c r="D99" s="39" t="s">
        <v>390</v>
      </c>
      <c r="E99" s="162">
        <f>INDEX('2018 Data Lockdown'!H$5:H$255, MATCH(B99,'2018 Data Lockdown'!B$5:B$255,0))</f>
        <v>98.170300891747573</v>
      </c>
      <c r="F99" s="7">
        <f>INDEX('2018 Data Lockdown'!E$5:E$255,MATCH(B99,'2018 Data Lockdown'!B$5:B$255,0))</f>
        <v>54501.95</v>
      </c>
      <c r="G99" s="7">
        <f>INDEX('2018 Data Lockdown'!F$5:F$255, MATCH(B99,'2018 Data Lockdown'!B$5:B$255,0))</f>
        <v>0</v>
      </c>
      <c r="H99" s="7">
        <f t="shared" si="14"/>
        <v>54501.95</v>
      </c>
      <c r="I99" s="6">
        <f t="shared" si="15"/>
        <v>555.17757921613497</v>
      </c>
      <c r="J99" s="6">
        <f t="shared" si="16"/>
        <v>555.17757921613497</v>
      </c>
      <c r="K99" s="5">
        <f t="shared" si="17"/>
        <v>54501.95</v>
      </c>
      <c r="L99" s="4">
        <f t="shared" si="18"/>
        <v>0</v>
      </c>
      <c r="M99" s="2">
        <f t="shared" si="19"/>
        <v>698.28388420281556</v>
      </c>
      <c r="N99" s="1">
        <f t="shared" si="20"/>
        <v>47</v>
      </c>
      <c r="O99" s="3">
        <f t="shared" si="21"/>
        <v>20479.41452694084</v>
      </c>
      <c r="P99" s="2">
        <f t="shared" si="22"/>
        <v>459.92964168861073</v>
      </c>
      <c r="Q99" s="2">
        <f t="shared" si="24"/>
        <v>108.86033185640929</v>
      </c>
      <c r="R99" s="2">
        <f t="shared" si="24"/>
        <v>1287.7074365492217</v>
      </c>
      <c r="S99" s="2">
        <f t="shared" si="23"/>
        <v>555.17757921613497</v>
      </c>
    </row>
    <row r="100" spans="2:19" x14ac:dyDescent="0.25">
      <c r="B100">
        <v>957</v>
      </c>
      <c r="C100" s="27">
        <v>6</v>
      </c>
      <c r="D100" s="39" t="s">
        <v>391</v>
      </c>
      <c r="E100" s="162">
        <f>INDEX('2018 Data Lockdown'!H$5:H$255, MATCH(B100,'2018 Data Lockdown'!B$5:B$255,0))</f>
        <v>104.75750331076839</v>
      </c>
      <c r="F100" s="7">
        <f>INDEX('2018 Data Lockdown'!E$5:E$255,MATCH(B100,'2018 Data Lockdown'!B$5:B$255,0))</f>
        <v>36421.629999999997</v>
      </c>
      <c r="G100" s="7">
        <f>INDEX('2018 Data Lockdown'!F$5:F$255, MATCH(B100,'2018 Data Lockdown'!B$5:B$255,0))</f>
        <v>0</v>
      </c>
      <c r="H100" s="7">
        <f t="shared" si="14"/>
        <v>36421.629999999997</v>
      </c>
      <c r="I100" s="6">
        <f t="shared" si="15"/>
        <v>347.67562082835639</v>
      </c>
      <c r="J100" s="6">
        <f t="shared" si="16"/>
        <v>347.67562082835639</v>
      </c>
      <c r="K100" s="5">
        <f t="shared" si="17"/>
        <v>36421.629999999997</v>
      </c>
      <c r="L100" s="4">
        <f t="shared" si="18"/>
        <v>0</v>
      </c>
      <c r="M100" s="2">
        <f t="shared" si="19"/>
        <v>698.28388420281556</v>
      </c>
      <c r="N100" s="1">
        <f t="shared" si="20"/>
        <v>47</v>
      </c>
      <c r="O100" s="3">
        <f t="shared" si="21"/>
        <v>122926.15434645413</v>
      </c>
      <c r="P100" s="2">
        <f t="shared" si="22"/>
        <v>459.92964168861073</v>
      </c>
      <c r="Q100" s="2">
        <f t="shared" si="24"/>
        <v>108.86033185640929</v>
      </c>
      <c r="R100" s="2">
        <f t="shared" si="24"/>
        <v>1287.7074365492217</v>
      </c>
      <c r="S100" s="2">
        <f t="shared" si="23"/>
        <v>347.67562082835639</v>
      </c>
    </row>
    <row r="101" spans="2:19" x14ac:dyDescent="0.25">
      <c r="B101">
        <v>959</v>
      </c>
      <c r="C101" s="27">
        <v>6</v>
      </c>
      <c r="D101" s="39" t="s">
        <v>392</v>
      </c>
      <c r="E101" s="162">
        <f>INDEX('2018 Data Lockdown'!H$5:H$255, MATCH(B101,'2018 Data Lockdown'!B$5:B$255,0))</f>
        <v>326.68938879207468</v>
      </c>
      <c r="F101" s="7">
        <f>INDEX('2018 Data Lockdown'!E$5:E$255,MATCH(B101,'2018 Data Lockdown'!B$5:B$255,0))</f>
        <v>116655.67</v>
      </c>
      <c r="G101" s="7">
        <f>INDEX('2018 Data Lockdown'!F$5:F$255, MATCH(B101,'2018 Data Lockdown'!B$5:B$255,0))</f>
        <v>240.45</v>
      </c>
      <c r="H101" s="7">
        <f t="shared" si="14"/>
        <v>116415.22</v>
      </c>
      <c r="I101" s="6">
        <f t="shared" si="15"/>
        <v>356.34833574008076</v>
      </c>
      <c r="J101" s="6">
        <f t="shared" si="16"/>
        <v>356.34833574008076</v>
      </c>
      <c r="K101" s="5">
        <f t="shared" si="17"/>
        <v>116415.22</v>
      </c>
      <c r="L101" s="4">
        <f t="shared" si="18"/>
        <v>0</v>
      </c>
      <c r="M101" s="2">
        <f t="shared" si="19"/>
        <v>698.28388420281556</v>
      </c>
      <c r="N101" s="1">
        <f t="shared" si="20"/>
        <v>47</v>
      </c>
      <c r="O101" s="3">
        <f t="shared" si="21"/>
        <v>116919.91930251126</v>
      </c>
      <c r="P101" s="2">
        <f t="shared" si="22"/>
        <v>459.92964168861073</v>
      </c>
      <c r="Q101" s="2">
        <f t="shared" si="24"/>
        <v>108.86033185640929</v>
      </c>
      <c r="R101" s="2">
        <f t="shared" si="24"/>
        <v>1287.7074365492217</v>
      </c>
      <c r="S101" s="2">
        <f t="shared" si="23"/>
        <v>356.34833574008076</v>
      </c>
    </row>
    <row r="102" spans="2:19" x14ac:dyDescent="0.25">
      <c r="B102">
        <v>969</v>
      </c>
      <c r="C102" s="27">
        <v>6</v>
      </c>
      <c r="D102" s="39" t="s">
        <v>393</v>
      </c>
      <c r="E102" s="162">
        <f>INDEX('2018 Data Lockdown'!H$5:H$255, MATCH(B102,'2018 Data Lockdown'!B$5:B$255,0))</f>
        <v>21.452324077887976</v>
      </c>
      <c r="F102" s="7">
        <f>INDEX('2018 Data Lockdown'!E$5:E$255,MATCH(B102,'2018 Data Lockdown'!B$5:B$255,0))</f>
        <v>66251.19</v>
      </c>
      <c r="G102" s="7">
        <f>INDEX('2018 Data Lockdown'!F$5:F$255, MATCH(B102,'2018 Data Lockdown'!B$5:B$255,0))</f>
        <v>0</v>
      </c>
      <c r="H102" s="7">
        <f t="shared" si="14"/>
        <v>66251.19</v>
      </c>
      <c r="I102" s="6">
        <f t="shared" si="15"/>
        <v>3088.2989535053939</v>
      </c>
      <c r="J102" s="6">
        <f t="shared" si="16"/>
        <v>1287.7074365492217</v>
      </c>
      <c r="K102" s="5">
        <f t="shared" si="17"/>
        <v>27624.317246360271</v>
      </c>
      <c r="L102" s="4">
        <f t="shared" si="18"/>
        <v>0</v>
      </c>
      <c r="M102" s="2">
        <f t="shared" si="19"/>
        <v>698.28388420281556</v>
      </c>
      <c r="N102" s="1">
        <f t="shared" si="20"/>
        <v>47</v>
      </c>
      <c r="O102" s="3">
        <f t="shared" si="21"/>
        <v>5712172.0314934086</v>
      </c>
      <c r="P102" s="2">
        <f t="shared" si="22"/>
        <v>459.92964168861073</v>
      </c>
      <c r="Q102" s="2">
        <f t="shared" si="24"/>
        <v>108.86033185640929</v>
      </c>
      <c r="R102" s="2">
        <f t="shared" si="24"/>
        <v>1287.7074365492217</v>
      </c>
      <c r="S102" s="2">
        <f t="shared" si="23"/>
        <v>1287.7074365492217</v>
      </c>
    </row>
    <row r="103" spans="2:19" x14ac:dyDescent="0.25">
      <c r="B103">
        <v>970</v>
      </c>
      <c r="C103" s="27">
        <v>6</v>
      </c>
      <c r="D103" s="39" t="s">
        <v>394</v>
      </c>
      <c r="E103" s="162">
        <f>INDEX('2018 Data Lockdown'!H$5:H$255, MATCH(B103,'2018 Data Lockdown'!B$5:B$255,0))</f>
        <v>167.59129758245945</v>
      </c>
      <c r="F103" s="7">
        <f>INDEX('2018 Data Lockdown'!E$5:E$255,MATCH(B103,'2018 Data Lockdown'!B$5:B$255,0))</f>
        <v>72830</v>
      </c>
      <c r="G103" s="7">
        <f>INDEX('2018 Data Lockdown'!F$5:F$255, MATCH(B103,'2018 Data Lockdown'!B$5:B$255,0))</f>
        <v>408</v>
      </c>
      <c r="H103" s="7">
        <f t="shared" si="14"/>
        <v>72422</v>
      </c>
      <c r="I103" s="6">
        <f t="shared" si="15"/>
        <v>432.134609879528</v>
      </c>
      <c r="J103" s="6">
        <f t="shared" si="16"/>
        <v>432.134609879528</v>
      </c>
      <c r="K103" s="5">
        <f t="shared" si="17"/>
        <v>72422</v>
      </c>
      <c r="L103" s="4">
        <f t="shared" si="18"/>
        <v>0</v>
      </c>
      <c r="M103" s="2">
        <f t="shared" si="19"/>
        <v>698.28388420281556</v>
      </c>
      <c r="N103" s="1">
        <f t="shared" si="20"/>
        <v>47</v>
      </c>
      <c r="O103" s="3">
        <f t="shared" si="21"/>
        <v>70835.436222812568</v>
      </c>
      <c r="P103" s="2">
        <f t="shared" si="22"/>
        <v>459.92964168861073</v>
      </c>
      <c r="Q103" s="2">
        <f t="shared" si="24"/>
        <v>108.86033185640929</v>
      </c>
      <c r="R103" s="2">
        <f t="shared" si="24"/>
        <v>1287.7074365492217</v>
      </c>
      <c r="S103" s="2">
        <f t="shared" si="23"/>
        <v>432.134609879528</v>
      </c>
    </row>
    <row r="104" spans="2:19" x14ac:dyDescent="0.25">
      <c r="B104">
        <v>978</v>
      </c>
      <c r="C104" s="27">
        <v>6</v>
      </c>
      <c r="D104" s="39" t="s">
        <v>507</v>
      </c>
      <c r="E104" s="162">
        <f>INDEX('2018 Data Lockdown'!H$5:H$255, MATCH(B104,'2018 Data Lockdown'!B$5:B$255,0))</f>
        <v>0</v>
      </c>
      <c r="F104" s="7">
        <f>INDEX('2018 Data Lockdown'!E$5:E$255,MATCH(B104,'2018 Data Lockdown'!B$5:B$255,0))</f>
        <v>31329.48</v>
      </c>
      <c r="G104" s="7">
        <f>INDEX('2018 Data Lockdown'!F$5:F$255, MATCH(B104,'2018 Data Lockdown'!B$5:B$255,0))</f>
        <v>0</v>
      </c>
      <c r="H104" s="7">
        <f t="shared" si="14"/>
        <v>31329.48</v>
      </c>
      <c r="I104" s="6" t="e">
        <f t="shared" si="15"/>
        <v>#DIV/0!</v>
      </c>
      <c r="J104" s="6">
        <f t="shared" si="16"/>
        <v>1287.7074365492217</v>
      </c>
      <c r="K104" s="5">
        <f t="shared" si="17"/>
        <v>0</v>
      </c>
      <c r="L104" s="4">
        <f t="shared" si="18"/>
        <v>1</v>
      </c>
      <c r="M104" s="2">
        <f t="shared" si="19"/>
        <v>698.28388420281556</v>
      </c>
      <c r="N104" s="1">
        <f t="shared" si="20"/>
        <v>47</v>
      </c>
      <c r="O104" s="3">
        <f t="shared" si="21"/>
        <v>0</v>
      </c>
      <c r="P104" s="2">
        <f t="shared" si="22"/>
        <v>459.92964168861073</v>
      </c>
      <c r="Q104" s="2">
        <f t="shared" si="24"/>
        <v>108.86033185640929</v>
      </c>
      <c r="R104" s="2">
        <f t="shared" si="24"/>
        <v>1287.7074365492217</v>
      </c>
      <c r="S104" s="2" t="e">
        <f t="shared" si="23"/>
        <v>#DIV/0!</v>
      </c>
    </row>
    <row r="105" spans="2:19" x14ac:dyDescent="0.25">
      <c r="B105">
        <v>980</v>
      </c>
      <c r="C105" s="27">
        <v>6</v>
      </c>
      <c r="D105" s="39" t="s">
        <v>395</v>
      </c>
      <c r="E105" s="162">
        <f>INDEX('2018 Data Lockdown'!H$5:H$255, MATCH(B105,'2018 Data Lockdown'!B$5:B$255,0))</f>
        <v>38.773680173491201</v>
      </c>
      <c r="F105" s="7">
        <f>INDEX('2018 Data Lockdown'!E$5:E$255,MATCH(B105,'2018 Data Lockdown'!B$5:B$255,0))</f>
        <v>37348.19</v>
      </c>
      <c r="G105" s="7">
        <f>INDEX('2018 Data Lockdown'!F$5:F$255, MATCH(B105,'2018 Data Lockdown'!B$5:B$255,0))</f>
        <v>0</v>
      </c>
      <c r="H105" s="7">
        <f t="shared" si="14"/>
        <v>37348.19</v>
      </c>
      <c r="I105" s="6">
        <f t="shared" si="15"/>
        <v>963.23562356957336</v>
      </c>
      <c r="J105" s="6">
        <f t="shared" si="16"/>
        <v>963.23562356957336</v>
      </c>
      <c r="K105" s="5">
        <f t="shared" si="17"/>
        <v>37348.19</v>
      </c>
      <c r="L105" s="4">
        <f t="shared" si="18"/>
        <v>0</v>
      </c>
      <c r="M105" s="2">
        <f t="shared" si="19"/>
        <v>698.28388420281556</v>
      </c>
      <c r="N105" s="1">
        <f t="shared" si="20"/>
        <v>47</v>
      </c>
      <c r="O105" s="3">
        <f t="shared" si="21"/>
        <v>70199.42419347036</v>
      </c>
      <c r="P105" s="2">
        <f t="shared" si="22"/>
        <v>459.92964168861073</v>
      </c>
      <c r="Q105" s="2">
        <f t="shared" si="24"/>
        <v>108.86033185640929</v>
      </c>
      <c r="R105" s="2">
        <f t="shared" si="24"/>
        <v>1287.7074365492217</v>
      </c>
      <c r="S105" s="2">
        <f t="shared" si="23"/>
        <v>963.23562356957336</v>
      </c>
    </row>
    <row r="106" spans="2:19" x14ac:dyDescent="0.25">
      <c r="B106">
        <v>986</v>
      </c>
      <c r="C106" s="27">
        <v>6</v>
      </c>
      <c r="D106" s="39" t="s">
        <v>396</v>
      </c>
      <c r="E106" s="162">
        <f>INDEX('2018 Data Lockdown'!H$5:H$255, MATCH(B106,'2018 Data Lockdown'!B$5:B$255,0))</f>
        <v>8.1183888146059324</v>
      </c>
      <c r="F106" s="7">
        <f>INDEX('2018 Data Lockdown'!E$5:E$255,MATCH(B106,'2018 Data Lockdown'!B$5:B$255,0))</f>
        <v>42773.26</v>
      </c>
      <c r="G106" s="7">
        <f>INDEX('2018 Data Lockdown'!F$5:F$255, MATCH(B106,'2018 Data Lockdown'!B$5:B$255,0))</f>
        <v>0</v>
      </c>
      <c r="H106" s="7">
        <f t="shared" si="14"/>
        <v>42773.26</v>
      </c>
      <c r="I106" s="6">
        <f t="shared" si="15"/>
        <v>5268.6882800003241</v>
      </c>
      <c r="J106" s="6">
        <f t="shared" si="16"/>
        <v>1287.7074365492217</v>
      </c>
      <c r="K106" s="5">
        <f t="shared" si="17"/>
        <v>10454.109649366081</v>
      </c>
      <c r="L106" s="4">
        <f t="shared" si="18"/>
        <v>0</v>
      </c>
      <c r="M106" s="2">
        <f t="shared" si="19"/>
        <v>698.28388420281556</v>
      </c>
      <c r="N106" s="1">
        <f t="shared" si="20"/>
        <v>47</v>
      </c>
      <c r="O106" s="3">
        <f t="shared" si="21"/>
        <v>20888596.341125187</v>
      </c>
      <c r="P106" s="2">
        <f t="shared" si="22"/>
        <v>459.92964168861073</v>
      </c>
      <c r="Q106" s="2">
        <f t="shared" ref="Q106:R125" si="25">NORMINV(Q$4,$M106,$P106)</f>
        <v>108.86033185640929</v>
      </c>
      <c r="R106" s="2">
        <f t="shared" si="25"/>
        <v>1287.7074365492217</v>
      </c>
      <c r="S106" s="2">
        <f t="shared" si="23"/>
        <v>1287.7074365492217</v>
      </c>
    </row>
    <row r="107" spans="2:19" x14ac:dyDescent="0.25">
      <c r="B107">
        <v>988</v>
      </c>
      <c r="C107" s="27">
        <v>6</v>
      </c>
      <c r="D107" s="39" t="s">
        <v>397</v>
      </c>
      <c r="E107" s="162">
        <f>INDEX('2018 Data Lockdown'!H$5:H$255, MATCH(B107,'2018 Data Lockdown'!B$5:B$255,0))</f>
        <v>144.72352333946131</v>
      </c>
      <c r="F107" s="7">
        <f>INDEX('2018 Data Lockdown'!E$5:E$255,MATCH(B107,'2018 Data Lockdown'!B$5:B$255,0))</f>
        <v>80859.64</v>
      </c>
      <c r="G107" s="7">
        <f>INDEX('2018 Data Lockdown'!F$5:F$255, MATCH(B107,'2018 Data Lockdown'!B$5:B$255,0))</f>
        <v>155</v>
      </c>
      <c r="H107" s="7">
        <f t="shared" si="14"/>
        <v>80704.639999999999</v>
      </c>
      <c r="I107" s="6">
        <f t="shared" si="15"/>
        <v>557.64700953762997</v>
      </c>
      <c r="J107" s="6">
        <f t="shared" si="16"/>
        <v>557.64700953762997</v>
      </c>
      <c r="K107" s="5">
        <f t="shared" si="17"/>
        <v>80704.639999999999</v>
      </c>
      <c r="L107" s="4">
        <f t="shared" si="18"/>
        <v>0</v>
      </c>
      <c r="M107" s="2">
        <f t="shared" si="19"/>
        <v>698.28388420281556</v>
      </c>
      <c r="N107" s="1">
        <f t="shared" si="20"/>
        <v>47</v>
      </c>
      <c r="O107" s="3">
        <f t="shared" si="21"/>
        <v>19778.73051559112</v>
      </c>
      <c r="P107" s="2">
        <f t="shared" si="22"/>
        <v>459.92964168861073</v>
      </c>
      <c r="Q107" s="2">
        <f t="shared" si="25"/>
        <v>108.86033185640929</v>
      </c>
      <c r="R107" s="2">
        <f t="shared" si="25"/>
        <v>1287.7074365492217</v>
      </c>
      <c r="S107" s="2">
        <f t="shared" si="23"/>
        <v>557.64700953762997</v>
      </c>
    </row>
    <row r="108" spans="2:19" x14ac:dyDescent="0.25">
      <c r="B108">
        <v>989</v>
      </c>
      <c r="C108" s="27">
        <v>6</v>
      </c>
      <c r="D108" s="39" t="s">
        <v>398</v>
      </c>
      <c r="E108" s="162">
        <f>INDEX('2018 Data Lockdown'!H$5:H$255, MATCH(B108,'2018 Data Lockdown'!B$5:B$255,0))</f>
        <v>456.51183625078789</v>
      </c>
      <c r="F108" s="7">
        <f>INDEX('2018 Data Lockdown'!E$5:E$255,MATCH(B108,'2018 Data Lockdown'!B$5:B$255,0))</f>
        <v>266398.28999999998</v>
      </c>
      <c r="G108" s="7">
        <f>INDEX('2018 Data Lockdown'!F$5:F$255, MATCH(B108,'2018 Data Lockdown'!B$5:B$255,0))</f>
        <v>36564.799999999996</v>
      </c>
      <c r="H108" s="7">
        <f t="shared" si="14"/>
        <v>229833.49</v>
      </c>
      <c r="I108" s="6">
        <f t="shared" si="15"/>
        <v>503.4557085913965</v>
      </c>
      <c r="J108" s="6">
        <f t="shared" si="16"/>
        <v>503.4557085913965</v>
      </c>
      <c r="K108" s="5">
        <f t="shared" si="17"/>
        <v>229833.49</v>
      </c>
      <c r="L108" s="4">
        <f t="shared" si="18"/>
        <v>0</v>
      </c>
      <c r="M108" s="2">
        <f t="shared" si="19"/>
        <v>698.28388420281556</v>
      </c>
      <c r="N108" s="1">
        <f t="shared" si="20"/>
        <v>47</v>
      </c>
      <c r="O108" s="3">
        <f t="shared" si="21"/>
        <v>37958.018012073946</v>
      </c>
      <c r="P108" s="2">
        <f t="shared" si="22"/>
        <v>459.92964168861073</v>
      </c>
      <c r="Q108" s="2">
        <f t="shared" si="25"/>
        <v>108.86033185640929</v>
      </c>
      <c r="R108" s="2">
        <f t="shared" si="25"/>
        <v>1287.7074365492217</v>
      </c>
      <c r="S108" s="2">
        <f t="shared" si="23"/>
        <v>503.4557085913965</v>
      </c>
    </row>
    <row r="109" spans="2:19" x14ac:dyDescent="0.25">
      <c r="B109">
        <v>39</v>
      </c>
      <c r="C109" s="27">
        <v>7</v>
      </c>
      <c r="D109" s="39" t="s">
        <v>399</v>
      </c>
      <c r="E109" s="162">
        <f>INDEX('2018 Data Lockdown'!H$5:H$255, MATCH(B109,'2018 Data Lockdown'!B$5:B$255,0))</f>
        <v>383.36</v>
      </c>
      <c r="F109" s="7">
        <f>INDEX('2018 Data Lockdown'!E$5:E$255,MATCH(B109,'2018 Data Lockdown'!B$5:B$255,0))</f>
        <v>108160.35</v>
      </c>
      <c r="G109" s="7">
        <f>INDEX('2018 Data Lockdown'!F$5:F$255, MATCH(B109,'2018 Data Lockdown'!B$5:B$255,0))</f>
        <v>1756.13</v>
      </c>
      <c r="H109" s="7">
        <f t="shared" si="14"/>
        <v>106404.22</v>
      </c>
      <c r="I109" s="6">
        <f t="shared" si="15"/>
        <v>277.55691777963273</v>
      </c>
      <c r="J109" s="6">
        <f t="shared" si="16"/>
        <v>277.55691777963273</v>
      </c>
      <c r="K109" s="5">
        <f t="shared" si="17"/>
        <v>106404.22</v>
      </c>
      <c r="L109" s="4">
        <f t="shared" si="18"/>
        <v>0</v>
      </c>
      <c r="M109" s="2">
        <f t="shared" si="19"/>
        <v>478.30294543098512</v>
      </c>
      <c r="N109" s="1">
        <f t="shared" si="20"/>
        <v>66</v>
      </c>
      <c r="O109" s="3">
        <f t="shared" si="21"/>
        <v>40298.967617797542</v>
      </c>
      <c r="P109" s="2">
        <f t="shared" si="22"/>
        <v>194.88401379279898</v>
      </c>
      <c r="Q109" s="2">
        <f t="shared" si="25"/>
        <v>228.54903245520805</v>
      </c>
      <c r="R109" s="2">
        <f t="shared" si="25"/>
        <v>728.05685840676222</v>
      </c>
      <c r="S109" s="2">
        <f t="shared" si="23"/>
        <v>277.55691777963273</v>
      </c>
    </row>
    <row r="110" spans="2:19" x14ac:dyDescent="0.25">
      <c r="B110">
        <v>59</v>
      </c>
      <c r="C110" s="27">
        <v>7</v>
      </c>
      <c r="D110" s="39" t="s">
        <v>400</v>
      </c>
      <c r="E110" s="162">
        <f>INDEX('2018 Data Lockdown'!H$5:H$255, MATCH(B110,'2018 Data Lockdown'!B$5:B$255,0))</f>
        <v>233.31196774077719</v>
      </c>
      <c r="F110" s="7">
        <f>INDEX('2018 Data Lockdown'!E$5:E$255,MATCH(B110,'2018 Data Lockdown'!B$5:B$255,0))</f>
        <v>172265.9</v>
      </c>
      <c r="G110" s="7">
        <f>INDEX('2018 Data Lockdown'!F$5:F$255, MATCH(B110,'2018 Data Lockdown'!B$5:B$255,0))</f>
        <v>0</v>
      </c>
      <c r="H110" s="7">
        <f t="shared" si="14"/>
        <v>172265.9</v>
      </c>
      <c r="I110" s="6">
        <f t="shared" si="15"/>
        <v>738.35003694022748</v>
      </c>
      <c r="J110" s="6">
        <f t="shared" si="16"/>
        <v>728.05685840676222</v>
      </c>
      <c r="K110" s="5">
        <f t="shared" si="17"/>
        <v>169864.3782620501</v>
      </c>
      <c r="L110" s="4">
        <f t="shared" si="18"/>
        <v>0</v>
      </c>
      <c r="M110" s="2">
        <f t="shared" si="19"/>
        <v>478.30294543098512</v>
      </c>
      <c r="N110" s="1">
        <f t="shared" si="20"/>
        <v>66</v>
      </c>
      <c r="O110" s="3">
        <f t="shared" si="21"/>
        <v>67624.489802416269</v>
      </c>
      <c r="P110" s="2">
        <f t="shared" si="22"/>
        <v>194.88401379279898</v>
      </c>
      <c r="Q110" s="2">
        <f t="shared" si="25"/>
        <v>228.54903245520805</v>
      </c>
      <c r="R110" s="2">
        <f t="shared" si="25"/>
        <v>728.05685840676222</v>
      </c>
      <c r="S110" s="2">
        <f t="shared" si="23"/>
        <v>728.05685840676222</v>
      </c>
    </row>
    <row r="111" spans="2:19" x14ac:dyDescent="0.25">
      <c r="B111">
        <v>100</v>
      </c>
      <c r="C111" s="27">
        <v>7</v>
      </c>
      <c r="D111" s="39" t="s">
        <v>509</v>
      </c>
      <c r="E111" s="162">
        <f>INDEX('2018 Data Lockdown'!H$5:H$255, MATCH(B111,'2018 Data Lockdown'!B$5:B$255,0))</f>
        <v>31.644171725300925</v>
      </c>
      <c r="F111" s="7">
        <f>INDEX('2018 Data Lockdown'!E$5:E$255,MATCH(B111,'2018 Data Lockdown'!B$5:B$255,0))</f>
        <v>30401.27</v>
      </c>
      <c r="G111" s="7">
        <f>INDEX('2018 Data Lockdown'!F$5:F$255, MATCH(B111,'2018 Data Lockdown'!B$5:B$255,0))</f>
        <v>0</v>
      </c>
      <c r="H111" s="7">
        <f t="shared" si="14"/>
        <v>30401.27</v>
      </c>
      <c r="I111" s="6">
        <f t="shared" si="15"/>
        <v>960.72257045972322</v>
      </c>
      <c r="J111" s="6">
        <f t="shared" si="16"/>
        <v>728.05685840676222</v>
      </c>
      <c r="K111" s="5">
        <f t="shared" si="17"/>
        <v>23038.756253206684</v>
      </c>
      <c r="L111" s="4">
        <f t="shared" si="18"/>
        <v>0</v>
      </c>
      <c r="M111" s="2">
        <f t="shared" si="19"/>
        <v>478.30294543098512</v>
      </c>
      <c r="N111" s="1">
        <f t="shared" si="20"/>
        <v>66</v>
      </c>
      <c r="O111" s="3">
        <f t="shared" si="21"/>
        <v>232728.69461286828</v>
      </c>
      <c r="P111" s="2">
        <f t="shared" si="22"/>
        <v>194.88401379279898</v>
      </c>
      <c r="Q111" s="2">
        <f t="shared" si="25"/>
        <v>228.54903245520805</v>
      </c>
      <c r="R111" s="2">
        <f t="shared" si="25"/>
        <v>728.05685840676222</v>
      </c>
      <c r="S111" s="2">
        <f t="shared" si="23"/>
        <v>728.05685840676222</v>
      </c>
    </row>
    <row r="112" spans="2:19" x14ac:dyDescent="0.25">
      <c r="B112">
        <v>128</v>
      </c>
      <c r="C112" s="27">
        <v>7</v>
      </c>
      <c r="D112" s="39" t="s">
        <v>401</v>
      </c>
      <c r="E112" s="162">
        <f>INDEX('2018 Data Lockdown'!H$5:H$255, MATCH(B112,'2018 Data Lockdown'!B$5:B$255,0))</f>
        <v>144.8151497882408</v>
      </c>
      <c r="F112" s="7">
        <f>INDEX('2018 Data Lockdown'!E$5:E$255,MATCH(B112,'2018 Data Lockdown'!B$5:B$255,0))</f>
        <v>96271.57</v>
      </c>
      <c r="G112" s="7">
        <f>INDEX('2018 Data Lockdown'!F$5:F$255, MATCH(B112,'2018 Data Lockdown'!B$5:B$255,0))</f>
        <v>119.44</v>
      </c>
      <c r="H112" s="7">
        <f t="shared" si="14"/>
        <v>96152.13</v>
      </c>
      <c r="I112" s="6">
        <f t="shared" si="15"/>
        <v>663.96457926260211</v>
      </c>
      <c r="J112" s="6">
        <f t="shared" si="16"/>
        <v>663.96457926260211</v>
      </c>
      <c r="K112" s="5">
        <f t="shared" si="17"/>
        <v>96152.13</v>
      </c>
      <c r="L112" s="4">
        <f t="shared" si="18"/>
        <v>0</v>
      </c>
      <c r="M112" s="2">
        <f t="shared" si="19"/>
        <v>478.30294543098512</v>
      </c>
      <c r="N112" s="1">
        <f t="shared" si="20"/>
        <v>66</v>
      </c>
      <c r="O112" s="3">
        <f t="shared" si="21"/>
        <v>34470.242277025427</v>
      </c>
      <c r="P112" s="2">
        <f t="shared" si="22"/>
        <v>194.88401379279898</v>
      </c>
      <c r="Q112" s="2">
        <f t="shared" si="25"/>
        <v>228.54903245520805</v>
      </c>
      <c r="R112" s="2">
        <f t="shared" si="25"/>
        <v>728.05685840676222</v>
      </c>
      <c r="S112" s="2">
        <f t="shared" si="23"/>
        <v>663.96457926260211</v>
      </c>
    </row>
    <row r="113" spans="2:19" x14ac:dyDescent="0.25">
      <c r="B113">
        <v>152</v>
      </c>
      <c r="C113" s="27">
        <v>7</v>
      </c>
      <c r="D113" s="39" t="s">
        <v>402</v>
      </c>
      <c r="E113" s="162">
        <f>INDEX('2018 Data Lockdown'!H$5:H$255, MATCH(B113,'2018 Data Lockdown'!B$5:B$255,0))</f>
        <v>355.34</v>
      </c>
      <c r="F113" s="7">
        <f>INDEX('2018 Data Lockdown'!E$5:E$255,MATCH(B113,'2018 Data Lockdown'!B$5:B$255,0))</f>
        <v>157814.06</v>
      </c>
      <c r="G113" s="7">
        <f>INDEX('2018 Data Lockdown'!F$5:F$255, MATCH(B113,'2018 Data Lockdown'!B$5:B$255,0))</f>
        <v>22795.199999999997</v>
      </c>
      <c r="H113" s="7">
        <f t="shared" si="14"/>
        <v>135018.85999999999</v>
      </c>
      <c r="I113" s="6">
        <f t="shared" si="15"/>
        <v>379.97090110879719</v>
      </c>
      <c r="J113" s="6">
        <f t="shared" si="16"/>
        <v>379.97090110879719</v>
      </c>
      <c r="K113" s="5">
        <f t="shared" si="17"/>
        <v>135018.85999999999</v>
      </c>
      <c r="L113" s="4">
        <f t="shared" si="18"/>
        <v>0</v>
      </c>
      <c r="M113" s="2">
        <f t="shared" si="19"/>
        <v>478.30294543098512</v>
      </c>
      <c r="N113" s="1">
        <f t="shared" si="20"/>
        <v>66</v>
      </c>
      <c r="O113" s="3">
        <f t="shared" si="21"/>
        <v>9669.190940580731</v>
      </c>
      <c r="P113" s="2">
        <f t="shared" si="22"/>
        <v>194.88401379279898</v>
      </c>
      <c r="Q113" s="2">
        <f t="shared" si="25"/>
        <v>228.54903245520805</v>
      </c>
      <c r="R113" s="2">
        <f t="shared" si="25"/>
        <v>728.05685840676222</v>
      </c>
      <c r="S113" s="2">
        <f t="shared" si="23"/>
        <v>379.97090110879719</v>
      </c>
    </row>
    <row r="114" spans="2:19" x14ac:dyDescent="0.25">
      <c r="B114">
        <v>162</v>
      </c>
      <c r="C114" s="27">
        <v>7</v>
      </c>
      <c r="D114" s="39" t="s">
        <v>403</v>
      </c>
      <c r="E114" s="162">
        <f>INDEX('2018 Data Lockdown'!H$5:H$255, MATCH(B114,'2018 Data Lockdown'!B$5:B$255,0))</f>
        <v>789.80000000000007</v>
      </c>
      <c r="F114" s="7">
        <f>INDEX('2018 Data Lockdown'!E$5:E$255,MATCH(B114,'2018 Data Lockdown'!B$5:B$255,0))</f>
        <v>386975.44</v>
      </c>
      <c r="G114" s="7">
        <f>INDEX('2018 Data Lockdown'!F$5:F$255, MATCH(B114,'2018 Data Lockdown'!B$5:B$255,0))</f>
        <v>24452.720000000001</v>
      </c>
      <c r="H114" s="7">
        <f t="shared" si="14"/>
        <v>362522.72</v>
      </c>
      <c r="I114" s="6">
        <f t="shared" si="15"/>
        <v>459.00572296783986</v>
      </c>
      <c r="J114" s="6">
        <f t="shared" si="16"/>
        <v>459.00572296783986</v>
      </c>
      <c r="K114" s="5">
        <f t="shared" si="17"/>
        <v>362522.72</v>
      </c>
      <c r="L114" s="4">
        <f t="shared" si="18"/>
        <v>0</v>
      </c>
      <c r="M114" s="2">
        <f t="shared" si="19"/>
        <v>478.30294543098512</v>
      </c>
      <c r="N114" s="1">
        <f t="shared" si="20"/>
        <v>66</v>
      </c>
      <c r="O114" s="3">
        <f t="shared" si="21"/>
        <v>372.38279479211803</v>
      </c>
      <c r="P114" s="2">
        <f t="shared" si="22"/>
        <v>194.88401379279898</v>
      </c>
      <c r="Q114" s="2">
        <f t="shared" si="25"/>
        <v>228.54903245520805</v>
      </c>
      <c r="R114" s="2">
        <f t="shared" si="25"/>
        <v>728.05685840676222</v>
      </c>
      <c r="S114" s="2">
        <f t="shared" si="23"/>
        <v>459.00572296783986</v>
      </c>
    </row>
    <row r="115" spans="2:19" x14ac:dyDescent="0.25">
      <c r="B115">
        <v>166</v>
      </c>
      <c r="C115" s="27">
        <v>7</v>
      </c>
      <c r="D115" s="39" t="s">
        <v>404</v>
      </c>
      <c r="E115" s="162">
        <f>INDEX('2018 Data Lockdown'!H$5:H$255, MATCH(B115,'2018 Data Lockdown'!B$5:B$255,0))</f>
        <v>860.3599999999999</v>
      </c>
      <c r="F115" s="7">
        <f>INDEX('2018 Data Lockdown'!E$5:E$255,MATCH(B115,'2018 Data Lockdown'!B$5:B$255,0))</f>
        <v>451775.31</v>
      </c>
      <c r="G115" s="7">
        <f>INDEX('2018 Data Lockdown'!F$5:F$255, MATCH(B115,'2018 Data Lockdown'!B$5:B$255,0))</f>
        <v>109930.31</v>
      </c>
      <c r="H115" s="7">
        <f t="shared" si="14"/>
        <v>341845</v>
      </c>
      <c r="I115" s="6">
        <f t="shared" si="15"/>
        <v>397.32786275512581</v>
      </c>
      <c r="J115" s="6">
        <f t="shared" si="16"/>
        <v>397.32786275512581</v>
      </c>
      <c r="K115" s="5">
        <f t="shared" si="17"/>
        <v>341845</v>
      </c>
      <c r="L115" s="4">
        <f t="shared" si="18"/>
        <v>0</v>
      </c>
      <c r="M115" s="2">
        <f t="shared" si="19"/>
        <v>478.30294543098512</v>
      </c>
      <c r="N115" s="1">
        <f t="shared" si="20"/>
        <v>66</v>
      </c>
      <c r="O115" s="3">
        <f t="shared" si="21"/>
        <v>6556.964014362251</v>
      </c>
      <c r="P115" s="2">
        <f t="shared" si="22"/>
        <v>194.88401379279898</v>
      </c>
      <c r="Q115" s="2">
        <f t="shared" si="25"/>
        <v>228.54903245520805</v>
      </c>
      <c r="R115" s="2">
        <f t="shared" si="25"/>
        <v>728.05685840676222</v>
      </c>
      <c r="S115" s="2">
        <f t="shared" si="23"/>
        <v>397.32786275512581</v>
      </c>
    </row>
    <row r="116" spans="2:19" x14ac:dyDescent="0.25">
      <c r="B116">
        <v>192</v>
      </c>
      <c r="C116" s="27">
        <v>7</v>
      </c>
      <c r="D116" s="39" t="s">
        <v>405</v>
      </c>
      <c r="E116" s="162">
        <f>INDEX('2018 Data Lockdown'!H$5:H$255, MATCH(B116,'2018 Data Lockdown'!B$5:B$255,0))</f>
        <v>166.06</v>
      </c>
      <c r="F116" s="7">
        <f>INDEX('2018 Data Lockdown'!E$5:E$255,MATCH(B116,'2018 Data Lockdown'!B$5:B$255,0))</f>
        <v>119649.47</v>
      </c>
      <c r="G116" s="7">
        <f>INDEX('2018 Data Lockdown'!F$5:F$255, MATCH(B116,'2018 Data Lockdown'!B$5:B$255,0))</f>
        <v>21552.310000000005</v>
      </c>
      <c r="H116" s="7">
        <f t="shared" si="14"/>
        <v>98097.16</v>
      </c>
      <c r="I116" s="6">
        <f t="shared" si="15"/>
        <v>590.73322895339038</v>
      </c>
      <c r="J116" s="6">
        <f t="shared" si="16"/>
        <v>590.73322895339038</v>
      </c>
      <c r="K116" s="5">
        <f t="shared" si="17"/>
        <v>98097.16</v>
      </c>
      <c r="L116" s="4">
        <f t="shared" si="18"/>
        <v>0</v>
      </c>
      <c r="M116" s="2">
        <f t="shared" si="19"/>
        <v>478.30294543098512</v>
      </c>
      <c r="N116" s="1">
        <f t="shared" si="20"/>
        <v>66</v>
      </c>
      <c r="O116" s="3">
        <f t="shared" si="21"/>
        <v>12640.568652928432</v>
      </c>
      <c r="P116" s="2">
        <f t="shared" si="22"/>
        <v>194.88401379279898</v>
      </c>
      <c r="Q116" s="2">
        <f t="shared" si="25"/>
        <v>228.54903245520805</v>
      </c>
      <c r="R116" s="2">
        <f t="shared" si="25"/>
        <v>728.05685840676222</v>
      </c>
      <c r="S116" s="2">
        <f t="shared" si="23"/>
        <v>590.73322895339038</v>
      </c>
    </row>
    <row r="117" spans="2:19" x14ac:dyDescent="0.25">
      <c r="B117">
        <v>205</v>
      </c>
      <c r="C117" s="27">
        <v>7</v>
      </c>
      <c r="D117" s="39" t="s">
        <v>406</v>
      </c>
      <c r="E117" s="162">
        <f>INDEX('2018 Data Lockdown'!H$5:H$255, MATCH(B117,'2018 Data Lockdown'!B$5:B$255,0))</f>
        <v>611.51978389570877</v>
      </c>
      <c r="F117" s="7">
        <f>INDEX('2018 Data Lockdown'!E$5:E$255,MATCH(B117,'2018 Data Lockdown'!B$5:B$255,0))</f>
        <v>424199.53</v>
      </c>
      <c r="G117" s="7">
        <f>INDEX('2018 Data Lockdown'!F$5:F$255, MATCH(B117,'2018 Data Lockdown'!B$5:B$255,0))</f>
        <v>18066.25</v>
      </c>
      <c r="H117" s="7">
        <f t="shared" si="14"/>
        <v>406133.28</v>
      </c>
      <c r="I117" s="6">
        <f t="shared" si="15"/>
        <v>664.13759733612108</v>
      </c>
      <c r="J117" s="6">
        <f t="shared" si="16"/>
        <v>664.13759733612108</v>
      </c>
      <c r="K117" s="5">
        <f t="shared" si="17"/>
        <v>406133.28</v>
      </c>
      <c r="L117" s="4">
        <f t="shared" si="18"/>
        <v>0</v>
      </c>
      <c r="M117" s="2">
        <f t="shared" si="19"/>
        <v>478.30294543098512</v>
      </c>
      <c r="N117" s="1">
        <f t="shared" si="20"/>
        <v>66</v>
      </c>
      <c r="O117" s="3">
        <f t="shared" si="21"/>
        <v>34534.51784870305</v>
      </c>
      <c r="P117" s="2">
        <f t="shared" si="22"/>
        <v>194.88401379279898</v>
      </c>
      <c r="Q117" s="2">
        <f t="shared" si="25"/>
        <v>228.54903245520805</v>
      </c>
      <c r="R117" s="2">
        <f t="shared" si="25"/>
        <v>728.05685840676222</v>
      </c>
      <c r="S117" s="2">
        <f t="shared" si="23"/>
        <v>664.13759733612108</v>
      </c>
    </row>
    <row r="118" spans="2:19" x14ac:dyDescent="0.25">
      <c r="B118">
        <v>212</v>
      </c>
      <c r="C118" s="27">
        <v>7</v>
      </c>
      <c r="D118" s="39" t="s">
        <v>407</v>
      </c>
      <c r="E118" s="162">
        <f>INDEX('2018 Data Lockdown'!H$5:H$255, MATCH(B118,'2018 Data Lockdown'!B$5:B$255,0))</f>
        <v>456.16891805920824</v>
      </c>
      <c r="F118" s="7">
        <f>INDEX('2018 Data Lockdown'!E$5:E$255,MATCH(B118,'2018 Data Lockdown'!B$5:B$255,0))</f>
        <v>245644.58</v>
      </c>
      <c r="G118" s="7">
        <f>INDEX('2018 Data Lockdown'!F$5:F$255, MATCH(B118,'2018 Data Lockdown'!B$5:B$255,0))</f>
        <v>630</v>
      </c>
      <c r="H118" s="7">
        <f t="shared" si="14"/>
        <v>245014.58</v>
      </c>
      <c r="I118" s="6">
        <f t="shared" si="15"/>
        <v>537.11371007570142</v>
      </c>
      <c r="J118" s="6">
        <f t="shared" si="16"/>
        <v>537.11371007570142</v>
      </c>
      <c r="K118" s="5">
        <f t="shared" si="17"/>
        <v>245014.57999999996</v>
      </c>
      <c r="L118" s="4">
        <f t="shared" si="18"/>
        <v>0</v>
      </c>
      <c r="M118" s="2">
        <f t="shared" si="19"/>
        <v>478.30294543098512</v>
      </c>
      <c r="N118" s="1">
        <f t="shared" si="20"/>
        <v>66</v>
      </c>
      <c r="O118" s="3">
        <f t="shared" si="21"/>
        <v>3458.706038096213</v>
      </c>
      <c r="P118" s="2">
        <f t="shared" si="22"/>
        <v>194.88401379279898</v>
      </c>
      <c r="Q118" s="2">
        <f t="shared" si="25"/>
        <v>228.54903245520805</v>
      </c>
      <c r="R118" s="2">
        <f t="shared" si="25"/>
        <v>728.05685840676222</v>
      </c>
      <c r="S118" s="2">
        <f t="shared" si="23"/>
        <v>537.11371007570142</v>
      </c>
    </row>
    <row r="119" spans="2:19" x14ac:dyDescent="0.25">
      <c r="B119">
        <v>216</v>
      </c>
      <c r="C119" s="27">
        <v>7</v>
      </c>
      <c r="D119" s="39" t="s">
        <v>408</v>
      </c>
      <c r="E119" s="162">
        <f>INDEX('2018 Data Lockdown'!H$5:H$255, MATCH(B119,'2018 Data Lockdown'!B$5:B$255,0))</f>
        <v>764.6477139740557</v>
      </c>
      <c r="F119" s="7">
        <f>INDEX('2018 Data Lockdown'!E$5:E$255,MATCH(B119,'2018 Data Lockdown'!B$5:B$255,0))</f>
        <v>319371.06</v>
      </c>
      <c r="G119" s="7">
        <f>INDEX('2018 Data Lockdown'!F$5:F$255, MATCH(B119,'2018 Data Lockdown'!B$5:B$255,0))</f>
        <v>285</v>
      </c>
      <c r="H119" s="7">
        <f t="shared" si="14"/>
        <v>319086.06</v>
      </c>
      <c r="I119" s="6">
        <f t="shared" si="15"/>
        <v>417.2981284958455</v>
      </c>
      <c r="J119" s="6">
        <f t="shared" si="16"/>
        <v>417.2981284958455</v>
      </c>
      <c r="K119" s="5">
        <f t="shared" si="17"/>
        <v>319086.06</v>
      </c>
      <c r="L119" s="4">
        <f t="shared" si="18"/>
        <v>0</v>
      </c>
      <c r="M119" s="2">
        <f t="shared" si="19"/>
        <v>478.30294543098512</v>
      </c>
      <c r="N119" s="1">
        <f t="shared" si="20"/>
        <v>66</v>
      </c>
      <c r="O119" s="3">
        <f t="shared" si="21"/>
        <v>3721.5876892898973</v>
      </c>
      <c r="P119" s="2">
        <f t="shared" si="22"/>
        <v>194.88401379279898</v>
      </c>
      <c r="Q119" s="2">
        <f t="shared" si="25"/>
        <v>228.54903245520805</v>
      </c>
      <c r="R119" s="2">
        <f t="shared" si="25"/>
        <v>728.05685840676222</v>
      </c>
      <c r="S119" s="2">
        <f t="shared" si="23"/>
        <v>417.2981284958455</v>
      </c>
    </row>
    <row r="120" spans="2:19" x14ac:dyDescent="0.25">
      <c r="B120">
        <v>218</v>
      </c>
      <c r="C120" s="27">
        <v>7</v>
      </c>
      <c r="D120" s="39" t="s">
        <v>513</v>
      </c>
      <c r="E120" s="162">
        <f>INDEX('2018 Data Lockdown'!H$5:H$255, MATCH(B120,'2018 Data Lockdown'!B$5:B$255,0))</f>
        <v>290.41193028521099</v>
      </c>
      <c r="F120" s="7">
        <f>INDEX('2018 Data Lockdown'!E$5:E$255,MATCH(B120,'2018 Data Lockdown'!B$5:B$255,0))</f>
        <v>189204.88</v>
      </c>
      <c r="G120" s="7">
        <f>INDEX('2018 Data Lockdown'!F$5:F$255, MATCH(B120,'2018 Data Lockdown'!B$5:B$255,0))</f>
        <v>110</v>
      </c>
      <c r="H120" s="7">
        <f t="shared" si="14"/>
        <v>189094.88</v>
      </c>
      <c r="I120" s="6">
        <f t="shared" si="15"/>
        <v>651.12641830620248</v>
      </c>
      <c r="J120" s="6">
        <f t="shared" si="16"/>
        <v>651.12641830620248</v>
      </c>
      <c r="K120" s="5">
        <f t="shared" si="17"/>
        <v>189094.88</v>
      </c>
      <c r="L120" s="4">
        <f t="shared" si="18"/>
        <v>0</v>
      </c>
      <c r="M120" s="2">
        <f t="shared" si="19"/>
        <v>478.30294543098512</v>
      </c>
      <c r="N120" s="1">
        <f t="shared" si="20"/>
        <v>66</v>
      </c>
      <c r="O120" s="3">
        <f t="shared" si="21"/>
        <v>29867.952776650993</v>
      </c>
      <c r="P120" s="2">
        <f t="shared" si="22"/>
        <v>194.88401379279898</v>
      </c>
      <c r="Q120" s="2">
        <f t="shared" si="25"/>
        <v>228.54903245520805</v>
      </c>
      <c r="R120" s="2">
        <f t="shared" si="25"/>
        <v>728.05685840676222</v>
      </c>
      <c r="S120" s="2">
        <f t="shared" si="23"/>
        <v>651.12641830620248</v>
      </c>
    </row>
    <row r="121" spans="2:19" x14ac:dyDescent="0.25">
      <c r="B121">
        <v>229</v>
      </c>
      <c r="C121" s="27">
        <v>7</v>
      </c>
      <c r="D121" s="39" t="s">
        <v>409</v>
      </c>
      <c r="E121" s="162">
        <f>INDEX('2018 Data Lockdown'!H$5:H$255, MATCH(B121,'2018 Data Lockdown'!B$5:B$255,0))</f>
        <v>816</v>
      </c>
      <c r="F121" s="7">
        <f>INDEX('2018 Data Lockdown'!E$5:E$255,MATCH(B121,'2018 Data Lockdown'!B$5:B$255,0))</f>
        <v>449836.67</v>
      </c>
      <c r="G121" s="7">
        <f>INDEX('2018 Data Lockdown'!F$5:F$255, MATCH(B121,'2018 Data Lockdown'!B$5:B$255,0))</f>
        <v>104238</v>
      </c>
      <c r="H121" s="7">
        <f t="shared" si="14"/>
        <v>345598.67</v>
      </c>
      <c r="I121" s="6">
        <f t="shared" si="15"/>
        <v>423.52778186274509</v>
      </c>
      <c r="J121" s="6">
        <f t="shared" si="16"/>
        <v>423.52778186274509</v>
      </c>
      <c r="K121" s="5">
        <f t="shared" si="17"/>
        <v>345598.67</v>
      </c>
      <c r="L121" s="4">
        <f t="shared" si="18"/>
        <v>0</v>
      </c>
      <c r="M121" s="2">
        <f t="shared" si="19"/>
        <v>478.30294543098512</v>
      </c>
      <c r="N121" s="1">
        <f t="shared" si="20"/>
        <v>66</v>
      </c>
      <c r="O121" s="3">
        <f t="shared" si="21"/>
        <v>3000.3185439274503</v>
      </c>
      <c r="P121" s="2">
        <f t="shared" si="22"/>
        <v>194.88401379279898</v>
      </c>
      <c r="Q121" s="2">
        <f t="shared" si="25"/>
        <v>228.54903245520805</v>
      </c>
      <c r="R121" s="2">
        <f t="shared" si="25"/>
        <v>728.05685840676222</v>
      </c>
      <c r="S121" s="2">
        <f t="shared" si="23"/>
        <v>423.52778186274509</v>
      </c>
    </row>
    <row r="122" spans="2:19" x14ac:dyDescent="0.25">
      <c r="B122">
        <v>236</v>
      </c>
      <c r="C122" s="27">
        <v>7</v>
      </c>
      <c r="D122" s="39" t="s">
        <v>410</v>
      </c>
      <c r="E122" s="162">
        <f>INDEX('2018 Data Lockdown'!H$5:H$255, MATCH(B122,'2018 Data Lockdown'!B$5:B$255,0))</f>
        <v>1084.1000000000001</v>
      </c>
      <c r="F122" s="7">
        <f>INDEX('2018 Data Lockdown'!E$5:E$255,MATCH(B122,'2018 Data Lockdown'!B$5:B$255,0))</f>
        <v>616356.31999999995</v>
      </c>
      <c r="G122" s="7">
        <f>INDEX('2018 Data Lockdown'!F$5:F$255, MATCH(B122,'2018 Data Lockdown'!B$5:B$255,0))</f>
        <v>145860.79</v>
      </c>
      <c r="H122" s="7">
        <f t="shared" si="14"/>
        <v>470495.52999999991</v>
      </c>
      <c r="I122" s="6">
        <f t="shared" si="15"/>
        <v>433.99643021861436</v>
      </c>
      <c r="J122" s="6">
        <f t="shared" si="16"/>
        <v>433.99643021861436</v>
      </c>
      <c r="K122" s="5">
        <f t="shared" si="17"/>
        <v>470495.52999999991</v>
      </c>
      <c r="L122" s="4">
        <f t="shared" si="18"/>
        <v>0</v>
      </c>
      <c r="M122" s="2">
        <f t="shared" si="19"/>
        <v>478.30294543098512</v>
      </c>
      <c r="N122" s="1">
        <f t="shared" si="20"/>
        <v>66</v>
      </c>
      <c r="O122" s="3">
        <f t="shared" si="21"/>
        <v>1963.067290264041</v>
      </c>
      <c r="P122" s="2">
        <f t="shared" si="22"/>
        <v>194.88401379279898</v>
      </c>
      <c r="Q122" s="2">
        <f t="shared" si="25"/>
        <v>228.54903245520805</v>
      </c>
      <c r="R122" s="2">
        <f t="shared" si="25"/>
        <v>728.05685840676222</v>
      </c>
      <c r="S122" s="2">
        <f t="shared" si="23"/>
        <v>433.99643021861436</v>
      </c>
    </row>
    <row r="123" spans="2:19" x14ac:dyDescent="0.25">
      <c r="B123">
        <v>238</v>
      </c>
      <c r="C123" s="27">
        <v>7</v>
      </c>
      <c r="D123" s="39" t="s">
        <v>556</v>
      </c>
      <c r="E123" s="162">
        <f>INDEX('2018 Data Lockdown'!H$5:H$255, MATCH(B123,'2018 Data Lockdown'!B$5:B$255,0))</f>
        <v>67.316412345260062</v>
      </c>
      <c r="F123" s="7">
        <f>INDEX('2018 Data Lockdown'!E$5:E$255,MATCH(B123,'2018 Data Lockdown'!B$5:B$255,0))</f>
        <v>56188.56</v>
      </c>
      <c r="G123" s="7">
        <f>INDEX('2018 Data Lockdown'!F$5:F$255, MATCH(B123,'2018 Data Lockdown'!B$5:B$255,0))</f>
        <v>0</v>
      </c>
      <c r="H123" s="7">
        <f t="shared" si="14"/>
        <v>56188.56</v>
      </c>
      <c r="I123" s="6">
        <f t="shared" si="15"/>
        <v>834.69332429383985</v>
      </c>
      <c r="J123" s="6">
        <f t="shared" si="16"/>
        <v>728.05685840676222</v>
      </c>
      <c r="K123" s="5">
        <f t="shared" si="17"/>
        <v>49010.175691304226</v>
      </c>
      <c r="L123" s="4">
        <f t="shared" si="18"/>
        <v>0</v>
      </c>
      <c r="M123" s="2">
        <f t="shared" si="19"/>
        <v>478.30294543098512</v>
      </c>
      <c r="N123" s="1">
        <f t="shared" si="20"/>
        <v>66</v>
      </c>
      <c r="O123" s="3">
        <f t="shared" si="21"/>
        <v>127014.10214600913</v>
      </c>
      <c r="P123" s="2">
        <f t="shared" si="22"/>
        <v>194.88401379279898</v>
      </c>
      <c r="Q123" s="2">
        <f t="shared" si="25"/>
        <v>228.54903245520805</v>
      </c>
      <c r="R123" s="2">
        <f t="shared" si="25"/>
        <v>728.05685840676222</v>
      </c>
      <c r="S123" s="2">
        <f t="shared" si="23"/>
        <v>728.05685840676222</v>
      </c>
    </row>
    <row r="124" spans="2:19" x14ac:dyDescent="0.25">
      <c r="B124">
        <v>239</v>
      </c>
      <c r="C124" s="27">
        <v>7</v>
      </c>
      <c r="D124" s="39" t="s">
        <v>411</v>
      </c>
      <c r="E124" s="162">
        <f>INDEX('2018 Data Lockdown'!H$5:H$255, MATCH(B124,'2018 Data Lockdown'!B$5:B$255,0))</f>
        <v>3252.7579008551165</v>
      </c>
      <c r="F124" s="7">
        <f>INDEX('2018 Data Lockdown'!E$5:E$255,MATCH(B124,'2018 Data Lockdown'!B$5:B$255,0))</f>
        <v>1786444.75</v>
      </c>
      <c r="G124" s="7">
        <f>INDEX('2018 Data Lockdown'!F$5:F$255, MATCH(B124,'2018 Data Lockdown'!B$5:B$255,0))</f>
        <v>419175.63</v>
      </c>
      <c r="H124" s="7">
        <f t="shared" si="14"/>
        <v>1367269.12</v>
      </c>
      <c r="I124" s="6">
        <f t="shared" si="15"/>
        <v>420.34149533248666</v>
      </c>
      <c r="J124" s="6">
        <f t="shared" si="16"/>
        <v>420.34149533248666</v>
      </c>
      <c r="K124" s="5">
        <f t="shared" si="17"/>
        <v>1367269.12</v>
      </c>
      <c r="L124" s="4">
        <f t="shared" si="18"/>
        <v>0</v>
      </c>
      <c r="M124" s="2">
        <f t="shared" si="19"/>
        <v>478.30294543098512</v>
      </c>
      <c r="N124" s="1">
        <f t="shared" si="20"/>
        <v>66</v>
      </c>
      <c r="O124" s="3">
        <f t="shared" si="21"/>
        <v>3359.529697520727</v>
      </c>
      <c r="P124" s="2">
        <f t="shared" si="22"/>
        <v>194.88401379279898</v>
      </c>
      <c r="Q124" s="2">
        <f t="shared" si="25"/>
        <v>228.54903245520805</v>
      </c>
      <c r="R124" s="2">
        <f t="shared" si="25"/>
        <v>728.05685840676222</v>
      </c>
      <c r="S124" s="2">
        <f t="shared" si="23"/>
        <v>420.34149533248666</v>
      </c>
    </row>
    <row r="125" spans="2:19" x14ac:dyDescent="0.25">
      <c r="B125">
        <v>249</v>
      </c>
      <c r="C125" s="44">
        <v>7</v>
      </c>
      <c r="D125" s="39" t="s">
        <v>412</v>
      </c>
      <c r="E125" s="162">
        <f>INDEX('2018 Data Lockdown'!H$5:H$255, MATCH(B125,'2018 Data Lockdown'!B$5:B$255,0))</f>
        <v>1154.9883434484898</v>
      </c>
      <c r="F125" s="7">
        <f>INDEX('2018 Data Lockdown'!E$5:E$255,MATCH(B125,'2018 Data Lockdown'!B$5:B$255,0))</f>
        <v>606310.29</v>
      </c>
      <c r="G125" s="7">
        <f>INDEX('2018 Data Lockdown'!F$5:F$255, MATCH(B125,'2018 Data Lockdown'!B$5:B$255,0))</f>
        <v>0</v>
      </c>
      <c r="H125" s="7">
        <f t="shared" si="14"/>
        <v>606310.29</v>
      </c>
      <c r="I125" s="6">
        <f t="shared" si="15"/>
        <v>524.94927194651837</v>
      </c>
      <c r="J125" s="6">
        <f t="shared" si="16"/>
        <v>524.94927194651837</v>
      </c>
      <c r="K125" s="5">
        <f t="shared" si="17"/>
        <v>606310.29</v>
      </c>
      <c r="L125" s="4">
        <f t="shared" si="18"/>
        <v>0</v>
      </c>
      <c r="M125" s="2">
        <f t="shared" si="19"/>
        <v>478.30294543098512</v>
      </c>
      <c r="N125" s="1">
        <f t="shared" si="20"/>
        <v>66</v>
      </c>
      <c r="O125" s="3">
        <f t="shared" si="21"/>
        <v>2175.8797773937399</v>
      </c>
      <c r="P125" s="2">
        <f t="shared" si="22"/>
        <v>194.88401379279898</v>
      </c>
      <c r="Q125" s="2">
        <f t="shared" si="25"/>
        <v>228.54903245520805</v>
      </c>
      <c r="R125" s="2">
        <f t="shared" si="25"/>
        <v>728.05685840676222</v>
      </c>
      <c r="S125" s="2">
        <f t="shared" si="23"/>
        <v>524.94927194651837</v>
      </c>
    </row>
    <row r="126" spans="2:19" x14ac:dyDescent="0.25">
      <c r="B126">
        <v>271</v>
      </c>
      <c r="C126" s="27">
        <v>7</v>
      </c>
      <c r="D126" s="39" t="s">
        <v>413</v>
      </c>
      <c r="E126" s="162">
        <f>INDEX('2018 Data Lockdown'!H$5:H$255, MATCH(B126,'2018 Data Lockdown'!B$5:B$255,0))</f>
        <v>1048.2</v>
      </c>
      <c r="F126" s="7">
        <f>INDEX('2018 Data Lockdown'!E$5:E$255,MATCH(B126,'2018 Data Lockdown'!B$5:B$255,0))</f>
        <v>988965.82</v>
      </c>
      <c r="G126" s="7">
        <f>INDEX('2018 Data Lockdown'!F$5:F$255, MATCH(B126,'2018 Data Lockdown'!B$5:B$255,0))</f>
        <v>90489.709999999992</v>
      </c>
      <c r="H126" s="7">
        <f t="shared" si="14"/>
        <v>898476.11</v>
      </c>
      <c r="I126" s="6">
        <f t="shared" si="15"/>
        <v>857.16095210837625</v>
      </c>
      <c r="J126" s="6">
        <f t="shared" si="16"/>
        <v>728.05685840676222</v>
      </c>
      <c r="K126" s="5">
        <f t="shared" si="17"/>
        <v>763149.19898196822</v>
      </c>
      <c r="L126" s="4">
        <f t="shared" si="18"/>
        <v>0</v>
      </c>
      <c r="M126" s="2">
        <f t="shared" si="19"/>
        <v>478.30294543098512</v>
      </c>
      <c r="N126" s="1">
        <f t="shared" si="20"/>
        <v>66</v>
      </c>
      <c r="O126" s="3">
        <f t="shared" si="21"/>
        <v>143533.38922356613</v>
      </c>
      <c r="P126" s="2">
        <f t="shared" si="22"/>
        <v>194.88401379279898</v>
      </c>
      <c r="Q126" s="2">
        <f t="shared" ref="Q126:R145" si="26">NORMINV(Q$4,$M126,$P126)</f>
        <v>228.54903245520805</v>
      </c>
      <c r="R126" s="2">
        <f t="shared" si="26"/>
        <v>728.05685840676222</v>
      </c>
      <c r="S126" s="2">
        <f t="shared" si="23"/>
        <v>728.05685840676222</v>
      </c>
    </row>
    <row r="127" spans="2:19" x14ac:dyDescent="0.25">
      <c r="B127">
        <v>275</v>
      </c>
      <c r="C127" s="27">
        <v>7</v>
      </c>
      <c r="D127" s="39" t="s">
        <v>414</v>
      </c>
      <c r="E127" s="162">
        <f>INDEX('2018 Data Lockdown'!H$5:H$255, MATCH(B127,'2018 Data Lockdown'!B$5:B$255,0))</f>
        <v>710.94999999999993</v>
      </c>
      <c r="F127" s="7">
        <f>INDEX('2018 Data Lockdown'!E$5:E$255,MATCH(B127,'2018 Data Lockdown'!B$5:B$255,0))</f>
        <v>324500.11</v>
      </c>
      <c r="G127" s="7">
        <f>INDEX('2018 Data Lockdown'!F$5:F$255, MATCH(B127,'2018 Data Lockdown'!B$5:B$255,0))</f>
        <v>62912.880000000005</v>
      </c>
      <c r="H127" s="7">
        <f t="shared" si="14"/>
        <v>261587.22999999998</v>
      </c>
      <c r="I127" s="6">
        <f t="shared" si="15"/>
        <v>367.94040368520996</v>
      </c>
      <c r="J127" s="6">
        <f t="shared" si="16"/>
        <v>367.94040368520996</v>
      </c>
      <c r="K127" s="5">
        <f t="shared" si="17"/>
        <v>261587.22999999998</v>
      </c>
      <c r="L127" s="4">
        <f t="shared" si="18"/>
        <v>0</v>
      </c>
      <c r="M127" s="2">
        <f t="shared" si="19"/>
        <v>478.30294543098512</v>
      </c>
      <c r="N127" s="1">
        <f t="shared" si="20"/>
        <v>66</v>
      </c>
      <c r="O127" s="3">
        <f t="shared" si="21"/>
        <v>12179.890620587965</v>
      </c>
      <c r="P127" s="2">
        <f t="shared" si="22"/>
        <v>194.88401379279898</v>
      </c>
      <c r="Q127" s="2">
        <f t="shared" si="26"/>
        <v>228.54903245520805</v>
      </c>
      <c r="R127" s="2">
        <f t="shared" si="26"/>
        <v>728.05685840676222</v>
      </c>
      <c r="S127" s="2">
        <f t="shared" si="23"/>
        <v>367.94040368520996</v>
      </c>
    </row>
    <row r="128" spans="2:19" x14ac:dyDescent="0.25">
      <c r="B128">
        <v>282</v>
      </c>
      <c r="C128" s="27">
        <v>7</v>
      </c>
      <c r="D128" s="39" t="s">
        <v>415</v>
      </c>
      <c r="E128" s="162">
        <f>INDEX('2018 Data Lockdown'!H$5:H$255, MATCH(B128,'2018 Data Lockdown'!B$5:B$255,0))</f>
        <v>145.34946417977184</v>
      </c>
      <c r="F128" s="7">
        <f>INDEX('2018 Data Lockdown'!E$5:E$255,MATCH(B128,'2018 Data Lockdown'!B$5:B$255,0))</f>
        <v>55222.87</v>
      </c>
      <c r="G128" s="7">
        <f>INDEX('2018 Data Lockdown'!F$5:F$255, MATCH(B128,'2018 Data Lockdown'!B$5:B$255,0))</f>
        <v>0</v>
      </c>
      <c r="H128" s="7">
        <f t="shared" si="14"/>
        <v>55222.87</v>
      </c>
      <c r="I128" s="6">
        <f t="shared" si="15"/>
        <v>379.93170674299137</v>
      </c>
      <c r="J128" s="6">
        <f t="shared" si="16"/>
        <v>379.93170674299137</v>
      </c>
      <c r="K128" s="5">
        <f t="shared" si="17"/>
        <v>55222.87</v>
      </c>
      <c r="L128" s="4">
        <f t="shared" si="18"/>
        <v>0</v>
      </c>
      <c r="M128" s="2">
        <f t="shared" si="19"/>
        <v>478.30294543098512</v>
      </c>
      <c r="N128" s="1">
        <f t="shared" si="20"/>
        <v>66</v>
      </c>
      <c r="O128" s="3">
        <f t="shared" si="21"/>
        <v>9676.9006010102385</v>
      </c>
      <c r="P128" s="2">
        <f t="shared" si="22"/>
        <v>194.88401379279898</v>
      </c>
      <c r="Q128" s="2">
        <f t="shared" si="26"/>
        <v>228.54903245520805</v>
      </c>
      <c r="R128" s="2">
        <f t="shared" si="26"/>
        <v>728.05685840676222</v>
      </c>
      <c r="S128" s="2">
        <f t="shared" si="23"/>
        <v>379.93170674299137</v>
      </c>
    </row>
    <row r="129" spans="2:19" x14ac:dyDescent="0.25">
      <c r="B129" s="17">
        <v>287</v>
      </c>
      <c r="C129" s="27">
        <v>7</v>
      </c>
      <c r="D129" s="39" t="s">
        <v>416</v>
      </c>
      <c r="E129" s="162">
        <f>INDEX('2018 Data Lockdown'!H$5:H$255, MATCH(B129,'2018 Data Lockdown'!B$5:B$255,0))</f>
        <v>147.07202997933462</v>
      </c>
      <c r="F129" s="7">
        <f>INDEX('2018 Data Lockdown'!E$5:E$255,MATCH(B129,'2018 Data Lockdown'!B$5:B$255,0))</f>
        <v>102363.95</v>
      </c>
      <c r="G129" s="7">
        <f>INDEX('2018 Data Lockdown'!F$5:F$255, MATCH(B129,'2018 Data Lockdown'!B$5:B$255,0))</f>
        <v>282</v>
      </c>
      <c r="H129" s="7">
        <f t="shared" si="14"/>
        <v>102081.95</v>
      </c>
      <c r="I129" s="6">
        <f t="shared" si="15"/>
        <v>694.09492759665955</v>
      </c>
      <c r="J129" s="6">
        <f t="shared" si="16"/>
        <v>694.09492759665955</v>
      </c>
      <c r="K129" s="5">
        <f t="shared" si="17"/>
        <v>102081.95</v>
      </c>
      <c r="L129" s="4">
        <f t="shared" si="18"/>
        <v>0</v>
      </c>
      <c r="M129" s="2">
        <f t="shared" si="19"/>
        <v>478.30294543098512</v>
      </c>
      <c r="N129" s="1">
        <f t="shared" si="20"/>
        <v>66</v>
      </c>
      <c r="O129" s="3">
        <f t="shared" si="21"/>
        <v>46566.179566990751</v>
      </c>
      <c r="P129" s="2">
        <f t="shared" si="22"/>
        <v>194.88401379279898</v>
      </c>
      <c r="Q129" s="2">
        <f t="shared" si="26"/>
        <v>228.54903245520805</v>
      </c>
      <c r="R129" s="2">
        <f t="shared" si="26"/>
        <v>728.05685840676222</v>
      </c>
      <c r="S129" s="2">
        <f t="shared" si="23"/>
        <v>694.09492759665955</v>
      </c>
    </row>
    <row r="130" spans="2:19" x14ac:dyDescent="0.25">
      <c r="B130">
        <v>290</v>
      </c>
      <c r="C130" s="27">
        <v>7</v>
      </c>
      <c r="D130" s="39" t="s">
        <v>417</v>
      </c>
      <c r="E130" s="162">
        <f>INDEX('2018 Data Lockdown'!H$5:H$255, MATCH(B130,'2018 Data Lockdown'!B$5:B$255,0))</f>
        <v>335.89235607307199</v>
      </c>
      <c r="F130" s="7">
        <f>INDEX('2018 Data Lockdown'!E$5:E$255,MATCH(B130,'2018 Data Lockdown'!B$5:B$255,0))</f>
        <v>134939.94</v>
      </c>
      <c r="G130" s="7">
        <f>INDEX('2018 Data Lockdown'!F$5:F$255, MATCH(B130,'2018 Data Lockdown'!B$5:B$255,0))</f>
        <v>423.97</v>
      </c>
      <c r="H130" s="7">
        <f t="shared" si="14"/>
        <v>134515.97</v>
      </c>
      <c r="I130" s="6">
        <f t="shared" si="15"/>
        <v>400.4734480195691</v>
      </c>
      <c r="J130" s="6">
        <f t="shared" si="16"/>
        <v>400.4734480195691</v>
      </c>
      <c r="K130" s="5">
        <f t="shared" si="17"/>
        <v>134515.97</v>
      </c>
      <c r="L130" s="4">
        <f t="shared" si="18"/>
        <v>0</v>
      </c>
      <c r="M130" s="2">
        <f t="shared" si="19"/>
        <v>478.30294543098512</v>
      </c>
      <c r="N130" s="1">
        <f t="shared" si="20"/>
        <v>66</v>
      </c>
      <c r="O130" s="3">
        <f t="shared" si="21"/>
        <v>6057.4306673136116</v>
      </c>
      <c r="P130" s="2">
        <f t="shared" si="22"/>
        <v>194.88401379279898</v>
      </c>
      <c r="Q130" s="2">
        <f t="shared" si="26"/>
        <v>228.54903245520805</v>
      </c>
      <c r="R130" s="2">
        <f t="shared" si="26"/>
        <v>728.05685840676222</v>
      </c>
      <c r="S130" s="2">
        <f t="shared" si="23"/>
        <v>400.4734480195691</v>
      </c>
    </row>
    <row r="131" spans="2:19" x14ac:dyDescent="0.25">
      <c r="B131">
        <v>294</v>
      </c>
      <c r="C131" s="27">
        <v>7</v>
      </c>
      <c r="D131" s="39" t="s">
        <v>418</v>
      </c>
      <c r="E131" s="162">
        <f>INDEX('2018 Data Lockdown'!H$5:H$255, MATCH(B131,'2018 Data Lockdown'!B$5:B$255,0))</f>
        <v>1221.8972650148394</v>
      </c>
      <c r="F131" s="7">
        <f>INDEX('2018 Data Lockdown'!E$5:E$255,MATCH(B131,'2018 Data Lockdown'!B$5:B$255,0))</f>
        <v>632461</v>
      </c>
      <c r="G131" s="7">
        <f>INDEX('2018 Data Lockdown'!F$5:F$255, MATCH(B131,'2018 Data Lockdown'!B$5:B$255,0))</f>
        <v>637</v>
      </c>
      <c r="H131" s="7">
        <f t="shared" si="14"/>
        <v>631824</v>
      </c>
      <c r="I131" s="6">
        <f t="shared" si="15"/>
        <v>517.08438842632711</v>
      </c>
      <c r="J131" s="6">
        <f t="shared" si="16"/>
        <v>517.08438842632711</v>
      </c>
      <c r="K131" s="5">
        <f t="shared" si="17"/>
        <v>631824</v>
      </c>
      <c r="L131" s="4">
        <f t="shared" si="18"/>
        <v>0</v>
      </c>
      <c r="M131" s="2">
        <f t="shared" si="19"/>
        <v>478.30294543098512</v>
      </c>
      <c r="N131" s="1">
        <f t="shared" si="20"/>
        <v>66</v>
      </c>
      <c r="O131" s="3">
        <f t="shared" si="21"/>
        <v>1504.0003208009603</v>
      </c>
      <c r="P131" s="2">
        <f t="shared" si="22"/>
        <v>194.88401379279898</v>
      </c>
      <c r="Q131" s="2">
        <f t="shared" si="26"/>
        <v>228.54903245520805</v>
      </c>
      <c r="R131" s="2">
        <f t="shared" si="26"/>
        <v>728.05685840676222</v>
      </c>
      <c r="S131" s="2">
        <f t="shared" si="23"/>
        <v>517.08438842632711</v>
      </c>
    </row>
    <row r="132" spans="2:19" x14ac:dyDescent="0.25">
      <c r="B132">
        <v>296</v>
      </c>
      <c r="C132" s="27">
        <v>7</v>
      </c>
      <c r="D132" s="39" t="s">
        <v>419</v>
      </c>
      <c r="E132" s="162">
        <f>INDEX('2018 Data Lockdown'!H$5:H$255, MATCH(B132,'2018 Data Lockdown'!B$5:B$255,0))</f>
        <v>869.4000000000002</v>
      </c>
      <c r="F132" s="7">
        <f>INDEX('2018 Data Lockdown'!E$5:E$255,MATCH(B132,'2018 Data Lockdown'!B$5:B$255,0))</f>
        <v>836673.68</v>
      </c>
      <c r="G132" s="7">
        <f>INDEX('2018 Data Lockdown'!F$5:F$255, MATCH(B132,'2018 Data Lockdown'!B$5:B$255,0))</f>
        <v>180195.59000000003</v>
      </c>
      <c r="H132" s="7">
        <f t="shared" si="14"/>
        <v>656478.09000000008</v>
      </c>
      <c r="I132" s="6">
        <f t="shared" si="15"/>
        <v>755.09327122153206</v>
      </c>
      <c r="J132" s="6">
        <f t="shared" si="16"/>
        <v>728.05685840676222</v>
      </c>
      <c r="K132" s="5">
        <f t="shared" si="17"/>
        <v>632972.63269883918</v>
      </c>
      <c r="L132" s="4">
        <f t="shared" si="18"/>
        <v>0</v>
      </c>
      <c r="M132" s="2">
        <f t="shared" si="19"/>
        <v>478.30294543098512</v>
      </c>
      <c r="N132" s="1">
        <f t="shared" si="20"/>
        <v>66</v>
      </c>
      <c r="O132" s="3">
        <f t="shared" si="21"/>
        <v>76612.884451237114</v>
      </c>
      <c r="P132" s="2">
        <f t="shared" si="22"/>
        <v>194.88401379279898</v>
      </c>
      <c r="Q132" s="2">
        <f t="shared" si="26"/>
        <v>228.54903245520805</v>
      </c>
      <c r="R132" s="2">
        <f t="shared" si="26"/>
        <v>728.05685840676222</v>
      </c>
      <c r="S132" s="2">
        <f t="shared" si="23"/>
        <v>728.05685840676222</v>
      </c>
    </row>
    <row r="133" spans="2:19" x14ac:dyDescent="0.25">
      <c r="B133">
        <v>301</v>
      </c>
      <c r="C133" s="27">
        <v>7</v>
      </c>
      <c r="D133" s="39" t="s">
        <v>420</v>
      </c>
      <c r="E133" s="162">
        <f>INDEX('2018 Data Lockdown'!H$5:H$255, MATCH(B133,'2018 Data Lockdown'!B$5:B$255,0))</f>
        <v>630.73820209822964</v>
      </c>
      <c r="F133" s="7">
        <f>INDEX('2018 Data Lockdown'!E$5:E$255,MATCH(B133,'2018 Data Lockdown'!B$5:B$255,0))</f>
        <v>227243.7</v>
      </c>
      <c r="G133" s="7">
        <f>INDEX('2018 Data Lockdown'!F$5:F$255, MATCH(B133,'2018 Data Lockdown'!B$5:B$255,0))</f>
        <v>424.62</v>
      </c>
      <c r="H133" s="7">
        <f t="shared" si="14"/>
        <v>226819.08000000002</v>
      </c>
      <c r="I133" s="6">
        <f t="shared" si="15"/>
        <v>359.60891419840743</v>
      </c>
      <c r="J133" s="6">
        <f t="shared" si="16"/>
        <v>359.60891419840743</v>
      </c>
      <c r="K133" s="5">
        <f t="shared" si="17"/>
        <v>226819.08000000002</v>
      </c>
      <c r="L133" s="4">
        <f t="shared" si="18"/>
        <v>0</v>
      </c>
      <c r="M133" s="2">
        <f t="shared" si="19"/>
        <v>478.30294543098512</v>
      </c>
      <c r="N133" s="1">
        <f t="shared" si="20"/>
        <v>66</v>
      </c>
      <c r="O133" s="3">
        <f t="shared" si="21"/>
        <v>14088.273050240126</v>
      </c>
      <c r="P133" s="2">
        <f t="shared" si="22"/>
        <v>194.88401379279898</v>
      </c>
      <c r="Q133" s="2">
        <f t="shared" si="26"/>
        <v>228.54903245520805</v>
      </c>
      <c r="R133" s="2">
        <f t="shared" si="26"/>
        <v>728.05685840676222</v>
      </c>
      <c r="S133" s="2">
        <f t="shared" si="23"/>
        <v>359.60891419840743</v>
      </c>
    </row>
    <row r="134" spans="2:19" x14ac:dyDescent="0.25">
      <c r="B134">
        <v>321</v>
      </c>
      <c r="C134" s="27">
        <v>7</v>
      </c>
      <c r="D134" s="39" t="s">
        <v>421</v>
      </c>
      <c r="E134" s="162">
        <f>INDEX('2018 Data Lockdown'!H$5:H$255, MATCH(B134,'2018 Data Lockdown'!B$5:B$255,0))</f>
        <v>443.65</v>
      </c>
      <c r="F134" s="7">
        <f>INDEX('2018 Data Lockdown'!E$5:E$255,MATCH(B134,'2018 Data Lockdown'!B$5:B$255,0))</f>
        <v>483134.14</v>
      </c>
      <c r="G134" s="7">
        <f>INDEX('2018 Data Lockdown'!F$5:F$255, MATCH(B134,'2018 Data Lockdown'!B$5:B$255,0))</f>
        <v>39768.860000000008</v>
      </c>
      <c r="H134" s="7">
        <f t="shared" ref="H134:H197" si="27">F134-G134</f>
        <v>443365.28</v>
      </c>
      <c r="I134" s="6">
        <f t="shared" ref="I134:I197" si="28">H134/E134</f>
        <v>999.35823284120374</v>
      </c>
      <c r="J134" s="6">
        <f t="shared" ref="J134:J197" si="29">IF(ISERROR(IF($J$2=1,MAX(MIN(I134,R134),Q134),MIN(I134,R134))),R134,IF($J$2=1,MAX(MIN(I134,R134),Q134),MIN(I134,R134)))</f>
        <v>728.05685840676222</v>
      </c>
      <c r="K134" s="5">
        <f t="shared" ref="K134:K197" si="30">J134*E134</f>
        <v>323002.42523216002</v>
      </c>
      <c r="L134" s="4">
        <f t="shared" ref="L134:L197" si="31">IF(ISERROR(I134),1,0)</f>
        <v>0</v>
      </c>
      <c r="M134" s="2">
        <f t="shared" ref="M134:M197" si="32">SUMPRODUCT(--($L$6:$L$297&lt;&gt;1),--($C$6:$C$297=$C134),$H$6:$H$297)/SUMPRODUCT(--($L$6:$L$297&lt;&gt;1),--($C$6:$C$297=$C134),$E$6:$E$297)</f>
        <v>478.30294543098512</v>
      </c>
      <c r="N134" s="1">
        <f t="shared" ref="N134:N197" si="33">SUMPRODUCT(--($L$6:$L$297&lt;&gt;1),--($C$6:$C$297=$C134),--($L$6:$L$297&lt;&gt;1))</f>
        <v>66</v>
      </c>
      <c r="O134" s="3">
        <f t="shared" ref="O134:O197" si="34">IF(ISERROR((I134-M134)^2),0,(I134-M134)^2)</f>
        <v>271498.61253814556</v>
      </c>
      <c r="P134" s="2">
        <f t="shared" ref="P134:P197" si="35">SQRT(SUMPRODUCT(--($L$6:$L$297&lt;&gt;1),--($C$6:$C$297=$C134),$E$6:$E$297,$O$6:$O$297)/((N134-1)*SUMPRODUCT(--($L$6:$L$297&lt;&gt;1),--($C$6:$C$297=$C134),$E$6:$E$297)/N134))</f>
        <v>194.88401379279898</v>
      </c>
      <c r="Q134" s="2">
        <f t="shared" si="26"/>
        <v>228.54903245520805</v>
      </c>
      <c r="R134" s="2">
        <f t="shared" si="26"/>
        <v>728.05685840676222</v>
      </c>
      <c r="S134" s="2">
        <f t="shared" ref="S134:S197" si="36">IF($J$2=1,MAX(MIN(I134,R134),Q134),MIN(R134,I134))</f>
        <v>728.05685840676222</v>
      </c>
    </row>
    <row r="135" spans="2:19" x14ac:dyDescent="0.25">
      <c r="B135">
        <v>325</v>
      </c>
      <c r="C135" s="27">
        <v>7</v>
      </c>
      <c r="D135" s="39" t="s">
        <v>422</v>
      </c>
      <c r="E135" s="162">
        <f>INDEX('2018 Data Lockdown'!H$5:H$255, MATCH(B135,'2018 Data Lockdown'!B$5:B$255,0))</f>
        <v>392.34692360749096</v>
      </c>
      <c r="F135" s="7">
        <f>INDEX('2018 Data Lockdown'!E$5:E$255,MATCH(B135,'2018 Data Lockdown'!B$5:B$255,0))</f>
        <v>173117.05</v>
      </c>
      <c r="G135" s="7">
        <f>INDEX('2018 Data Lockdown'!F$5:F$255, MATCH(B135,'2018 Data Lockdown'!B$5:B$255,0))</f>
        <v>304</v>
      </c>
      <c r="H135" s="7">
        <f t="shared" si="27"/>
        <v>172813.05</v>
      </c>
      <c r="I135" s="6">
        <f t="shared" si="28"/>
        <v>440.45980636484978</v>
      </c>
      <c r="J135" s="6">
        <f t="shared" si="29"/>
        <v>440.45980636484978</v>
      </c>
      <c r="K135" s="5">
        <f t="shared" si="30"/>
        <v>172813.05</v>
      </c>
      <c r="L135" s="4">
        <f t="shared" si="31"/>
        <v>0</v>
      </c>
      <c r="M135" s="2">
        <f t="shared" si="32"/>
        <v>478.30294543098512</v>
      </c>
      <c r="N135" s="1">
        <f t="shared" si="33"/>
        <v>66</v>
      </c>
      <c r="O135" s="3">
        <f t="shared" si="34"/>
        <v>1432.1031743788585</v>
      </c>
      <c r="P135" s="2">
        <f t="shared" si="35"/>
        <v>194.88401379279898</v>
      </c>
      <c r="Q135" s="2">
        <f t="shared" si="26"/>
        <v>228.54903245520805</v>
      </c>
      <c r="R135" s="2">
        <f t="shared" si="26"/>
        <v>728.05685840676222</v>
      </c>
      <c r="S135" s="2">
        <f t="shared" si="36"/>
        <v>440.45980636484978</v>
      </c>
    </row>
    <row r="136" spans="2:19" x14ac:dyDescent="0.25">
      <c r="B136">
        <v>346</v>
      </c>
      <c r="C136" s="27">
        <v>7</v>
      </c>
      <c r="D136" s="39" t="s">
        <v>423</v>
      </c>
      <c r="E136" s="162">
        <f>INDEX('2018 Data Lockdown'!H$5:H$255, MATCH(B136,'2018 Data Lockdown'!B$5:B$255,0))</f>
        <v>262.16879519273215</v>
      </c>
      <c r="F136" s="7">
        <f>INDEX('2018 Data Lockdown'!E$5:E$255,MATCH(B136,'2018 Data Lockdown'!B$5:B$255,0))</f>
        <v>123092.65</v>
      </c>
      <c r="G136" s="7">
        <f>INDEX('2018 Data Lockdown'!F$5:F$255, MATCH(B136,'2018 Data Lockdown'!B$5:B$255,0))</f>
        <v>27381.15</v>
      </c>
      <c r="H136" s="7">
        <f t="shared" si="27"/>
        <v>95711.5</v>
      </c>
      <c r="I136" s="6">
        <f t="shared" si="28"/>
        <v>365.07586621679422</v>
      </c>
      <c r="J136" s="6">
        <f t="shared" si="29"/>
        <v>365.07586621679422</v>
      </c>
      <c r="K136" s="5">
        <f t="shared" si="30"/>
        <v>95711.5</v>
      </c>
      <c r="L136" s="4">
        <f t="shared" si="31"/>
        <v>0</v>
      </c>
      <c r="M136" s="2">
        <f t="shared" si="32"/>
        <v>478.30294543098512</v>
      </c>
      <c r="N136" s="1">
        <f t="shared" si="33"/>
        <v>66</v>
      </c>
      <c r="O136" s="3">
        <f t="shared" si="34"/>
        <v>12820.371467376659</v>
      </c>
      <c r="P136" s="2">
        <f t="shared" si="35"/>
        <v>194.88401379279898</v>
      </c>
      <c r="Q136" s="2">
        <f t="shared" si="26"/>
        <v>228.54903245520805</v>
      </c>
      <c r="R136" s="2">
        <f t="shared" si="26"/>
        <v>728.05685840676222</v>
      </c>
      <c r="S136" s="2">
        <f t="shared" si="36"/>
        <v>365.07586621679422</v>
      </c>
    </row>
    <row r="137" spans="2:19" x14ac:dyDescent="0.25">
      <c r="B137">
        <v>358</v>
      </c>
      <c r="C137" s="27">
        <v>7</v>
      </c>
      <c r="D137" s="39" t="s">
        <v>424</v>
      </c>
      <c r="E137" s="162">
        <f>INDEX('2018 Data Lockdown'!H$5:H$255, MATCH(B137,'2018 Data Lockdown'!B$5:B$255,0))</f>
        <v>379.12</v>
      </c>
      <c r="F137" s="7">
        <f>INDEX('2018 Data Lockdown'!E$5:E$255,MATCH(B137,'2018 Data Lockdown'!B$5:B$255,0))</f>
        <v>241699.7</v>
      </c>
      <c r="G137" s="7">
        <f>INDEX('2018 Data Lockdown'!F$5:F$255, MATCH(B137,'2018 Data Lockdown'!B$5:B$255,0))</f>
        <v>48918.26</v>
      </c>
      <c r="H137" s="7">
        <f t="shared" si="27"/>
        <v>192781.44</v>
      </c>
      <c r="I137" s="6">
        <f t="shared" si="28"/>
        <v>508.49715129774216</v>
      </c>
      <c r="J137" s="6">
        <f t="shared" si="29"/>
        <v>508.49715129774216</v>
      </c>
      <c r="K137" s="5">
        <f t="shared" si="30"/>
        <v>192781.44</v>
      </c>
      <c r="L137" s="4">
        <f t="shared" si="31"/>
        <v>0</v>
      </c>
      <c r="M137" s="2">
        <f t="shared" si="32"/>
        <v>478.30294543098512</v>
      </c>
      <c r="N137" s="1">
        <f t="shared" si="33"/>
        <v>66</v>
      </c>
      <c r="O137" s="3">
        <f t="shared" si="34"/>
        <v>911.69006792410551</v>
      </c>
      <c r="P137" s="2">
        <f t="shared" si="35"/>
        <v>194.88401379279898</v>
      </c>
      <c r="Q137" s="2">
        <f t="shared" si="26"/>
        <v>228.54903245520805</v>
      </c>
      <c r="R137" s="2">
        <f t="shared" si="26"/>
        <v>728.05685840676222</v>
      </c>
      <c r="S137" s="2">
        <f t="shared" si="36"/>
        <v>508.49715129774216</v>
      </c>
    </row>
    <row r="138" spans="2:19" x14ac:dyDescent="0.25">
      <c r="B138">
        <v>361</v>
      </c>
      <c r="C138" s="27">
        <v>7</v>
      </c>
      <c r="D138" s="39" t="s">
        <v>425</v>
      </c>
      <c r="E138" s="162">
        <f>INDEX('2018 Data Lockdown'!H$5:H$255, MATCH(B138,'2018 Data Lockdown'!B$5:B$255,0))</f>
        <v>1540.865013619775</v>
      </c>
      <c r="F138" s="7">
        <f>INDEX('2018 Data Lockdown'!E$5:E$255,MATCH(B138,'2018 Data Lockdown'!B$5:B$255,0))</f>
        <v>911184.79</v>
      </c>
      <c r="G138" s="7">
        <f>INDEX('2018 Data Lockdown'!F$5:F$255, MATCH(B138,'2018 Data Lockdown'!B$5:B$255,0))</f>
        <v>7581.0599999999995</v>
      </c>
      <c r="H138" s="7">
        <f t="shared" si="27"/>
        <v>903603.73</v>
      </c>
      <c r="I138" s="6">
        <f t="shared" si="28"/>
        <v>586.42627486055301</v>
      </c>
      <c r="J138" s="6">
        <f t="shared" si="29"/>
        <v>586.42627486055301</v>
      </c>
      <c r="K138" s="5">
        <f t="shared" si="30"/>
        <v>903603.73</v>
      </c>
      <c r="L138" s="4">
        <f t="shared" si="31"/>
        <v>0</v>
      </c>
      <c r="M138" s="2">
        <f t="shared" si="32"/>
        <v>478.30294543098512</v>
      </c>
      <c r="N138" s="1">
        <f t="shared" si="33"/>
        <v>66</v>
      </c>
      <c r="O138" s="3">
        <f t="shared" si="34"/>
        <v>11690.654366934861</v>
      </c>
      <c r="P138" s="2">
        <f t="shared" si="35"/>
        <v>194.88401379279898</v>
      </c>
      <c r="Q138" s="2">
        <f t="shared" si="26"/>
        <v>228.54903245520805</v>
      </c>
      <c r="R138" s="2">
        <f t="shared" si="26"/>
        <v>728.05685840676222</v>
      </c>
      <c r="S138" s="2">
        <f t="shared" si="36"/>
        <v>586.42627486055301</v>
      </c>
    </row>
    <row r="139" spans="2:19" x14ac:dyDescent="0.25">
      <c r="B139">
        <v>376</v>
      </c>
      <c r="C139" s="27">
        <v>7</v>
      </c>
      <c r="D139" s="39" t="s">
        <v>426</v>
      </c>
      <c r="E139" s="162">
        <f>INDEX('2018 Data Lockdown'!H$5:H$255, MATCH(B139,'2018 Data Lockdown'!B$5:B$255,0))</f>
        <v>685.89220705089633</v>
      </c>
      <c r="F139" s="7">
        <f>INDEX('2018 Data Lockdown'!E$5:E$255,MATCH(B139,'2018 Data Lockdown'!B$5:B$255,0))</f>
        <v>281309.96000000002</v>
      </c>
      <c r="G139" s="7">
        <f>INDEX('2018 Data Lockdown'!F$5:F$255, MATCH(B139,'2018 Data Lockdown'!B$5:B$255,0))</f>
        <v>326</v>
      </c>
      <c r="H139" s="7">
        <f t="shared" si="27"/>
        <v>280983.96000000002</v>
      </c>
      <c r="I139" s="6">
        <f t="shared" si="28"/>
        <v>409.6619805729178</v>
      </c>
      <c r="J139" s="6">
        <f t="shared" si="29"/>
        <v>409.6619805729178</v>
      </c>
      <c r="K139" s="5">
        <f t="shared" si="30"/>
        <v>280983.96000000002</v>
      </c>
      <c r="L139" s="4">
        <f t="shared" si="31"/>
        <v>0</v>
      </c>
      <c r="M139" s="2">
        <f t="shared" si="32"/>
        <v>478.30294543098512</v>
      </c>
      <c r="N139" s="1">
        <f t="shared" si="33"/>
        <v>66</v>
      </c>
      <c r="O139" s="3">
        <f t="shared" si="34"/>
        <v>4711.5820566464326</v>
      </c>
      <c r="P139" s="2">
        <f t="shared" si="35"/>
        <v>194.88401379279898</v>
      </c>
      <c r="Q139" s="2">
        <f t="shared" si="26"/>
        <v>228.54903245520805</v>
      </c>
      <c r="R139" s="2">
        <f t="shared" si="26"/>
        <v>728.05685840676222</v>
      </c>
      <c r="S139" s="2">
        <f t="shared" si="36"/>
        <v>409.6619805729178</v>
      </c>
    </row>
    <row r="140" spans="2:19" x14ac:dyDescent="0.25">
      <c r="B140">
        <v>382</v>
      </c>
      <c r="C140" s="27">
        <v>7</v>
      </c>
      <c r="D140" s="39" t="s">
        <v>427</v>
      </c>
      <c r="E140" s="162">
        <f>INDEX('2018 Data Lockdown'!H$5:H$255, MATCH(B140,'2018 Data Lockdown'!B$5:B$255,0))</f>
        <v>185.27</v>
      </c>
      <c r="F140" s="7">
        <f>INDEX('2018 Data Lockdown'!E$5:E$255,MATCH(B140,'2018 Data Lockdown'!B$5:B$255,0))</f>
        <v>98656.37</v>
      </c>
      <c r="G140" s="7">
        <f>INDEX('2018 Data Lockdown'!F$5:F$255, MATCH(B140,'2018 Data Lockdown'!B$5:B$255,0))</f>
        <v>22015.520000000004</v>
      </c>
      <c r="H140" s="7">
        <f t="shared" si="27"/>
        <v>76640.849999999991</v>
      </c>
      <c r="I140" s="6">
        <f t="shared" si="28"/>
        <v>413.67112862309057</v>
      </c>
      <c r="J140" s="6">
        <f t="shared" si="29"/>
        <v>413.67112862309057</v>
      </c>
      <c r="K140" s="5">
        <f t="shared" si="30"/>
        <v>76640.849999999991</v>
      </c>
      <c r="L140" s="4">
        <f t="shared" si="31"/>
        <v>0</v>
      </c>
      <c r="M140" s="2">
        <f t="shared" si="32"/>
        <v>478.30294543098512</v>
      </c>
      <c r="N140" s="1">
        <f t="shared" si="33"/>
        <v>66</v>
      </c>
      <c r="O140" s="3">
        <f t="shared" si="34"/>
        <v>4177.2717438892405</v>
      </c>
      <c r="P140" s="2">
        <f t="shared" si="35"/>
        <v>194.88401379279898</v>
      </c>
      <c r="Q140" s="2">
        <f t="shared" si="26"/>
        <v>228.54903245520805</v>
      </c>
      <c r="R140" s="2">
        <f t="shared" si="26"/>
        <v>728.05685840676222</v>
      </c>
      <c r="S140" s="2">
        <f t="shared" si="36"/>
        <v>413.67112862309057</v>
      </c>
    </row>
    <row r="141" spans="2:19" x14ac:dyDescent="0.25">
      <c r="B141">
        <v>389</v>
      </c>
      <c r="C141" s="27">
        <v>7</v>
      </c>
      <c r="D141" s="39" t="s">
        <v>428</v>
      </c>
      <c r="E141" s="162">
        <f>INDEX('2018 Data Lockdown'!H$5:H$255, MATCH(B141,'2018 Data Lockdown'!B$5:B$255,0))</f>
        <v>971.31315779571287</v>
      </c>
      <c r="F141" s="7">
        <f>INDEX('2018 Data Lockdown'!E$5:E$255,MATCH(B141,'2018 Data Lockdown'!B$5:B$255,0))</f>
        <v>166030.71</v>
      </c>
      <c r="G141" s="7">
        <f>INDEX('2018 Data Lockdown'!F$5:F$255, MATCH(B141,'2018 Data Lockdown'!B$5:B$255,0))</f>
        <v>944.5</v>
      </c>
      <c r="H141" s="7">
        <f t="shared" si="27"/>
        <v>165086.21</v>
      </c>
      <c r="I141" s="6">
        <f t="shared" si="28"/>
        <v>169.96187962144441</v>
      </c>
      <c r="J141" s="6">
        <f t="shared" si="29"/>
        <v>169.96187962144441</v>
      </c>
      <c r="K141" s="5">
        <f t="shared" si="30"/>
        <v>165086.21</v>
      </c>
      <c r="L141" s="4">
        <f t="shared" si="31"/>
        <v>0</v>
      </c>
      <c r="M141" s="2">
        <f t="shared" si="32"/>
        <v>478.30294543098512</v>
      </c>
      <c r="N141" s="1">
        <f t="shared" si="33"/>
        <v>66</v>
      </c>
      <c r="O141" s="3">
        <f t="shared" si="34"/>
        <v>95074.212864563538</v>
      </c>
      <c r="P141" s="2">
        <f t="shared" si="35"/>
        <v>194.88401379279898</v>
      </c>
      <c r="Q141" s="2">
        <f t="shared" si="26"/>
        <v>228.54903245520805</v>
      </c>
      <c r="R141" s="2">
        <f t="shared" si="26"/>
        <v>728.05685840676222</v>
      </c>
      <c r="S141" s="2">
        <f t="shared" si="36"/>
        <v>169.96187962144441</v>
      </c>
    </row>
    <row r="142" spans="2:19" x14ac:dyDescent="0.25">
      <c r="B142">
        <v>420</v>
      </c>
      <c r="C142" s="27">
        <v>7</v>
      </c>
      <c r="D142" s="39" t="s">
        <v>520</v>
      </c>
      <c r="E142" s="162">
        <f>INDEX('2018 Data Lockdown'!H$5:H$255, MATCH(B142,'2018 Data Lockdown'!B$5:B$255,0))</f>
        <v>439.19048015518462</v>
      </c>
      <c r="F142" s="7">
        <f>INDEX('2018 Data Lockdown'!E$5:E$255,MATCH(B142,'2018 Data Lockdown'!B$5:B$255,0))</f>
        <v>181392.42</v>
      </c>
      <c r="G142" s="7">
        <f>INDEX('2018 Data Lockdown'!F$5:F$255, MATCH(B142,'2018 Data Lockdown'!B$5:B$255,0))</f>
        <v>158.49</v>
      </c>
      <c r="H142" s="7">
        <f t="shared" si="27"/>
        <v>181233.93000000002</v>
      </c>
      <c r="I142" s="6">
        <f t="shared" si="28"/>
        <v>412.65450456932126</v>
      </c>
      <c r="J142" s="6">
        <f t="shared" si="29"/>
        <v>412.65450456932126</v>
      </c>
      <c r="K142" s="5">
        <f t="shared" si="30"/>
        <v>181233.93000000002</v>
      </c>
      <c r="L142" s="4">
        <f t="shared" si="31"/>
        <v>0</v>
      </c>
      <c r="M142" s="2">
        <f t="shared" si="32"/>
        <v>478.30294543098512</v>
      </c>
      <c r="N142" s="1">
        <f t="shared" si="33"/>
        <v>66</v>
      </c>
      <c r="O142" s="3">
        <f t="shared" si="34"/>
        <v>4309.7177875673769</v>
      </c>
      <c r="P142" s="2">
        <f t="shared" si="35"/>
        <v>194.88401379279898</v>
      </c>
      <c r="Q142" s="2">
        <f t="shared" si="26"/>
        <v>228.54903245520805</v>
      </c>
      <c r="R142" s="2">
        <f t="shared" si="26"/>
        <v>728.05685840676222</v>
      </c>
      <c r="S142" s="2">
        <f t="shared" si="36"/>
        <v>412.65450456932126</v>
      </c>
    </row>
    <row r="143" spans="2:19" x14ac:dyDescent="0.25">
      <c r="B143">
        <v>434</v>
      </c>
      <c r="C143" s="27">
        <v>7</v>
      </c>
      <c r="D143" s="39" t="s">
        <v>429</v>
      </c>
      <c r="E143" s="162">
        <f>INDEX('2018 Data Lockdown'!H$5:H$255, MATCH(B143,'2018 Data Lockdown'!B$5:B$255,0))</f>
        <v>314.12901317026297</v>
      </c>
      <c r="F143" s="7">
        <f>INDEX('2018 Data Lockdown'!E$5:E$255,MATCH(B143,'2018 Data Lockdown'!B$5:B$255,0))</f>
        <v>130973.72</v>
      </c>
      <c r="G143" s="7">
        <f>INDEX('2018 Data Lockdown'!F$5:F$255, MATCH(B143,'2018 Data Lockdown'!B$5:B$255,0))</f>
        <v>0</v>
      </c>
      <c r="H143" s="7">
        <f t="shared" si="27"/>
        <v>130973.72</v>
      </c>
      <c r="I143" s="6">
        <f t="shared" si="28"/>
        <v>416.94244883076158</v>
      </c>
      <c r="J143" s="6">
        <f t="shared" si="29"/>
        <v>416.94244883076158</v>
      </c>
      <c r="K143" s="5">
        <f t="shared" si="30"/>
        <v>130973.72</v>
      </c>
      <c r="L143" s="4">
        <f t="shared" si="31"/>
        <v>0</v>
      </c>
      <c r="M143" s="2">
        <f t="shared" si="32"/>
        <v>478.30294543098512</v>
      </c>
      <c r="N143" s="1">
        <f t="shared" si="33"/>
        <v>66</v>
      </c>
      <c r="O143" s="3">
        <f t="shared" si="34"/>
        <v>3765.110543026045</v>
      </c>
      <c r="P143" s="2">
        <f t="shared" si="35"/>
        <v>194.88401379279898</v>
      </c>
      <c r="Q143" s="2">
        <f t="shared" si="26"/>
        <v>228.54903245520805</v>
      </c>
      <c r="R143" s="2">
        <f t="shared" si="26"/>
        <v>728.05685840676222</v>
      </c>
      <c r="S143" s="2">
        <f t="shared" si="36"/>
        <v>416.94244883076158</v>
      </c>
    </row>
    <row r="144" spans="2:19" x14ac:dyDescent="0.25">
      <c r="B144">
        <v>437</v>
      </c>
      <c r="C144" s="27">
        <v>7</v>
      </c>
      <c r="D144" s="39" t="s">
        <v>430</v>
      </c>
      <c r="E144" s="162">
        <f>INDEX('2018 Data Lockdown'!H$5:H$255, MATCH(B144,'2018 Data Lockdown'!B$5:B$255,0))</f>
        <v>381.25325546155779</v>
      </c>
      <c r="F144" s="7">
        <f>INDEX('2018 Data Lockdown'!E$5:E$255,MATCH(B144,'2018 Data Lockdown'!B$5:B$255,0))</f>
        <v>233460.45</v>
      </c>
      <c r="G144" s="7">
        <f>INDEX('2018 Data Lockdown'!F$5:F$255, MATCH(B144,'2018 Data Lockdown'!B$5:B$255,0))</f>
        <v>0</v>
      </c>
      <c r="H144" s="7">
        <f t="shared" si="27"/>
        <v>233460.45</v>
      </c>
      <c r="I144" s="6">
        <f t="shared" si="28"/>
        <v>612.35004988315461</v>
      </c>
      <c r="J144" s="6">
        <f t="shared" si="29"/>
        <v>612.35004988315461</v>
      </c>
      <c r="K144" s="5">
        <f t="shared" si="30"/>
        <v>233460.45</v>
      </c>
      <c r="L144" s="4">
        <f t="shared" si="31"/>
        <v>0</v>
      </c>
      <c r="M144" s="2">
        <f t="shared" si="32"/>
        <v>478.30294543098512</v>
      </c>
      <c r="N144" s="1">
        <f t="shared" si="33"/>
        <v>66</v>
      </c>
      <c r="O144" s="3">
        <f t="shared" si="34"/>
        <v>17968.626212010837</v>
      </c>
      <c r="P144" s="2">
        <f t="shared" si="35"/>
        <v>194.88401379279898</v>
      </c>
      <c r="Q144" s="2">
        <f t="shared" si="26"/>
        <v>228.54903245520805</v>
      </c>
      <c r="R144" s="2">
        <f t="shared" si="26"/>
        <v>728.05685840676222</v>
      </c>
      <c r="S144" s="2">
        <f t="shared" si="36"/>
        <v>612.35004988315461</v>
      </c>
    </row>
    <row r="145" spans="2:19" x14ac:dyDescent="0.25">
      <c r="B145">
        <v>502</v>
      </c>
      <c r="C145" s="27">
        <v>7</v>
      </c>
      <c r="D145" s="39" t="s">
        <v>431</v>
      </c>
      <c r="E145" s="162">
        <f>INDEX('2018 Data Lockdown'!H$5:H$255, MATCH(B145,'2018 Data Lockdown'!B$5:B$255,0))</f>
        <v>668.15033574141978</v>
      </c>
      <c r="F145" s="7">
        <f>INDEX('2018 Data Lockdown'!E$5:E$255,MATCH(B145,'2018 Data Lockdown'!B$5:B$255,0))</f>
        <v>321308.17</v>
      </c>
      <c r="G145" s="7">
        <f>INDEX('2018 Data Lockdown'!F$5:F$255, MATCH(B145,'2018 Data Lockdown'!B$5:B$255,0))</f>
        <v>0</v>
      </c>
      <c r="H145" s="7">
        <f t="shared" si="27"/>
        <v>321308.17</v>
      </c>
      <c r="I145" s="6">
        <f t="shared" si="28"/>
        <v>480.89202805452027</v>
      </c>
      <c r="J145" s="6">
        <f t="shared" si="29"/>
        <v>480.89202805452027</v>
      </c>
      <c r="K145" s="5">
        <f t="shared" si="30"/>
        <v>321308.17</v>
      </c>
      <c r="L145" s="4">
        <f t="shared" si="31"/>
        <v>0</v>
      </c>
      <c r="M145" s="2">
        <f t="shared" si="32"/>
        <v>478.30294543098512</v>
      </c>
      <c r="N145" s="1">
        <f t="shared" si="33"/>
        <v>66</v>
      </c>
      <c r="O145" s="3">
        <f t="shared" si="34"/>
        <v>6.7033488314916463</v>
      </c>
      <c r="P145" s="2">
        <f t="shared" si="35"/>
        <v>194.88401379279898</v>
      </c>
      <c r="Q145" s="2">
        <f t="shared" si="26"/>
        <v>228.54903245520805</v>
      </c>
      <c r="R145" s="2">
        <f t="shared" si="26"/>
        <v>728.05685840676222</v>
      </c>
      <c r="S145" s="2">
        <f t="shared" si="36"/>
        <v>480.89202805452027</v>
      </c>
    </row>
    <row r="146" spans="2:19" x14ac:dyDescent="0.25">
      <c r="B146">
        <v>503</v>
      </c>
      <c r="C146" s="44">
        <v>7</v>
      </c>
      <c r="D146" s="39" t="s">
        <v>432</v>
      </c>
      <c r="E146" s="162">
        <f>INDEX('2018 Data Lockdown'!H$5:H$255, MATCH(B146,'2018 Data Lockdown'!B$5:B$255,0))</f>
        <v>362.80000000000007</v>
      </c>
      <c r="F146" s="7">
        <f>INDEX('2018 Data Lockdown'!E$5:E$255,MATCH(B146,'2018 Data Lockdown'!B$5:B$255,0))</f>
        <v>200464.15</v>
      </c>
      <c r="G146" s="7">
        <f>INDEX('2018 Data Lockdown'!F$5:F$255, MATCH(B146,'2018 Data Lockdown'!B$5:B$255,0))</f>
        <v>51599.19000000001</v>
      </c>
      <c r="H146" s="7">
        <f t="shared" si="27"/>
        <v>148864.95999999999</v>
      </c>
      <c r="I146" s="6">
        <f t="shared" si="28"/>
        <v>410.32238147739793</v>
      </c>
      <c r="J146" s="6">
        <f t="shared" si="29"/>
        <v>410.32238147739793</v>
      </c>
      <c r="K146" s="5">
        <f t="shared" si="30"/>
        <v>148864.95999999999</v>
      </c>
      <c r="L146" s="4">
        <f t="shared" si="31"/>
        <v>0</v>
      </c>
      <c r="M146" s="2">
        <f t="shared" si="32"/>
        <v>478.30294543098512</v>
      </c>
      <c r="N146" s="1">
        <f t="shared" si="33"/>
        <v>66</v>
      </c>
      <c r="O146" s="3">
        <f t="shared" si="34"/>
        <v>4621.3570754477587</v>
      </c>
      <c r="P146" s="2">
        <f t="shared" si="35"/>
        <v>194.88401379279898</v>
      </c>
      <c r="Q146" s="2">
        <f t="shared" ref="Q146:R165" si="37">NORMINV(Q$4,$M146,$P146)</f>
        <v>228.54903245520805</v>
      </c>
      <c r="R146" s="2">
        <f t="shared" si="37"/>
        <v>728.05685840676222</v>
      </c>
      <c r="S146" s="2">
        <f t="shared" si="36"/>
        <v>410.32238147739793</v>
      </c>
    </row>
    <row r="147" spans="2:19" x14ac:dyDescent="0.25">
      <c r="B147" s="17">
        <v>510</v>
      </c>
      <c r="C147" s="27">
        <v>7</v>
      </c>
      <c r="D147" s="39" t="s">
        <v>433</v>
      </c>
      <c r="E147" s="162">
        <f>INDEX('2018 Data Lockdown'!H$5:H$255, MATCH(B147,'2018 Data Lockdown'!B$5:B$255,0))</f>
        <v>488.33931602748999</v>
      </c>
      <c r="F147" s="7">
        <f>INDEX('2018 Data Lockdown'!E$5:E$255,MATCH(B147,'2018 Data Lockdown'!B$5:B$255,0))</f>
        <v>225129.38</v>
      </c>
      <c r="G147" s="7">
        <f>INDEX('2018 Data Lockdown'!F$5:F$255, MATCH(B147,'2018 Data Lockdown'!B$5:B$255,0))</f>
        <v>1049</v>
      </c>
      <c r="H147" s="7">
        <f t="shared" si="27"/>
        <v>224080.38</v>
      </c>
      <c r="I147" s="6">
        <f t="shared" si="28"/>
        <v>458.86205072086779</v>
      </c>
      <c r="J147" s="6">
        <f t="shared" si="29"/>
        <v>458.86205072086779</v>
      </c>
      <c r="K147" s="5">
        <f t="shared" si="30"/>
        <v>224080.38</v>
      </c>
      <c r="L147" s="4">
        <f t="shared" si="31"/>
        <v>0</v>
      </c>
      <c r="M147" s="2">
        <f t="shared" si="32"/>
        <v>478.30294543098512</v>
      </c>
      <c r="N147" s="1">
        <f t="shared" si="33"/>
        <v>66</v>
      </c>
      <c r="O147" s="3">
        <f t="shared" si="34"/>
        <v>377.94838712986814</v>
      </c>
      <c r="P147" s="2">
        <f t="shared" si="35"/>
        <v>194.88401379279898</v>
      </c>
      <c r="Q147" s="2">
        <f t="shared" si="37"/>
        <v>228.54903245520805</v>
      </c>
      <c r="R147" s="2">
        <f t="shared" si="37"/>
        <v>728.05685840676222</v>
      </c>
      <c r="S147" s="2">
        <f t="shared" si="36"/>
        <v>458.86205072086779</v>
      </c>
    </row>
    <row r="148" spans="2:19" x14ac:dyDescent="0.25">
      <c r="B148" s="17">
        <v>531</v>
      </c>
      <c r="C148" s="27">
        <v>7</v>
      </c>
      <c r="D148" s="39" t="s">
        <v>434</v>
      </c>
      <c r="E148" s="162">
        <f>INDEX('2018 Data Lockdown'!H$5:H$255, MATCH(B148,'2018 Data Lockdown'!B$5:B$255,0))</f>
        <v>2134.37</v>
      </c>
      <c r="F148" s="7">
        <f>INDEX('2018 Data Lockdown'!E$5:E$255,MATCH(B148,'2018 Data Lockdown'!B$5:B$255,0))</f>
        <v>619077.55000000005</v>
      </c>
      <c r="G148" s="7">
        <f>INDEX('2018 Data Lockdown'!F$5:F$255, MATCH(B148,'2018 Data Lockdown'!B$5:B$255,0))</f>
        <v>5174.5599999999995</v>
      </c>
      <c r="H148" s="7">
        <f t="shared" si="27"/>
        <v>613902.99</v>
      </c>
      <c r="I148" s="6">
        <f t="shared" si="28"/>
        <v>287.62725769196533</v>
      </c>
      <c r="J148" s="6">
        <f t="shared" si="29"/>
        <v>287.62725769196533</v>
      </c>
      <c r="K148" s="5">
        <f t="shared" si="30"/>
        <v>613902.99</v>
      </c>
      <c r="L148" s="4">
        <f t="shared" si="31"/>
        <v>0</v>
      </c>
      <c r="M148" s="2">
        <f t="shared" si="32"/>
        <v>478.30294543098512</v>
      </c>
      <c r="N148" s="1">
        <f t="shared" si="33"/>
        <v>66</v>
      </c>
      <c r="O148" s="3">
        <f t="shared" si="34"/>
        <v>36357.217894748181</v>
      </c>
      <c r="P148" s="2">
        <f t="shared" si="35"/>
        <v>194.88401379279898</v>
      </c>
      <c r="Q148" s="2">
        <f t="shared" si="37"/>
        <v>228.54903245520805</v>
      </c>
      <c r="R148" s="2">
        <f t="shared" si="37"/>
        <v>728.05685840676222</v>
      </c>
      <c r="S148" s="2">
        <f t="shared" si="36"/>
        <v>287.62725769196533</v>
      </c>
    </row>
    <row r="149" spans="2:19" x14ac:dyDescent="0.25">
      <c r="B149">
        <v>550</v>
      </c>
      <c r="C149" s="27">
        <v>7</v>
      </c>
      <c r="D149" s="39" t="s">
        <v>435</v>
      </c>
      <c r="E149" s="162">
        <f>INDEX('2018 Data Lockdown'!H$5:H$255, MATCH(B149,'2018 Data Lockdown'!B$5:B$255,0))</f>
        <v>257.69</v>
      </c>
      <c r="F149" s="7">
        <f>INDEX('2018 Data Lockdown'!E$5:E$255,MATCH(B149,'2018 Data Lockdown'!B$5:B$255,0))</f>
        <v>412541.65</v>
      </c>
      <c r="G149" s="7">
        <f>INDEX('2018 Data Lockdown'!F$5:F$255, MATCH(B149,'2018 Data Lockdown'!B$5:B$255,0))</f>
        <v>100</v>
      </c>
      <c r="H149" s="7">
        <f t="shared" si="27"/>
        <v>412441.65</v>
      </c>
      <c r="I149" s="6">
        <f t="shared" si="28"/>
        <v>1600.5341689627073</v>
      </c>
      <c r="J149" s="6">
        <f t="shared" si="29"/>
        <v>728.05685840676222</v>
      </c>
      <c r="K149" s="5">
        <f t="shared" si="30"/>
        <v>187612.97184283857</v>
      </c>
      <c r="L149" s="4">
        <f t="shared" si="31"/>
        <v>0</v>
      </c>
      <c r="M149" s="2">
        <f t="shared" si="32"/>
        <v>478.30294543098512</v>
      </c>
      <c r="N149" s="1">
        <f t="shared" si="33"/>
        <v>66</v>
      </c>
      <c r="O149" s="3">
        <f t="shared" si="34"/>
        <v>1259402.9190695062</v>
      </c>
      <c r="P149" s="2">
        <f t="shared" si="35"/>
        <v>194.88401379279898</v>
      </c>
      <c r="Q149" s="2">
        <f t="shared" si="37"/>
        <v>228.54903245520805</v>
      </c>
      <c r="R149" s="2">
        <f t="shared" si="37"/>
        <v>728.05685840676222</v>
      </c>
      <c r="S149" s="2">
        <f t="shared" si="36"/>
        <v>728.05685840676222</v>
      </c>
    </row>
    <row r="150" spans="2:19" x14ac:dyDescent="0.25">
      <c r="B150">
        <v>551</v>
      </c>
      <c r="C150" s="27">
        <v>7</v>
      </c>
      <c r="D150" s="39" t="s">
        <v>436</v>
      </c>
      <c r="E150" s="162">
        <f>INDEX('2018 Data Lockdown'!H$5:H$255, MATCH(B150,'2018 Data Lockdown'!B$5:B$255,0))</f>
        <v>172.97</v>
      </c>
      <c r="F150" s="7">
        <f>INDEX('2018 Data Lockdown'!E$5:E$255,MATCH(B150,'2018 Data Lockdown'!B$5:B$255,0))</f>
        <v>85940.14</v>
      </c>
      <c r="G150" s="7">
        <f>INDEX('2018 Data Lockdown'!F$5:F$255, MATCH(B150,'2018 Data Lockdown'!B$5:B$255,0))</f>
        <v>201</v>
      </c>
      <c r="H150" s="7">
        <f t="shared" si="27"/>
        <v>85739.14</v>
      </c>
      <c r="I150" s="6">
        <f t="shared" si="28"/>
        <v>495.68792276117244</v>
      </c>
      <c r="J150" s="6">
        <f t="shared" si="29"/>
        <v>495.68792276117244</v>
      </c>
      <c r="K150" s="5">
        <f t="shared" si="30"/>
        <v>85739.14</v>
      </c>
      <c r="L150" s="4">
        <f t="shared" si="31"/>
        <v>0</v>
      </c>
      <c r="M150" s="2">
        <f t="shared" si="32"/>
        <v>478.30294543098512</v>
      </c>
      <c r="N150" s="1">
        <f t="shared" si="33"/>
        <v>66</v>
      </c>
      <c r="O150" s="3">
        <f t="shared" si="34"/>
        <v>302.23743677112725</v>
      </c>
      <c r="P150" s="2">
        <f t="shared" si="35"/>
        <v>194.88401379279898</v>
      </c>
      <c r="Q150" s="2">
        <f t="shared" si="37"/>
        <v>228.54903245520805</v>
      </c>
      <c r="R150" s="2">
        <f t="shared" si="37"/>
        <v>728.05685840676222</v>
      </c>
      <c r="S150" s="2">
        <f t="shared" si="36"/>
        <v>495.68792276117244</v>
      </c>
    </row>
    <row r="151" spans="2:19" x14ac:dyDescent="0.25">
      <c r="B151">
        <v>555</v>
      </c>
      <c r="C151" s="27">
        <v>7</v>
      </c>
      <c r="D151" s="39" t="s">
        <v>437</v>
      </c>
      <c r="E151" s="162">
        <f>INDEX('2018 Data Lockdown'!H$5:H$255, MATCH(B151,'2018 Data Lockdown'!B$5:B$255,0))</f>
        <v>603.33664613851852</v>
      </c>
      <c r="F151" s="7">
        <f>INDEX('2018 Data Lockdown'!E$5:E$255,MATCH(B151,'2018 Data Lockdown'!B$5:B$255,0))</f>
        <v>492787.09</v>
      </c>
      <c r="G151" s="7">
        <f>INDEX('2018 Data Lockdown'!F$5:F$255, MATCH(B151,'2018 Data Lockdown'!B$5:B$255,0))</f>
        <v>498</v>
      </c>
      <c r="H151" s="7">
        <f t="shared" si="27"/>
        <v>492289.09</v>
      </c>
      <c r="I151" s="6">
        <f t="shared" si="28"/>
        <v>815.94428773845209</v>
      </c>
      <c r="J151" s="6">
        <f t="shared" si="29"/>
        <v>728.05685840676222</v>
      </c>
      <c r="K151" s="5">
        <f t="shared" si="30"/>
        <v>439263.38314928219</v>
      </c>
      <c r="L151" s="4">
        <f t="shared" si="31"/>
        <v>0</v>
      </c>
      <c r="M151" s="2">
        <f t="shared" si="32"/>
        <v>478.30294543098512</v>
      </c>
      <c r="N151" s="1">
        <f t="shared" si="33"/>
        <v>66</v>
      </c>
      <c r="O151" s="3">
        <f t="shared" si="34"/>
        <v>114001.67603518808</v>
      </c>
      <c r="P151" s="2">
        <f t="shared" si="35"/>
        <v>194.88401379279898</v>
      </c>
      <c r="Q151" s="2">
        <f t="shared" si="37"/>
        <v>228.54903245520805</v>
      </c>
      <c r="R151" s="2">
        <f t="shared" si="37"/>
        <v>728.05685840676222</v>
      </c>
      <c r="S151" s="2">
        <f t="shared" si="36"/>
        <v>728.05685840676222</v>
      </c>
    </row>
    <row r="152" spans="2:19" x14ac:dyDescent="0.25">
      <c r="B152">
        <v>556</v>
      </c>
      <c r="C152" s="27">
        <v>7</v>
      </c>
      <c r="D152" s="39" t="s">
        <v>438</v>
      </c>
      <c r="E152" s="162">
        <f>INDEX('2018 Data Lockdown'!H$5:H$255, MATCH(B152,'2018 Data Lockdown'!B$5:B$255,0))</f>
        <v>391.24677594424628</v>
      </c>
      <c r="F152" s="7">
        <f>INDEX('2018 Data Lockdown'!E$5:E$255,MATCH(B152,'2018 Data Lockdown'!B$5:B$255,0))</f>
        <v>144657.59</v>
      </c>
      <c r="G152" s="7">
        <f>INDEX('2018 Data Lockdown'!F$5:F$255, MATCH(B152,'2018 Data Lockdown'!B$5:B$255,0))</f>
        <v>350.51</v>
      </c>
      <c r="H152" s="7">
        <f t="shared" si="27"/>
        <v>144307.07999999999</v>
      </c>
      <c r="I152" s="6">
        <f t="shared" si="28"/>
        <v>368.83902660085852</v>
      </c>
      <c r="J152" s="6">
        <f t="shared" si="29"/>
        <v>368.83902660085852</v>
      </c>
      <c r="K152" s="5">
        <f t="shared" si="30"/>
        <v>144307.07999999999</v>
      </c>
      <c r="L152" s="4">
        <f t="shared" si="31"/>
        <v>0</v>
      </c>
      <c r="M152" s="2">
        <f t="shared" si="32"/>
        <v>478.30294543098512</v>
      </c>
      <c r="N152" s="1">
        <f t="shared" si="33"/>
        <v>66</v>
      </c>
      <c r="O152" s="3">
        <f t="shared" si="34"/>
        <v>11982.349525648546</v>
      </c>
      <c r="P152" s="2">
        <f t="shared" si="35"/>
        <v>194.88401379279898</v>
      </c>
      <c r="Q152" s="2">
        <f t="shared" si="37"/>
        <v>228.54903245520805</v>
      </c>
      <c r="R152" s="2">
        <f t="shared" si="37"/>
        <v>728.05685840676222</v>
      </c>
      <c r="S152" s="2">
        <f t="shared" si="36"/>
        <v>368.83902660085852</v>
      </c>
    </row>
    <row r="153" spans="2:19" x14ac:dyDescent="0.25">
      <c r="B153">
        <v>558</v>
      </c>
      <c r="C153" s="27">
        <v>7</v>
      </c>
      <c r="D153" s="39" t="s">
        <v>439</v>
      </c>
      <c r="E153" s="162">
        <f>INDEX('2018 Data Lockdown'!H$5:H$255, MATCH(B153,'2018 Data Lockdown'!B$5:B$255,0))</f>
        <v>347.54359974511453</v>
      </c>
      <c r="F153" s="7">
        <f>INDEX('2018 Data Lockdown'!E$5:E$255,MATCH(B153,'2018 Data Lockdown'!B$5:B$255,0))</f>
        <v>230639.34</v>
      </c>
      <c r="G153" s="7">
        <f>INDEX('2018 Data Lockdown'!F$5:F$255, MATCH(B153,'2018 Data Lockdown'!B$5:B$255,0))</f>
        <v>26698.63</v>
      </c>
      <c r="H153" s="7">
        <f t="shared" si="27"/>
        <v>203940.71</v>
      </c>
      <c r="I153" s="6">
        <f t="shared" si="28"/>
        <v>586.80611626733548</v>
      </c>
      <c r="J153" s="6">
        <f t="shared" si="29"/>
        <v>586.80611626733548</v>
      </c>
      <c r="K153" s="5">
        <f t="shared" si="30"/>
        <v>203940.71</v>
      </c>
      <c r="L153" s="4">
        <f t="shared" si="31"/>
        <v>0</v>
      </c>
      <c r="M153" s="2">
        <f t="shared" si="32"/>
        <v>478.30294543098512</v>
      </c>
      <c r="N153" s="1">
        <f t="shared" si="33"/>
        <v>66</v>
      </c>
      <c r="O153" s="3">
        <f t="shared" si="34"/>
        <v>11772.938081542232</v>
      </c>
      <c r="P153" s="2">
        <f t="shared" si="35"/>
        <v>194.88401379279898</v>
      </c>
      <c r="Q153" s="2">
        <f t="shared" si="37"/>
        <v>228.54903245520805</v>
      </c>
      <c r="R153" s="2">
        <f t="shared" si="37"/>
        <v>728.05685840676222</v>
      </c>
      <c r="S153" s="2">
        <f t="shared" si="36"/>
        <v>586.80611626733548</v>
      </c>
    </row>
    <row r="154" spans="2:19" x14ac:dyDescent="0.25">
      <c r="B154">
        <v>600</v>
      </c>
      <c r="C154" s="27">
        <v>7</v>
      </c>
      <c r="D154" s="39" t="s">
        <v>440</v>
      </c>
      <c r="E154" s="162">
        <f>INDEX('2018 Data Lockdown'!H$5:H$255, MATCH(B154,'2018 Data Lockdown'!B$5:B$255,0))</f>
        <v>804.36</v>
      </c>
      <c r="F154" s="7">
        <f>INDEX('2018 Data Lockdown'!E$5:E$255,MATCH(B154,'2018 Data Lockdown'!B$5:B$255,0))</f>
        <v>251152.74</v>
      </c>
      <c r="G154" s="7">
        <f>INDEX('2018 Data Lockdown'!F$5:F$255, MATCH(B154,'2018 Data Lockdown'!B$5:B$255,0))</f>
        <v>0</v>
      </c>
      <c r="H154" s="7">
        <f t="shared" si="27"/>
        <v>251152.74</v>
      </c>
      <c r="I154" s="6">
        <f t="shared" si="28"/>
        <v>312.23922124421898</v>
      </c>
      <c r="J154" s="6">
        <f t="shared" si="29"/>
        <v>312.23922124421898</v>
      </c>
      <c r="K154" s="5">
        <f t="shared" si="30"/>
        <v>251152.74</v>
      </c>
      <c r="L154" s="4">
        <f t="shared" si="31"/>
        <v>0</v>
      </c>
      <c r="M154" s="2">
        <f t="shared" si="32"/>
        <v>478.30294543098512</v>
      </c>
      <c r="N154" s="1">
        <f t="shared" si="33"/>
        <v>66</v>
      </c>
      <c r="O154" s="3">
        <f t="shared" si="34"/>
        <v>27577.160490778337</v>
      </c>
      <c r="P154" s="2">
        <f t="shared" si="35"/>
        <v>194.88401379279898</v>
      </c>
      <c r="Q154" s="2">
        <f t="shared" si="37"/>
        <v>228.54903245520805</v>
      </c>
      <c r="R154" s="2">
        <f t="shared" si="37"/>
        <v>728.05685840676222</v>
      </c>
      <c r="S154" s="2">
        <f t="shared" si="36"/>
        <v>312.23922124421898</v>
      </c>
    </row>
    <row r="155" spans="2:19" x14ac:dyDescent="0.25">
      <c r="B155">
        <v>604</v>
      </c>
      <c r="C155" s="27">
        <v>7</v>
      </c>
      <c r="D155" s="39" t="s">
        <v>441</v>
      </c>
      <c r="E155" s="162">
        <f>INDEX('2018 Data Lockdown'!H$5:H$255, MATCH(B155,'2018 Data Lockdown'!B$5:B$255,0))</f>
        <v>727.41720759868917</v>
      </c>
      <c r="F155" s="7">
        <f>INDEX('2018 Data Lockdown'!E$5:E$255,MATCH(B155,'2018 Data Lockdown'!B$5:B$255,0))</f>
        <v>238868.16</v>
      </c>
      <c r="G155" s="7">
        <f>INDEX('2018 Data Lockdown'!F$5:F$255, MATCH(B155,'2018 Data Lockdown'!B$5:B$255,0))</f>
        <v>30079.71</v>
      </c>
      <c r="H155" s="7">
        <f t="shared" si="27"/>
        <v>208788.45</v>
      </c>
      <c r="I155" s="6">
        <f t="shared" si="28"/>
        <v>287.02709781810262</v>
      </c>
      <c r="J155" s="6">
        <f t="shared" si="29"/>
        <v>287.02709781810262</v>
      </c>
      <c r="K155" s="5">
        <f t="shared" si="30"/>
        <v>208788.45</v>
      </c>
      <c r="L155" s="4">
        <f t="shared" si="31"/>
        <v>0</v>
      </c>
      <c r="M155" s="2">
        <f t="shared" si="32"/>
        <v>478.30294543098512</v>
      </c>
      <c r="N155" s="1">
        <f t="shared" si="33"/>
        <v>66</v>
      </c>
      <c r="O155" s="3">
        <f t="shared" si="34"/>
        <v>36586.449880026652</v>
      </c>
      <c r="P155" s="2">
        <f t="shared" si="35"/>
        <v>194.88401379279898</v>
      </c>
      <c r="Q155" s="2">
        <f t="shared" si="37"/>
        <v>228.54903245520805</v>
      </c>
      <c r="R155" s="2">
        <f t="shared" si="37"/>
        <v>728.05685840676222</v>
      </c>
      <c r="S155" s="2">
        <f t="shared" si="36"/>
        <v>287.02709781810262</v>
      </c>
    </row>
    <row r="156" spans="2:19" x14ac:dyDescent="0.25">
      <c r="B156" s="17">
        <v>612</v>
      </c>
      <c r="C156" s="27">
        <v>7</v>
      </c>
      <c r="D156" s="39" t="s">
        <v>442</v>
      </c>
      <c r="E156" s="162">
        <f>INDEX('2018 Data Lockdown'!H$5:H$255, MATCH(B156,'2018 Data Lockdown'!B$5:B$255,0))</f>
        <v>488.86576888424196</v>
      </c>
      <c r="F156" s="7">
        <f>INDEX('2018 Data Lockdown'!E$5:E$255,MATCH(B156,'2018 Data Lockdown'!B$5:B$255,0))</f>
        <v>278008.61</v>
      </c>
      <c r="G156" s="7">
        <f>INDEX('2018 Data Lockdown'!F$5:F$255, MATCH(B156,'2018 Data Lockdown'!B$5:B$255,0))</f>
        <v>7776.44</v>
      </c>
      <c r="H156" s="7">
        <f t="shared" si="27"/>
        <v>270232.17</v>
      </c>
      <c r="I156" s="6">
        <f t="shared" si="28"/>
        <v>552.7737616335088</v>
      </c>
      <c r="J156" s="6">
        <f t="shared" si="29"/>
        <v>552.7737616335088</v>
      </c>
      <c r="K156" s="5">
        <f t="shared" si="30"/>
        <v>270232.17</v>
      </c>
      <c r="L156" s="4">
        <f t="shared" si="31"/>
        <v>0</v>
      </c>
      <c r="M156" s="2">
        <f t="shared" si="32"/>
        <v>478.30294543098512</v>
      </c>
      <c r="N156" s="1">
        <f t="shared" si="33"/>
        <v>66</v>
      </c>
      <c r="O156" s="3">
        <f t="shared" si="34"/>
        <v>5545.9024658700637</v>
      </c>
      <c r="P156" s="2">
        <f t="shared" si="35"/>
        <v>194.88401379279898</v>
      </c>
      <c r="Q156" s="2">
        <f t="shared" si="37"/>
        <v>228.54903245520805</v>
      </c>
      <c r="R156" s="2">
        <f t="shared" si="37"/>
        <v>728.05685840676222</v>
      </c>
      <c r="S156" s="2">
        <f t="shared" si="36"/>
        <v>552.7737616335088</v>
      </c>
    </row>
    <row r="157" spans="2:19" x14ac:dyDescent="0.25">
      <c r="B157">
        <v>635</v>
      </c>
      <c r="C157" s="27">
        <v>7</v>
      </c>
      <c r="D157" s="39" t="s">
        <v>557</v>
      </c>
      <c r="E157" s="162">
        <f>INDEX('2018 Data Lockdown'!H$5:H$255, MATCH(B157,'2018 Data Lockdown'!B$5:B$255,0))</f>
        <v>48.589999999999996</v>
      </c>
      <c r="F157" s="7">
        <f>INDEX('2018 Data Lockdown'!E$5:E$255,MATCH(B157,'2018 Data Lockdown'!B$5:B$255,0))</f>
        <v>41866.43</v>
      </c>
      <c r="G157" s="7">
        <f>INDEX('2018 Data Lockdown'!F$5:F$255, MATCH(B157,'2018 Data Lockdown'!B$5:B$255,0))</f>
        <v>7688.1000000000013</v>
      </c>
      <c r="H157" s="7">
        <f t="shared" si="27"/>
        <v>34178.33</v>
      </c>
      <c r="I157" s="6">
        <f t="shared" si="28"/>
        <v>703.40255196542512</v>
      </c>
      <c r="J157" s="6">
        <f t="shared" si="29"/>
        <v>703.40255196542512</v>
      </c>
      <c r="K157" s="5">
        <f t="shared" si="30"/>
        <v>34178.33</v>
      </c>
      <c r="L157" s="4">
        <f t="shared" si="31"/>
        <v>0</v>
      </c>
      <c r="M157" s="2">
        <f t="shared" si="32"/>
        <v>478.30294543098512</v>
      </c>
      <c r="N157" s="1">
        <f t="shared" si="33"/>
        <v>66</v>
      </c>
      <c r="O157" s="3">
        <f t="shared" si="34"/>
        <v>50669.832861959701</v>
      </c>
      <c r="P157" s="2">
        <f t="shared" si="35"/>
        <v>194.88401379279898</v>
      </c>
      <c r="Q157" s="2">
        <f t="shared" si="37"/>
        <v>228.54903245520805</v>
      </c>
      <c r="R157" s="2">
        <f t="shared" si="37"/>
        <v>728.05685840676222</v>
      </c>
      <c r="S157" s="2">
        <f t="shared" si="36"/>
        <v>703.40255196542512</v>
      </c>
    </row>
    <row r="158" spans="2:19" x14ac:dyDescent="0.25">
      <c r="B158">
        <v>711</v>
      </c>
      <c r="C158" s="27">
        <v>7</v>
      </c>
      <c r="D158" s="39" t="s">
        <v>443</v>
      </c>
      <c r="E158" s="162">
        <f>INDEX('2018 Data Lockdown'!H$5:H$255, MATCH(B158,'2018 Data Lockdown'!B$5:B$255,0))</f>
        <v>420.12</v>
      </c>
      <c r="F158" s="7">
        <f>INDEX('2018 Data Lockdown'!E$5:E$255,MATCH(B158,'2018 Data Lockdown'!B$5:B$255,0))</f>
        <v>219303.41</v>
      </c>
      <c r="G158" s="7">
        <f>INDEX('2018 Data Lockdown'!F$5:F$255, MATCH(B158,'2018 Data Lockdown'!B$5:B$255,0))</f>
        <v>15317.63</v>
      </c>
      <c r="H158" s="7">
        <f t="shared" si="27"/>
        <v>203985.78</v>
      </c>
      <c r="I158" s="6">
        <f t="shared" si="28"/>
        <v>485.54170237075118</v>
      </c>
      <c r="J158" s="6">
        <f t="shared" si="29"/>
        <v>485.54170237075118</v>
      </c>
      <c r="K158" s="5">
        <f t="shared" si="30"/>
        <v>203985.78</v>
      </c>
      <c r="L158" s="4">
        <f t="shared" si="31"/>
        <v>0</v>
      </c>
      <c r="M158" s="2">
        <f t="shared" si="32"/>
        <v>478.30294543098512</v>
      </c>
      <c r="N158" s="1">
        <f t="shared" si="33"/>
        <v>66</v>
      </c>
      <c r="O158" s="3">
        <f t="shared" si="34"/>
        <v>52.399602033011334</v>
      </c>
      <c r="P158" s="2">
        <f t="shared" si="35"/>
        <v>194.88401379279898</v>
      </c>
      <c r="Q158" s="2">
        <f t="shared" si="37"/>
        <v>228.54903245520805</v>
      </c>
      <c r="R158" s="2">
        <f t="shared" si="37"/>
        <v>728.05685840676222</v>
      </c>
      <c r="S158" s="2">
        <f t="shared" si="36"/>
        <v>485.54170237075118</v>
      </c>
    </row>
    <row r="159" spans="2:19" x14ac:dyDescent="0.25">
      <c r="B159">
        <v>712</v>
      </c>
      <c r="C159" s="27">
        <v>7</v>
      </c>
      <c r="D159" s="39" t="s">
        <v>444</v>
      </c>
      <c r="E159" s="162">
        <f>INDEX('2018 Data Lockdown'!H$5:H$255, MATCH(B159,'2018 Data Lockdown'!B$5:B$255,0))</f>
        <v>743.30000000000007</v>
      </c>
      <c r="F159" s="7">
        <f>INDEX('2018 Data Lockdown'!E$5:E$255,MATCH(B159,'2018 Data Lockdown'!B$5:B$255,0))</f>
        <v>285648.96000000002</v>
      </c>
      <c r="G159" s="7">
        <f>INDEX('2018 Data Lockdown'!F$5:F$255, MATCH(B159,'2018 Data Lockdown'!B$5:B$255,0))</f>
        <v>0</v>
      </c>
      <c r="H159" s="7">
        <f t="shared" si="27"/>
        <v>285648.96000000002</v>
      </c>
      <c r="I159" s="6">
        <f t="shared" si="28"/>
        <v>384.29834521727429</v>
      </c>
      <c r="J159" s="6">
        <f t="shared" si="29"/>
        <v>384.29834521727429</v>
      </c>
      <c r="K159" s="5">
        <f t="shared" si="30"/>
        <v>285648.96000000002</v>
      </c>
      <c r="L159" s="4">
        <f t="shared" si="31"/>
        <v>0</v>
      </c>
      <c r="M159" s="2">
        <f t="shared" si="32"/>
        <v>478.30294543098512</v>
      </c>
      <c r="N159" s="1">
        <f t="shared" si="33"/>
        <v>66</v>
      </c>
      <c r="O159" s="3">
        <f t="shared" si="34"/>
        <v>8836.8648613396017</v>
      </c>
      <c r="P159" s="2">
        <f t="shared" si="35"/>
        <v>194.88401379279898</v>
      </c>
      <c r="Q159" s="2">
        <f t="shared" si="37"/>
        <v>228.54903245520805</v>
      </c>
      <c r="R159" s="2">
        <f t="shared" si="37"/>
        <v>728.05685840676222</v>
      </c>
      <c r="S159" s="2">
        <f t="shared" si="36"/>
        <v>384.29834521727429</v>
      </c>
    </row>
    <row r="160" spans="2:19" x14ac:dyDescent="0.25">
      <c r="B160">
        <v>718</v>
      </c>
      <c r="C160" s="27">
        <v>7</v>
      </c>
      <c r="D160" s="39" t="s">
        <v>445</v>
      </c>
      <c r="E160" s="162">
        <f>INDEX('2018 Data Lockdown'!H$5:H$255, MATCH(B160,'2018 Data Lockdown'!B$5:B$255,0))</f>
        <v>29.977429817390671</v>
      </c>
      <c r="F160" s="7">
        <f>INDEX('2018 Data Lockdown'!E$5:E$255,MATCH(B160,'2018 Data Lockdown'!B$5:B$255,0))</f>
        <v>22733.55</v>
      </c>
      <c r="G160" s="7">
        <f>INDEX('2018 Data Lockdown'!F$5:F$255, MATCH(B160,'2018 Data Lockdown'!B$5:B$255,0))</f>
        <v>0</v>
      </c>
      <c r="H160" s="7">
        <f t="shared" si="27"/>
        <v>22733.55</v>
      </c>
      <c r="I160" s="6">
        <f t="shared" si="28"/>
        <v>758.35554076793096</v>
      </c>
      <c r="J160" s="6">
        <f t="shared" si="29"/>
        <v>728.05685840676222</v>
      </c>
      <c r="K160" s="5">
        <f t="shared" si="30"/>
        <v>21825.273375958652</v>
      </c>
      <c r="L160" s="4">
        <f t="shared" si="31"/>
        <v>0</v>
      </c>
      <c r="M160" s="2">
        <f t="shared" si="32"/>
        <v>478.30294543098512</v>
      </c>
      <c r="N160" s="1">
        <f t="shared" si="33"/>
        <v>66</v>
      </c>
      <c r="O160" s="3">
        <f t="shared" si="34"/>
        <v>78429.456154959145</v>
      </c>
      <c r="P160" s="2">
        <f t="shared" si="35"/>
        <v>194.88401379279898</v>
      </c>
      <c r="Q160" s="2">
        <f t="shared" si="37"/>
        <v>228.54903245520805</v>
      </c>
      <c r="R160" s="2">
        <f t="shared" si="37"/>
        <v>728.05685840676222</v>
      </c>
      <c r="S160" s="2">
        <f t="shared" si="36"/>
        <v>728.05685840676222</v>
      </c>
    </row>
    <row r="161" spans="2:19" x14ac:dyDescent="0.25">
      <c r="B161">
        <v>736</v>
      </c>
      <c r="C161" s="27">
        <v>7</v>
      </c>
      <c r="D161" s="39" t="s">
        <v>446</v>
      </c>
      <c r="E161" s="162">
        <f>INDEX('2018 Data Lockdown'!H$5:H$255, MATCH(B161,'2018 Data Lockdown'!B$5:B$255,0))</f>
        <v>138.56449994605035</v>
      </c>
      <c r="F161" s="7">
        <f>INDEX('2018 Data Lockdown'!E$5:E$255,MATCH(B161,'2018 Data Lockdown'!B$5:B$255,0))</f>
        <v>55322.1</v>
      </c>
      <c r="G161" s="7">
        <f>INDEX('2018 Data Lockdown'!F$5:F$255, MATCH(B161,'2018 Data Lockdown'!B$5:B$255,0))</f>
        <v>161</v>
      </c>
      <c r="H161" s="7">
        <f t="shared" si="27"/>
        <v>55161.1</v>
      </c>
      <c r="I161" s="6">
        <f t="shared" si="28"/>
        <v>398.08969845434291</v>
      </c>
      <c r="J161" s="6">
        <f t="shared" si="29"/>
        <v>398.08969845434291</v>
      </c>
      <c r="K161" s="5">
        <f t="shared" si="30"/>
        <v>55161.1</v>
      </c>
      <c r="L161" s="4">
        <f t="shared" si="31"/>
        <v>0</v>
      </c>
      <c r="M161" s="2">
        <f t="shared" si="32"/>
        <v>478.30294543098512</v>
      </c>
      <c r="N161" s="1">
        <f t="shared" si="33"/>
        <v>66</v>
      </c>
      <c r="O161" s="3">
        <f t="shared" si="34"/>
        <v>6434.1649905358008</v>
      </c>
      <c r="P161" s="2">
        <f t="shared" si="35"/>
        <v>194.88401379279898</v>
      </c>
      <c r="Q161" s="2">
        <f t="shared" si="37"/>
        <v>228.54903245520805</v>
      </c>
      <c r="R161" s="2">
        <f t="shared" si="37"/>
        <v>728.05685840676222</v>
      </c>
      <c r="S161" s="2">
        <f t="shared" si="36"/>
        <v>398.08969845434291</v>
      </c>
    </row>
    <row r="162" spans="2:19" x14ac:dyDescent="0.25">
      <c r="B162">
        <v>757</v>
      </c>
      <c r="C162" s="27">
        <v>7</v>
      </c>
      <c r="D162" s="39" t="s">
        <v>447</v>
      </c>
      <c r="E162" s="162">
        <f>INDEX('2018 Data Lockdown'!H$5:H$255, MATCH(B162,'2018 Data Lockdown'!B$5:B$255,0))</f>
        <v>535.91999999999996</v>
      </c>
      <c r="F162" s="7">
        <f>INDEX('2018 Data Lockdown'!E$5:E$255,MATCH(B162,'2018 Data Lockdown'!B$5:B$255,0))</f>
        <v>325864.53000000003</v>
      </c>
      <c r="G162" s="7">
        <f>INDEX('2018 Data Lockdown'!F$5:F$255, MATCH(B162,'2018 Data Lockdown'!B$5:B$255,0))</f>
        <v>65666.5</v>
      </c>
      <c r="H162" s="7">
        <f t="shared" si="27"/>
        <v>260198.03000000003</v>
      </c>
      <c r="I162" s="6">
        <f t="shared" si="28"/>
        <v>485.51655097775796</v>
      </c>
      <c r="J162" s="6">
        <f t="shared" si="29"/>
        <v>485.51655097775796</v>
      </c>
      <c r="K162" s="5">
        <f t="shared" si="30"/>
        <v>260198.03000000003</v>
      </c>
      <c r="L162" s="4">
        <f t="shared" si="31"/>
        <v>0</v>
      </c>
      <c r="M162" s="2">
        <f t="shared" si="32"/>
        <v>478.30294543098512</v>
      </c>
      <c r="N162" s="1">
        <f t="shared" si="33"/>
        <v>66</v>
      </c>
      <c r="O162" s="3">
        <f t="shared" si="34"/>
        <v>52.03610498443188</v>
      </c>
      <c r="P162" s="2">
        <f t="shared" si="35"/>
        <v>194.88401379279898</v>
      </c>
      <c r="Q162" s="2">
        <f t="shared" si="37"/>
        <v>228.54903245520805</v>
      </c>
      <c r="R162" s="2">
        <f t="shared" si="37"/>
        <v>728.05685840676222</v>
      </c>
      <c r="S162" s="2">
        <f t="shared" si="36"/>
        <v>485.51655097775796</v>
      </c>
    </row>
    <row r="163" spans="2:19" x14ac:dyDescent="0.25">
      <c r="B163">
        <v>786</v>
      </c>
      <c r="C163" s="27">
        <v>7</v>
      </c>
      <c r="D163" s="39" t="s">
        <v>448</v>
      </c>
      <c r="E163" s="162">
        <f>INDEX('2018 Data Lockdown'!H$5:H$255, MATCH(B163,'2018 Data Lockdown'!B$5:B$255,0))</f>
        <v>3145.58</v>
      </c>
      <c r="F163" s="7">
        <f>INDEX('2018 Data Lockdown'!E$5:E$255,MATCH(B163,'2018 Data Lockdown'!B$5:B$255,0))</f>
        <v>1566858.3</v>
      </c>
      <c r="G163" s="7">
        <f>INDEX('2018 Data Lockdown'!F$5:F$255, MATCH(B163,'2018 Data Lockdown'!B$5:B$255,0))</f>
        <v>287163.78999999998</v>
      </c>
      <c r="H163" s="7">
        <f t="shared" si="27"/>
        <v>1279694.51</v>
      </c>
      <c r="I163" s="6">
        <f t="shared" si="28"/>
        <v>406.82306919550609</v>
      </c>
      <c r="J163" s="6">
        <f t="shared" si="29"/>
        <v>406.82306919550609</v>
      </c>
      <c r="K163" s="5">
        <f t="shared" si="30"/>
        <v>1279694.51</v>
      </c>
      <c r="L163" s="4">
        <f t="shared" si="31"/>
        <v>0</v>
      </c>
      <c r="M163" s="2">
        <f t="shared" si="32"/>
        <v>478.30294543098512</v>
      </c>
      <c r="N163" s="1">
        <f t="shared" si="33"/>
        <v>66</v>
      </c>
      <c r="O163" s="3">
        <f t="shared" si="34"/>
        <v>5109.3727066393994</v>
      </c>
      <c r="P163" s="2">
        <f t="shared" si="35"/>
        <v>194.88401379279898</v>
      </c>
      <c r="Q163" s="2">
        <f t="shared" si="37"/>
        <v>228.54903245520805</v>
      </c>
      <c r="R163" s="2">
        <f t="shared" si="37"/>
        <v>728.05685840676222</v>
      </c>
      <c r="S163" s="2">
        <f t="shared" si="36"/>
        <v>406.82306919550609</v>
      </c>
    </row>
    <row r="164" spans="2:19" x14ac:dyDescent="0.25">
      <c r="B164">
        <v>854</v>
      </c>
      <c r="C164" s="27">
        <v>7</v>
      </c>
      <c r="D164" s="39" t="s">
        <v>449</v>
      </c>
      <c r="E164" s="162">
        <f>INDEX('2018 Data Lockdown'!H$5:H$255, MATCH(B164,'2018 Data Lockdown'!B$5:B$255,0))</f>
        <v>839.93</v>
      </c>
      <c r="F164" s="7">
        <f>INDEX('2018 Data Lockdown'!E$5:E$255,MATCH(B164,'2018 Data Lockdown'!B$5:B$255,0))</f>
        <v>490740.21</v>
      </c>
      <c r="G164" s="7">
        <f>INDEX('2018 Data Lockdown'!F$5:F$255, MATCH(B164,'2018 Data Lockdown'!B$5:B$255,0))</f>
        <v>37547.699999999997</v>
      </c>
      <c r="H164" s="7">
        <f t="shared" si="27"/>
        <v>453192.51</v>
      </c>
      <c r="I164" s="6">
        <f t="shared" si="28"/>
        <v>539.55985617849115</v>
      </c>
      <c r="J164" s="6">
        <f t="shared" si="29"/>
        <v>539.55985617849115</v>
      </c>
      <c r="K164" s="5">
        <f t="shared" si="30"/>
        <v>453192.51000000007</v>
      </c>
      <c r="L164" s="4">
        <f t="shared" si="31"/>
        <v>0</v>
      </c>
      <c r="M164" s="2">
        <f t="shared" si="32"/>
        <v>478.30294543098512</v>
      </c>
      <c r="N164" s="1">
        <f t="shared" si="33"/>
        <v>66</v>
      </c>
      <c r="O164" s="3">
        <f t="shared" si="34"/>
        <v>3752.4091143279193</v>
      </c>
      <c r="P164" s="2">
        <f t="shared" si="35"/>
        <v>194.88401379279898</v>
      </c>
      <c r="Q164" s="2">
        <f t="shared" si="37"/>
        <v>228.54903245520805</v>
      </c>
      <c r="R164" s="2">
        <f t="shared" si="37"/>
        <v>728.05685840676222</v>
      </c>
      <c r="S164" s="2">
        <f t="shared" si="36"/>
        <v>539.55985617849115</v>
      </c>
    </row>
    <row r="165" spans="2:19" x14ac:dyDescent="0.25">
      <c r="B165">
        <v>855</v>
      </c>
      <c r="C165" s="27">
        <v>7</v>
      </c>
      <c r="D165" s="39" t="s">
        <v>450</v>
      </c>
      <c r="E165" s="162">
        <f>INDEX('2018 Data Lockdown'!H$5:H$255, MATCH(B165,'2018 Data Lockdown'!B$5:B$255,0))</f>
        <v>208.08754355551341</v>
      </c>
      <c r="F165" s="7">
        <f>INDEX('2018 Data Lockdown'!E$5:E$255,MATCH(B165,'2018 Data Lockdown'!B$5:B$255,0))</f>
        <v>140079.48000000001</v>
      </c>
      <c r="G165" s="7">
        <f>INDEX('2018 Data Lockdown'!F$5:F$255, MATCH(B165,'2018 Data Lockdown'!B$5:B$255,0))</f>
        <v>12090</v>
      </c>
      <c r="H165" s="7">
        <f t="shared" si="27"/>
        <v>127989.48000000001</v>
      </c>
      <c r="I165" s="6">
        <f t="shared" si="28"/>
        <v>615.07516410205062</v>
      </c>
      <c r="J165" s="6">
        <f t="shared" si="29"/>
        <v>615.07516410205062</v>
      </c>
      <c r="K165" s="5">
        <f t="shared" si="30"/>
        <v>127989.48000000001</v>
      </c>
      <c r="L165" s="4">
        <f t="shared" si="31"/>
        <v>0</v>
      </c>
      <c r="M165" s="2">
        <f t="shared" si="32"/>
        <v>478.30294543098512</v>
      </c>
      <c r="N165" s="1">
        <f t="shared" si="33"/>
        <v>66</v>
      </c>
      <c r="O165" s="3">
        <f t="shared" si="34"/>
        <v>18706.639800205758</v>
      </c>
      <c r="P165" s="2">
        <f t="shared" si="35"/>
        <v>194.88401379279898</v>
      </c>
      <c r="Q165" s="2">
        <f t="shared" si="37"/>
        <v>228.54903245520805</v>
      </c>
      <c r="R165" s="2">
        <f t="shared" si="37"/>
        <v>728.05685840676222</v>
      </c>
      <c r="S165" s="2">
        <f t="shared" si="36"/>
        <v>615.07516410205062</v>
      </c>
    </row>
    <row r="166" spans="2:19" x14ac:dyDescent="0.25">
      <c r="B166">
        <v>862</v>
      </c>
      <c r="C166" s="27">
        <v>7</v>
      </c>
      <c r="D166" s="39" t="s">
        <v>451</v>
      </c>
      <c r="E166" s="162">
        <f>INDEX('2018 Data Lockdown'!H$5:H$255, MATCH(B166,'2018 Data Lockdown'!B$5:B$255,0))</f>
        <v>13.057490298183062</v>
      </c>
      <c r="F166" s="7">
        <f>INDEX('2018 Data Lockdown'!E$5:E$255,MATCH(B166,'2018 Data Lockdown'!B$5:B$255,0))</f>
        <v>10884.05</v>
      </c>
      <c r="G166" s="7">
        <f>INDEX('2018 Data Lockdown'!F$5:F$255, MATCH(B166,'2018 Data Lockdown'!B$5:B$255,0))</f>
        <v>8152.2</v>
      </c>
      <c r="H166" s="7">
        <f t="shared" si="27"/>
        <v>2731.8499999999995</v>
      </c>
      <c r="I166" s="6">
        <f t="shared" si="28"/>
        <v>209.2170805886131</v>
      </c>
      <c r="J166" s="6">
        <f t="shared" si="29"/>
        <v>209.2170805886131</v>
      </c>
      <c r="K166" s="5">
        <f t="shared" si="30"/>
        <v>2731.8499999999995</v>
      </c>
      <c r="L166" s="4">
        <f t="shared" si="31"/>
        <v>0</v>
      </c>
      <c r="M166" s="2">
        <f t="shared" si="32"/>
        <v>478.30294543098512</v>
      </c>
      <c r="N166" s="1">
        <f t="shared" si="33"/>
        <v>66</v>
      </c>
      <c r="O166" s="3">
        <f t="shared" si="34"/>
        <v>72407.202657967297</v>
      </c>
      <c r="P166" s="2">
        <f t="shared" si="35"/>
        <v>194.88401379279898</v>
      </c>
      <c r="Q166" s="2">
        <f t="shared" ref="Q166:R185" si="38">NORMINV(Q$4,$M166,$P166)</f>
        <v>228.54903245520805</v>
      </c>
      <c r="R166" s="2">
        <f t="shared" si="38"/>
        <v>728.05685840676222</v>
      </c>
      <c r="S166" s="2">
        <f t="shared" si="36"/>
        <v>209.2170805886131</v>
      </c>
    </row>
    <row r="167" spans="2:19" x14ac:dyDescent="0.25">
      <c r="B167">
        <v>958</v>
      </c>
      <c r="C167" s="27">
        <v>7</v>
      </c>
      <c r="D167" s="39" t="s">
        <v>452</v>
      </c>
      <c r="E167" s="162">
        <f>INDEX('2018 Data Lockdown'!H$5:H$255, MATCH(B167,'2018 Data Lockdown'!B$5:B$255,0))</f>
        <v>510.68493823667342</v>
      </c>
      <c r="F167" s="7">
        <f>INDEX('2018 Data Lockdown'!E$5:E$255,MATCH(B167,'2018 Data Lockdown'!B$5:B$255,0))</f>
        <v>165631.01</v>
      </c>
      <c r="G167" s="7">
        <f>INDEX('2018 Data Lockdown'!F$5:F$255, MATCH(B167,'2018 Data Lockdown'!B$5:B$255,0))</f>
        <v>290.27999999999997</v>
      </c>
      <c r="H167" s="7">
        <f t="shared" si="27"/>
        <v>165340.73000000001</v>
      </c>
      <c r="I167" s="6">
        <f t="shared" si="28"/>
        <v>323.76269128065411</v>
      </c>
      <c r="J167" s="6">
        <f t="shared" si="29"/>
        <v>323.76269128065411</v>
      </c>
      <c r="K167" s="5">
        <f t="shared" si="30"/>
        <v>165340.73000000001</v>
      </c>
      <c r="L167" s="4">
        <f t="shared" si="31"/>
        <v>0</v>
      </c>
      <c r="M167" s="2">
        <f t="shared" si="32"/>
        <v>478.30294543098512</v>
      </c>
      <c r="N167" s="1">
        <f t="shared" si="33"/>
        <v>66</v>
      </c>
      <c r="O167" s="3">
        <f t="shared" si="34"/>
        <v>23882.6901528489</v>
      </c>
      <c r="P167" s="2">
        <f t="shared" si="35"/>
        <v>194.88401379279898</v>
      </c>
      <c r="Q167" s="2">
        <f t="shared" si="38"/>
        <v>228.54903245520805</v>
      </c>
      <c r="R167" s="2">
        <f t="shared" si="38"/>
        <v>728.05685840676222</v>
      </c>
      <c r="S167" s="2">
        <f t="shared" si="36"/>
        <v>323.76269128065411</v>
      </c>
    </row>
    <row r="168" spans="2:19" x14ac:dyDescent="0.25">
      <c r="B168">
        <v>967</v>
      </c>
      <c r="C168" s="27">
        <v>7</v>
      </c>
      <c r="D168" s="39" t="s">
        <v>453</v>
      </c>
      <c r="E168" s="162">
        <f>INDEX('2018 Data Lockdown'!H$5:H$255, MATCH(B168,'2018 Data Lockdown'!B$5:B$255,0))</f>
        <v>180.72179769743559</v>
      </c>
      <c r="F168" s="7">
        <f>INDEX('2018 Data Lockdown'!E$5:E$255,MATCH(B168,'2018 Data Lockdown'!B$5:B$255,0))</f>
        <v>79646.62</v>
      </c>
      <c r="G168" s="7">
        <f>INDEX('2018 Data Lockdown'!F$5:F$255, MATCH(B168,'2018 Data Lockdown'!B$5:B$255,0))</f>
        <v>0</v>
      </c>
      <c r="H168" s="7">
        <f t="shared" si="27"/>
        <v>79646.62</v>
      </c>
      <c r="I168" s="6">
        <f t="shared" si="28"/>
        <v>440.7139648607544</v>
      </c>
      <c r="J168" s="6">
        <f t="shared" si="29"/>
        <v>440.7139648607544</v>
      </c>
      <c r="K168" s="5">
        <f t="shared" si="30"/>
        <v>79646.62</v>
      </c>
      <c r="L168" s="4">
        <f t="shared" si="31"/>
        <v>0</v>
      </c>
      <c r="M168" s="2">
        <f t="shared" si="32"/>
        <v>478.30294543098512</v>
      </c>
      <c r="N168" s="1">
        <f t="shared" si="33"/>
        <v>66</v>
      </c>
      <c r="O168" s="3">
        <f t="shared" si="34"/>
        <v>1412.9314603091823</v>
      </c>
      <c r="P168" s="2">
        <f t="shared" si="35"/>
        <v>194.88401379279898</v>
      </c>
      <c r="Q168" s="2">
        <f t="shared" si="38"/>
        <v>228.54903245520805</v>
      </c>
      <c r="R168" s="2">
        <f t="shared" si="38"/>
        <v>728.05685840676222</v>
      </c>
      <c r="S168" s="2">
        <f t="shared" si="36"/>
        <v>440.7139648607544</v>
      </c>
    </row>
    <row r="169" spans="2:19" x14ac:dyDescent="0.25">
      <c r="B169">
        <v>971</v>
      </c>
      <c r="C169" s="27">
        <v>7</v>
      </c>
      <c r="D169" s="39" t="s">
        <v>454</v>
      </c>
      <c r="E169" s="162">
        <f>INDEX('2018 Data Lockdown'!H$5:H$255, MATCH(B169,'2018 Data Lockdown'!B$5:B$255,0))</f>
        <v>976</v>
      </c>
      <c r="F169" s="7">
        <f>INDEX('2018 Data Lockdown'!E$5:E$255,MATCH(B169,'2018 Data Lockdown'!B$5:B$255,0))</f>
        <v>536513.62</v>
      </c>
      <c r="G169" s="7">
        <f>INDEX('2018 Data Lockdown'!F$5:F$255, MATCH(B169,'2018 Data Lockdown'!B$5:B$255,0))</f>
        <v>137200.55999999997</v>
      </c>
      <c r="H169" s="7">
        <f t="shared" si="27"/>
        <v>399313.06000000006</v>
      </c>
      <c r="I169" s="6">
        <f t="shared" si="28"/>
        <v>409.13223360655741</v>
      </c>
      <c r="J169" s="6">
        <f t="shared" si="29"/>
        <v>409.13223360655741</v>
      </c>
      <c r="K169" s="5">
        <f t="shared" si="30"/>
        <v>399313.06000000006</v>
      </c>
      <c r="L169" s="4">
        <f t="shared" si="31"/>
        <v>0</v>
      </c>
      <c r="M169" s="2">
        <f t="shared" si="32"/>
        <v>478.30294543098512</v>
      </c>
      <c r="N169" s="1">
        <f t="shared" si="33"/>
        <v>66</v>
      </c>
      <c r="O169" s="3">
        <f t="shared" si="34"/>
        <v>4784.5873742980239</v>
      </c>
      <c r="P169" s="2">
        <f t="shared" si="35"/>
        <v>194.88401379279898</v>
      </c>
      <c r="Q169" s="2">
        <f t="shared" si="38"/>
        <v>228.54903245520805</v>
      </c>
      <c r="R169" s="2">
        <f t="shared" si="38"/>
        <v>728.05685840676222</v>
      </c>
      <c r="S169" s="2">
        <f t="shared" si="36"/>
        <v>409.13223360655741</v>
      </c>
    </row>
    <row r="170" spans="2:19" x14ac:dyDescent="0.25">
      <c r="B170">
        <v>975</v>
      </c>
      <c r="C170" s="27">
        <v>7</v>
      </c>
      <c r="D170" s="39" t="s">
        <v>455</v>
      </c>
      <c r="E170" s="162">
        <f>INDEX('2018 Data Lockdown'!H$5:H$255, MATCH(B170,'2018 Data Lockdown'!B$5:B$255,0))</f>
        <v>19.270619314376521</v>
      </c>
      <c r="F170" s="7">
        <f>INDEX('2018 Data Lockdown'!E$5:E$255,MATCH(B170,'2018 Data Lockdown'!B$5:B$255,0))</f>
        <v>55760.17</v>
      </c>
      <c r="G170" s="7">
        <f>INDEX('2018 Data Lockdown'!F$5:F$255, MATCH(B170,'2018 Data Lockdown'!B$5:B$255,0))</f>
        <v>0</v>
      </c>
      <c r="H170" s="7">
        <f t="shared" si="27"/>
        <v>55760.17</v>
      </c>
      <c r="I170" s="6">
        <f t="shared" si="28"/>
        <v>2893.5328486511621</v>
      </c>
      <c r="J170" s="6">
        <f t="shared" si="29"/>
        <v>728.05685840676222</v>
      </c>
      <c r="K170" s="5">
        <f t="shared" si="30"/>
        <v>14030.106557577645</v>
      </c>
      <c r="L170" s="4">
        <f t="shared" si="31"/>
        <v>0</v>
      </c>
      <c r="M170" s="2">
        <f t="shared" si="32"/>
        <v>478.30294543098512</v>
      </c>
      <c r="N170" s="1">
        <f t="shared" si="33"/>
        <v>66</v>
      </c>
      <c r="O170" s="3">
        <f t="shared" si="34"/>
        <v>5833335.4854089469</v>
      </c>
      <c r="P170" s="2">
        <f t="shared" si="35"/>
        <v>194.88401379279898</v>
      </c>
      <c r="Q170" s="2">
        <f t="shared" si="38"/>
        <v>228.54903245520805</v>
      </c>
      <c r="R170" s="2">
        <f t="shared" si="38"/>
        <v>728.05685840676222</v>
      </c>
      <c r="S170" s="2">
        <f t="shared" si="36"/>
        <v>728.05685840676222</v>
      </c>
    </row>
    <row r="171" spans="2:19" x14ac:dyDescent="0.25">
      <c r="B171">
        <v>976</v>
      </c>
      <c r="C171" s="27">
        <v>7</v>
      </c>
      <c r="D171" s="39" t="s">
        <v>456</v>
      </c>
      <c r="E171" s="162">
        <f>INDEX('2018 Data Lockdown'!H$5:H$255, MATCH(B171,'2018 Data Lockdown'!B$5:B$255,0))</f>
        <v>29.487564416476946</v>
      </c>
      <c r="F171" s="7">
        <f>INDEX('2018 Data Lockdown'!E$5:E$255,MATCH(B171,'2018 Data Lockdown'!B$5:B$255,0))</f>
        <v>25941.279999999999</v>
      </c>
      <c r="G171" s="7">
        <f>INDEX('2018 Data Lockdown'!F$5:F$255, MATCH(B171,'2018 Data Lockdown'!B$5:B$255,0))</f>
        <v>0</v>
      </c>
      <c r="H171" s="7">
        <f t="shared" si="27"/>
        <v>25941.279999999999</v>
      </c>
      <c r="I171" s="6">
        <f t="shared" si="28"/>
        <v>879.73627233535206</v>
      </c>
      <c r="J171" s="6">
        <f t="shared" si="29"/>
        <v>728.05685840676222</v>
      </c>
      <c r="K171" s="5">
        <f t="shared" si="30"/>
        <v>21468.623511127236</v>
      </c>
      <c r="L171" s="4">
        <f t="shared" si="31"/>
        <v>0</v>
      </c>
      <c r="M171" s="2">
        <f t="shared" si="32"/>
        <v>478.30294543098512</v>
      </c>
      <c r="N171" s="1">
        <f t="shared" si="33"/>
        <v>66</v>
      </c>
      <c r="O171" s="3">
        <f t="shared" si="34"/>
        <v>161148.71594950833</v>
      </c>
      <c r="P171" s="2">
        <f t="shared" si="35"/>
        <v>194.88401379279898</v>
      </c>
      <c r="Q171" s="2">
        <f t="shared" si="38"/>
        <v>228.54903245520805</v>
      </c>
      <c r="R171" s="2">
        <f t="shared" si="38"/>
        <v>728.05685840676222</v>
      </c>
      <c r="S171" s="2">
        <f t="shared" si="36"/>
        <v>728.05685840676222</v>
      </c>
    </row>
    <row r="172" spans="2:19" x14ac:dyDescent="0.25">
      <c r="B172">
        <v>977</v>
      </c>
      <c r="C172" s="27">
        <v>7</v>
      </c>
      <c r="D172" s="39" t="s">
        <v>457</v>
      </c>
      <c r="E172" s="162">
        <f>INDEX('2018 Data Lockdown'!H$5:H$255, MATCH(B172,'2018 Data Lockdown'!B$5:B$255,0))</f>
        <v>40.759415747987155</v>
      </c>
      <c r="F172" s="7">
        <f>INDEX('2018 Data Lockdown'!E$5:E$255,MATCH(B172,'2018 Data Lockdown'!B$5:B$255,0))</f>
        <v>31893.51</v>
      </c>
      <c r="G172" s="7">
        <f>INDEX('2018 Data Lockdown'!F$5:F$255, MATCH(B172,'2018 Data Lockdown'!B$5:B$255,0))</f>
        <v>0</v>
      </c>
      <c r="H172" s="7">
        <f t="shared" si="27"/>
        <v>31893.51</v>
      </c>
      <c r="I172" s="6">
        <f t="shared" si="28"/>
        <v>782.4820207727098</v>
      </c>
      <c r="J172" s="6">
        <f t="shared" si="29"/>
        <v>728.05685840676222</v>
      </c>
      <c r="K172" s="5">
        <f t="shared" si="30"/>
        <v>29675.172179974637</v>
      </c>
      <c r="L172" s="4">
        <f t="shared" si="31"/>
        <v>0</v>
      </c>
      <c r="M172" s="2">
        <f t="shared" si="32"/>
        <v>478.30294543098512</v>
      </c>
      <c r="N172" s="1">
        <f t="shared" si="33"/>
        <v>66</v>
      </c>
      <c r="O172" s="3">
        <f t="shared" si="34"/>
        <v>92524.909875746627</v>
      </c>
      <c r="P172" s="2">
        <f t="shared" si="35"/>
        <v>194.88401379279898</v>
      </c>
      <c r="Q172" s="2">
        <f t="shared" si="38"/>
        <v>228.54903245520805</v>
      </c>
      <c r="R172" s="2">
        <f t="shared" si="38"/>
        <v>728.05685840676222</v>
      </c>
      <c r="S172" s="2">
        <f t="shared" si="36"/>
        <v>728.05685840676222</v>
      </c>
    </row>
    <row r="173" spans="2:19" x14ac:dyDescent="0.25">
      <c r="B173">
        <v>979</v>
      </c>
      <c r="C173" s="27">
        <v>7</v>
      </c>
      <c r="D173" s="39" t="s">
        <v>546</v>
      </c>
      <c r="E173" s="162">
        <f>INDEX('2018 Data Lockdown'!H$5:H$255, MATCH(B173,'2018 Data Lockdown'!B$5:B$255,0))</f>
        <v>68.082908668012507</v>
      </c>
      <c r="F173" s="7">
        <f>INDEX('2018 Data Lockdown'!E$5:E$255,MATCH(B173,'2018 Data Lockdown'!B$5:B$255,0))</f>
        <v>116196.12</v>
      </c>
      <c r="G173" s="7">
        <f>INDEX('2018 Data Lockdown'!F$5:F$255, MATCH(B173,'2018 Data Lockdown'!B$5:B$255,0))</f>
        <v>0</v>
      </c>
      <c r="H173" s="7">
        <f t="shared" si="27"/>
        <v>116196.12</v>
      </c>
      <c r="I173" s="6">
        <f t="shared" si="28"/>
        <v>1706.6856024997151</v>
      </c>
      <c r="J173" s="6">
        <f t="shared" si="29"/>
        <v>728.05685840676222</v>
      </c>
      <c r="K173" s="5">
        <f t="shared" si="30"/>
        <v>49568.228596027708</v>
      </c>
      <c r="L173" s="4">
        <f t="shared" si="31"/>
        <v>0</v>
      </c>
      <c r="M173" s="2">
        <f t="shared" si="32"/>
        <v>478.30294543098512</v>
      </c>
      <c r="N173" s="1">
        <f t="shared" si="33"/>
        <v>66</v>
      </c>
      <c r="O173" s="3">
        <f t="shared" si="34"/>
        <v>1508923.9521872329</v>
      </c>
      <c r="P173" s="2">
        <f t="shared" si="35"/>
        <v>194.88401379279898</v>
      </c>
      <c r="Q173" s="2">
        <f t="shared" si="38"/>
        <v>228.54903245520805</v>
      </c>
      <c r="R173" s="2">
        <f t="shared" si="38"/>
        <v>728.05685840676222</v>
      </c>
      <c r="S173" s="2">
        <f t="shared" si="36"/>
        <v>728.05685840676222</v>
      </c>
    </row>
    <row r="174" spans="2:19" x14ac:dyDescent="0.25">
      <c r="B174">
        <v>983</v>
      </c>
      <c r="C174" s="27">
        <v>7</v>
      </c>
      <c r="D174" s="39" t="s">
        <v>459</v>
      </c>
      <c r="E174" s="162">
        <f>INDEX('2018 Data Lockdown'!H$5:H$255, MATCH(B174,'2018 Data Lockdown'!B$5:B$255,0))</f>
        <v>86.136151469782178</v>
      </c>
      <c r="F174" s="7">
        <f>INDEX('2018 Data Lockdown'!E$5:E$255,MATCH(B174,'2018 Data Lockdown'!B$5:B$255,0))</f>
        <v>30825.599999999999</v>
      </c>
      <c r="G174" s="7">
        <f>INDEX('2018 Data Lockdown'!F$5:F$255, MATCH(B174,'2018 Data Lockdown'!B$5:B$255,0))</f>
        <v>250</v>
      </c>
      <c r="H174" s="7">
        <f t="shared" si="27"/>
        <v>30575.599999999999</v>
      </c>
      <c r="I174" s="6">
        <f t="shared" si="28"/>
        <v>354.96826220203684</v>
      </c>
      <c r="J174" s="6">
        <f t="shared" si="29"/>
        <v>354.96826220203684</v>
      </c>
      <c r="K174" s="5">
        <f t="shared" si="30"/>
        <v>30575.600000000002</v>
      </c>
      <c r="L174" s="4">
        <f t="shared" si="31"/>
        <v>0</v>
      </c>
      <c r="M174" s="2">
        <f t="shared" si="32"/>
        <v>478.30294543098512</v>
      </c>
      <c r="N174" s="1">
        <f t="shared" si="33"/>
        <v>66</v>
      </c>
      <c r="O174" s="3">
        <f t="shared" si="34"/>
        <v>15211.444087185017</v>
      </c>
      <c r="P174" s="2">
        <f t="shared" si="35"/>
        <v>194.88401379279898</v>
      </c>
      <c r="Q174" s="2">
        <f t="shared" si="38"/>
        <v>228.54903245520805</v>
      </c>
      <c r="R174" s="2">
        <f t="shared" si="38"/>
        <v>728.05685840676222</v>
      </c>
      <c r="S174" s="2">
        <f t="shared" si="36"/>
        <v>354.96826220203684</v>
      </c>
    </row>
    <row r="175" spans="2:19" x14ac:dyDescent="0.25">
      <c r="B175">
        <v>188</v>
      </c>
      <c r="C175" s="27">
        <v>8</v>
      </c>
      <c r="D175" s="39" t="s">
        <v>460</v>
      </c>
      <c r="E175" s="162">
        <f>INDEX('2018 Data Lockdown'!H$5:H$255, MATCH(B175,'2018 Data Lockdown'!B$5:B$255,0))</f>
        <v>287.33</v>
      </c>
      <c r="F175" s="7">
        <f>INDEX('2018 Data Lockdown'!E$5:E$255,MATCH(B175,'2018 Data Lockdown'!B$5:B$255,0))</f>
        <v>125246.14</v>
      </c>
      <c r="G175" s="7">
        <f>INDEX('2018 Data Lockdown'!F$5:F$255, MATCH(B175,'2018 Data Lockdown'!B$5:B$255,0))</f>
        <v>23903.22</v>
      </c>
      <c r="H175" s="7">
        <f t="shared" si="27"/>
        <v>101342.92</v>
      </c>
      <c r="I175" s="6">
        <f t="shared" si="28"/>
        <v>352.70566943932067</v>
      </c>
      <c r="J175" s="6">
        <f t="shared" si="29"/>
        <v>352.70566943932067</v>
      </c>
      <c r="K175" s="5">
        <f t="shared" si="30"/>
        <v>101342.92</v>
      </c>
      <c r="L175" s="4">
        <f t="shared" si="31"/>
        <v>0</v>
      </c>
      <c r="M175" s="2">
        <f t="shared" si="32"/>
        <v>865.93982913089087</v>
      </c>
      <c r="N175" s="1">
        <f t="shared" si="33"/>
        <v>50</v>
      </c>
      <c r="O175" s="3">
        <f t="shared" si="34"/>
        <v>263409.3026743122</v>
      </c>
      <c r="P175" s="2">
        <f t="shared" si="35"/>
        <v>661.7630717997024</v>
      </c>
      <c r="Q175" s="2">
        <f t="shared" si="38"/>
        <v>17.85632844637837</v>
      </c>
      <c r="R175" s="2">
        <f t="shared" si="38"/>
        <v>1714.0233298154035</v>
      </c>
      <c r="S175" s="2">
        <f t="shared" si="36"/>
        <v>352.70566943932067</v>
      </c>
    </row>
    <row r="176" spans="2:19" x14ac:dyDescent="0.25">
      <c r="B176">
        <v>232</v>
      </c>
      <c r="C176" s="27">
        <v>8</v>
      </c>
      <c r="D176" s="39" t="s">
        <v>461</v>
      </c>
      <c r="E176" s="162">
        <f>INDEX('2018 Data Lockdown'!H$5:H$255, MATCH(B176,'2018 Data Lockdown'!B$5:B$255,0))</f>
        <v>97.381103404750618</v>
      </c>
      <c r="F176" s="7">
        <f>INDEX('2018 Data Lockdown'!E$5:E$255,MATCH(B176,'2018 Data Lockdown'!B$5:B$255,0))</f>
        <v>101873.03</v>
      </c>
      <c r="G176" s="7">
        <f>INDEX('2018 Data Lockdown'!F$5:F$255, MATCH(B176,'2018 Data Lockdown'!B$5:B$255,0))</f>
        <v>0</v>
      </c>
      <c r="H176" s="7">
        <f t="shared" si="27"/>
        <v>101873.03</v>
      </c>
      <c r="I176" s="6">
        <f t="shared" si="28"/>
        <v>1046.1272920330275</v>
      </c>
      <c r="J176" s="6">
        <f t="shared" si="29"/>
        <v>1046.1272920330275</v>
      </c>
      <c r="K176" s="5">
        <f t="shared" si="30"/>
        <v>101873.03</v>
      </c>
      <c r="L176" s="4">
        <f t="shared" si="31"/>
        <v>0</v>
      </c>
      <c r="M176" s="2">
        <f t="shared" si="32"/>
        <v>865.93982913089087</v>
      </c>
      <c r="N176" s="1">
        <f t="shared" si="33"/>
        <v>50</v>
      </c>
      <c r="O176" s="3">
        <f t="shared" si="34"/>
        <v>32467.521787108868</v>
      </c>
      <c r="P176" s="2">
        <f t="shared" si="35"/>
        <v>661.7630717997024</v>
      </c>
      <c r="Q176" s="2">
        <f t="shared" si="38"/>
        <v>17.85632844637837</v>
      </c>
      <c r="R176" s="2">
        <f t="shared" si="38"/>
        <v>1714.0233298154035</v>
      </c>
      <c r="S176" s="2">
        <f t="shared" si="36"/>
        <v>1046.1272920330275</v>
      </c>
    </row>
    <row r="177" spans="2:19" x14ac:dyDescent="0.25">
      <c r="B177">
        <v>245</v>
      </c>
      <c r="C177" s="27">
        <v>8</v>
      </c>
      <c r="D177" s="39" t="s">
        <v>462</v>
      </c>
      <c r="E177" s="162">
        <f>INDEX('2018 Data Lockdown'!H$5:H$255, MATCH(B177,'2018 Data Lockdown'!B$5:B$255,0))</f>
        <v>182.45317762647645</v>
      </c>
      <c r="F177" s="7">
        <f>INDEX('2018 Data Lockdown'!E$5:E$255,MATCH(B177,'2018 Data Lockdown'!B$5:B$255,0))</f>
        <v>620305.29</v>
      </c>
      <c r="G177" s="7">
        <f>INDEX('2018 Data Lockdown'!F$5:F$255, MATCH(B177,'2018 Data Lockdown'!B$5:B$255,0))</f>
        <v>0</v>
      </c>
      <c r="H177" s="7">
        <f t="shared" si="27"/>
        <v>620305.29</v>
      </c>
      <c r="I177" s="6">
        <f t="shared" si="28"/>
        <v>3399.8053531844066</v>
      </c>
      <c r="J177" s="6">
        <f t="shared" si="29"/>
        <v>1714.0233298154035</v>
      </c>
      <c r="K177" s="5">
        <f t="shared" si="30"/>
        <v>312729.00305073441</v>
      </c>
      <c r="L177" s="4">
        <f t="shared" si="31"/>
        <v>0</v>
      </c>
      <c r="M177" s="2">
        <f t="shared" si="32"/>
        <v>865.93982913089087</v>
      </c>
      <c r="N177" s="1">
        <f t="shared" si="33"/>
        <v>50</v>
      </c>
      <c r="O177" s="3">
        <f t="shared" si="34"/>
        <v>6420474.4939869987</v>
      </c>
      <c r="P177" s="2">
        <f t="shared" si="35"/>
        <v>661.7630717997024</v>
      </c>
      <c r="Q177" s="2">
        <f t="shared" si="38"/>
        <v>17.85632844637837</v>
      </c>
      <c r="R177" s="2">
        <f t="shared" si="38"/>
        <v>1714.0233298154035</v>
      </c>
      <c r="S177" s="2">
        <f t="shared" si="36"/>
        <v>1714.0233298154035</v>
      </c>
    </row>
    <row r="178" spans="2:19" x14ac:dyDescent="0.25">
      <c r="B178" s="17">
        <v>372</v>
      </c>
      <c r="C178" s="27">
        <v>8</v>
      </c>
      <c r="D178" s="39" t="s">
        <v>463</v>
      </c>
      <c r="E178" s="162">
        <f>INDEX('2018 Data Lockdown'!H$5:H$255, MATCH(B178,'2018 Data Lockdown'!B$5:B$255,0))</f>
        <v>120.44</v>
      </c>
      <c r="F178" s="7">
        <f>INDEX('2018 Data Lockdown'!E$5:E$255,MATCH(B178,'2018 Data Lockdown'!B$5:B$255,0))</f>
        <v>83312.27</v>
      </c>
      <c r="G178" s="7">
        <f>INDEX('2018 Data Lockdown'!F$5:F$255, MATCH(B178,'2018 Data Lockdown'!B$5:B$255,0))</f>
        <v>0</v>
      </c>
      <c r="H178" s="7">
        <f t="shared" si="27"/>
        <v>83312.27</v>
      </c>
      <c r="I178" s="6">
        <f t="shared" si="28"/>
        <v>691.73256393224847</v>
      </c>
      <c r="J178" s="6">
        <f t="shared" si="29"/>
        <v>691.73256393224847</v>
      </c>
      <c r="K178" s="5">
        <f t="shared" si="30"/>
        <v>83312.27</v>
      </c>
      <c r="L178" s="4">
        <f t="shared" si="31"/>
        <v>0</v>
      </c>
      <c r="M178" s="2">
        <f t="shared" si="32"/>
        <v>865.93982913089087</v>
      </c>
      <c r="N178" s="1">
        <f t="shared" si="33"/>
        <v>50</v>
      </c>
      <c r="O178" s="3">
        <f t="shared" si="34"/>
        <v>30348.171247990125</v>
      </c>
      <c r="P178" s="2">
        <f t="shared" si="35"/>
        <v>661.7630717997024</v>
      </c>
      <c r="Q178" s="2">
        <f t="shared" si="38"/>
        <v>17.85632844637837</v>
      </c>
      <c r="R178" s="2">
        <f t="shared" si="38"/>
        <v>1714.0233298154035</v>
      </c>
      <c r="S178" s="2">
        <f t="shared" si="36"/>
        <v>691.73256393224847</v>
      </c>
    </row>
    <row r="179" spans="2:19" x14ac:dyDescent="0.25">
      <c r="B179">
        <v>375</v>
      </c>
      <c r="C179" s="27">
        <v>8</v>
      </c>
      <c r="D179" s="39" t="s">
        <v>464</v>
      </c>
      <c r="E179" s="162">
        <f>INDEX('2018 Data Lockdown'!H$5:H$255, MATCH(B179,'2018 Data Lockdown'!B$5:B$255,0))</f>
        <v>165.84</v>
      </c>
      <c r="F179" s="7">
        <f>INDEX('2018 Data Lockdown'!E$5:E$255,MATCH(B179,'2018 Data Lockdown'!B$5:B$255,0))</f>
        <v>245447.76</v>
      </c>
      <c r="G179" s="7">
        <f>INDEX('2018 Data Lockdown'!F$5:F$255, MATCH(B179,'2018 Data Lockdown'!B$5:B$255,0))</f>
        <v>0</v>
      </c>
      <c r="H179" s="7">
        <f t="shared" si="27"/>
        <v>245447.76</v>
      </c>
      <c r="I179" s="6">
        <f t="shared" si="28"/>
        <v>1480.027496382055</v>
      </c>
      <c r="J179" s="6">
        <f t="shared" si="29"/>
        <v>1480.027496382055</v>
      </c>
      <c r="K179" s="5">
        <f t="shared" si="30"/>
        <v>245447.76</v>
      </c>
      <c r="L179" s="4">
        <f t="shared" si="31"/>
        <v>0</v>
      </c>
      <c r="M179" s="2">
        <f t="shared" si="32"/>
        <v>865.93982913089087</v>
      </c>
      <c r="N179" s="1">
        <f t="shared" si="33"/>
        <v>50</v>
      </c>
      <c r="O179" s="3">
        <f t="shared" si="34"/>
        <v>377103.66306997649</v>
      </c>
      <c r="P179" s="2">
        <f t="shared" si="35"/>
        <v>661.7630717997024</v>
      </c>
      <c r="Q179" s="2">
        <f t="shared" si="38"/>
        <v>17.85632844637837</v>
      </c>
      <c r="R179" s="2">
        <f t="shared" si="38"/>
        <v>1714.0233298154035</v>
      </c>
      <c r="S179" s="2">
        <f t="shared" si="36"/>
        <v>1480.027496382055</v>
      </c>
    </row>
    <row r="180" spans="2:19" x14ac:dyDescent="0.25">
      <c r="B180">
        <v>404</v>
      </c>
      <c r="C180" s="27">
        <v>8</v>
      </c>
      <c r="D180" s="39" t="s">
        <v>465</v>
      </c>
      <c r="E180" s="162">
        <f>INDEX('2018 Data Lockdown'!H$5:H$255, MATCH(B180,'2018 Data Lockdown'!B$5:B$255,0))</f>
        <v>471.43130890795055</v>
      </c>
      <c r="F180" s="7">
        <f>INDEX('2018 Data Lockdown'!E$5:E$255,MATCH(B180,'2018 Data Lockdown'!B$5:B$255,0))</f>
        <v>260768.05</v>
      </c>
      <c r="G180" s="7">
        <f>INDEX('2018 Data Lockdown'!F$5:F$255, MATCH(B180,'2018 Data Lockdown'!B$5:B$255,0))</f>
        <v>28484.19</v>
      </c>
      <c r="H180" s="7">
        <f t="shared" si="27"/>
        <v>232283.86</v>
      </c>
      <c r="I180" s="6">
        <f t="shared" si="28"/>
        <v>492.72047827725976</v>
      </c>
      <c r="J180" s="6">
        <f t="shared" si="29"/>
        <v>492.72047827725976</v>
      </c>
      <c r="K180" s="5">
        <f t="shared" si="30"/>
        <v>232283.86</v>
      </c>
      <c r="L180" s="4">
        <f t="shared" si="31"/>
        <v>0</v>
      </c>
      <c r="M180" s="2">
        <f t="shared" si="32"/>
        <v>865.93982913089087</v>
      </c>
      <c r="N180" s="1">
        <f t="shared" si="33"/>
        <v>50</v>
      </c>
      <c r="O180" s="3">
        <f t="shared" si="34"/>
        <v>139292.68385160581</v>
      </c>
      <c r="P180" s="2">
        <f t="shared" si="35"/>
        <v>661.7630717997024</v>
      </c>
      <c r="Q180" s="2">
        <f t="shared" si="38"/>
        <v>17.85632844637837</v>
      </c>
      <c r="R180" s="2">
        <f t="shared" si="38"/>
        <v>1714.0233298154035</v>
      </c>
      <c r="S180" s="2">
        <f t="shared" si="36"/>
        <v>492.72047827725976</v>
      </c>
    </row>
    <row r="181" spans="2:19" x14ac:dyDescent="0.25">
      <c r="B181">
        <v>413</v>
      </c>
      <c r="C181" s="27">
        <v>8</v>
      </c>
      <c r="D181" s="39" t="s">
        <v>466</v>
      </c>
      <c r="E181" s="162">
        <f>INDEX('2018 Data Lockdown'!H$5:H$255, MATCH(B181,'2018 Data Lockdown'!B$5:B$255,0))</f>
        <v>73.969999999999985</v>
      </c>
      <c r="F181" s="7">
        <f>INDEX('2018 Data Lockdown'!E$5:E$255,MATCH(B181,'2018 Data Lockdown'!B$5:B$255,0))</f>
        <v>59936.91</v>
      </c>
      <c r="G181" s="7">
        <f>INDEX('2018 Data Lockdown'!F$5:F$255, MATCH(B181,'2018 Data Lockdown'!B$5:B$255,0))</f>
        <v>95</v>
      </c>
      <c r="H181" s="7">
        <f t="shared" si="27"/>
        <v>59841.91</v>
      </c>
      <c r="I181" s="6">
        <f t="shared" si="28"/>
        <v>809.00243341895384</v>
      </c>
      <c r="J181" s="6">
        <f t="shared" si="29"/>
        <v>809.00243341895384</v>
      </c>
      <c r="K181" s="5">
        <f t="shared" si="30"/>
        <v>59841.91</v>
      </c>
      <c r="L181" s="4">
        <f t="shared" si="31"/>
        <v>0</v>
      </c>
      <c r="M181" s="2">
        <f t="shared" si="32"/>
        <v>865.93982913089087</v>
      </c>
      <c r="N181" s="1">
        <f t="shared" si="33"/>
        <v>50</v>
      </c>
      <c r="O181" s="3">
        <f t="shared" si="34"/>
        <v>3241.8670304577054</v>
      </c>
      <c r="P181" s="2">
        <f t="shared" si="35"/>
        <v>661.7630717997024</v>
      </c>
      <c r="Q181" s="2">
        <f t="shared" si="38"/>
        <v>17.85632844637837</v>
      </c>
      <c r="R181" s="2">
        <f t="shared" si="38"/>
        <v>1714.0233298154035</v>
      </c>
      <c r="S181" s="2">
        <f t="shared" si="36"/>
        <v>809.00243341895384</v>
      </c>
    </row>
    <row r="182" spans="2:19" x14ac:dyDescent="0.25">
      <c r="B182">
        <v>537</v>
      </c>
      <c r="C182" s="27">
        <v>8</v>
      </c>
      <c r="D182" s="39" t="s">
        <v>467</v>
      </c>
      <c r="E182" s="162">
        <f>INDEX('2018 Data Lockdown'!H$5:H$255, MATCH(B182,'2018 Data Lockdown'!B$5:B$255,0))</f>
        <v>21.43637439455869</v>
      </c>
      <c r="F182" s="7">
        <f>INDEX('2018 Data Lockdown'!E$5:E$255,MATCH(B182,'2018 Data Lockdown'!B$5:B$255,0))</f>
        <v>7779.28</v>
      </c>
      <c r="G182" s="7">
        <f>INDEX('2018 Data Lockdown'!F$5:F$255, MATCH(B182,'2018 Data Lockdown'!B$5:B$255,0))</f>
        <v>0</v>
      </c>
      <c r="H182" s="7">
        <f t="shared" si="27"/>
        <v>7779.28</v>
      </c>
      <c r="I182" s="6">
        <f t="shared" si="28"/>
        <v>362.90092050149377</v>
      </c>
      <c r="J182" s="6">
        <f t="shared" si="29"/>
        <v>362.90092050149377</v>
      </c>
      <c r="K182" s="5">
        <f t="shared" si="30"/>
        <v>7779.28</v>
      </c>
      <c r="L182" s="4">
        <f t="shared" si="31"/>
        <v>0</v>
      </c>
      <c r="M182" s="2">
        <f t="shared" si="32"/>
        <v>865.93982913089087</v>
      </c>
      <c r="N182" s="1">
        <f t="shared" si="33"/>
        <v>50</v>
      </c>
      <c r="O182" s="3">
        <f t="shared" si="34"/>
        <v>253048.14359505492</v>
      </c>
      <c r="P182" s="2">
        <f t="shared" si="35"/>
        <v>661.7630717997024</v>
      </c>
      <c r="Q182" s="2">
        <f t="shared" si="38"/>
        <v>17.85632844637837</v>
      </c>
      <c r="R182" s="2">
        <f t="shared" si="38"/>
        <v>1714.0233298154035</v>
      </c>
      <c r="S182" s="2">
        <f t="shared" si="36"/>
        <v>362.90092050149377</v>
      </c>
    </row>
    <row r="183" spans="2:19" x14ac:dyDescent="0.25">
      <c r="B183">
        <v>545</v>
      </c>
      <c r="C183" s="27">
        <v>8</v>
      </c>
      <c r="D183" s="39" t="s">
        <v>468</v>
      </c>
      <c r="E183" s="162">
        <f>INDEX('2018 Data Lockdown'!H$5:H$255, MATCH(B183,'2018 Data Lockdown'!B$5:B$255,0))</f>
        <v>14.770835019629734</v>
      </c>
      <c r="F183" s="7">
        <f>INDEX('2018 Data Lockdown'!E$5:E$255,MATCH(B183,'2018 Data Lockdown'!B$5:B$255,0))</f>
        <v>6792.3</v>
      </c>
      <c r="G183" s="7">
        <f>INDEX('2018 Data Lockdown'!F$5:F$255, MATCH(B183,'2018 Data Lockdown'!B$5:B$255,0))</f>
        <v>0</v>
      </c>
      <c r="H183" s="7">
        <f t="shared" si="27"/>
        <v>6792.3</v>
      </c>
      <c r="I183" s="6">
        <f t="shared" si="28"/>
        <v>459.84536358123006</v>
      </c>
      <c r="J183" s="6">
        <f t="shared" si="29"/>
        <v>459.84536358123006</v>
      </c>
      <c r="K183" s="5">
        <f t="shared" si="30"/>
        <v>6792.3</v>
      </c>
      <c r="L183" s="4">
        <f t="shared" si="31"/>
        <v>0</v>
      </c>
      <c r="M183" s="2">
        <f t="shared" si="32"/>
        <v>865.93982913089087</v>
      </c>
      <c r="N183" s="1">
        <f t="shared" si="33"/>
        <v>50</v>
      </c>
      <c r="O183" s="3">
        <f t="shared" si="34"/>
        <v>164912.71495006466</v>
      </c>
      <c r="P183" s="2">
        <f t="shared" si="35"/>
        <v>661.7630717997024</v>
      </c>
      <c r="Q183" s="2">
        <f t="shared" si="38"/>
        <v>17.85632844637837</v>
      </c>
      <c r="R183" s="2">
        <f t="shared" si="38"/>
        <v>1714.0233298154035</v>
      </c>
      <c r="S183" s="2">
        <f t="shared" si="36"/>
        <v>459.84536358123006</v>
      </c>
    </row>
    <row r="184" spans="2:19" x14ac:dyDescent="0.25">
      <c r="B184">
        <v>602</v>
      </c>
      <c r="C184" s="27">
        <v>8</v>
      </c>
      <c r="D184" s="39" t="s">
        <v>469</v>
      </c>
      <c r="E184" s="162">
        <f>INDEX('2018 Data Lockdown'!H$5:H$255, MATCH(B184,'2018 Data Lockdown'!B$5:B$255,0))</f>
        <v>12.767721505092435</v>
      </c>
      <c r="F184" s="7">
        <f>INDEX('2018 Data Lockdown'!E$5:E$255,MATCH(B184,'2018 Data Lockdown'!B$5:B$255,0))</f>
        <v>15846.15</v>
      </c>
      <c r="G184" s="7">
        <f>INDEX('2018 Data Lockdown'!F$5:F$255, MATCH(B184,'2018 Data Lockdown'!B$5:B$255,0))</f>
        <v>0</v>
      </c>
      <c r="H184" s="7">
        <f t="shared" si="27"/>
        <v>15846.15</v>
      </c>
      <c r="I184" s="6">
        <f t="shared" si="28"/>
        <v>1241.1102477195893</v>
      </c>
      <c r="J184" s="6">
        <f t="shared" si="29"/>
        <v>1241.1102477195893</v>
      </c>
      <c r="K184" s="5">
        <f t="shared" si="30"/>
        <v>15846.15</v>
      </c>
      <c r="L184" s="4">
        <f t="shared" si="31"/>
        <v>0</v>
      </c>
      <c r="M184" s="2">
        <f t="shared" si="32"/>
        <v>865.93982913089087</v>
      </c>
      <c r="N184" s="1">
        <f t="shared" si="33"/>
        <v>50</v>
      </c>
      <c r="O184" s="3">
        <f t="shared" si="34"/>
        <v>140752.84298401923</v>
      </c>
      <c r="P184" s="2">
        <f t="shared" si="35"/>
        <v>661.7630717997024</v>
      </c>
      <c r="Q184" s="2">
        <f t="shared" si="38"/>
        <v>17.85632844637837</v>
      </c>
      <c r="R184" s="2">
        <f t="shared" si="38"/>
        <v>1714.0233298154035</v>
      </c>
      <c r="S184" s="2">
        <f t="shared" si="36"/>
        <v>1241.1102477195893</v>
      </c>
    </row>
    <row r="185" spans="2:19" x14ac:dyDescent="0.25">
      <c r="B185">
        <v>605</v>
      </c>
      <c r="C185" s="44">
        <v>8</v>
      </c>
      <c r="D185" s="39" t="s">
        <v>470</v>
      </c>
      <c r="E185" s="162">
        <f>INDEX('2018 Data Lockdown'!H$5:H$255, MATCH(B185,'2018 Data Lockdown'!B$5:B$255,0))</f>
        <v>10.431092897352221</v>
      </c>
      <c r="F185" s="7">
        <f>INDEX('2018 Data Lockdown'!E$5:E$255,MATCH(B185,'2018 Data Lockdown'!B$5:B$255,0))</f>
        <v>7392.31</v>
      </c>
      <c r="G185" s="7">
        <f>INDEX('2018 Data Lockdown'!F$5:F$255, MATCH(B185,'2018 Data Lockdown'!B$5:B$255,0))</f>
        <v>0</v>
      </c>
      <c r="H185" s="7">
        <f t="shared" si="27"/>
        <v>7392.31</v>
      </c>
      <c r="I185" s="6">
        <f t="shared" si="28"/>
        <v>708.68029579876804</v>
      </c>
      <c r="J185" s="6">
        <f t="shared" si="29"/>
        <v>708.68029579876804</v>
      </c>
      <c r="K185" s="5">
        <f t="shared" si="30"/>
        <v>7392.31</v>
      </c>
      <c r="L185" s="4">
        <f t="shared" si="31"/>
        <v>0</v>
      </c>
      <c r="M185" s="2">
        <f t="shared" si="32"/>
        <v>865.93982913089087</v>
      </c>
      <c r="N185" s="1">
        <f t="shared" si="33"/>
        <v>50</v>
      </c>
      <c r="O185" s="3">
        <f t="shared" si="34"/>
        <v>24730.560823837051</v>
      </c>
      <c r="P185" s="2">
        <f t="shared" si="35"/>
        <v>661.7630717997024</v>
      </c>
      <c r="Q185" s="2">
        <f t="shared" si="38"/>
        <v>17.85632844637837</v>
      </c>
      <c r="R185" s="2">
        <f t="shared" si="38"/>
        <v>1714.0233298154035</v>
      </c>
      <c r="S185" s="2">
        <f t="shared" si="36"/>
        <v>708.68029579876804</v>
      </c>
    </row>
    <row r="186" spans="2:19" x14ac:dyDescent="0.25">
      <c r="B186">
        <v>607</v>
      </c>
      <c r="C186" s="27">
        <v>8</v>
      </c>
      <c r="D186" s="39" t="s">
        <v>471</v>
      </c>
      <c r="E186" s="162">
        <f>INDEX('2018 Data Lockdown'!H$5:H$255, MATCH(B186,'2018 Data Lockdown'!B$5:B$255,0))</f>
        <v>15.646639346028332</v>
      </c>
      <c r="F186" s="7">
        <f>INDEX('2018 Data Lockdown'!E$5:E$255,MATCH(B186,'2018 Data Lockdown'!B$5:B$255,0))</f>
        <v>11273.44</v>
      </c>
      <c r="G186" s="7">
        <f>INDEX('2018 Data Lockdown'!F$5:F$255, MATCH(B186,'2018 Data Lockdown'!B$5:B$255,0))</f>
        <v>0</v>
      </c>
      <c r="H186" s="7">
        <f t="shared" si="27"/>
        <v>11273.44</v>
      </c>
      <c r="I186" s="6">
        <f t="shared" si="28"/>
        <v>720.50232325841887</v>
      </c>
      <c r="J186" s="6">
        <f t="shared" si="29"/>
        <v>720.50232325841887</v>
      </c>
      <c r="K186" s="5">
        <f t="shared" si="30"/>
        <v>11273.44</v>
      </c>
      <c r="L186" s="4">
        <f t="shared" si="31"/>
        <v>0</v>
      </c>
      <c r="M186" s="2">
        <f t="shared" si="32"/>
        <v>865.93982913089087</v>
      </c>
      <c r="N186" s="1">
        <f t="shared" si="33"/>
        <v>50</v>
      </c>
      <c r="O186" s="3">
        <f t="shared" si="34"/>
        <v>21152.068114405327</v>
      </c>
      <c r="P186" s="2">
        <f t="shared" si="35"/>
        <v>661.7630717997024</v>
      </c>
      <c r="Q186" s="2">
        <f t="shared" ref="Q186:R205" si="39">NORMINV(Q$4,$M186,$P186)</f>
        <v>17.85632844637837</v>
      </c>
      <c r="R186" s="2">
        <f t="shared" si="39"/>
        <v>1714.0233298154035</v>
      </c>
      <c r="S186" s="2">
        <f t="shared" si="36"/>
        <v>720.50232325841887</v>
      </c>
    </row>
    <row r="187" spans="2:19" x14ac:dyDescent="0.25">
      <c r="B187">
        <v>610</v>
      </c>
      <c r="C187" s="27">
        <v>8</v>
      </c>
      <c r="D187" s="39" t="s">
        <v>472</v>
      </c>
      <c r="E187" s="162">
        <f>INDEX('2018 Data Lockdown'!H$5:H$255, MATCH(B187,'2018 Data Lockdown'!B$5:B$255,0))</f>
        <v>73.259013247540878</v>
      </c>
      <c r="F187" s="7">
        <f>INDEX('2018 Data Lockdown'!E$5:E$255,MATCH(B187,'2018 Data Lockdown'!B$5:B$255,0))</f>
        <v>31778.68</v>
      </c>
      <c r="G187" s="7">
        <f>INDEX('2018 Data Lockdown'!F$5:F$255, MATCH(B187,'2018 Data Lockdown'!B$5:B$255,0))</f>
        <v>0</v>
      </c>
      <c r="H187" s="7">
        <f t="shared" si="27"/>
        <v>31778.68</v>
      </c>
      <c r="I187" s="6">
        <f t="shared" si="28"/>
        <v>433.78525851311178</v>
      </c>
      <c r="J187" s="6">
        <f t="shared" si="29"/>
        <v>433.78525851311178</v>
      </c>
      <c r="K187" s="5">
        <f t="shared" si="30"/>
        <v>31778.68</v>
      </c>
      <c r="L187" s="4">
        <f t="shared" si="31"/>
        <v>0</v>
      </c>
      <c r="M187" s="2">
        <f t="shared" si="32"/>
        <v>865.93982913089087</v>
      </c>
      <c r="N187" s="1">
        <f t="shared" si="33"/>
        <v>50</v>
      </c>
      <c r="O187" s="3">
        <f t="shared" si="34"/>
        <v>186757.57290583701</v>
      </c>
      <c r="P187" s="2">
        <f t="shared" si="35"/>
        <v>661.7630717997024</v>
      </c>
      <c r="Q187" s="2">
        <f t="shared" si="39"/>
        <v>17.85632844637837</v>
      </c>
      <c r="R187" s="2">
        <f t="shared" si="39"/>
        <v>1714.0233298154035</v>
      </c>
      <c r="S187" s="2">
        <f t="shared" si="36"/>
        <v>433.78525851311178</v>
      </c>
    </row>
    <row r="188" spans="2:19" x14ac:dyDescent="0.25">
      <c r="B188">
        <v>611</v>
      </c>
      <c r="C188" s="27">
        <v>8</v>
      </c>
      <c r="D188" s="39" t="s">
        <v>473</v>
      </c>
      <c r="E188" s="162">
        <f>INDEX('2018 Data Lockdown'!H$5:H$255, MATCH(B188,'2018 Data Lockdown'!B$5:B$255,0))</f>
        <v>19.550165032086241</v>
      </c>
      <c r="F188" s="7">
        <f>INDEX('2018 Data Lockdown'!E$5:E$255,MATCH(B188,'2018 Data Lockdown'!B$5:B$255,0))</f>
        <v>31143.71</v>
      </c>
      <c r="G188" s="7">
        <f>INDEX('2018 Data Lockdown'!F$5:F$255, MATCH(B188,'2018 Data Lockdown'!B$5:B$255,0))</f>
        <v>0</v>
      </c>
      <c r="H188" s="7">
        <f t="shared" si="27"/>
        <v>31143.71</v>
      </c>
      <c r="I188" s="6">
        <f t="shared" si="28"/>
        <v>1593.0151970014642</v>
      </c>
      <c r="J188" s="6">
        <f t="shared" si="29"/>
        <v>1593.0151970014642</v>
      </c>
      <c r="K188" s="5">
        <f t="shared" si="30"/>
        <v>31143.71</v>
      </c>
      <c r="L188" s="4">
        <f t="shared" si="31"/>
        <v>0</v>
      </c>
      <c r="M188" s="2">
        <f t="shared" si="32"/>
        <v>865.93982913089087</v>
      </c>
      <c r="N188" s="1">
        <f t="shared" si="33"/>
        <v>50</v>
      </c>
      <c r="O188" s="3">
        <f t="shared" si="34"/>
        <v>528638.59056412952</v>
      </c>
      <c r="P188" s="2">
        <f t="shared" si="35"/>
        <v>661.7630717997024</v>
      </c>
      <c r="Q188" s="2">
        <f t="shared" si="39"/>
        <v>17.85632844637837</v>
      </c>
      <c r="R188" s="2">
        <f t="shared" si="39"/>
        <v>1714.0233298154035</v>
      </c>
      <c r="S188" s="2">
        <f t="shared" si="36"/>
        <v>1593.0151970014642</v>
      </c>
    </row>
    <row r="189" spans="2:19" x14ac:dyDescent="0.25">
      <c r="B189">
        <v>616</v>
      </c>
      <c r="C189" s="27">
        <v>8</v>
      </c>
      <c r="D189" s="39" t="s">
        <v>474</v>
      </c>
      <c r="E189" s="162">
        <f>INDEX('2018 Data Lockdown'!H$5:H$255, MATCH(B189,'2018 Data Lockdown'!B$5:B$255,0))</f>
        <v>186.85</v>
      </c>
      <c r="F189" s="7">
        <f>INDEX('2018 Data Lockdown'!E$5:E$255,MATCH(B189,'2018 Data Lockdown'!B$5:B$255,0))</f>
        <v>256312.37</v>
      </c>
      <c r="G189" s="7">
        <f>INDEX('2018 Data Lockdown'!F$5:F$255, MATCH(B189,'2018 Data Lockdown'!B$5:B$255,0))</f>
        <v>0</v>
      </c>
      <c r="H189" s="7">
        <f t="shared" si="27"/>
        <v>256312.37</v>
      </c>
      <c r="I189" s="6">
        <f t="shared" si="28"/>
        <v>1371.7547230398716</v>
      </c>
      <c r="J189" s="6">
        <f t="shared" si="29"/>
        <v>1371.7547230398716</v>
      </c>
      <c r="K189" s="5">
        <f t="shared" si="30"/>
        <v>256312.37</v>
      </c>
      <c r="L189" s="4">
        <f t="shared" si="31"/>
        <v>0</v>
      </c>
      <c r="M189" s="2">
        <f t="shared" si="32"/>
        <v>865.93982913089087</v>
      </c>
      <c r="N189" s="1">
        <f t="shared" si="33"/>
        <v>50</v>
      </c>
      <c r="O189" s="3">
        <f t="shared" si="34"/>
        <v>255848.7069001534</v>
      </c>
      <c r="P189" s="2">
        <f t="shared" si="35"/>
        <v>661.7630717997024</v>
      </c>
      <c r="Q189" s="2">
        <f t="shared" si="39"/>
        <v>17.85632844637837</v>
      </c>
      <c r="R189" s="2">
        <f t="shared" si="39"/>
        <v>1714.0233298154035</v>
      </c>
      <c r="S189" s="2">
        <f t="shared" si="36"/>
        <v>1371.7547230398716</v>
      </c>
    </row>
    <row r="190" spans="2:19" x14ac:dyDescent="0.25">
      <c r="B190">
        <v>637</v>
      </c>
      <c r="C190" s="27">
        <v>8</v>
      </c>
      <c r="D190" s="39" t="s">
        <v>559</v>
      </c>
      <c r="E190" s="162">
        <f>INDEX('2018 Data Lockdown'!H$5:H$255, MATCH(B190,'2018 Data Lockdown'!B$5:B$255,0))</f>
        <v>2.2728298744230755</v>
      </c>
      <c r="F190" s="7">
        <f>INDEX('2018 Data Lockdown'!E$5:E$255,MATCH(B190,'2018 Data Lockdown'!B$5:B$255,0))</f>
        <v>7158.52</v>
      </c>
      <c r="G190" s="7">
        <f>INDEX('2018 Data Lockdown'!F$5:F$255, MATCH(B190,'2018 Data Lockdown'!B$5:B$255,0))</f>
        <v>0</v>
      </c>
      <c r="H190" s="7">
        <f t="shared" si="27"/>
        <v>7158.52</v>
      </c>
      <c r="I190" s="6">
        <f t="shared" si="28"/>
        <v>3149.6066118090275</v>
      </c>
      <c r="J190" s="6">
        <f t="shared" si="29"/>
        <v>1714.0233298154035</v>
      </c>
      <c r="K190" s="5">
        <f t="shared" si="30"/>
        <v>3895.6834294625651</v>
      </c>
      <c r="L190" s="4">
        <f t="shared" si="31"/>
        <v>0</v>
      </c>
      <c r="M190" s="2">
        <f t="shared" si="32"/>
        <v>865.93982913089087</v>
      </c>
      <c r="N190" s="1">
        <f t="shared" si="33"/>
        <v>50</v>
      </c>
      <c r="O190" s="3">
        <f t="shared" si="34"/>
        <v>5215133.9743075119</v>
      </c>
      <c r="P190" s="2">
        <f t="shared" si="35"/>
        <v>661.7630717997024</v>
      </c>
      <c r="Q190" s="2">
        <f t="shared" si="39"/>
        <v>17.85632844637837</v>
      </c>
      <c r="R190" s="2">
        <f t="shared" si="39"/>
        <v>1714.0233298154035</v>
      </c>
      <c r="S190" s="2">
        <f t="shared" si="36"/>
        <v>1714.0233298154035</v>
      </c>
    </row>
    <row r="191" spans="2:19" x14ac:dyDescent="0.25">
      <c r="B191">
        <v>638</v>
      </c>
      <c r="C191" s="27">
        <v>8</v>
      </c>
      <c r="D191" s="39" t="s">
        <v>560</v>
      </c>
      <c r="E191" s="162">
        <f>INDEX('2018 Data Lockdown'!H$5:H$255, MATCH(B191,'2018 Data Lockdown'!B$5:B$255,0))</f>
        <v>10.470967105675433</v>
      </c>
      <c r="F191" s="7">
        <f>INDEX('2018 Data Lockdown'!E$5:E$255,MATCH(B191,'2018 Data Lockdown'!B$5:B$255,0))</f>
        <v>20375.98</v>
      </c>
      <c r="G191" s="7">
        <f>INDEX('2018 Data Lockdown'!F$5:F$255, MATCH(B191,'2018 Data Lockdown'!B$5:B$255,0))</f>
        <v>0</v>
      </c>
      <c r="H191" s="7">
        <f t="shared" si="27"/>
        <v>20375.98</v>
      </c>
      <c r="I191" s="6">
        <f t="shared" si="28"/>
        <v>1945.9501490512648</v>
      </c>
      <c r="J191" s="6">
        <f t="shared" si="29"/>
        <v>1714.0233298154035</v>
      </c>
      <c r="K191" s="5">
        <f t="shared" si="30"/>
        <v>17947.481904857363</v>
      </c>
      <c r="L191" s="4">
        <f t="shared" si="31"/>
        <v>0</v>
      </c>
      <c r="M191" s="2">
        <f t="shared" si="32"/>
        <v>865.93982913089087</v>
      </c>
      <c r="N191" s="1">
        <f t="shared" si="33"/>
        <v>50</v>
      </c>
      <c r="O191" s="3">
        <f t="shared" si="34"/>
        <v>1166422.2911345088</v>
      </c>
      <c r="P191" s="2">
        <f t="shared" si="35"/>
        <v>661.7630717997024</v>
      </c>
      <c r="Q191" s="2">
        <f t="shared" si="39"/>
        <v>17.85632844637837</v>
      </c>
      <c r="R191" s="2">
        <f t="shared" si="39"/>
        <v>1714.0233298154035</v>
      </c>
      <c r="S191" s="2">
        <f t="shared" si="36"/>
        <v>1714.0233298154035</v>
      </c>
    </row>
    <row r="192" spans="2:19" x14ac:dyDescent="0.25">
      <c r="B192">
        <v>639</v>
      </c>
      <c r="C192" s="27">
        <v>8</v>
      </c>
      <c r="D192" s="39" t="s">
        <v>561</v>
      </c>
      <c r="E192" s="162">
        <f>INDEX('2018 Data Lockdown'!H$5:H$255, MATCH(B192,'2018 Data Lockdown'!B$5:B$255,0))</f>
        <v>21.173204619625494</v>
      </c>
      <c r="F192" s="7">
        <f>INDEX('2018 Data Lockdown'!E$5:E$255,MATCH(B192,'2018 Data Lockdown'!B$5:B$255,0))</f>
        <v>17243.23</v>
      </c>
      <c r="G192" s="7">
        <f>INDEX('2018 Data Lockdown'!F$5:F$255, MATCH(B192,'2018 Data Lockdown'!B$5:B$255,0))</f>
        <v>0</v>
      </c>
      <c r="H192" s="7">
        <f t="shared" si="27"/>
        <v>17243.23</v>
      </c>
      <c r="I192" s="6">
        <f t="shared" si="28"/>
        <v>814.3892391243038</v>
      </c>
      <c r="J192" s="6">
        <f t="shared" si="29"/>
        <v>814.3892391243038</v>
      </c>
      <c r="K192" s="5">
        <f t="shared" si="30"/>
        <v>17243.23</v>
      </c>
      <c r="L192" s="4">
        <f t="shared" si="31"/>
        <v>0</v>
      </c>
      <c r="M192" s="2">
        <f t="shared" si="32"/>
        <v>865.93982913089087</v>
      </c>
      <c r="N192" s="1">
        <f t="shared" si="33"/>
        <v>50</v>
      </c>
      <c r="O192" s="3">
        <f t="shared" si="34"/>
        <v>2657.4633300272349</v>
      </c>
      <c r="P192" s="2">
        <f t="shared" si="35"/>
        <v>661.7630717997024</v>
      </c>
      <c r="Q192" s="2">
        <f t="shared" si="39"/>
        <v>17.85632844637837</v>
      </c>
      <c r="R192" s="2">
        <f t="shared" si="39"/>
        <v>1714.0233298154035</v>
      </c>
      <c r="S192" s="2">
        <f t="shared" si="36"/>
        <v>814.3892391243038</v>
      </c>
    </row>
    <row r="193" spans="2:19" x14ac:dyDescent="0.25">
      <c r="B193">
        <v>709</v>
      </c>
      <c r="C193" s="27">
        <v>8</v>
      </c>
      <c r="D193" s="39" t="s">
        <v>477</v>
      </c>
      <c r="E193" s="162">
        <f>INDEX('2018 Data Lockdown'!H$5:H$255, MATCH(B193,'2018 Data Lockdown'!B$5:B$255,0))</f>
        <v>74.93628755379919</v>
      </c>
      <c r="F193" s="7">
        <f>INDEX('2018 Data Lockdown'!E$5:E$255,MATCH(B193,'2018 Data Lockdown'!B$5:B$255,0))</f>
        <v>45634.17</v>
      </c>
      <c r="G193" s="7">
        <f>INDEX('2018 Data Lockdown'!F$5:F$255, MATCH(B193,'2018 Data Lockdown'!B$5:B$255,0))</f>
        <v>0</v>
      </c>
      <c r="H193" s="7">
        <f t="shared" si="27"/>
        <v>45634.17</v>
      </c>
      <c r="I193" s="6">
        <f t="shared" si="28"/>
        <v>608.97292206046029</v>
      </c>
      <c r="J193" s="6">
        <f t="shared" si="29"/>
        <v>608.97292206046029</v>
      </c>
      <c r="K193" s="5">
        <f t="shared" si="30"/>
        <v>45634.169999999991</v>
      </c>
      <c r="L193" s="4">
        <f t="shared" si="31"/>
        <v>0</v>
      </c>
      <c r="M193" s="2">
        <f t="shared" si="32"/>
        <v>865.93982913089087</v>
      </c>
      <c r="N193" s="1">
        <f t="shared" si="33"/>
        <v>50</v>
      </c>
      <c r="O193" s="3">
        <f t="shared" si="34"/>
        <v>66031.991329343306</v>
      </c>
      <c r="P193" s="2">
        <f t="shared" si="35"/>
        <v>661.7630717997024</v>
      </c>
      <c r="Q193" s="2">
        <f t="shared" si="39"/>
        <v>17.85632844637837</v>
      </c>
      <c r="R193" s="2">
        <f t="shared" si="39"/>
        <v>1714.0233298154035</v>
      </c>
      <c r="S193" s="2">
        <f t="shared" si="36"/>
        <v>608.97292206046029</v>
      </c>
    </row>
    <row r="194" spans="2:19" x14ac:dyDescent="0.25">
      <c r="B194">
        <v>714</v>
      </c>
      <c r="C194" s="27">
        <v>8</v>
      </c>
      <c r="D194" s="39" t="s">
        <v>478</v>
      </c>
      <c r="E194" s="162">
        <f>INDEX('2018 Data Lockdown'!H$5:H$255, MATCH(B194,'2018 Data Lockdown'!B$5:B$255,0))</f>
        <v>57.802840339332469</v>
      </c>
      <c r="F194" s="7">
        <f>INDEX('2018 Data Lockdown'!E$5:E$255,MATCH(B194,'2018 Data Lockdown'!B$5:B$255,0))</f>
        <v>49120.9</v>
      </c>
      <c r="G194" s="7">
        <f>INDEX('2018 Data Lockdown'!F$5:F$255, MATCH(B194,'2018 Data Lockdown'!B$5:B$255,0))</f>
        <v>0</v>
      </c>
      <c r="H194" s="7">
        <f t="shared" si="27"/>
        <v>49120.9</v>
      </c>
      <c r="I194" s="6">
        <f t="shared" si="28"/>
        <v>849.80080064638685</v>
      </c>
      <c r="J194" s="6">
        <f t="shared" si="29"/>
        <v>849.80080064638685</v>
      </c>
      <c r="K194" s="5">
        <f t="shared" si="30"/>
        <v>49120.9</v>
      </c>
      <c r="L194" s="4">
        <f t="shared" si="31"/>
        <v>0</v>
      </c>
      <c r="M194" s="2">
        <f t="shared" si="32"/>
        <v>865.93982913089087</v>
      </c>
      <c r="N194" s="1">
        <f t="shared" si="33"/>
        <v>50</v>
      </c>
      <c r="O194" s="3">
        <f t="shared" si="34"/>
        <v>260.46824042363227</v>
      </c>
      <c r="P194" s="2">
        <f t="shared" si="35"/>
        <v>661.7630717997024</v>
      </c>
      <c r="Q194" s="2">
        <f t="shared" si="39"/>
        <v>17.85632844637837</v>
      </c>
      <c r="R194" s="2">
        <f t="shared" si="39"/>
        <v>1714.0233298154035</v>
      </c>
      <c r="S194" s="2">
        <f t="shared" si="36"/>
        <v>849.80080064638685</v>
      </c>
    </row>
    <row r="195" spans="2:19" x14ac:dyDescent="0.25">
      <c r="B195">
        <v>749</v>
      </c>
      <c r="C195" s="44">
        <v>8</v>
      </c>
      <c r="D195" s="39" t="s">
        <v>479</v>
      </c>
      <c r="E195" s="162">
        <f>INDEX('2018 Data Lockdown'!H$5:H$255, MATCH(B195,'2018 Data Lockdown'!B$5:B$255,0))</f>
        <v>22.43579824715432</v>
      </c>
      <c r="F195" s="7">
        <f>INDEX('2018 Data Lockdown'!E$5:E$255,MATCH(B195,'2018 Data Lockdown'!B$5:B$255,0))</f>
        <v>4850.01</v>
      </c>
      <c r="G195" s="7">
        <f>INDEX('2018 Data Lockdown'!F$5:F$255, MATCH(B195,'2018 Data Lockdown'!B$5:B$255,0))</f>
        <v>0</v>
      </c>
      <c r="H195" s="7">
        <f t="shared" si="27"/>
        <v>4850.01</v>
      </c>
      <c r="I195" s="6">
        <f t="shared" si="28"/>
        <v>216.1728299823323</v>
      </c>
      <c r="J195" s="6">
        <f t="shared" si="29"/>
        <v>216.1728299823323</v>
      </c>
      <c r="K195" s="5">
        <f t="shared" si="30"/>
        <v>4850.01</v>
      </c>
      <c r="L195" s="4">
        <f t="shared" si="31"/>
        <v>0</v>
      </c>
      <c r="M195" s="2">
        <f t="shared" si="32"/>
        <v>865.93982913089087</v>
      </c>
      <c r="N195" s="1">
        <f t="shared" si="33"/>
        <v>50</v>
      </c>
      <c r="O195" s="3">
        <f t="shared" si="34"/>
        <v>422197.15318252298</v>
      </c>
      <c r="P195" s="2">
        <f t="shared" si="35"/>
        <v>661.7630717997024</v>
      </c>
      <c r="Q195" s="2">
        <f t="shared" si="39"/>
        <v>17.85632844637837</v>
      </c>
      <c r="R195" s="2">
        <f t="shared" si="39"/>
        <v>1714.0233298154035</v>
      </c>
      <c r="S195" s="2">
        <f t="shared" si="36"/>
        <v>216.1728299823323</v>
      </c>
    </row>
    <row r="196" spans="2:19" x14ac:dyDescent="0.25">
      <c r="B196" s="17">
        <v>764</v>
      </c>
      <c r="C196" s="27">
        <v>8</v>
      </c>
      <c r="D196" s="39" t="s">
        <v>480</v>
      </c>
      <c r="E196" s="162">
        <f>INDEX('2018 Data Lockdown'!H$5:H$255, MATCH(B196,'2018 Data Lockdown'!B$5:B$255,0))</f>
        <v>34.6</v>
      </c>
      <c r="F196" s="7">
        <f>INDEX('2018 Data Lockdown'!E$5:E$255,MATCH(B196,'2018 Data Lockdown'!B$5:B$255,0))</f>
        <v>12986.28</v>
      </c>
      <c r="G196" s="7">
        <f>INDEX('2018 Data Lockdown'!F$5:F$255, MATCH(B196,'2018 Data Lockdown'!B$5:B$255,0))</f>
        <v>0</v>
      </c>
      <c r="H196" s="7">
        <f t="shared" si="27"/>
        <v>12986.28</v>
      </c>
      <c r="I196" s="6">
        <f t="shared" si="28"/>
        <v>375.32601156069364</v>
      </c>
      <c r="J196" s="6">
        <f t="shared" si="29"/>
        <v>375.32601156069364</v>
      </c>
      <c r="K196" s="5">
        <f t="shared" si="30"/>
        <v>12986.28</v>
      </c>
      <c r="L196" s="4">
        <f t="shared" si="31"/>
        <v>0</v>
      </c>
      <c r="M196" s="2">
        <f t="shared" si="32"/>
        <v>865.93982913089087</v>
      </c>
      <c r="N196" s="1">
        <f t="shared" si="33"/>
        <v>50</v>
      </c>
      <c r="O196" s="3">
        <f t="shared" si="34"/>
        <v>240701.91799080276</v>
      </c>
      <c r="P196" s="2">
        <f t="shared" si="35"/>
        <v>661.7630717997024</v>
      </c>
      <c r="Q196" s="2">
        <f t="shared" si="39"/>
        <v>17.85632844637837</v>
      </c>
      <c r="R196" s="2">
        <f t="shared" si="39"/>
        <v>1714.0233298154035</v>
      </c>
      <c r="S196" s="2">
        <f t="shared" si="36"/>
        <v>375.32601156069364</v>
      </c>
    </row>
    <row r="197" spans="2:19" x14ac:dyDescent="0.25">
      <c r="B197">
        <v>775</v>
      </c>
      <c r="C197" s="27">
        <v>8</v>
      </c>
      <c r="D197" s="39" t="s">
        <v>481</v>
      </c>
      <c r="E197" s="162">
        <f>INDEX('2018 Data Lockdown'!H$5:H$255, MATCH(B197,'2018 Data Lockdown'!B$5:B$255,0))</f>
        <v>125.81110210139802</v>
      </c>
      <c r="F197" s="7">
        <f>INDEX('2018 Data Lockdown'!E$5:E$255,MATCH(B197,'2018 Data Lockdown'!B$5:B$255,0))</f>
        <v>62319.01</v>
      </c>
      <c r="G197" s="7">
        <f>INDEX('2018 Data Lockdown'!F$5:F$255, MATCH(B197,'2018 Data Lockdown'!B$5:B$255,0))</f>
        <v>0</v>
      </c>
      <c r="H197" s="7">
        <f t="shared" si="27"/>
        <v>62319.01</v>
      </c>
      <c r="I197" s="6">
        <f t="shared" si="28"/>
        <v>495.33792295829119</v>
      </c>
      <c r="J197" s="6">
        <f t="shared" si="29"/>
        <v>495.33792295829119</v>
      </c>
      <c r="K197" s="5">
        <f t="shared" si="30"/>
        <v>62319.01</v>
      </c>
      <c r="L197" s="4">
        <f t="shared" si="31"/>
        <v>0</v>
      </c>
      <c r="M197" s="2">
        <f t="shared" si="32"/>
        <v>865.93982913089087</v>
      </c>
      <c r="N197" s="1">
        <f t="shared" si="33"/>
        <v>50</v>
      </c>
      <c r="O197" s="3">
        <f t="shared" si="34"/>
        <v>137345.77285876437</v>
      </c>
      <c r="P197" s="2">
        <f t="shared" si="35"/>
        <v>661.7630717997024</v>
      </c>
      <c r="Q197" s="2">
        <f t="shared" si="39"/>
        <v>17.85632844637837</v>
      </c>
      <c r="R197" s="2">
        <f t="shared" si="39"/>
        <v>1714.0233298154035</v>
      </c>
      <c r="S197" s="2">
        <f t="shared" si="36"/>
        <v>495.33792295829119</v>
      </c>
    </row>
    <row r="198" spans="2:19" x14ac:dyDescent="0.25">
      <c r="B198">
        <v>790</v>
      </c>
      <c r="C198" s="27">
        <v>8</v>
      </c>
      <c r="D198" s="39" t="s">
        <v>482</v>
      </c>
      <c r="E198" s="162">
        <f>INDEX('2018 Data Lockdown'!H$5:H$255, MATCH(B198,'2018 Data Lockdown'!B$5:B$255,0))</f>
        <v>21.43637439455869</v>
      </c>
      <c r="F198" s="7">
        <f>INDEX('2018 Data Lockdown'!E$5:E$255,MATCH(B198,'2018 Data Lockdown'!B$5:B$255,0))</f>
        <v>7906.08</v>
      </c>
      <c r="G198" s="7">
        <f>INDEX('2018 Data Lockdown'!F$5:F$255, MATCH(B198,'2018 Data Lockdown'!B$5:B$255,0))</f>
        <v>0</v>
      </c>
      <c r="H198" s="7">
        <f t="shared" ref="H198:H254" si="40">F198-G198</f>
        <v>7906.08</v>
      </c>
      <c r="I198" s="6">
        <f t="shared" ref="I198:I254" si="41">H198/E198</f>
        <v>368.81609989079323</v>
      </c>
      <c r="J198" s="6">
        <f t="shared" ref="J198:J254" si="42">IF(ISERROR(IF($J$2=1,MAX(MIN(I198,R198),Q198),MIN(I198,R198))),R198,IF($J$2=1,MAX(MIN(I198,R198),Q198),MIN(I198,R198)))</f>
        <v>368.81609989079323</v>
      </c>
      <c r="K198" s="5">
        <f t="shared" ref="K198:K254" si="43">J198*E198</f>
        <v>7906.08</v>
      </c>
      <c r="L198" s="4">
        <f t="shared" ref="L198:L254" si="44">IF(ISERROR(I198),1,0)</f>
        <v>0</v>
      </c>
      <c r="M198" s="2">
        <f t="shared" ref="M198:M254" si="45">SUMPRODUCT(--($L$6:$L$297&lt;&gt;1),--($C$6:$C$297=$C198),$H$6:$H$297)/SUMPRODUCT(--($L$6:$L$297&lt;&gt;1),--($C$6:$C$297=$C198),$E$6:$E$297)</f>
        <v>865.93982913089087</v>
      </c>
      <c r="N198" s="1">
        <f t="shared" ref="N198:N254" si="46">SUMPRODUCT(--($L$6:$L$297&lt;&gt;1),--($C$6:$C$297=$C198),--($L$6:$L$297&lt;&gt;1))</f>
        <v>50</v>
      </c>
      <c r="O198" s="3">
        <f t="shared" ref="O198:O254" si="47">IF(ISERROR((I198-M198)^2),0,(I198-M198)^2)</f>
        <v>247132.00217358192</v>
      </c>
      <c r="P198" s="2">
        <f t="shared" ref="P198:P254" si="48">SQRT(SUMPRODUCT(--($L$6:$L$297&lt;&gt;1),--($C$6:$C$297=$C198),$E$6:$E$297,$O$6:$O$297)/((N198-1)*SUMPRODUCT(--($L$6:$L$297&lt;&gt;1),--($C$6:$C$297=$C198),$E$6:$E$297)/N198))</f>
        <v>661.7630717997024</v>
      </c>
      <c r="Q198" s="2">
        <f t="shared" si="39"/>
        <v>17.85632844637837</v>
      </c>
      <c r="R198" s="2">
        <f t="shared" si="39"/>
        <v>1714.0233298154035</v>
      </c>
      <c r="S198" s="2">
        <f t="shared" ref="S198:S254" si="49">IF($J$2=1,MAX(MIN(I198,R198),Q198),MIN(R198,I198))</f>
        <v>368.81609989079323</v>
      </c>
    </row>
    <row r="199" spans="2:19" x14ac:dyDescent="0.25">
      <c r="B199">
        <v>795</v>
      </c>
      <c r="C199" s="27">
        <v>8</v>
      </c>
      <c r="D199" s="39" t="s">
        <v>562</v>
      </c>
      <c r="E199" s="162">
        <f>INDEX('2018 Data Lockdown'!H$5:H$255, MATCH(B199,'2018 Data Lockdown'!B$5:B$255,0))</f>
        <v>330.20629396618199</v>
      </c>
      <c r="F199" s="7">
        <f>INDEX('2018 Data Lockdown'!E$5:E$255,MATCH(B199,'2018 Data Lockdown'!B$5:B$255,0))</f>
        <v>328034.84000000003</v>
      </c>
      <c r="G199" s="7">
        <f>INDEX('2018 Data Lockdown'!F$5:F$255, MATCH(B199,'2018 Data Lockdown'!B$5:B$255,0))</f>
        <v>121984.66</v>
      </c>
      <c r="H199" s="7">
        <f t="shared" si="40"/>
        <v>206050.18000000002</v>
      </c>
      <c r="I199" s="6">
        <f t="shared" si="41"/>
        <v>624.00439896249407</v>
      </c>
      <c r="J199" s="6">
        <f t="shared" si="42"/>
        <v>624.00439896249407</v>
      </c>
      <c r="K199" s="5">
        <f t="shared" si="43"/>
        <v>206050.18000000002</v>
      </c>
      <c r="L199" s="4">
        <f t="shared" si="44"/>
        <v>0</v>
      </c>
      <c r="M199" s="2">
        <f t="shared" si="45"/>
        <v>865.93982913089087</v>
      </c>
      <c r="N199" s="1">
        <f t="shared" si="46"/>
        <v>50</v>
      </c>
      <c r="O199" s="3">
        <f t="shared" si="47"/>
        <v>58532.752370767208</v>
      </c>
      <c r="P199" s="2">
        <f t="shared" si="48"/>
        <v>661.7630717997024</v>
      </c>
      <c r="Q199" s="2">
        <f t="shared" si="39"/>
        <v>17.85632844637837</v>
      </c>
      <c r="R199" s="2">
        <f t="shared" si="39"/>
        <v>1714.0233298154035</v>
      </c>
      <c r="S199" s="2">
        <f t="shared" si="49"/>
        <v>624.00439896249407</v>
      </c>
    </row>
    <row r="200" spans="2:19" x14ac:dyDescent="0.25">
      <c r="B200">
        <v>796</v>
      </c>
      <c r="C200" s="27">
        <v>8</v>
      </c>
      <c r="D200" s="39" t="s">
        <v>483</v>
      </c>
      <c r="E200" s="162">
        <f>INDEX('2018 Data Lockdown'!H$5:H$255, MATCH(B200,'2018 Data Lockdown'!B$5:B$255,0))</f>
        <v>23.924524993927111</v>
      </c>
      <c r="F200" s="7">
        <f>INDEX('2018 Data Lockdown'!E$5:E$255,MATCH(B200,'2018 Data Lockdown'!B$5:B$255,0))</f>
        <v>19423.14</v>
      </c>
      <c r="G200" s="7">
        <f>INDEX('2018 Data Lockdown'!F$5:F$255, MATCH(B200,'2018 Data Lockdown'!B$5:B$255,0))</f>
        <v>0</v>
      </c>
      <c r="H200" s="7">
        <f t="shared" si="40"/>
        <v>19423.14</v>
      </c>
      <c r="I200" s="6">
        <f t="shared" si="41"/>
        <v>811.85060121069398</v>
      </c>
      <c r="J200" s="6">
        <f t="shared" si="42"/>
        <v>811.85060121069398</v>
      </c>
      <c r="K200" s="5">
        <f t="shared" si="43"/>
        <v>19423.14</v>
      </c>
      <c r="L200" s="4">
        <f t="shared" si="44"/>
        <v>0</v>
      </c>
      <c r="M200" s="2">
        <f t="shared" si="45"/>
        <v>865.93982913089087</v>
      </c>
      <c r="N200" s="1">
        <f t="shared" si="46"/>
        <v>50</v>
      </c>
      <c r="O200" s="3">
        <f t="shared" si="47"/>
        <v>2925.6445770030068</v>
      </c>
      <c r="P200" s="2">
        <f t="shared" si="48"/>
        <v>661.7630717997024</v>
      </c>
      <c r="Q200" s="2">
        <f t="shared" si="39"/>
        <v>17.85632844637837</v>
      </c>
      <c r="R200" s="2">
        <f t="shared" si="39"/>
        <v>1714.0233298154035</v>
      </c>
      <c r="S200" s="2">
        <f t="shared" si="49"/>
        <v>811.85060121069398</v>
      </c>
    </row>
    <row r="201" spans="2:19" x14ac:dyDescent="0.25">
      <c r="B201">
        <v>797</v>
      </c>
      <c r="C201" s="27">
        <v>8</v>
      </c>
      <c r="D201" s="39" t="s">
        <v>484</v>
      </c>
      <c r="E201" s="162">
        <f>INDEX('2018 Data Lockdown'!H$5:H$255, MATCH(B201,'2018 Data Lockdown'!B$5:B$255,0))</f>
        <v>27.819307714015707</v>
      </c>
      <c r="F201" s="7">
        <f>INDEX('2018 Data Lockdown'!E$5:E$255,MATCH(B201,'2018 Data Lockdown'!B$5:B$255,0))</f>
        <v>39509.410000000003</v>
      </c>
      <c r="G201" s="7">
        <f>INDEX('2018 Data Lockdown'!F$5:F$255, MATCH(B201,'2018 Data Lockdown'!B$5:B$255,0))</f>
        <v>1800</v>
      </c>
      <c r="H201" s="7">
        <f t="shared" si="40"/>
        <v>37709.410000000003</v>
      </c>
      <c r="I201" s="6">
        <f t="shared" si="41"/>
        <v>1355.5121639853583</v>
      </c>
      <c r="J201" s="6">
        <f t="shared" si="42"/>
        <v>1355.5121639853583</v>
      </c>
      <c r="K201" s="5">
        <f t="shared" si="43"/>
        <v>37709.410000000003</v>
      </c>
      <c r="L201" s="4">
        <f t="shared" si="44"/>
        <v>0</v>
      </c>
      <c r="M201" s="2">
        <f t="shared" si="45"/>
        <v>865.93982913089087</v>
      </c>
      <c r="N201" s="1">
        <f t="shared" si="46"/>
        <v>50</v>
      </c>
      <c r="O201" s="3">
        <f t="shared" si="47"/>
        <v>239681.07105485475</v>
      </c>
      <c r="P201" s="2">
        <f t="shared" si="48"/>
        <v>661.7630717997024</v>
      </c>
      <c r="Q201" s="2">
        <f t="shared" si="39"/>
        <v>17.85632844637837</v>
      </c>
      <c r="R201" s="2">
        <f t="shared" si="39"/>
        <v>1714.0233298154035</v>
      </c>
      <c r="S201" s="2">
        <f t="shared" si="49"/>
        <v>1355.5121639853583</v>
      </c>
    </row>
    <row r="202" spans="2:19" x14ac:dyDescent="0.25">
      <c r="B202">
        <v>801</v>
      </c>
      <c r="C202" s="27">
        <v>8</v>
      </c>
      <c r="D202" s="39" t="s">
        <v>485</v>
      </c>
      <c r="E202" s="162">
        <f>INDEX('2018 Data Lockdown'!H$5:H$255, MATCH(B202,'2018 Data Lockdown'!B$5:B$255,0))</f>
        <v>143.33481235470978</v>
      </c>
      <c r="F202" s="7">
        <f>INDEX('2018 Data Lockdown'!E$5:E$255,MATCH(B202,'2018 Data Lockdown'!B$5:B$255,0))</f>
        <v>102578.78</v>
      </c>
      <c r="G202" s="7">
        <f>INDEX('2018 Data Lockdown'!F$5:F$255, MATCH(B202,'2018 Data Lockdown'!B$5:B$255,0))</f>
        <v>0</v>
      </c>
      <c r="H202" s="7">
        <f t="shared" si="40"/>
        <v>102578.78</v>
      </c>
      <c r="I202" s="6">
        <f t="shared" si="41"/>
        <v>715.65852227265577</v>
      </c>
      <c r="J202" s="6">
        <f t="shared" si="42"/>
        <v>715.65852227265577</v>
      </c>
      <c r="K202" s="5">
        <f t="shared" si="43"/>
        <v>102578.78000000001</v>
      </c>
      <c r="L202" s="4">
        <f t="shared" si="44"/>
        <v>0</v>
      </c>
      <c r="M202" s="2">
        <f t="shared" si="45"/>
        <v>865.93982913089087</v>
      </c>
      <c r="N202" s="1">
        <f t="shared" si="46"/>
        <v>50</v>
      </c>
      <c r="O202" s="3">
        <f t="shared" si="47"/>
        <v>22584.47119101902</v>
      </c>
      <c r="P202" s="2">
        <f t="shared" si="48"/>
        <v>661.7630717997024</v>
      </c>
      <c r="Q202" s="2">
        <f t="shared" si="39"/>
        <v>17.85632844637837</v>
      </c>
      <c r="R202" s="2">
        <f t="shared" si="39"/>
        <v>1714.0233298154035</v>
      </c>
      <c r="S202" s="2">
        <f t="shared" si="49"/>
        <v>715.65852227265577</v>
      </c>
    </row>
    <row r="203" spans="2:19" x14ac:dyDescent="0.25">
      <c r="B203">
        <v>810</v>
      </c>
      <c r="C203" s="27">
        <v>8</v>
      </c>
      <c r="D203" s="39" t="s">
        <v>486</v>
      </c>
      <c r="E203" s="162">
        <f>INDEX('2018 Data Lockdown'!H$5:H$255, MATCH(B203,'2018 Data Lockdown'!B$5:B$255,0))</f>
        <v>129.91</v>
      </c>
      <c r="F203" s="7">
        <f>INDEX('2018 Data Lockdown'!E$5:E$255,MATCH(B203,'2018 Data Lockdown'!B$5:B$255,0))</f>
        <v>133935.18</v>
      </c>
      <c r="G203" s="7">
        <f>INDEX('2018 Data Lockdown'!F$5:F$255, MATCH(B203,'2018 Data Lockdown'!B$5:B$255,0))</f>
        <v>0</v>
      </c>
      <c r="H203" s="7">
        <f t="shared" si="40"/>
        <v>133935.18</v>
      </c>
      <c r="I203" s="6">
        <f t="shared" si="41"/>
        <v>1030.9843737972442</v>
      </c>
      <c r="J203" s="6">
        <f t="shared" si="42"/>
        <v>1030.9843737972442</v>
      </c>
      <c r="K203" s="5">
        <f t="shared" si="43"/>
        <v>133935.18</v>
      </c>
      <c r="L203" s="4">
        <f t="shared" si="44"/>
        <v>0</v>
      </c>
      <c r="M203" s="2">
        <f t="shared" si="45"/>
        <v>865.93982913089087</v>
      </c>
      <c r="N203" s="1">
        <f t="shared" si="46"/>
        <v>50</v>
      </c>
      <c r="O203" s="3">
        <f t="shared" si="47"/>
        <v>27239.701724123894</v>
      </c>
      <c r="P203" s="2">
        <f t="shared" si="48"/>
        <v>661.7630717997024</v>
      </c>
      <c r="Q203" s="2">
        <f t="shared" si="39"/>
        <v>17.85632844637837</v>
      </c>
      <c r="R203" s="2">
        <f t="shared" si="39"/>
        <v>1714.0233298154035</v>
      </c>
      <c r="S203" s="2">
        <f t="shared" si="49"/>
        <v>1030.9843737972442</v>
      </c>
    </row>
    <row r="204" spans="2:19" x14ac:dyDescent="0.25">
      <c r="B204">
        <v>812</v>
      </c>
      <c r="C204" s="27">
        <v>8</v>
      </c>
      <c r="D204" s="39" t="s">
        <v>487</v>
      </c>
      <c r="E204" s="162">
        <f>INDEX('2018 Data Lockdown'!H$5:H$255, MATCH(B204,'2018 Data Lockdown'!B$5:B$255,0))</f>
        <v>52.402684578365019</v>
      </c>
      <c r="F204" s="7">
        <f>INDEX('2018 Data Lockdown'!E$5:E$255,MATCH(B204,'2018 Data Lockdown'!B$5:B$255,0))</f>
        <v>75414.47</v>
      </c>
      <c r="G204" s="7">
        <f>INDEX('2018 Data Lockdown'!F$5:F$255, MATCH(B204,'2018 Data Lockdown'!B$5:B$255,0))</f>
        <v>196</v>
      </c>
      <c r="H204" s="7">
        <f t="shared" si="40"/>
        <v>75218.47</v>
      </c>
      <c r="I204" s="6">
        <f t="shared" si="41"/>
        <v>1435.3934460650651</v>
      </c>
      <c r="J204" s="6">
        <f t="shared" si="42"/>
        <v>1435.3934460650651</v>
      </c>
      <c r="K204" s="5">
        <f t="shared" si="43"/>
        <v>75218.47</v>
      </c>
      <c r="L204" s="4">
        <f t="shared" si="44"/>
        <v>0</v>
      </c>
      <c r="M204" s="2">
        <f t="shared" si="45"/>
        <v>865.93982913089087</v>
      </c>
      <c r="N204" s="1">
        <f t="shared" si="46"/>
        <v>50</v>
      </c>
      <c r="O204" s="3">
        <f t="shared" si="47"/>
        <v>324277.42183941317</v>
      </c>
      <c r="P204" s="2">
        <f t="shared" si="48"/>
        <v>661.7630717997024</v>
      </c>
      <c r="Q204" s="2">
        <f t="shared" si="39"/>
        <v>17.85632844637837</v>
      </c>
      <c r="R204" s="2">
        <f t="shared" si="39"/>
        <v>1714.0233298154035</v>
      </c>
      <c r="S204" s="2">
        <f t="shared" si="49"/>
        <v>1435.3934460650651</v>
      </c>
    </row>
    <row r="205" spans="2:19" x14ac:dyDescent="0.25">
      <c r="B205">
        <v>818</v>
      </c>
      <c r="C205" s="27">
        <v>8</v>
      </c>
      <c r="D205" s="39" t="s">
        <v>488</v>
      </c>
      <c r="E205" s="162">
        <f>INDEX('2018 Data Lockdown'!H$5:H$255, MATCH(B205,'2018 Data Lockdown'!B$5:B$255,0))</f>
        <v>39.084698998412264</v>
      </c>
      <c r="F205" s="7">
        <f>INDEX('2018 Data Lockdown'!E$5:E$255,MATCH(B205,'2018 Data Lockdown'!B$5:B$255,0))</f>
        <v>16701.97</v>
      </c>
      <c r="G205" s="7">
        <f>INDEX('2018 Data Lockdown'!F$5:F$255, MATCH(B205,'2018 Data Lockdown'!B$5:B$255,0))</f>
        <v>0</v>
      </c>
      <c r="H205" s="7">
        <f t="shared" si="40"/>
        <v>16701.97</v>
      </c>
      <c r="I205" s="6">
        <f t="shared" si="41"/>
        <v>427.32758414433442</v>
      </c>
      <c r="J205" s="6">
        <f t="shared" si="42"/>
        <v>427.32758414433442</v>
      </c>
      <c r="K205" s="5">
        <f t="shared" si="43"/>
        <v>16701.97</v>
      </c>
      <c r="L205" s="4">
        <f t="shared" si="44"/>
        <v>0</v>
      </c>
      <c r="M205" s="2">
        <f t="shared" si="45"/>
        <v>865.93982913089087</v>
      </c>
      <c r="N205" s="1">
        <f t="shared" si="46"/>
        <v>50</v>
      </c>
      <c r="O205" s="3">
        <f t="shared" si="47"/>
        <v>192380.70145214701</v>
      </c>
      <c r="P205" s="2">
        <f t="shared" si="48"/>
        <v>661.7630717997024</v>
      </c>
      <c r="Q205" s="2">
        <f t="shared" si="39"/>
        <v>17.85632844637837</v>
      </c>
      <c r="R205" s="2">
        <f t="shared" si="39"/>
        <v>1714.0233298154035</v>
      </c>
      <c r="S205" s="2">
        <f t="shared" si="49"/>
        <v>427.32758414433442</v>
      </c>
    </row>
    <row r="206" spans="2:19" x14ac:dyDescent="0.25">
      <c r="B206">
        <v>833</v>
      </c>
      <c r="C206" s="27">
        <v>8</v>
      </c>
      <c r="D206" s="39" t="s">
        <v>489</v>
      </c>
      <c r="E206" s="162">
        <f>INDEX('2018 Data Lockdown'!H$5:H$255, MATCH(B206,'2018 Data Lockdown'!B$5:B$255,0))</f>
        <v>68.497718442678561</v>
      </c>
      <c r="F206" s="7">
        <f>INDEX('2018 Data Lockdown'!E$5:E$255,MATCH(B206,'2018 Data Lockdown'!B$5:B$255,0))</f>
        <v>53144.45</v>
      </c>
      <c r="G206" s="7">
        <f>INDEX('2018 Data Lockdown'!F$5:F$255, MATCH(B206,'2018 Data Lockdown'!B$5:B$255,0))</f>
        <v>0</v>
      </c>
      <c r="H206" s="7">
        <f t="shared" si="40"/>
        <v>53144.45</v>
      </c>
      <c r="I206" s="6">
        <f t="shared" si="41"/>
        <v>775.85722865314483</v>
      </c>
      <c r="J206" s="6">
        <f t="shared" si="42"/>
        <v>775.85722865314483</v>
      </c>
      <c r="K206" s="5">
        <f t="shared" si="43"/>
        <v>53144.45</v>
      </c>
      <c r="L206" s="4">
        <f t="shared" si="44"/>
        <v>0</v>
      </c>
      <c r="M206" s="2">
        <f t="shared" si="45"/>
        <v>865.93982913089087</v>
      </c>
      <c r="N206" s="1">
        <f t="shared" si="46"/>
        <v>50</v>
      </c>
      <c r="O206" s="3">
        <f t="shared" si="47"/>
        <v>8114.8749088332115</v>
      </c>
      <c r="P206" s="2">
        <f t="shared" si="48"/>
        <v>661.7630717997024</v>
      </c>
      <c r="Q206" s="2">
        <f t="shared" ref="Q206:R225" si="50">NORMINV(Q$4,$M206,$P206)</f>
        <v>17.85632844637837</v>
      </c>
      <c r="R206" s="2">
        <f t="shared" si="50"/>
        <v>1714.0233298154035</v>
      </c>
      <c r="S206" s="2">
        <f t="shared" si="49"/>
        <v>775.85722865314483</v>
      </c>
    </row>
    <row r="207" spans="2:19" x14ac:dyDescent="0.25">
      <c r="B207">
        <v>834</v>
      </c>
      <c r="C207" s="27">
        <v>8</v>
      </c>
      <c r="D207" s="39" t="s">
        <v>490</v>
      </c>
      <c r="E207" s="162">
        <f>INDEX('2018 Data Lockdown'!H$5:H$255, MATCH(B207,'2018 Data Lockdown'!B$5:B$255,0))</f>
        <v>93.830000000000013</v>
      </c>
      <c r="F207" s="7">
        <f>INDEX('2018 Data Lockdown'!E$5:E$255,MATCH(B207,'2018 Data Lockdown'!B$5:B$255,0))</f>
        <v>64791.31</v>
      </c>
      <c r="G207" s="7">
        <f>INDEX('2018 Data Lockdown'!F$5:F$255, MATCH(B207,'2018 Data Lockdown'!B$5:B$255,0))</f>
        <v>5551.2800000000007</v>
      </c>
      <c r="H207" s="7">
        <f t="shared" si="40"/>
        <v>59240.03</v>
      </c>
      <c r="I207" s="6">
        <f t="shared" si="41"/>
        <v>631.35489715442816</v>
      </c>
      <c r="J207" s="6">
        <f t="shared" si="42"/>
        <v>631.35489715442816</v>
      </c>
      <c r="K207" s="5">
        <f t="shared" si="43"/>
        <v>59240.03</v>
      </c>
      <c r="L207" s="4">
        <f t="shared" si="44"/>
        <v>0</v>
      </c>
      <c r="M207" s="2">
        <f t="shared" si="45"/>
        <v>865.93982913089087</v>
      </c>
      <c r="N207" s="1">
        <f t="shared" si="46"/>
        <v>50</v>
      </c>
      <c r="O207" s="3">
        <f t="shared" si="47"/>
        <v>55030.09031040164</v>
      </c>
      <c r="P207" s="2">
        <f t="shared" si="48"/>
        <v>661.7630717997024</v>
      </c>
      <c r="Q207" s="2">
        <f t="shared" si="50"/>
        <v>17.85632844637837</v>
      </c>
      <c r="R207" s="2">
        <f t="shared" si="50"/>
        <v>1714.0233298154035</v>
      </c>
      <c r="S207" s="2">
        <f t="shared" si="49"/>
        <v>631.35489715442816</v>
      </c>
    </row>
    <row r="208" spans="2:19" x14ac:dyDescent="0.25">
      <c r="B208">
        <v>837</v>
      </c>
      <c r="C208" s="27">
        <v>8</v>
      </c>
      <c r="D208" s="39" t="s">
        <v>491</v>
      </c>
      <c r="E208" s="162">
        <f>INDEX('2018 Data Lockdown'!H$5:H$255, MATCH(B208,'2018 Data Lockdown'!B$5:B$255,0))</f>
        <v>191.19000000000003</v>
      </c>
      <c r="F208" s="7">
        <f>INDEX('2018 Data Lockdown'!E$5:E$255,MATCH(B208,'2018 Data Lockdown'!B$5:B$255,0))</f>
        <v>133882.48000000001</v>
      </c>
      <c r="G208" s="7">
        <f>INDEX('2018 Data Lockdown'!F$5:F$255, MATCH(B208,'2018 Data Lockdown'!B$5:B$255,0))</f>
        <v>0</v>
      </c>
      <c r="H208" s="7">
        <f t="shared" si="40"/>
        <v>133882.48000000001</v>
      </c>
      <c r="I208" s="6">
        <f t="shared" si="41"/>
        <v>700.25880014645111</v>
      </c>
      <c r="J208" s="6">
        <f t="shared" si="42"/>
        <v>700.25880014645111</v>
      </c>
      <c r="K208" s="5">
        <f t="shared" si="43"/>
        <v>133882.48000000001</v>
      </c>
      <c r="L208" s="4">
        <f t="shared" si="44"/>
        <v>0</v>
      </c>
      <c r="M208" s="2">
        <f t="shared" si="45"/>
        <v>865.93982913089087</v>
      </c>
      <c r="N208" s="1">
        <f t="shared" si="46"/>
        <v>50</v>
      </c>
      <c r="O208" s="3">
        <f t="shared" si="47"/>
        <v>27450.203365342768</v>
      </c>
      <c r="P208" s="2">
        <f t="shared" si="48"/>
        <v>661.7630717997024</v>
      </c>
      <c r="Q208" s="2">
        <f t="shared" si="50"/>
        <v>17.85632844637837</v>
      </c>
      <c r="R208" s="2">
        <f t="shared" si="50"/>
        <v>1714.0233298154035</v>
      </c>
      <c r="S208" s="2">
        <f t="shared" si="49"/>
        <v>700.25880014645111</v>
      </c>
    </row>
    <row r="209" spans="2:19" x14ac:dyDescent="0.25">
      <c r="B209">
        <v>845</v>
      </c>
      <c r="C209" s="27">
        <v>8</v>
      </c>
      <c r="D209" s="39" t="s">
        <v>564</v>
      </c>
      <c r="E209" s="162">
        <f>INDEX('2018 Data Lockdown'!H$5:H$255, MATCH(B209,'2018 Data Lockdown'!B$5:B$255,0))</f>
        <v>5.5265652735971607</v>
      </c>
      <c r="F209" s="7">
        <f>INDEX('2018 Data Lockdown'!E$5:E$255,MATCH(B209,'2018 Data Lockdown'!B$5:B$255,0))</f>
        <v>9336.9500000000007</v>
      </c>
      <c r="G209" s="7">
        <f>INDEX('2018 Data Lockdown'!F$5:F$255, MATCH(B209,'2018 Data Lockdown'!B$5:B$255,0))</f>
        <v>0</v>
      </c>
      <c r="H209" s="7">
        <f t="shared" si="40"/>
        <v>9336.9500000000007</v>
      </c>
      <c r="I209" s="6">
        <f t="shared" si="41"/>
        <v>1689.4670627716509</v>
      </c>
      <c r="J209" s="6">
        <f t="shared" si="42"/>
        <v>1689.4670627716509</v>
      </c>
      <c r="K209" s="5">
        <f t="shared" si="43"/>
        <v>9336.9500000000007</v>
      </c>
      <c r="L209" s="4">
        <f t="shared" si="44"/>
        <v>0</v>
      </c>
      <c r="M209" s="2">
        <f t="shared" si="45"/>
        <v>865.93982913089087</v>
      </c>
      <c r="N209" s="1">
        <f t="shared" si="46"/>
        <v>50</v>
      </c>
      <c r="O209" s="3">
        <f t="shared" si="47"/>
        <v>678197.10454800306</v>
      </c>
      <c r="P209" s="2">
        <f t="shared" si="48"/>
        <v>661.7630717997024</v>
      </c>
      <c r="Q209" s="2">
        <f t="shared" si="50"/>
        <v>17.85632844637837</v>
      </c>
      <c r="R209" s="2">
        <f t="shared" si="50"/>
        <v>1714.0233298154035</v>
      </c>
      <c r="S209" s="2">
        <f t="shared" si="49"/>
        <v>1689.4670627716509</v>
      </c>
    </row>
    <row r="210" spans="2:19" x14ac:dyDescent="0.25">
      <c r="B210">
        <v>847</v>
      </c>
      <c r="C210" s="44">
        <v>8</v>
      </c>
      <c r="D210" s="39" t="s">
        <v>492</v>
      </c>
      <c r="E210" s="162">
        <f>INDEX('2018 Data Lockdown'!H$5:H$255, MATCH(B210,'2018 Data Lockdown'!B$5:B$255,0))</f>
        <v>70.589802523602913</v>
      </c>
      <c r="F210" s="7">
        <f>INDEX('2018 Data Lockdown'!E$5:E$255,MATCH(B210,'2018 Data Lockdown'!B$5:B$255,0))</f>
        <v>114871.03</v>
      </c>
      <c r="G210" s="7">
        <f>INDEX('2018 Data Lockdown'!F$5:F$255, MATCH(B210,'2018 Data Lockdown'!B$5:B$255,0))</f>
        <v>0</v>
      </c>
      <c r="H210" s="7">
        <f t="shared" si="40"/>
        <v>114871.03</v>
      </c>
      <c r="I210" s="6">
        <f t="shared" si="41"/>
        <v>1627.3034615954748</v>
      </c>
      <c r="J210" s="6">
        <f t="shared" si="42"/>
        <v>1627.3034615954748</v>
      </c>
      <c r="K210" s="5">
        <f t="shared" si="43"/>
        <v>114871.03</v>
      </c>
      <c r="L210" s="4">
        <f t="shared" si="44"/>
        <v>0</v>
      </c>
      <c r="M210" s="2">
        <f t="shared" si="45"/>
        <v>865.93982913089087</v>
      </c>
      <c r="N210" s="1">
        <f t="shared" si="46"/>
        <v>50</v>
      </c>
      <c r="O210" s="3">
        <f t="shared" si="47"/>
        <v>579674.58083966607</v>
      </c>
      <c r="P210" s="2">
        <f t="shared" si="48"/>
        <v>661.7630717997024</v>
      </c>
      <c r="Q210" s="2">
        <f t="shared" si="50"/>
        <v>17.85632844637837</v>
      </c>
      <c r="R210" s="2">
        <f t="shared" si="50"/>
        <v>1714.0233298154035</v>
      </c>
      <c r="S210" s="2">
        <f t="shared" si="49"/>
        <v>1627.3034615954748</v>
      </c>
    </row>
    <row r="211" spans="2:19" x14ac:dyDescent="0.25">
      <c r="B211">
        <v>866</v>
      </c>
      <c r="C211" s="27">
        <v>8</v>
      </c>
      <c r="D211" s="39" t="s">
        <v>493</v>
      </c>
      <c r="E211" s="162">
        <f>INDEX('2018 Data Lockdown'!H$5:H$255, MATCH(B211,'2018 Data Lockdown'!B$5:B$255,0))</f>
        <v>160.53138279575614</v>
      </c>
      <c r="F211" s="7">
        <f>INDEX('2018 Data Lockdown'!E$5:E$255,MATCH(B211,'2018 Data Lockdown'!B$5:B$255,0))</f>
        <v>63164.800000000003</v>
      </c>
      <c r="G211" s="7">
        <f>INDEX('2018 Data Lockdown'!F$5:F$255, MATCH(B211,'2018 Data Lockdown'!B$5:B$255,0))</f>
        <v>0</v>
      </c>
      <c r="H211" s="7">
        <f t="shared" si="40"/>
        <v>63164.800000000003</v>
      </c>
      <c r="I211" s="6">
        <f t="shared" si="41"/>
        <v>393.47321937894532</v>
      </c>
      <c r="J211" s="6">
        <f t="shared" si="42"/>
        <v>393.47321937894532</v>
      </c>
      <c r="K211" s="5">
        <f t="shared" si="43"/>
        <v>63164.800000000003</v>
      </c>
      <c r="L211" s="4">
        <f t="shared" si="44"/>
        <v>0</v>
      </c>
      <c r="M211" s="2">
        <f t="shared" si="45"/>
        <v>865.93982913089087</v>
      </c>
      <c r="N211" s="1">
        <f t="shared" si="46"/>
        <v>50</v>
      </c>
      <c r="O211" s="3">
        <f t="shared" si="47"/>
        <v>223224.69733049721</v>
      </c>
      <c r="P211" s="2">
        <f t="shared" si="48"/>
        <v>661.7630717997024</v>
      </c>
      <c r="Q211" s="2">
        <f t="shared" si="50"/>
        <v>17.85632844637837</v>
      </c>
      <c r="R211" s="2">
        <f t="shared" si="50"/>
        <v>1714.0233298154035</v>
      </c>
      <c r="S211" s="2">
        <f t="shared" si="49"/>
        <v>393.47321937894532</v>
      </c>
    </row>
    <row r="212" spans="2:19" x14ac:dyDescent="0.25">
      <c r="B212">
        <v>871</v>
      </c>
      <c r="C212" s="27">
        <v>8</v>
      </c>
      <c r="D212" s="39" t="s">
        <v>494</v>
      </c>
      <c r="E212" s="162">
        <f>INDEX('2018 Data Lockdown'!H$5:H$255, MATCH(B212,'2018 Data Lockdown'!B$5:B$255,0))</f>
        <v>16.078387570207461</v>
      </c>
      <c r="F212" s="7">
        <f>INDEX('2018 Data Lockdown'!E$5:E$255,MATCH(B212,'2018 Data Lockdown'!B$5:B$255,0))</f>
        <v>11872.16</v>
      </c>
      <c r="G212" s="7">
        <f>INDEX('2018 Data Lockdown'!F$5:F$255, MATCH(B212,'2018 Data Lockdown'!B$5:B$255,0))</f>
        <v>0</v>
      </c>
      <c r="H212" s="7">
        <f t="shared" si="40"/>
        <v>11872.16</v>
      </c>
      <c r="I212" s="6">
        <f t="shared" si="41"/>
        <v>738.39245062101782</v>
      </c>
      <c r="J212" s="6">
        <f t="shared" si="42"/>
        <v>738.39245062101782</v>
      </c>
      <c r="K212" s="5">
        <f t="shared" si="43"/>
        <v>11872.16</v>
      </c>
      <c r="L212" s="4">
        <f t="shared" si="44"/>
        <v>0</v>
      </c>
      <c r="M212" s="2">
        <f t="shared" si="45"/>
        <v>865.93982913089087</v>
      </c>
      <c r="N212" s="1">
        <f t="shared" si="46"/>
        <v>50</v>
      </c>
      <c r="O212" s="3">
        <f t="shared" si="47"/>
        <v>16268.333764740826</v>
      </c>
      <c r="P212" s="2">
        <f t="shared" si="48"/>
        <v>661.7630717997024</v>
      </c>
      <c r="Q212" s="2">
        <f t="shared" si="50"/>
        <v>17.85632844637837</v>
      </c>
      <c r="R212" s="2">
        <f t="shared" si="50"/>
        <v>1714.0233298154035</v>
      </c>
      <c r="S212" s="2">
        <f t="shared" si="49"/>
        <v>738.39245062101782</v>
      </c>
    </row>
    <row r="213" spans="2:19" x14ac:dyDescent="0.25">
      <c r="B213">
        <v>873</v>
      </c>
      <c r="C213" s="27">
        <v>8</v>
      </c>
      <c r="D213" s="39" t="s">
        <v>495</v>
      </c>
      <c r="E213" s="162">
        <f>INDEX('2018 Data Lockdown'!H$5:H$255, MATCH(B213,'2018 Data Lockdown'!B$5:B$255,0))</f>
        <v>159.24</v>
      </c>
      <c r="F213" s="7">
        <f>INDEX('2018 Data Lockdown'!E$5:E$255,MATCH(B213,'2018 Data Lockdown'!B$5:B$255,0))</f>
        <v>68071.05</v>
      </c>
      <c r="G213" s="7">
        <f>INDEX('2018 Data Lockdown'!F$5:F$255, MATCH(B213,'2018 Data Lockdown'!B$5:B$255,0))</f>
        <v>0</v>
      </c>
      <c r="H213" s="7">
        <f t="shared" si="40"/>
        <v>68071.05</v>
      </c>
      <c r="I213" s="6">
        <f t="shared" si="41"/>
        <v>427.47456669178598</v>
      </c>
      <c r="J213" s="6">
        <f t="shared" si="42"/>
        <v>427.47456669178598</v>
      </c>
      <c r="K213" s="5">
        <f t="shared" si="43"/>
        <v>68071.05</v>
      </c>
      <c r="L213" s="4">
        <f t="shared" si="44"/>
        <v>0</v>
      </c>
      <c r="M213" s="2">
        <f t="shared" si="45"/>
        <v>865.93982913089087</v>
      </c>
      <c r="N213" s="1">
        <f t="shared" si="46"/>
        <v>50</v>
      </c>
      <c r="O213" s="3">
        <f t="shared" si="47"/>
        <v>192251.78636579312</v>
      </c>
      <c r="P213" s="2">
        <f t="shared" si="48"/>
        <v>661.7630717997024</v>
      </c>
      <c r="Q213" s="2">
        <f t="shared" si="50"/>
        <v>17.85632844637837</v>
      </c>
      <c r="R213" s="2">
        <f t="shared" si="50"/>
        <v>1714.0233298154035</v>
      </c>
      <c r="S213" s="2">
        <f t="shared" si="49"/>
        <v>427.47456669178598</v>
      </c>
    </row>
    <row r="214" spans="2:19" x14ac:dyDescent="0.25">
      <c r="B214">
        <v>895</v>
      </c>
      <c r="C214" s="27">
        <v>8</v>
      </c>
      <c r="D214" s="39" t="s">
        <v>496</v>
      </c>
      <c r="E214" s="162">
        <f>INDEX('2018 Data Lockdown'!H$5:H$255, MATCH(B214,'2018 Data Lockdown'!B$5:B$255,0))</f>
        <v>9.8090552475101163</v>
      </c>
      <c r="F214" s="7">
        <f>INDEX('2018 Data Lockdown'!E$5:E$255,MATCH(B214,'2018 Data Lockdown'!B$5:B$255,0))</f>
        <v>4417.1099999999997</v>
      </c>
      <c r="G214" s="7">
        <f>INDEX('2018 Data Lockdown'!F$5:F$255, MATCH(B214,'2018 Data Lockdown'!B$5:B$255,0))</f>
        <v>0</v>
      </c>
      <c r="H214" s="7">
        <f t="shared" si="40"/>
        <v>4417.1099999999997</v>
      </c>
      <c r="I214" s="6">
        <f t="shared" si="41"/>
        <v>450.30942211496034</v>
      </c>
      <c r="J214" s="6">
        <f t="shared" si="42"/>
        <v>450.30942211496034</v>
      </c>
      <c r="K214" s="5">
        <f t="shared" si="43"/>
        <v>4417.1099999999997</v>
      </c>
      <c r="L214" s="4">
        <f t="shared" si="44"/>
        <v>0</v>
      </c>
      <c r="M214" s="2">
        <f t="shared" si="45"/>
        <v>865.93982913089087</v>
      </c>
      <c r="N214" s="1">
        <f t="shared" si="46"/>
        <v>50</v>
      </c>
      <c r="O214" s="3">
        <f t="shared" si="47"/>
        <v>172748.63523622809</v>
      </c>
      <c r="P214" s="2">
        <f t="shared" si="48"/>
        <v>661.7630717997024</v>
      </c>
      <c r="Q214" s="2">
        <f t="shared" si="50"/>
        <v>17.85632844637837</v>
      </c>
      <c r="R214" s="2">
        <f t="shared" si="50"/>
        <v>1714.0233298154035</v>
      </c>
      <c r="S214" s="2">
        <f t="shared" si="49"/>
        <v>450.30942211496034</v>
      </c>
    </row>
    <row r="215" spans="2:19" x14ac:dyDescent="0.25">
      <c r="B215">
        <v>905</v>
      </c>
      <c r="C215" s="44">
        <v>8</v>
      </c>
      <c r="D215" s="39" t="s">
        <v>498</v>
      </c>
      <c r="E215" s="162">
        <f>INDEX('2018 Data Lockdown'!H$5:H$255, MATCH(B215,'2018 Data Lockdown'!B$5:B$255,0))</f>
        <v>92.836231091018377</v>
      </c>
      <c r="F215" s="7">
        <f>INDEX('2018 Data Lockdown'!E$5:E$255,MATCH(B215,'2018 Data Lockdown'!B$5:B$255,0))</f>
        <v>57092.91</v>
      </c>
      <c r="G215" s="7">
        <f>INDEX('2018 Data Lockdown'!F$5:F$255, MATCH(B215,'2018 Data Lockdown'!B$5:B$255,0))</f>
        <v>0</v>
      </c>
      <c r="H215" s="7">
        <f t="shared" si="40"/>
        <v>57092.91</v>
      </c>
      <c r="I215" s="6">
        <f t="shared" si="41"/>
        <v>614.98521998404965</v>
      </c>
      <c r="J215" s="6">
        <f t="shared" si="42"/>
        <v>614.98521998404965</v>
      </c>
      <c r="K215" s="5">
        <f t="shared" si="43"/>
        <v>57092.91</v>
      </c>
      <c r="L215" s="4">
        <f t="shared" si="44"/>
        <v>0</v>
      </c>
      <c r="M215" s="2">
        <f t="shared" si="45"/>
        <v>865.93982913089087</v>
      </c>
      <c r="N215" s="1">
        <f t="shared" si="46"/>
        <v>50</v>
      </c>
      <c r="O215" s="3">
        <f t="shared" si="47"/>
        <v>62978.215852043846</v>
      </c>
      <c r="P215" s="2">
        <f t="shared" si="48"/>
        <v>661.7630717997024</v>
      </c>
      <c r="Q215" s="2">
        <f t="shared" si="50"/>
        <v>17.85632844637837</v>
      </c>
      <c r="R215" s="2">
        <f t="shared" si="50"/>
        <v>1714.0233298154035</v>
      </c>
      <c r="S215" s="2">
        <f t="shared" si="49"/>
        <v>614.98521998404965</v>
      </c>
    </row>
    <row r="216" spans="2:19" x14ac:dyDescent="0.25">
      <c r="B216">
        <v>907</v>
      </c>
      <c r="C216" s="44">
        <v>8</v>
      </c>
      <c r="D216" s="39" t="s">
        <v>499</v>
      </c>
      <c r="E216" s="162">
        <f>INDEX('2018 Data Lockdown'!H$5:H$255, MATCH(B216,'2018 Data Lockdown'!B$5:B$255,0))</f>
        <v>17.277728875220131</v>
      </c>
      <c r="F216" s="7">
        <f>INDEX('2018 Data Lockdown'!E$5:E$255,MATCH(B216,'2018 Data Lockdown'!B$5:B$255,0))</f>
        <v>19453.25</v>
      </c>
      <c r="G216" s="7">
        <f>INDEX('2018 Data Lockdown'!F$5:F$255, MATCH(B216,'2018 Data Lockdown'!B$5:B$255,0))</f>
        <v>0</v>
      </c>
      <c r="H216" s="7">
        <f t="shared" si="40"/>
        <v>19453.25</v>
      </c>
      <c r="I216" s="6">
        <f t="shared" si="41"/>
        <v>1125.9147623215699</v>
      </c>
      <c r="J216" s="6">
        <f t="shared" si="42"/>
        <v>1125.9147623215699</v>
      </c>
      <c r="K216" s="5">
        <f t="shared" si="43"/>
        <v>19453.25</v>
      </c>
      <c r="L216" s="4">
        <f t="shared" si="44"/>
        <v>0</v>
      </c>
      <c r="M216" s="2">
        <f t="shared" si="45"/>
        <v>865.93982913089087</v>
      </c>
      <c r="N216" s="1">
        <f t="shared" si="46"/>
        <v>50</v>
      </c>
      <c r="O216" s="3">
        <f t="shared" si="47"/>
        <v>67586.965887498038</v>
      </c>
      <c r="P216" s="2">
        <f t="shared" si="48"/>
        <v>661.7630717997024</v>
      </c>
      <c r="Q216" s="2">
        <f t="shared" si="50"/>
        <v>17.85632844637837</v>
      </c>
      <c r="R216" s="2">
        <f t="shared" si="50"/>
        <v>1714.0233298154035</v>
      </c>
      <c r="S216" s="2">
        <f t="shared" si="49"/>
        <v>1125.9147623215699</v>
      </c>
    </row>
    <row r="217" spans="2:19" x14ac:dyDescent="0.25">
      <c r="B217">
        <v>918</v>
      </c>
      <c r="C217" s="27">
        <v>8</v>
      </c>
      <c r="D217" s="39" t="s">
        <v>500</v>
      </c>
      <c r="E217" s="162">
        <f>INDEX('2018 Data Lockdown'!H$5:H$255, MATCH(B217,'2018 Data Lockdown'!B$5:B$255,0))</f>
        <v>63.790529260598753</v>
      </c>
      <c r="F217" s="7">
        <f>INDEX('2018 Data Lockdown'!E$5:E$255,MATCH(B217,'2018 Data Lockdown'!B$5:B$255,0))</f>
        <v>58594.77</v>
      </c>
      <c r="G217" s="7">
        <f>INDEX('2018 Data Lockdown'!F$5:F$255, MATCH(B217,'2018 Data Lockdown'!B$5:B$255,0))</f>
        <v>0</v>
      </c>
      <c r="H217" s="7">
        <f t="shared" si="40"/>
        <v>58594.77</v>
      </c>
      <c r="I217" s="6">
        <f t="shared" si="41"/>
        <v>918.54967624781887</v>
      </c>
      <c r="J217" s="6">
        <f t="shared" si="42"/>
        <v>918.54967624781887</v>
      </c>
      <c r="K217" s="5">
        <f t="shared" si="43"/>
        <v>58594.77</v>
      </c>
      <c r="L217" s="4">
        <f t="shared" si="44"/>
        <v>0</v>
      </c>
      <c r="M217" s="2">
        <f t="shared" si="45"/>
        <v>865.93982913089087</v>
      </c>
      <c r="N217" s="1">
        <f t="shared" si="46"/>
        <v>50</v>
      </c>
      <c r="O217" s="3">
        <f t="shared" si="47"/>
        <v>2767.796013666537</v>
      </c>
      <c r="P217" s="2">
        <f t="shared" si="48"/>
        <v>661.7630717997024</v>
      </c>
      <c r="Q217" s="2">
        <f t="shared" si="50"/>
        <v>17.85632844637837</v>
      </c>
      <c r="R217" s="2">
        <f t="shared" si="50"/>
        <v>1714.0233298154035</v>
      </c>
      <c r="S217" s="2">
        <f t="shared" si="49"/>
        <v>918.54967624781887</v>
      </c>
    </row>
    <row r="218" spans="2:19" x14ac:dyDescent="0.25">
      <c r="B218">
        <v>922</v>
      </c>
      <c r="C218" s="27">
        <v>8</v>
      </c>
      <c r="D218" s="39" t="s">
        <v>501</v>
      </c>
      <c r="E218" s="162">
        <f>INDEX('2018 Data Lockdown'!H$5:H$255, MATCH(B218,'2018 Data Lockdown'!B$5:B$255,0))</f>
        <v>137.06999999999996</v>
      </c>
      <c r="F218" s="7">
        <f>INDEX('2018 Data Lockdown'!E$5:E$255,MATCH(B218,'2018 Data Lockdown'!B$5:B$255,0))</f>
        <v>138545.48000000001</v>
      </c>
      <c r="G218" s="7">
        <f>INDEX('2018 Data Lockdown'!F$5:F$255, MATCH(B218,'2018 Data Lockdown'!B$5:B$255,0))</f>
        <v>12389.89</v>
      </c>
      <c r="H218" s="7">
        <f t="shared" si="40"/>
        <v>126155.59000000001</v>
      </c>
      <c r="I218" s="6">
        <f t="shared" si="41"/>
        <v>920.37345881666329</v>
      </c>
      <c r="J218" s="6">
        <f t="shared" si="42"/>
        <v>920.37345881666329</v>
      </c>
      <c r="K218" s="5">
        <f t="shared" si="43"/>
        <v>126155.59000000001</v>
      </c>
      <c r="L218" s="4">
        <f t="shared" si="44"/>
        <v>0</v>
      </c>
      <c r="M218" s="2">
        <f t="shared" si="45"/>
        <v>865.93982913089087</v>
      </c>
      <c r="N218" s="1">
        <f t="shared" si="46"/>
        <v>50</v>
      </c>
      <c r="O218" s="3">
        <f t="shared" si="47"/>
        <v>2963.0200407678039</v>
      </c>
      <c r="P218" s="2">
        <f t="shared" si="48"/>
        <v>661.7630717997024</v>
      </c>
      <c r="Q218" s="2">
        <f t="shared" si="50"/>
        <v>17.85632844637837</v>
      </c>
      <c r="R218" s="2">
        <f t="shared" si="50"/>
        <v>1714.0233298154035</v>
      </c>
      <c r="S218" s="2">
        <f t="shared" si="49"/>
        <v>920.37345881666329</v>
      </c>
    </row>
    <row r="219" spans="2:19" x14ac:dyDescent="0.25">
      <c r="B219">
        <v>924</v>
      </c>
      <c r="C219" s="27">
        <v>8</v>
      </c>
      <c r="D219" s="39" t="s">
        <v>502</v>
      </c>
      <c r="E219" s="162">
        <f>INDEX('2018 Data Lockdown'!H$5:H$255, MATCH(B219,'2018 Data Lockdown'!B$5:B$255,0))</f>
        <v>101.88088769949739</v>
      </c>
      <c r="F219" s="7">
        <f>INDEX('2018 Data Lockdown'!E$5:E$255,MATCH(B219,'2018 Data Lockdown'!B$5:B$255,0))</f>
        <v>59433.15</v>
      </c>
      <c r="G219" s="7">
        <f>INDEX('2018 Data Lockdown'!F$5:F$255, MATCH(B219,'2018 Data Lockdown'!B$5:B$255,0))</f>
        <v>0</v>
      </c>
      <c r="H219" s="7">
        <f t="shared" si="40"/>
        <v>59433.15</v>
      </c>
      <c r="I219" s="6">
        <f t="shared" si="41"/>
        <v>583.35916914368624</v>
      </c>
      <c r="J219" s="6">
        <f t="shared" si="42"/>
        <v>583.35916914368624</v>
      </c>
      <c r="K219" s="5">
        <f t="shared" si="43"/>
        <v>59433.15</v>
      </c>
      <c r="L219" s="4">
        <f t="shared" si="44"/>
        <v>0</v>
      </c>
      <c r="M219" s="2">
        <f t="shared" si="45"/>
        <v>865.93982913089087</v>
      </c>
      <c r="N219" s="1">
        <f t="shared" si="46"/>
        <v>50</v>
      </c>
      <c r="O219" s="3">
        <f t="shared" si="47"/>
        <v>79851.829398804155</v>
      </c>
      <c r="P219" s="2">
        <f t="shared" si="48"/>
        <v>661.7630717997024</v>
      </c>
      <c r="Q219" s="2">
        <f t="shared" si="50"/>
        <v>17.85632844637837</v>
      </c>
      <c r="R219" s="2">
        <f t="shared" si="50"/>
        <v>1714.0233298154035</v>
      </c>
      <c r="S219" s="2">
        <f t="shared" si="49"/>
        <v>583.35916914368624</v>
      </c>
    </row>
    <row r="220" spans="2:19" x14ac:dyDescent="0.25">
      <c r="B220">
        <v>929</v>
      </c>
      <c r="C220" s="27">
        <v>8</v>
      </c>
      <c r="D220" s="39" t="s">
        <v>503</v>
      </c>
      <c r="E220" s="162">
        <f>INDEX('2018 Data Lockdown'!H$5:H$255, MATCH(B220,'2018 Data Lockdown'!B$5:B$255,0))</f>
        <v>63.123226579614247</v>
      </c>
      <c r="F220" s="7">
        <f>INDEX('2018 Data Lockdown'!E$5:E$255,MATCH(B220,'2018 Data Lockdown'!B$5:B$255,0))</f>
        <v>48337.61</v>
      </c>
      <c r="G220" s="7">
        <f>INDEX('2018 Data Lockdown'!F$5:F$255, MATCH(B220,'2018 Data Lockdown'!B$5:B$255,0))</f>
        <v>0</v>
      </c>
      <c r="H220" s="7">
        <f t="shared" si="40"/>
        <v>48337.61</v>
      </c>
      <c r="I220" s="6">
        <f t="shared" si="41"/>
        <v>765.76583009479293</v>
      </c>
      <c r="J220" s="6">
        <f t="shared" si="42"/>
        <v>765.76583009479293</v>
      </c>
      <c r="K220" s="5">
        <f t="shared" si="43"/>
        <v>48337.61</v>
      </c>
      <c r="L220" s="4">
        <f t="shared" si="44"/>
        <v>0</v>
      </c>
      <c r="M220" s="2">
        <f t="shared" si="45"/>
        <v>865.93982913089087</v>
      </c>
      <c r="N220" s="1">
        <f t="shared" si="46"/>
        <v>50</v>
      </c>
      <c r="O220" s="3">
        <f t="shared" si="47"/>
        <v>10034.830082884151</v>
      </c>
      <c r="P220" s="2">
        <f t="shared" si="48"/>
        <v>661.7630717997024</v>
      </c>
      <c r="Q220" s="2">
        <f t="shared" si="50"/>
        <v>17.85632844637837</v>
      </c>
      <c r="R220" s="2">
        <f t="shared" si="50"/>
        <v>1714.0233298154035</v>
      </c>
      <c r="S220" s="2">
        <f t="shared" si="49"/>
        <v>765.76583009479293</v>
      </c>
    </row>
    <row r="221" spans="2:19" x14ac:dyDescent="0.25">
      <c r="B221">
        <v>955</v>
      </c>
      <c r="C221" s="27">
        <v>8</v>
      </c>
      <c r="D221" s="39" t="s">
        <v>504</v>
      </c>
      <c r="E221" s="162">
        <f>INDEX('2018 Data Lockdown'!H$5:H$255, MATCH(B221,'2018 Data Lockdown'!B$5:B$255,0))</f>
        <v>40.67169248967609</v>
      </c>
      <c r="F221" s="7">
        <f>INDEX('2018 Data Lockdown'!E$5:E$255,MATCH(B221,'2018 Data Lockdown'!B$5:B$255,0))</f>
        <v>22678.11</v>
      </c>
      <c r="G221" s="7">
        <f>INDEX('2018 Data Lockdown'!F$5:F$255, MATCH(B221,'2018 Data Lockdown'!B$5:B$255,0))</f>
        <v>0</v>
      </c>
      <c r="H221" s="7">
        <f t="shared" si="40"/>
        <v>22678.11</v>
      </c>
      <c r="I221" s="6">
        <f t="shared" si="41"/>
        <v>557.58953246798137</v>
      </c>
      <c r="J221" s="6">
        <f t="shared" si="42"/>
        <v>557.58953246798137</v>
      </c>
      <c r="K221" s="5">
        <f t="shared" si="43"/>
        <v>22678.11</v>
      </c>
      <c r="L221" s="4">
        <f t="shared" si="44"/>
        <v>0</v>
      </c>
      <c r="M221" s="2">
        <f t="shared" si="45"/>
        <v>865.93982913089087</v>
      </c>
      <c r="N221" s="1">
        <f t="shared" si="46"/>
        <v>50</v>
      </c>
      <c r="O221" s="3">
        <f t="shared" si="47"/>
        <v>95079.9054521043</v>
      </c>
      <c r="P221" s="2">
        <f t="shared" si="48"/>
        <v>661.7630717997024</v>
      </c>
      <c r="Q221" s="2">
        <f t="shared" si="50"/>
        <v>17.85632844637837</v>
      </c>
      <c r="R221" s="2">
        <f t="shared" si="50"/>
        <v>1714.0233298154035</v>
      </c>
      <c r="S221" s="2">
        <f t="shared" si="49"/>
        <v>557.58953246798137</v>
      </c>
    </row>
    <row r="222" spans="2:19" x14ac:dyDescent="0.25">
      <c r="B222">
        <v>973</v>
      </c>
      <c r="C222" s="27">
        <v>8</v>
      </c>
      <c r="D222" s="39" t="s">
        <v>505</v>
      </c>
      <c r="E222" s="162">
        <f>INDEX('2018 Data Lockdown'!H$5:H$255, MATCH(B222,'2018 Data Lockdown'!B$5:B$255,0))</f>
        <v>7.5601498980809678</v>
      </c>
      <c r="F222" s="7">
        <f>INDEX('2018 Data Lockdown'!E$5:E$255,MATCH(B222,'2018 Data Lockdown'!B$5:B$255,0))</f>
        <v>10497.69</v>
      </c>
      <c r="G222" s="7">
        <f>INDEX('2018 Data Lockdown'!F$5:F$255, MATCH(B222,'2018 Data Lockdown'!B$5:B$255,0))</f>
        <v>0</v>
      </c>
      <c r="H222" s="7">
        <f t="shared" si="40"/>
        <v>10497.69</v>
      </c>
      <c r="I222" s="6">
        <f t="shared" si="41"/>
        <v>1388.5558013426009</v>
      </c>
      <c r="J222" s="6">
        <f t="shared" si="42"/>
        <v>1388.5558013426009</v>
      </c>
      <c r="K222" s="5">
        <f t="shared" si="43"/>
        <v>10497.69</v>
      </c>
      <c r="L222" s="4">
        <f t="shared" si="44"/>
        <v>0</v>
      </c>
      <c r="M222" s="2">
        <f t="shared" si="45"/>
        <v>865.93982913089087</v>
      </c>
      <c r="N222" s="1">
        <f t="shared" si="46"/>
        <v>50</v>
      </c>
      <c r="O222" s="3">
        <f t="shared" si="47"/>
        <v>273127.45441079093</v>
      </c>
      <c r="P222" s="2">
        <f t="shared" si="48"/>
        <v>661.7630717997024</v>
      </c>
      <c r="Q222" s="2">
        <f t="shared" si="50"/>
        <v>17.85632844637837</v>
      </c>
      <c r="R222" s="2">
        <f t="shared" si="50"/>
        <v>1714.0233298154035</v>
      </c>
      <c r="S222" s="2">
        <f t="shared" si="49"/>
        <v>1388.5558013426009</v>
      </c>
    </row>
    <row r="223" spans="2:19" x14ac:dyDescent="0.25">
      <c r="B223">
        <v>974</v>
      </c>
      <c r="C223" s="27">
        <v>8</v>
      </c>
      <c r="D223" s="39" t="s">
        <v>506</v>
      </c>
      <c r="E223" s="162">
        <f>INDEX('2018 Data Lockdown'!H$5:H$255, MATCH(B223,'2018 Data Lockdown'!B$5:B$255,0))</f>
        <v>15.839999999999998</v>
      </c>
      <c r="F223" s="7">
        <f>INDEX('2018 Data Lockdown'!E$5:E$255,MATCH(B223,'2018 Data Lockdown'!B$5:B$255,0))</f>
        <v>14226.72</v>
      </c>
      <c r="G223" s="7">
        <f>INDEX('2018 Data Lockdown'!F$5:F$255, MATCH(B223,'2018 Data Lockdown'!B$5:B$255,0))</f>
        <v>0</v>
      </c>
      <c r="H223" s="7">
        <f t="shared" si="40"/>
        <v>14226.72</v>
      </c>
      <c r="I223" s="6">
        <f t="shared" si="41"/>
        <v>898.15151515151524</v>
      </c>
      <c r="J223" s="6">
        <f t="shared" si="42"/>
        <v>898.15151515151524</v>
      </c>
      <c r="K223" s="5">
        <f t="shared" si="43"/>
        <v>14226.72</v>
      </c>
      <c r="L223" s="4">
        <f t="shared" si="44"/>
        <v>0</v>
      </c>
      <c r="M223" s="2">
        <f t="shared" si="45"/>
        <v>865.93982913089087</v>
      </c>
      <c r="N223" s="1">
        <f t="shared" si="46"/>
        <v>50</v>
      </c>
      <c r="O223" s="3">
        <f t="shared" si="47"/>
        <v>1037.5927162912874</v>
      </c>
      <c r="P223" s="2">
        <f t="shared" si="48"/>
        <v>661.7630717997024</v>
      </c>
      <c r="Q223" s="2">
        <f t="shared" si="50"/>
        <v>17.85632844637837</v>
      </c>
      <c r="R223" s="2">
        <f t="shared" si="50"/>
        <v>1714.0233298154035</v>
      </c>
      <c r="S223" s="2">
        <f t="shared" si="49"/>
        <v>898.15151515151524</v>
      </c>
    </row>
    <row r="224" spans="2:19" x14ac:dyDescent="0.25">
      <c r="B224">
        <v>985</v>
      </c>
      <c r="C224" s="27">
        <v>8</v>
      </c>
      <c r="D224" s="39" t="s">
        <v>508</v>
      </c>
      <c r="E224" s="162">
        <f>INDEX('2018 Data Lockdown'!H$5:H$255, MATCH(B224,'2018 Data Lockdown'!B$5:B$255,0))</f>
        <v>44.348575474077556</v>
      </c>
      <c r="F224" s="7">
        <f>INDEX('2018 Data Lockdown'!E$5:E$255,MATCH(B224,'2018 Data Lockdown'!B$5:B$255,0))</f>
        <v>97273.34</v>
      </c>
      <c r="G224" s="7">
        <f>INDEX('2018 Data Lockdown'!F$5:F$255, MATCH(B224,'2018 Data Lockdown'!B$5:B$255,0))</f>
        <v>0</v>
      </c>
      <c r="H224" s="7">
        <f t="shared" si="40"/>
        <v>97273.34</v>
      </c>
      <c r="I224" s="6">
        <f t="shared" si="41"/>
        <v>2193.3813873425947</v>
      </c>
      <c r="J224" s="6">
        <f t="shared" si="42"/>
        <v>1714.0233298154035</v>
      </c>
      <c r="K224" s="5">
        <f t="shared" si="43"/>
        <v>76014.493006648147</v>
      </c>
      <c r="L224" s="4">
        <f t="shared" si="44"/>
        <v>0</v>
      </c>
      <c r="M224" s="2">
        <f t="shared" si="45"/>
        <v>865.93982913089087</v>
      </c>
      <c r="N224" s="1">
        <f t="shared" si="46"/>
        <v>50</v>
      </c>
      <c r="O224" s="3">
        <f t="shared" si="47"/>
        <v>1762101.0904675166</v>
      </c>
      <c r="P224" s="2">
        <f t="shared" si="48"/>
        <v>661.7630717997024</v>
      </c>
      <c r="Q224" s="2">
        <f t="shared" si="50"/>
        <v>17.85632844637837</v>
      </c>
      <c r="R224" s="2">
        <f t="shared" si="50"/>
        <v>1714.0233298154035</v>
      </c>
      <c r="S224" s="2">
        <f t="shared" si="49"/>
        <v>1714.0233298154035</v>
      </c>
    </row>
    <row r="225" spans="2:19" x14ac:dyDescent="0.25">
      <c r="B225">
        <v>159</v>
      </c>
      <c r="C225" s="27">
        <v>9</v>
      </c>
      <c r="D225" s="39" t="s">
        <v>510</v>
      </c>
      <c r="E225" s="162">
        <f>INDEX('2018 Data Lockdown'!H$5:H$255, MATCH(B225,'2018 Data Lockdown'!B$5:B$255,0))</f>
        <v>836.31061134951221</v>
      </c>
      <c r="F225" s="7">
        <f>INDEX('2018 Data Lockdown'!E$5:E$255,MATCH(B225,'2018 Data Lockdown'!B$5:B$255,0))</f>
        <v>185850.32</v>
      </c>
      <c r="G225" s="7">
        <f>INDEX('2018 Data Lockdown'!F$5:F$255, MATCH(B225,'2018 Data Lockdown'!B$5:B$255,0))</f>
        <v>0</v>
      </c>
      <c r="H225" s="7">
        <f t="shared" si="40"/>
        <v>185850.32</v>
      </c>
      <c r="I225" s="6">
        <f t="shared" si="41"/>
        <v>222.22642816895834</v>
      </c>
      <c r="J225" s="6">
        <f t="shared" si="42"/>
        <v>222.22642816895834</v>
      </c>
      <c r="K225" s="5">
        <f t="shared" si="43"/>
        <v>185850.32</v>
      </c>
      <c r="L225" s="4">
        <f t="shared" si="44"/>
        <v>0</v>
      </c>
      <c r="M225" s="2">
        <f t="shared" si="45"/>
        <v>663.07888025219313</v>
      </c>
      <c r="N225" s="1">
        <f t="shared" si="46"/>
        <v>30</v>
      </c>
      <c r="O225" s="3">
        <f t="shared" si="47"/>
        <v>194350.8845078008</v>
      </c>
      <c r="P225" s="2">
        <f t="shared" si="48"/>
        <v>478.04171104805528</v>
      </c>
      <c r="Q225" s="2">
        <f t="shared" si="50"/>
        <v>50.443777062938352</v>
      </c>
      <c r="R225" s="2">
        <f t="shared" si="50"/>
        <v>1275.7139834414479</v>
      </c>
      <c r="S225" s="2">
        <f t="shared" si="49"/>
        <v>222.22642816895834</v>
      </c>
    </row>
    <row r="226" spans="2:19" x14ac:dyDescent="0.25">
      <c r="B226">
        <v>173</v>
      </c>
      <c r="C226" s="27">
        <v>9</v>
      </c>
      <c r="D226" s="39" t="s">
        <v>511</v>
      </c>
      <c r="E226" s="162">
        <f>INDEX('2018 Data Lockdown'!H$5:H$255, MATCH(B226,'2018 Data Lockdown'!B$5:B$255,0))</f>
        <v>331.48</v>
      </c>
      <c r="F226" s="7">
        <f>INDEX('2018 Data Lockdown'!E$5:E$255,MATCH(B226,'2018 Data Lockdown'!B$5:B$255,0))</f>
        <v>163416.66</v>
      </c>
      <c r="G226" s="7">
        <f>INDEX('2018 Data Lockdown'!F$5:F$255, MATCH(B226,'2018 Data Lockdown'!B$5:B$255,0))</f>
        <v>8.85</v>
      </c>
      <c r="H226" s="7">
        <f t="shared" si="40"/>
        <v>163407.81</v>
      </c>
      <c r="I226" s="6">
        <f t="shared" si="41"/>
        <v>492.96431157234218</v>
      </c>
      <c r="J226" s="6">
        <f t="shared" si="42"/>
        <v>492.96431157234218</v>
      </c>
      <c r="K226" s="5">
        <f t="shared" si="43"/>
        <v>163407.81</v>
      </c>
      <c r="L226" s="4">
        <f t="shared" si="44"/>
        <v>0</v>
      </c>
      <c r="M226" s="2">
        <f t="shared" si="45"/>
        <v>663.07888025219313</v>
      </c>
      <c r="N226" s="1">
        <f t="shared" si="46"/>
        <v>30</v>
      </c>
      <c r="O226" s="3">
        <f t="shared" si="47"/>
        <v>28938.966477131726</v>
      </c>
      <c r="P226" s="2">
        <f t="shared" si="48"/>
        <v>478.04171104805528</v>
      </c>
      <c r="Q226" s="2">
        <f t="shared" ref="Q226:R245" si="51">NORMINV(Q$4,$M226,$P226)</f>
        <v>50.443777062938352</v>
      </c>
      <c r="R226" s="2">
        <f t="shared" si="51"/>
        <v>1275.7139834414479</v>
      </c>
      <c r="S226" s="2">
        <f t="shared" si="49"/>
        <v>492.96431157234218</v>
      </c>
    </row>
    <row r="227" spans="2:19" x14ac:dyDescent="0.25">
      <c r="B227">
        <v>204</v>
      </c>
      <c r="C227" s="27">
        <v>9</v>
      </c>
      <c r="D227" s="39" t="s">
        <v>512</v>
      </c>
      <c r="E227" s="162">
        <f>INDEX('2018 Data Lockdown'!H$5:H$255, MATCH(B227,'2018 Data Lockdown'!B$5:B$255,0))</f>
        <v>580.96721526919669</v>
      </c>
      <c r="F227" s="7">
        <f>INDEX('2018 Data Lockdown'!E$5:E$255,MATCH(B227,'2018 Data Lockdown'!B$5:B$255,0))</f>
        <v>537687.29</v>
      </c>
      <c r="G227" s="7">
        <f>INDEX('2018 Data Lockdown'!F$5:F$255, MATCH(B227,'2018 Data Lockdown'!B$5:B$255,0))</f>
        <v>13863.43</v>
      </c>
      <c r="H227" s="7">
        <f t="shared" si="40"/>
        <v>523823.86000000004</v>
      </c>
      <c r="I227" s="6">
        <f t="shared" si="41"/>
        <v>901.64099837764729</v>
      </c>
      <c r="J227" s="6">
        <f t="shared" si="42"/>
        <v>901.64099837764729</v>
      </c>
      <c r="K227" s="5">
        <f t="shared" si="43"/>
        <v>523823.86000000004</v>
      </c>
      <c r="L227" s="4">
        <f t="shared" si="44"/>
        <v>0</v>
      </c>
      <c r="M227" s="2">
        <f t="shared" si="45"/>
        <v>663.07888025219313</v>
      </c>
      <c r="N227" s="1">
        <f t="shared" si="46"/>
        <v>30</v>
      </c>
      <c r="O227" s="3">
        <f t="shared" si="47"/>
        <v>56911.884204503149</v>
      </c>
      <c r="P227" s="2">
        <f t="shared" si="48"/>
        <v>478.04171104805528</v>
      </c>
      <c r="Q227" s="2">
        <f t="shared" si="51"/>
        <v>50.443777062938352</v>
      </c>
      <c r="R227" s="2">
        <f t="shared" si="51"/>
        <v>1275.7139834414479</v>
      </c>
      <c r="S227" s="2">
        <f t="shared" si="49"/>
        <v>901.64099837764729</v>
      </c>
    </row>
    <row r="228" spans="2:19" x14ac:dyDescent="0.25">
      <c r="B228">
        <v>230</v>
      </c>
      <c r="C228" s="27">
        <v>9</v>
      </c>
      <c r="D228" s="39" t="s">
        <v>514</v>
      </c>
      <c r="E228" s="162">
        <f>INDEX('2018 Data Lockdown'!H$5:H$255, MATCH(B228,'2018 Data Lockdown'!B$5:B$255,0))</f>
        <v>138.87109847515134</v>
      </c>
      <c r="F228" s="7">
        <f>INDEX('2018 Data Lockdown'!E$5:E$255,MATCH(B228,'2018 Data Lockdown'!B$5:B$255,0))</f>
        <v>74126.899999999994</v>
      </c>
      <c r="G228" s="7">
        <f>INDEX('2018 Data Lockdown'!F$5:F$255, MATCH(B228,'2018 Data Lockdown'!B$5:B$255,0))</f>
        <v>2183.36</v>
      </c>
      <c r="H228" s="7">
        <f t="shared" si="40"/>
        <v>71943.539999999994</v>
      </c>
      <c r="I228" s="6">
        <f t="shared" si="41"/>
        <v>518.05984679290975</v>
      </c>
      <c r="J228" s="6">
        <f t="shared" si="42"/>
        <v>518.05984679290975</v>
      </c>
      <c r="K228" s="5">
        <f t="shared" si="43"/>
        <v>71943.539999999994</v>
      </c>
      <c r="L228" s="4">
        <f t="shared" si="44"/>
        <v>0</v>
      </c>
      <c r="M228" s="2">
        <f t="shared" si="45"/>
        <v>663.07888025219313</v>
      </c>
      <c r="N228" s="1">
        <f t="shared" si="46"/>
        <v>30</v>
      </c>
      <c r="O228" s="3">
        <f t="shared" si="47"/>
        <v>21030.520065464752</v>
      </c>
      <c r="P228" s="2">
        <f t="shared" si="48"/>
        <v>478.04171104805528</v>
      </c>
      <c r="Q228" s="2">
        <f t="shared" si="51"/>
        <v>50.443777062938352</v>
      </c>
      <c r="R228" s="2">
        <f t="shared" si="51"/>
        <v>1275.7139834414479</v>
      </c>
      <c r="S228" s="2">
        <f t="shared" si="49"/>
        <v>518.05984679290975</v>
      </c>
    </row>
    <row r="229" spans="2:19" x14ac:dyDescent="0.25">
      <c r="B229" s="17">
        <v>277</v>
      </c>
      <c r="C229" s="27">
        <v>9</v>
      </c>
      <c r="D229" s="39" t="s">
        <v>515</v>
      </c>
      <c r="E229" s="162">
        <f>INDEX('2018 Data Lockdown'!H$5:H$255, MATCH(B229,'2018 Data Lockdown'!B$5:B$255,0))</f>
        <v>116.68788323704716</v>
      </c>
      <c r="F229" s="7">
        <f>INDEX('2018 Data Lockdown'!E$5:E$255,MATCH(B229,'2018 Data Lockdown'!B$5:B$255,0))</f>
        <v>80836.320000000007</v>
      </c>
      <c r="G229" s="7">
        <f>INDEX('2018 Data Lockdown'!F$5:F$255, MATCH(B229,'2018 Data Lockdown'!B$5:B$255,0))</f>
        <v>0</v>
      </c>
      <c r="H229" s="7">
        <f t="shared" si="40"/>
        <v>80836.320000000007</v>
      </c>
      <c r="I229" s="6">
        <f t="shared" si="41"/>
        <v>692.75676066369272</v>
      </c>
      <c r="J229" s="6">
        <f t="shared" si="42"/>
        <v>692.75676066369272</v>
      </c>
      <c r="K229" s="5">
        <f t="shared" si="43"/>
        <v>80836.320000000007</v>
      </c>
      <c r="L229" s="4">
        <f t="shared" si="44"/>
        <v>0</v>
      </c>
      <c r="M229" s="2">
        <f t="shared" si="45"/>
        <v>663.07888025219313</v>
      </c>
      <c r="N229" s="1">
        <f t="shared" si="46"/>
        <v>30</v>
      </c>
      <c r="O229" s="3">
        <f t="shared" si="47"/>
        <v>880.77658571927088</v>
      </c>
      <c r="P229" s="2">
        <f t="shared" si="48"/>
        <v>478.04171104805528</v>
      </c>
      <c r="Q229" s="2">
        <f t="shared" si="51"/>
        <v>50.443777062938352</v>
      </c>
      <c r="R229" s="2">
        <f t="shared" si="51"/>
        <v>1275.7139834414479</v>
      </c>
      <c r="S229" s="2">
        <f t="shared" si="49"/>
        <v>692.75676066369272</v>
      </c>
    </row>
    <row r="230" spans="2:19" x14ac:dyDescent="0.25">
      <c r="B230" s="17">
        <v>279</v>
      </c>
      <c r="C230" s="44">
        <v>9</v>
      </c>
      <c r="D230" s="39" t="s">
        <v>516</v>
      </c>
      <c r="E230" s="162">
        <f>INDEX('2018 Data Lockdown'!H$5:H$255, MATCH(B230,'2018 Data Lockdown'!B$5:B$255,0))</f>
        <v>433.73772503612372</v>
      </c>
      <c r="F230" s="7">
        <f>INDEX('2018 Data Lockdown'!E$5:E$255,MATCH(B230,'2018 Data Lockdown'!B$5:B$255,0))</f>
        <v>169004.5</v>
      </c>
      <c r="G230" s="7">
        <f>INDEX('2018 Data Lockdown'!F$5:F$255, MATCH(B230,'2018 Data Lockdown'!B$5:B$255,0))</f>
        <v>672</v>
      </c>
      <c r="H230" s="7">
        <f t="shared" si="40"/>
        <v>168332.5</v>
      </c>
      <c r="I230" s="6">
        <f t="shared" si="41"/>
        <v>388.09743834475194</v>
      </c>
      <c r="J230" s="6">
        <f t="shared" si="42"/>
        <v>388.09743834475194</v>
      </c>
      <c r="K230" s="5">
        <f t="shared" si="43"/>
        <v>168332.5</v>
      </c>
      <c r="L230" s="4">
        <f t="shared" si="44"/>
        <v>0</v>
      </c>
      <c r="M230" s="2">
        <f t="shared" si="45"/>
        <v>663.07888025219313</v>
      </c>
      <c r="N230" s="1">
        <f t="shared" si="46"/>
        <v>30</v>
      </c>
      <c r="O230" s="3">
        <f t="shared" si="47"/>
        <v>75614.793393495464</v>
      </c>
      <c r="P230" s="2">
        <f t="shared" si="48"/>
        <v>478.04171104805528</v>
      </c>
      <c r="Q230" s="2">
        <f t="shared" si="51"/>
        <v>50.443777062938352</v>
      </c>
      <c r="R230" s="2">
        <f t="shared" si="51"/>
        <v>1275.7139834414479</v>
      </c>
      <c r="S230" s="2">
        <f t="shared" si="49"/>
        <v>388.09743834475194</v>
      </c>
    </row>
    <row r="231" spans="2:19" x14ac:dyDescent="0.25">
      <c r="B231">
        <v>331</v>
      </c>
      <c r="C231" s="46">
        <v>9</v>
      </c>
      <c r="D231" s="39" t="s">
        <v>517</v>
      </c>
      <c r="E231" s="162">
        <f>INDEX('2018 Data Lockdown'!H$5:H$255, MATCH(B231,'2018 Data Lockdown'!B$5:B$255,0))</f>
        <v>394.99809912383472</v>
      </c>
      <c r="F231" s="7">
        <f>INDEX('2018 Data Lockdown'!E$5:E$255,MATCH(B231,'2018 Data Lockdown'!B$5:B$255,0))</f>
        <v>154031.09</v>
      </c>
      <c r="G231" s="7">
        <f>INDEX('2018 Data Lockdown'!F$5:F$255, MATCH(B231,'2018 Data Lockdown'!B$5:B$255,0))</f>
        <v>1052.98</v>
      </c>
      <c r="H231" s="7">
        <f t="shared" si="40"/>
        <v>152978.10999999999</v>
      </c>
      <c r="I231" s="6">
        <f t="shared" si="41"/>
        <v>387.28821819479253</v>
      </c>
      <c r="J231" s="6">
        <f t="shared" si="42"/>
        <v>387.28821819479253</v>
      </c>
      <c r="K231" s="5">
        <f t="shared" si="43"/>
        <v>152978.10999999999</v>
      </c>
      <c r="L231" s="4">
        <f t="shared" si="44"/>
        <v>0</v>
      </c>
      <c r="M231" s="2">
        <f t="shared" si="45"/>
        <v>663.07888025219313</v>
      </c>
      <c r="N231" s="1">
        <f t="shared" si="46"/>
        <v>30</v>
      </c>
      <c r="O231" s="3">
        <f t="shared" si="47"/>
        <v>76060.489278059336</v>
      </c>
      <c r="P231" s="2">
        <f t="shared" si="48"/>
        <v>478.04171104805528</v>
      </c>
      <c r="Q231" s="2">
        <f t="shared" si="51"/>
        <v>50.443777062938352</v>
      </c>
      <c r="R231" s="2">
        <f t="shared" si="51"/>
        <v>1275.7139834414479</v>
      </c>
      <c r="S231" s="2">
        <f t="shared" si="49"/>
        <v>387.28821819479253</v>
      </c>
    </row>
    <row r="232" spans="2:19" x14ac:dyDescent="0.25">
      <c r="B232">
        <v>369</v>
      </c>
      <c r="C232" s="46">
        <v>9</v>
      </c>
      <c r="D232" s="39" t="s">
        <v>518</v>
      </c>
      <c r="E232" s="162">
        <f>INDEX('2018 Data Lockdown'!H$5:H$255, MATCH(B232,'2018 Data Lockdown'!B$5:B$255,0))</f>
        <v>361.24999999999994</v>
      </c>
      <c r="F232" s="7">
        <f>INDEX('2018 Data Lockdown'!E$5:E$255,MATCH(B232,'2018 Data Lockdown'!B$5:B$255,0))</f>
        <v>450151.28</v>
      </c>
      <c r="G232" s="7">
        <f>INDEX('2018 Data Lockdown'!F$5:F$255, MATCH(B232,'2018 Data Lockdown'!B$5:B$255,0))</f>
        <v>0</v>
      </c>
      <c r="H232" s="7">
        <f t="shared" si="40"/>
        <v>450151.28</v>
      </c>
      <c r="I232" s="6">
        <f t="shared" si="41"/>
        <v>1246.0935086505192</v>
      </c>
      <c r="J232" s="6">
        <f t="shared" si="42"/>
        <v>1246.0935086505192</v>
      </c>
      <c r="K232" s="5">
        <f t="shared" si="43"/>
        <v>450151.27999999997</v>
      </c>
      <c r="L232" s="4">
        <f t="shared" si="44"/>
        <v>0</v>
      </c>
      <c r="M232" s="2">
        <f t="shared" si="45"/>
        <v>663.07888025219313</v>
      </c>
      <c r="N232" s="1">
        <f t="shared" si="46"/>
        <v>30</v>
      </c>
      <c r="O232" s="3">
        <f t="shared" si="47"/>
        <v>339906.05692643824</v>
      </c>
      <c r="P232" s="2">
        <f t="shared" si="48"/>
        <v>478.04171104805528</v>
      </c>
      <c r="Q232" s="2">
        <f t="shared" si="51"/>
        <v>50.443777062938352</v>
      </c>
      <c r="R232" s="2">
        <f t="shared" si="51"/>
        <v>1275.7139834414479</v>
      </c>
      <c r="S232" s="2">
        <f t="shared" si="49"/>
        <v>1246.0935086505192</v>
      </c>
    </row>
    <row r="233" spans="2:19" x14ac:dyDescent="0.25">
      <c r="B233">
        <v>416</v>
      </c>
      <c r="C233" s="46">
        <v>9</v>
      </c>
      <c r="D233" s="39" t="s">
        <v>519</v>
      </c>
      <c r="E233" s="162">
        <f>INDEX('2018 Data Lockdown'!H$5:H$255, MATCH(B233,'2018 Data Lockdown'!B$5:B$255,0))</f>
        <v>77.118547672694447</v>
      </c>
      <c r="F233" s="7">
        <f>INDEX('2018 Data Lockdown'!E$5:E$255,MATCH(B233,'2018 Data Lockdown'!B$5:B$255,0))</f>
        <v>53379.53</v>
      </c>
      <c r="G233" s="7">
        <f>INDEX('2018 Data Lockdown'!F$5:F$255, MATCH(B233,'2018 Data Lockdown'!B$5:B$255,0))</f>
        <v>735</v>
      </c>
      <c r="H233" s="7">
        <f t="shared" si="40"/>
        <v>52644.53</v>
      </c>
      <c r="I233" s="6">
        <f t="shared" si="41"/>
        <v>682.6442093208658</v>
      </c>
      <c r="J233" s="6">
        <f t="shared" si="42"/>
        <v>682.6442093208658</v>
      </c>
      <c r="K233" s="5">
        <f t="shared" si="43"/>
        <v>52644.53</v>
      </c>
      <c r="L233" s="4">
        <f t="shared" si="44"/>
        <v>0</v>
      </c>
      <c r="M233" s="2">
        <f t="shared" si="45"/>
        <v>663.07888025219313</v>
      </c>
      <c r="N233" s="1">
        <f t="shared" si="46"/>
        <v>30</v>
      </c>
      <c r="O233" s="3">
        <f t="shared" si="47"/>
        <v>382.80210156544769</v>
      </c>
      <c r="P233" s="2">
        <f t="shared" si="48"/>
        <v>478.04171104805528</v>
      </c>
      <c r="Q233" s="2">
        <f t="shared" si="51"/>
        <v>50.443777062938352</v>
      </c>
      <c r="R233" s="2">
        <f t="shared" si="51"/>
        <v>1275.7139834414479</v>
      </c>
      <c r="S233" s="2">
        <f t="shared" si="49"/>
        <v>682.6442093208658</v>
      </c>
    </row>
    <row r="234" spans="2:19" x14ac:dyDescent="0.25">
      <c r="B234">
        <v>508</v>
      </c>
      <c r="C234" s="46">
        <v>9</v>
      </c>
      <c r="D234" s="39" t="s">
        <v>521</v>
      </c>
      <c r="E234" s="162">
        <f>INDEX('2018 Data Lockdown'!H$5:H$255, MATCH(B234,'2018 Data Lockdown'!B$5:B$255,0))</f>
        <v>97.534402669301102</v>
      </c>
      <c r="F234" s="7">
        <f>INDEX('2018 Data Lockdown'!E$5:E$255,MATCH(B234,'2018 Data Lockdown'!B$5:B$255,0))</f>
        <v>70511.86</v>
      </c>
      <c r="G234" s="7">
        <f>INDEX('2018 Data Lockdown'!F$5:F$255, MATCH(B234,'2018 Data Lockdown'!B$5:B$255,0))</f>
        <v>0</v>
      </c>
      <c r="H234" s="7">
        <f t="shared" si="40"/>
        <v>70511.86</v>
      </c>
      <c r="I234" s="6">
        <f t="shared" si="41"/>
        <v>722.94347502261962</v>
      </c>
      <c r="J234" s="6">
        <f t="shared" si="42"/>
        <v>722.94347502261962</v>
      </c>
      <c r="K234" s="5">
        <f t="shared" si="43"/>
        <v>70511.86</v>
      </c>
      <c r="L234" s="4">
        <f t="shared" si="44"/>
        <v>0</v>
      </c>
      <c r="M234" s="2">
        <f t="shared" si="45"/>
        <v>663.07888025219313</v>
      </c>
      <c r="N234" s="1">
        <f t="shared" si="46"/>
        <v>30</v>
      </c>
      <c r="O234" s="3">
        <f t="shared" si="47"/>
        <v>3583.7697070273748</v>
      </c>
      <c r="P234" s="2">
        <f t="shared" si="48"/>
        <v>478.04171104805528</v>
      </c>
      <c r="Q234" s="2">
        <f t="shared" si="51"/>
        <v>50.443777062938352</v>
      </c>
      <c r="R234" s="2">
        <f t="shared" si="51"/>
        <v>1275.7139834414479</v>
      </c>
      <c r="S234" s="2">
        <f t="shared" si="49"/>
        <v>722.94347502261962</v>
      </c>
    </row>
    <row r="235" spans="2:19" x14ac:dyDescent="0.25">
      <c r="B235">
        <v>512</v>
      </c>
      <c r="C235" s="46">
        <v>9</v>
      </c>
      <c r="D235" s="39" t="s">
        <v>522</v>
      </c>
      <c r="E235" s="162">
        <f>INDEX('2018 Data Lockdown'!H$5:H$255, MATCH(B235,'2018 Data Lockdown'!B$5:B$255,0))</f>
        <v>240.71591575946039</v>
      </c>
      <c r="F235" s="7">
        <f>INDEX('2018 Data Lockdown'!E$5:E$255,MATCH(B235,'2018 Data Lockdown'!B$5:B$255,0))</f>
        <v>289506.95</v>
      </c>
      <c r="G235" s="7">
        <f>INDEX('2018 Data Lockdown'!F$5:F$255, MATCH(B235,'2018 Data Lockdown'!B$5:B$255,0))</f>
        <v>6673.84</v>
      </c>
      <c r="H235" s="7">
        <f t="shared" si="40"/>
        <v>282833.11</v>
      </c>
      <c r="I235" s="6">
        <f t="shared" si="41"/>
        <v>1174.9663876925611</v>
      </c>
      <c r="J235" s="6">
        <f t="shared" si="42"/>
        <v>1174.9663876925611</v>
      </c>
      <c r="K235" s="5">
        <f t="shared" si="43"/>
        <v>282833.11</v>
      </c>
      <c r="L235" s="4">
        <f t="shared" si="44"/>
        <v>0</v>
      </c>
      <c r="M235" s="2">
        <f t="shared" si="45"/>
        <v>663.07888025219313</v>
      </c>
      <c r="N235" s="1">
        <f t="shared" si="46"/>
        <v>30</v>
      </c>
      <c r="O235" s="3">
        <f t="shared" si="47"/>
        <v>262028.82027351274</v>
      </c>
      <c r="P235" s="2">
        <f t="shared" si="48"/>
        <v>478.04171104805528</v>
      </c>
      <c r="Q235" s="2">
        <f t="shared" si="51"/>
        <v>50.443777062938352</v>
      </c>
      <c r="R235" s="2">
        <f t="shared" si="51"/>
        <v>1275.7139834414479</v>
      </c>
      <c r="S235" s="2">
        <f t="shared" si="49"/>
        <v>1174.9663876925611</v>
      </c>
    </row>
    <row r="236" spans="2:19" x14ac:dyDescent="0.25">
      <c r="B236">
        <v>516</v>
      </c>
      <c r="C236" s="46">
        <v>9</v>
      </c>
      <c r="D236" s="39" t="s">
        <v>523</v>
      </c>
      <c r="E236" s="162">
        <f>INDEX('2018 Data Lockdown'!H$5:H$255, MATCH(B236,'2018 Data Lockdown'!B$5:B$255,0))</f>
        <v>342.01065921214706</v>
      </c>
      <c r="F236" s="7">
        <f>INDEX('2018 Data Lockdown'!E$5:E$255,MATCH(B236,'2018 Data Lockdown'!B$5:B$255,0))</f>
        <v>167497.34</v>
      </c>
      <c r="G236" s="7">
        <f>INDEX('2018 Data Lockdown'!F$5:F$255, MATCH(B236,'2018 Data Lockdown'!B$5:B$255,0))</f>
        <v>180.64</v>
      </c>
      <c r="H236" s="7">
        <f t="shared" si="40"/>
        <v>167316.69999999998</v>
      </c>
      <c r="I236" s="6">
        <f t="shared" si="41"/>
        <v>489.21486945883311</v>
      </c>
      <c r="J236" s="6">
        <f t="shared" si="42"/>
        <v>489.21486945883311</v>
      </c>
      <c r="K236" s="5">
        <f t="shared" si="43"/>
        <v>167316.69999999998</v>
      </c>
      <c r="L236" s="4">
        <f t="shared" si="44"/>
        <v>0</v>
      </c>
      <c r="M236" s="2">
        <f t="shared" si="45"/>
        <v>663.07888025219313</v>
      </c>
      <c r="N236" s="1">
        <f t="shared" si="46"/>
        <v>30</v>
      </c>
      <c r="O236" s="3">
        <f t="shared" si="47"/>
        <v>30228.69424915361</v>
      </c>
      <c r="P236" s="2">
        <f t="shared" si="48"/>
        <v>478.04171104805528</v>
      </c>
      <c r="Q236" s="2">
        <f t="shared" si="51"/>
        <v>50.443777062938352</v>
      </c>
      <c r="R236" s="2">
        <f t="shared" si="51"/>
        <v>1275.7139834414479</v>
      </c>
      <c r="S236" s="2">
        <f t="shared" si="49"/>
        <v>489.21486945883311</v>
      </c>
    </row>
    <row r="237" spans="2:19" x14ac:dyDescent="0.25">
      <c r="B237">
        <v>521</v>
      </c>
      <c r="C237" s="46">
        <v>9</v>
      </c>
      <c r="D237" s="39" t="s">
        <v>524</v>
      </c>
      <c r="E237" s="162">
        <f>INDEX('2018 Data Lockdown'!H$5:H$255, MATCH(B237,'2018 Data Lockdown'!B$5:B$255,0))</f>
        <v>150.54889539237996</v>
      </c>
      <c r="F237" s="7">
        <f>INDEX('2018 Data Lockdown'!E$5:E$255,MATCH(B237,'2018 Data Lockdown'!B$5:B$255,0))</f>
        <v>373633.01</v>
      </c>
      <c r="G237" s="7">
        <f>INDEX('2018 Data Lockdown'!F$5:F$255, MATCH(B237,'2018 Data Lockdown'!B$5:B$255,0))</f>
        <v>8.85</v>
      </c>
      <c r="H237" s="7">
        <f t="shared" si="40"/>
        <v>373624.16000000003</v>
      </c>
      <c r="I237" s="6">
        <f t="shared" si="41"/>
        <v>2481.746272705705</v>
      </c>
      <c r="J237" s="6">
        <f t="shared" si="42"/>
        <v>1275.7139834414479</v>
      </c>
      <c r="K237" s="5">
        <f t="shared" si="43"/>
        <v>192057.33104372289</v>
      </c>
      <c r="L237" s="4">
        <f t="shared" si="44"/>
        <v>0</v>
      </c>
      <c r="M237" s="2">
        <f t="shared" si="45"/>
        <v>663.07888025219313</v>
      </c>
      <c r="N237" s="1">
        <f t="shared" si="46"/>
        <v>30</v>
      </c>
      <c r="O237" s="3">
        <f t="shared" si="47"/>
        <v>3307551.0843736562</v>
      </c>
      <c r="P237" s="2">
        <f t="shared" si="48"/>
        <v>478.04171104805528</v>
      </c>
      <c r="Q237" s="2">
        <f t="shared" si="51"/>
        <v>50.443777062938352</v>
      </c>
      <c r="R237" s="2">
        <f t="shared" si="51"/>
        <v>1275.7139834414479</v>
      </c>
      <c r="S237" s="2">
        <f t="shared" si="49"/>
        <v>1275.7139834414479</v>
      </c>
    </row>
    <row r="238" spans="2:19" x14ac:dyDescent="0.25">
      <c r="B238">
        <v>522</v>
      </c>
      <c r="C238" s="46">
        <v>9</v>
      </c>
      <c r="D238" s="39" t="s">
        <v>525</v>
      </c>
      <c r="E238" s="162">
        <f>INDEX('2018 Data Lockdown'!H$5:H$255, MATCH(B238,'2018 Data Lockdown'!B$5:B$255,0))</f>
        <v>107.92268224354619</v>
      </c>
      <c r="F238" s="7">
        <f>INDEX('2018 Data Lockdown'!E$5:E$255,MATCH(B238,'2018 Data Lockdown'!B$5:B$255,0))</f>
        <v>93639.74</v>
      </c>
      <c r="G238" s="7">
        <f>INDEX('2018 Data Lockdown'!F$5:F$255, MATCH(B238,'2018 Data Lockdown'!B$5:B$255,0))</f>
        <v>36</v>
      </c>
      <c r="H238" s="7">
        <f t="shared" si="40"/>
        <v>93603.74</v>
      </c>
      <c r="I238" s="6">
        <f t="shared" si="41"/>
        <v>867.32221674000823</v>
      </c>
      <c r="J238" s="6">
        <f t="shared" si="42"/>
        <v>867.32221674000823</v>
      </c>
      <c r="K238" s="5">
        <f t="shared" si="43"/>
        <v>93603.74</v>
      </c>
      <c r="L238" s="4">
        <f t="shared" si="44"/>
        <v>0</v>
      </c>
      <c r="M238" s="2">
        <f t="shared" si="45"/>
        <v>663.07888025219313</v>
      </c>
      <c r="N238" s="1">
        <f t="shared" si="46"/>
        <v>30</v>
      </c>
      <c r="O238" s="3">
        <f t="shared" si="47"/>
        <v>41715.340499674865</v>
      </c>
      <c r="P238" s="2">
        <f t="shared" si="48"/>
        <v>478.04171104805528</v>
      </c>
      <c r="Q238" s="2">
        <f t="shared" si="51"/>
        <v>50.443777062938352</v>
      </c>
      <c r="R238" s="2">
        <f t="shared" si="51"/>
        <v>1275.7139834414479</v>
      </c>
      <c r="S238" s="2">
        <f t="shared" si="49"/>
        <v>867.32221674000823</v>
      </c>
    </row>
    <row r="239" spans="2:19" x14ac:dyDescent="0.25">
      <c r="B239">
        <v>523</v>
      </c>
      <c r="C239" s="46">
        <v>9</v>
      </c>
      <c r="D239" s="39" t="s">
        <v>526</v>
      </c>
      <c r="E239" s="162">
        <f>INDEX('2018 Data Lockdown'!H$5:H$255, MATCH(B239,'2018 Data Lockdown'!B$5:B$255,0))</f>
        <v>909.72292386160336</v>
      </c>
      <c r="F239" s="7">
        <f>INDEX('2018 Data Lockdown'!E$5:E$255,MATCH(B239,'2018 Data Lockdown'!B$5:B$255,0))</f>
        <v>285802.86</v>
      </c>
      <c r="G239" s="7">
        <f>INDEX('2018 Data Lockdown'!F$5:F$255, MATCH(B239,'2018 Data Lockdown'!B$5:B$255,0))</f>
        <v>321.60000000000002</v>
      </c>
      <c r="H239" s="7">
        <f t="shared" si="40"/>
        <v>285481.26</v>
      </c>
      <c r="I239" s="6">
        <f t="shared" si="41"/>
        <v>313.81121934158318</v>
      </c>
      <c r="J239" s="6">
        <f t="shared" si="42"/>
        <v>313.81121934158318</v>
      </c>
      <c r="K239" s="5">
        <f t="shared" si="43"/>
        <v>285481.26</v>
      </c>
      <c r="L239" s="4">
        <f t="shared" si="44"/>
        <v>0</v>
      </c>
      <c r="M239" s="2">
        <f t="shared" si="45"/>
        <v>663.07888025219313</v>
      </c>
      <c r="N239" s="1">
        <f t="shared" si="46"/>
        <v>30</v>
      </c>
      <c r="O239" s="3">
        <f t="shared" si="47"/>
        <v>121987.89895796881</v>
      </c>
      <c r="P239" s="2">
        <f t="shared" si="48"/>
        <v>478.04171104805528</v>
      </c>
      <c r="Q239" s="2">
        <f t="shared" si="51"/>
        <v>50.443777062938352</v>
      </c>
      <c r="R239" s="2">
        <f t="shared" si="51"/>
        <v>1275.7139834414479</v>
      </c>
      <c r="S239" s="2">
        <f t="shared" si="49"/>
        <v>313.81121934158318</v>
      </c>
    </row>
    <row r="240" spans="2:19" x14ac:dyDescent="0.25">
      <c r="B240">
        <v>527</v>
      </c>
      <c r="C240" s="46">
        <v>9</v>
      </c>
      <c r="D240" s="39" t="s">
        <v>527</v>
      </c>
      <c r="E240" s="162">
        <f>INDEX('2018 Data Lockdown'!H$5:H$255, MATCH(B240,'2018 Data Lockdown'!B$5:B$255,0))</f>
        <v>178.04356936970052</v>
      </c>
      <c r="F240" s="7">
        <f>INDEX('2018 Data Lockdown'!E$5:E$255,MATCH(B240,'2018 Data Lockdown'!B$5:B$255,0))</f>
        <v>119863.42</v>
      </c>
      <c r="G240" s="7">
        <f>INDEX('2018 Data Lockdown'!F$5:F$255, MATCH(B240,'2018 Data Lockdown'!B$5:B$255,0))</f>
        <v>135</v>
      </c>
      <c r="H240" s="7">
        <f t="shared" si="40"/>
        <v>119728.42</v>
      </c>
      <c r="I240" s="6">
        <f t="shared" si="41"/>
        <v>672.46697212292236</v>
      </c>
      <c r="J240" s="6">
        <f t="shared" si="42"/>
        <v>672.46697212292236</v>
      </c>
      <c r="K240" s="5">
        <f t="shared" si="43"/>
        <v>119728.42</v>
      </c>
      <c r="L240" s="4">
        <f t="shared" si="44"/>
        <v>0</v>
      </c>
      <c r="M240" s="2">
        <f t="shared" si="45"/>
        <v>663.07888025219313</v>
      </c>
      <c r="N240" s="1">
        <f t="shared" si="46"/>
        <v>30</v>
      </c>
      <c r="O240" s="3">
        <f t="shared" si="47"/>
        <v>88.136268973252186</v>
      </c>
      <c r="P240" s="2">
        <f t="shared" si="48"/>
        <v>478.04171104805528</v>
      </c>
      <c r="Q240" s="2">
        <f t="shared" si="51"/>
        <v>50.443777062938352</v>
      </c>
      <c r="R240" s="2">
        <f t="shared" si="51"/>
        <v>1275.7139834414479</v>
      </c>
      <c r="S240" s="2">
        <f t="shared" si="49"/>
        <v>672.46697212292236</v>
      </c>
    </row>
    <row r="241" spans="2:19" x14ac:dyDescent="0.25">
      <c r="B241">
        <v>543</v>
      </c>
      <c r="C241" s="46">
        <v>9</v>
      </c>
      <c r="D241" s="39" t="s">
        <v>528</v>
      </c>
      <c r="E241" s="162">
        <f>INDEX('2018 Data Lockdown'!H$5:H$255, MATCH(B241,'2018 Data Lockdown'!B$5:B$255,0))</f>
        <v>64.881659320046367</v>
      </c>
      <c r="F241" s="7">
        <f>INDEX('2018 Data Lockdown'!E$5:E$255,MATCH(B241,'2018 Data Lockdown'!B$5:B$255,0))</f>
        <v>42102.49</v>
      </c>
      <c r="G241" s="7">
        <f>INDEX('2018 Data Lockdown'!F$5:F$255, MATCH(B241,'2018 Data Lockdown'!B$5:B$255,0))</f>
        <v>0</v>
      </c>
      <c r="H241" s="7">
        <f t="shared" si="40"/>
        <v>42102.49</v>
      </c>
      <c r="I241" s="6">
        <f t="shared" si="41"/>
        <v>648.91204141863966</v>
      </c>
      <c r="J241" s="6">
        <f t="shared" si="42"/>
        <v>648.91204141863966</v>
      </c>
      <c r="K241" s="5">
        <f t="shared" si="43"/>
        <v>42102.49</v>
      </c>
      <c r="L241" s="4">
        <f t="shared" si="44"/>
        <v>0</v>
      </c>
      <c r="M241" s="2">
        <f t="shared" si="45"/>
        <v>663.07888025219313</v>
      </c>
      <c r="N241" s="1">
        <f t="shared" si="46"/>
        <v>30</v>
      </c>
      <c r="O241" s="3">
        <f t="shared" si="47"/>
        <v>200.69932253587865</v>
      </c>
      <c r="P241" s="2">
        <f t="shared" si="48"/>
        <v>478.04171104805528</v>
      </c>
      <c r="Q241" s="2">
        <f t="shared" si="51"/>
        <v>50.443777062938352</v>
      </c>
      <c r="R241" s="2">
        <f t="shared" si="51"/>
        <v>1275.7139834414479</v>
      </c>
      <c r="S241" s="2">
        <f t="shared" si="49"/>
        <v>648.91204141863966</v>
      </c>
    </row>
    <row r="242" spans="2:19" x14ac:dyDescent="0.25">
      <c r="B242">
        <v>547</v>
      </c>
      <c r="C242" s="46">
        <v>9</v>
      </c>
      <c r="D242" s="39" t="s">
        <v>529</v>
      </c>
      <c r="E242" s="162">
        <f>INDEX('2018 Data Lockdown'!H$5:H$255, MATCH(B242,'2018 Data Lockdown'!B$5:B$255,0))</f>
        <v>231.39171343327169</v>
      </c>
      <c r="F242" s="7">
        <f>INDEX('2018 Data Lockdown'!E$5:E$255,MATCH(B242,'2018 Data Lockdown'!B$5:B$255,0))</f>
        <v>122807.2</v>
      </c>
      <c r="G242" s="7">
        <f>INDEX('2018 Data Lockdown'!F$5:F$255, MATCH(B242,'2018 Data Lockdown'!B$5:B$255,0))</f>
        <v>0</v>
      </c>
      <c r="H242" s="7">
        <f t="shared" si="40"/>
        <v>122807.2</v>
      </c>
      <c r="I242" s="6">
        <f t="shared" si="41"/>
        <v>530.73292114851347</v>
      </c>
      <c r="J242" s="6">
        <f t="shared" si="42"/>
        <v>530.73292114851347</v>
      </c>
      <c r="K242" s="5">
        <f t="shared" si="43"/>
        <v>122807.20000000001</v>
      </c>
      <c r="L242" s="4">
        <f t="shared" si="44"/>
        <v>0</v>
      </c>
      <c r="M242" s="2">
        <f t="shared" si="45"/>
        <v>663.07888025219313</v>
      </c>
      <c r="N242" s="1">
        <f t="shared" si="46"/>
        <v>30</v>
      </c>
      <c r="O242" s="3">
        <f t="shared" si="47"/>
        <v>17515.452891072848</v>
      </c>
      <c r="P242" s="2">
        <f t="shared" si="48"/>
        <v>478.04171104805528</v>
      </c>
      <c r="Q242" s="2">
        <f t="shared" si="51"/>
        <v>50.443777062938352</v>
      </c>
      <c r="R242" s="2">
        <f t="shared" si="51"/>
        <v>1275.7139834414479</v>
      </c>
      <c r="S242" s="2">
        <f t="shared" si="49"/>
        <v>530.73292114851347</v>
      </c>
    </row>
    <row r="243" spans="2:19" x14ac:dyDescent="0.25">
      <c r="B243">
        <v>552</v>
      </c>
      <c r="C243" s="46">
        <v>9</v>
      </c>
      <c r="D243" s="39" t="s">
        <v>530</v>
      </c>
      <c r="E243" s="162">
        <f>INDEX('2018 Data Lockdown'!H$5:H$255, MATCH(B243,'2018 Data Lockdown'!B$5:B$255,0))</f>
        <v>114.55</v>
      </c>
      <c r="F243" s="7">
        <f>INDEX('2018 Data Lockdown'!E$5:E$255,MATCH(B243,'2018 Data Lockdown'!B$5:B$255,0))</f>
        <v>108827.49</v>
      </c>
      <c r="G243" s="7">
        <f>INDEX('2018 Data Lockdown'!F$5:F$255, MATCH(B243,'2018 Data Lockdown'!B$5:B$255,0))</f>
        <v>0</v>
      </c>
      <c r="H243" s="7">
        <f t="shared" si="40"/>
        <v>108827.49</v>
      </c>
      <c r="I243" s="6">
        <f t="shared" si="41"/>
        <v>950.04356176342219</v>
      </c>
      <c r="J243" s="6">
        <f t="shared" si="42"/>
        <v>950.04356176342219</v>
      </c>
      <c r="K243" s="5">
        <f t="shared" si="43"/>
        <v>108827.49</v>
      </c>
      <c r="L243" s="4">
        <f t="shared" si="44"/>
        <v>0</v>
      </c>
      <c r="M243" s="2">
        <f t="shared" si="45"/>
        <v>663.07888025219313</v>
      </c>
      <c r="N243" s="1">
        <f t="shared" si="46"/>
        <v>30</v>
      </c>
      <c r="O243" s="3">
        <f t="shared" si="47"/>
        <v>82348.728434841134</v>
      </c>
      <c r="P243" s="2">
        <f t="shared" si="48"/>
        <v>478.04171104805528</v>
      </c>
      <c r="Q243" s="2">
        <f t="shared" si="51"/>
        <v>50.443777062938352</v>
      </c>
      <c r="R243" s="2">
        <f t="shared" si="51"/>
        <v>1275.7139834414479</v>
      </c>
      <c r="S243" s="2">
        <f t="shared" si="49"/>
        <v>950.04356176342219</v>
      </c>
    </row>
    <row r="244" spans="2:19" x14ac:dyDescent="0.25">
      <c r="B244" s="36">
        <v>567</v>
      </c>
      <c r="C244" s="207">
        <v>9</v>
      </c>
      <c r="D244" s="39" t="s">
        <v>531</v>
      </c>
      <c r="E244" s="162">
        <f>INDEX('2018 Data Lockdown'!H$5:H$255, MATCH(B244,'2018 Data Lockdown'!B$5:B$255,0))</f>
        <v>343.68793351840543</v>
      </c>
      <c r="F244" s="7">
        <f>INDEX('2018 Data Lockdown'!E$5:E$255,MATCH(B244,'2018 Data Lockdown'!B$5:B$255,0))</f>
        <v>195195.07</v>
      </c>
      <c r="G244" s="7">
        <f>INDEX('2018 Data Lockdown'!F$5:F$255, MATCH(B244,'2018 Data Lockdown'!B$5:B$255,0))</f>
        <v>152</v>
      </c>
      <c r="H244" s="7">
        <f t="shared" si="40"/>
        <v>195043.07</v>
      </c>
      <c r="I244" s="6">
        <f t="shared" si="41"/>
        <v>567.50048802500339</v>
      </c>
      <c r="J244" s="6">
        <f t="shared" si="42"/>
        <v>567.50048802500339</v>
      </c>
      <c r="K244" s="5">
        <f t="shared" si="43"/>
        <v>195043.07</v>
      </c>
      <c r="L244" s="4">
        <f t="shared" si="44"/>
        <v>0</v>
      </c>
      <c r="M244" s="2">
        <f t="shared" si="45"/>
        <v>663.07888025219313</v>
      </c>
      <c r="N244" s="1">
        <f t="shared" si="46"/>
        <v>30</v>
      </c>
      <c r="O244" s="3">
        <f t="shared" si="47"/>
        <v>9135.229060734524</v>
      </c>
      <c r="P244" s="2">
        <f t="shared" si="48"/>
        <v>478.04171104805528</v>
      </c>
      <c r="Q244" s="2">
        <f t="shared" si="51"/>
        <v>50.443777062938352</v>
      </c>
      <c r="R244" s="2">
        <f t="shared" si="51"/>
        <v>1275.7139834414479</v>
      </c>
      <c r="S244" s="2">
        <f t="shared" si="49"/>
        <v>567.50048802500339</v>
      </c>
    </row>
    <row r="245" spans="2:19" x14ac:dyDescent="0.25">
      <c r="B245" s="25">
        <v>629</v>
      </c>
      <c r="C245" s="46">
        <v>9</v>
      </c>
      <c r="D245" s="39" t="s">
        <v>532</v>
      </c>
      <c r="E245" s="162">
        <f>INDEX('2018 Data Lockdown'!H$5:H$255, MATCH(B245,'2018 Data Lockdown'!B$5:B$255,0))</f>
        <v>258.73</v>
      </c>
      <c r="F245" s="7">
        <f>INDEX('2018 Data Lockdown'!E$5:E$255,MATCH(B245,'2018 Data Lockdown'!B$5:B$255,0))</f>
        <v>183277.62</v>
      </c>
      <c r="G245" s="7">
        <f>INDEX('2018 Data Lockdown'!F$5:F$255, MATCH(B245,'2018 Data Lockdown'!B$5:B$255,0))</f>
        <v>561.61</v>
      </c>
      <c r="H245" s="7">
        <f t="shared" si="40"/>
        <v>182716.01</v>
      </c>
      <c r="I245" s="6">
        <f t="shared" si="41"/>
        <v>706.20341668921264</v>
      </c>
      <c r="J245" s="6">
        <f t="shared" si="42"/>
        <v>706.20341668921264</v>
      </c>
      <c r="K245" s="5">
        <f t="shared" si="43"/>
        <v>182716.01</v>
      </c>
      <c r="L245" s="4">
        <f t="shared" si="44"/>
        <v>0</v>
      </c>
      <c r="M245" s="2">
        <f t="shared" si="45"/>
        <v>663.07888025219313</v>
      </c>
      <c r="N245" s="1">
        <f t="shared" si="46"/>
        <v>30</v>
      </c>
      <c r="O245" s="3">
        <f t="shared" si="47"/>
        <v>1859.7256429078238</v>
      </c>
      <c r="P245" s="2">
        <f t="shared" si="48"/>
        <v>478.04171104805528</v>
      </c>
      <c r="Q245" s="2">
        <f t="shared" si="51"/>
        <v>50.443777062938352</v>
      </c>
      <c r="R245" s="2">
        <f t="shared" si="51"/>
        <v>1275.7139834414479</v>
      </c>
      <c r="S245" s="2">
        <f t="shared" si="49"/>
        <v>706.20341668921264</v>
      </c>
    </row>
    <row r="246" spans="2:19" x14ac:dyDescent="0.25">
      <c r="B246" s="25">
        <v>630</v>
      </c>
      <c r="C246" s="46">
        <v>9</v>
      </c>
      <c r="D246" s="39" t="s">
        <v>533</v>
      </c>
      <c r="E246" s="162">
        <f>INDEX('2018 Data Lockdown'!H$5:H$255, MATCH(B246,'2018 Data Lockdown'!B$5:B$255,0))</f>
        <v>179.48000000000002</v>
      </c>
      <c r="F246" s="7">
        <f>INDEX('2018 Data Lockdown'!E$5:E$255,MATCH(B246,'2018 Data Lockdown'!B$5:B$255,0))</f>
        <v>233180.61</v>
      </c>
      <c r="G246" s="7">
        <f>INDEX('2018 Data Lockdown'!F$5:F$255, MATCH(B246,'2018 Data Lockdown'!B$5:B$255,0))</f>
        <v>2518.79</v>
      </c>
      <c r="H246" s="7">
        <f t="shared" si="40"/>
        <v>230661.81999999998</v>
      </c>
      <c r="I246" s="6">
        <f t="shared" si="41"/>
        <v>1285.1672609761531</v>
      </c>
      <c r="J246" s="6">
        <f t="shared" si="42"/>
        <v>1275.7139834414479</v>
      </c>
      <c r="K246" s="5">
        <f t="shared" si="43"/>
        <v>228965.14574807108</v>
      </c>
      <c r="L246" s="4">
        <f t="shared" si="44"/>
        <v>0</v>
      </c>
      <c r="M246" s="2">
        <f t="shared" si="45"/>
        <v>663.07888025219313</v>
      </c>
      <c r="N246" s="1">
        <f t="shared" si="46"/>
        <v>30</v>
      </c>
      <c r="O246" s="3">
        <f t="shared" si="47"/>
        <v>386993.95343175856</v>
      </c>
      <c r="P246" s="2">
        <f t="shared" si="48"/>
        <v>478.04171104805528</v>
      </c>
      <c r="Q246" s="2">
        <f t="shared" ref="Q246:R254" si="52">NORMINV(Q$4,$M246,$P246)</f>
        <v>50.443777062938352</v>
      </c>
      <c r="R246" s="2">
        <f t="shared" si="52"/>
        <v>1275.7139834414479</v>
      </c>
      <c r="S246" s="2">
        <f t="shared" si="49"/>
        <v>1275.7139834414479</v>
      </c>
    </row>
    <row r="247" spans="2:19" x14ac:dyDescent="0.25">
      <c r="B247" s="25">
        <v>695</v>
      </c>
      <c r="C247" s="46">
        <v>9</v>
      </c>
      <c r="D247" s="39" t="s">
        <v>534</v>
      </c>
      <c r="E247" s="162">
        <f>INDEX('2018 Data Lockdown'!H$5:H$255, MATCH(B247,'2018 Data Lockdown'!B$5:B$255,0))</f>
        <v>29.69831035912819</v>
      </c>
      <c r="F247" s="7">
        <f>INDEX('2018 Data Lockdown'!E$5:E$255,MATCH(B247,'2018 Data Lockdown'!B$5:B$255,0))</f>
        <v>40518.69</v>
      </c>
      <c r="G247" s="7">
        <f>INDEX('2018 Data Lockdown'!F$5:F$255, MATCH(B247,'2018 Data Lockdown'!B$5:B$255,0))</f>
        <v>0</v>
      </c>
      <c r="H247" s="7">
        <f t="shared" si="40"/>
        <v>40518.69</v>
      </c>
      <c r="I247" s="6">
        <f t="shared" si="41"/>
        <v>1364.3432744161494</v>
      </c>
      <c r="J247" s="6">
        <f t="shared" si="42"/>
        <v>1275.7139834414479</v>
      </c>
      <c r="K247" s="5">
        <f t="shared" si="43"/>
        <v>37886.549809723838</v>
      </c>
      <c r="L247" s="4">
        <f t="shared" si="44"/>
        <v>0</v>
      </c>
      <c r="M247" s="2">
        <f t="shared" si="45"/>
        <v>663.07888025219313</v>
      </c>
      <c r="N247" s="1">
        <f t="shared" si="46"/>
        <v>30</v>
      </c>
      <c r="O247" s="3">
        <f t="shared" si="47"/>
        <v>491771.75052214059</v>
      </c>
      <c r="P247" s="2">
        <f t="shared" si="48"/>
        <v>478.04171104805528</v>
      </c>
      <c r="Q247" s="2">
        <f t="shared" si="52"/>
        <v>50.443777062938352</v>
      </c>
      <c r="R247" s="2">
        <f t="shared" si="52"/>
        <v>1275.7139834414479</v>
      </c>
      <c r="S247" s="2">
        <f t="shared" si="49"/>
        <v>1275.7139834414479</v>
      </c>
    </row>
    <row r="248" spans="2:19" x14ac:dyDescent="0.25">
      <c r="B248" s="25">
        <v>771</v>
      </c>
      <c r="C248" s="46">
        <v>9</v>
      </c>
      <c r="D248" s="39" t="s">
        <v>535</v>
      </c>
      <c r="E248" s="162">
        <f>INDEX('2018 Data Lockdown'!H$5:H$255, MATCH(B248,'2018 Data Lockdown'!B$5:B$255,0))</f>
        <v>176.36629506344221</v>
      </c>
      <c r="F248" s="7">
        <f>INDEX('2018 Data Lockdown'!E$5:E$255,MATCH(B248,'2018 Data Lockdown'!B$5:B$255,0))</f>
        <v>63559.46</v>
      </c>
      <c r="G248" s="7">
        <f>INDEX('2018 Data Lockdown'!F$5:F$255, MATCH(B248,'2018 Data Lockdown'!B$5:B$255,0))</f>
        <v>0</v>
      </c>
      <c r="H248" s="7">
        <f t="shared" si="40"/>
        <v>63559.46</v>
      </c>
      <c r="I248" s="6">
        <f t="shared" si="41"/>
        <v>360.38325790728032</v>
      </c>
      <c r="J248" s="6">
        <f t="shared" si="42"/>
        <v>360.38325790728032</v>
      </c>
      <c r="K248" s="5">
        <f t="shared" si="43"/>
        <v>63559.459999999992</v>
      </c>
      <c r="L248" s="4">
        <f t="shared" si="44"/>
        <v>0</v>
      </c>
      <c r="M248" s="2">
        <f t="shared" si="45"/>
        <v>663.07888025219313</v>
      </c>
      <c r="N248" s="1">
        <f t="shared" si="46"/>
        <v>30</v>
      </c>
      <c r="O248" s="3">
        <f t="shared" si="47"/>
        <v>91624.639786774074</v>
      </c>
      <c r="P248" s="2">
        <f t="shared" si="48"/>
        <v>478.04171104805528</v>
      </c>
      <c r="Q248" s="2">
        <f t="shared" si="52"/>
        <v>50.443777062938352</v>
      </c>
      <c r="R248" s="2">
        <f t="shared" si="52"/>
        <v>1275.7139834414479</v>
      </c>
      <c r="S248" s="2">
        <f t="shared" si="49"/>
        <v>360.38325790728032</v>
      </c>
    </row>
    <row r="249" spans="2:19" x14ac:dyDescent="0.25">
      <c r="B249" s="25">
        <v>830</v>
      </c>
      <c r="C249" s="46">
        <v>9</v>
      </c>
      <c r="D249" s="39" t="s">
        <v>536</v>
      </c>
      <c r="E249" s="162">
        <f>INDEX('2018 Data Lockdown'!H$5:H$255, MATCH(B249,'2018 Data Lockdown'!B$5:B$255,0))</f>
        <v>22.210358152227126</v>
      </c>
      <c r="F249" s="7">
        <f>INDEX('2018 Data Lockdown'!E$5:E$255,MATCH(B249,'2018 Data Lockdown'!B$5:B$255,0))</f>
        <v>25322.05</v>
      </c>
      <c r="G249" s="7">
        <f>INDEX('2018 Data Lockdown'!F$5:F$255, MATCH(B249,'2018 Data Lockdown'!B$5:B$255,0))</f>
        <v>0</v>
      </c>
      <c r="H249" s="7">
        <f t="shared" si="40"/>
        <v>25322.05</v>
      </c>
      <c r="I249" s="6">
        <f t="shared" si="41"/>
        <v>1140.1009306759356</v>
      </c>
      <c r="J249" s="6">
        <f t="shared" si="42"/>
        <v>1140.1009306759356</v>
      </c>
      <c r="K249" s="5">
        <f t="shared" si="43"/>
        <v>25322.05</v>
      </c>
      <c r="L249" s="4">
        <f t="shared" si="44"/>
        <v>0</v>
      </c>
      <c r="M249" s="2">
        <f t="shared" si="45"/>
        <v>663.07888025219313</v>
      </c>
      <c r="N249" s="1">
        <f t="shared" si="46"/>
        <v>30</v>
      </c>
      <c r="O249" s="3">
        <f t="shared" si="47"/>
        <v>227550.03659047151</v>
      </c>
      <c r="P249" s="2">
        <f t="shared" si="48"/>
        <v>478.04171104805528</v>
      </c>
      <c r="Q249" s="2">
        <f t="shared" si="52"/>
        <v>50.443777062938352</v>
      </c>
      <c r="R249" s="2">
        <f t="shared" si="52"/>
        <v>1275.7139834414479</v>
      </c>
      <c r="S249" s="2">
        <f t="shared" si="49"/>
        <v>1140.1009306759356</v>
      </c>
    </row>
    <row r="250" spans="2:19" x14ac:dyDescent="0.25">
      <c r="B250" s="25">
        <v>936</v>
      </c>
      <c r="C250" s="46">
        <v>9</v>
      </c>
      <c r="D250" s="39" t="s">
        <v>537</v>
      </c>
      <c r="E250" s="162">
        <f>INDEX('2018 Data Lockdown'!H$5:H$255, MATCH(B250,'2018 Data Lockdown'!B$5:B$255,0))</f>
        <v>43.383691867789167</v>
      </c>
      <c r="F250" s="7">
        <f>INDEX('2018 Data Lockdown'!E$5:E$255,MATCH(B250,'2018 Data Lockdown'!B$5:B$255,0))</f>
        <v>69869.86</v>
      </c>
      <c r="G250" s="7">
        <f>INDEX('2018 Data Lockdown'!F$5:F$255, MATCH(B250,'2018 Data Lockdown'!B$5:B$255,0))</f>
        <v>0</v>
      </c>
      <c r="H250" s="7">
        <f t="shared" si="40"/>
        <v>69869.86</v>
      </c>
      <c r="I250" s="6">
        <f t="shared" si="41"/>
        <v>1610.5097789493536</v>
      </c>
      <c r="J250" s="6">
        <f t="shared" si="42"/>
        <v>1275.7139834414479</v>
      </c>
      <c r="K250" s="5">
        <f t="shared" si="43"/>
        <v>55345.182369053669</v>
      </c>
      <c r="L250" s="4">
        <f t="shared" si="44"/>
        <v>0</v>
      </c>
      <c r="M250" s="2">
        <f t="shared" si="45"/>
        <v>663.07888025219313</v>
      </c>
      <c r="N250" s="1">
        <f t="shared" si="46"/>
        <v>30</v>
      </c>
      <c r="O250" s="3">
        <f t="shared" si="47"/>
        <v>897625.30780610919</v>
      </c>
      <c r="P250" s="2">
        <f t="shared" si="48"/>
        <v>478.04171104805528</v>
      </c>
      <c r="Q250" s="2">
        <f t="shared" si="52"/>
        <v>50.443777062938352</v>
      </c>
      <c r="R250" s="2">
        <f t="shared" si="52"/>
        <v>1275.7139834414479</v>
      </c>
      <c r="S250" s="2">
        <f t="shared" si="49"/>
        <v>1275.7139834414479</v>
      </c>
    </row>
    <row r="251" spans="2:19" x14ac:dyDescent="0.25">
      <c r="B251" s="25">
        <v>952</v>
      </c>
      <c r="C251" s="46">
        <v>9</v>
      </c>
      <c r="D251" s="39" t="s">
        <v>538</v>
      </c>
      <c r="E251" s="162">
        <f>INDEX('2018 Data Lockdown'!H$5:H$255, MATCH(B251,'2018 Data Lockdown'!B$5:B$255,0))</f>
        <v>65.756366888363871</v>
      </c>
      <c r="F251" s="7">
        <f>INDEX('2018 Data Lockdown'!E$5:E$255,MATCH(B251,'2018 Data Lockdown'!B$5:B$255,0))</f>
        <v>81300.5</v>
      </c>
      <c r="G251" s="7">
        <f>INDEX('2018 Data Lockdown'!F$5:F$255, MATCH(B251,'2018 Data Lockdown'!B$5:B$255,0))</f>
        <v>3878.1</v>
      </c>
      <c r="H251" s="7">
        <f t="shared" si="40"/>
        <v>77422.399999999994</v>
      </c>
      <c r="I251" s="6">
        <f t="shared" si="41"/>
        <v>1177.4129816423986</v>
      </c>
      <c r="J251" s="6">
        <f t="shared" si="42"/>
        <v>1177.4129816423986</v>
      </c>
      <c r="K251" s="5">
        <f t="shared" si="43"/>
        <v>77422.399999999994</v>
      </c>
      <c r="L251" s="4">
        <f t="shared" si="44"/>
        <v>0</v>
      </c>
      <c r="M251" s="2">
        <f t="shared" si="45"/>
        <v>663.07888025219313</v>
      </c>
      <c r="N251" s="1">
        <f t="shared" si="46"/>
        <v>30</v>
      </c>
      <c r="O251" s="3">
        <f t="shared" si="47"/>
        <v>264539.5678528701</v>
      </c>
      <c r="P251" s="2">
        <f t="shared" si="48"/>
        <v>478.04171104805528</v>
      </c>
      <c r="Q251" s="2">
        <f t="shared" si="52"/>
        <v>50.443777062938352</v>
      </c>
      <c r="R251" s="2">
        <f t="shared" si="52"/>
        <v>1275.7139834414479</v>
      </c>
      <c r="S251" s="2">
        <f t="shared" si="49"/>
        <v>1177.4129816423986</v>
      </c>
    </row>
    <row r="252" spans="2:19" x14ac:dyDescent="0.25">
      <c r="B252" s="25">
        <v>982</v>
      </c>
      <c r="C252" s="46">
        <v>9</v>
      </c>
      <c r="D252" s="39" t="s">
        <v>539</v>
      </c>
      <c r="E252" s="162">
        <f>INDEX('2018 Data Lockdown'!H$5:H$255, MATCH(B252,'2018 Data Lockdown'!B$5:B$255,0))</f>
        <v>97.412690933606555</v>
      </c>
      <c r="F252" s="7">
        <f>INDEX('2018 Data Lockdown'!E$5:E$255,MATCH(B252,'2018 Data Lockdown'!B$5:B$255,0))</f>
        <v>107892.54</v>
      </c>
      <c r="G252" s="7">
        <f>INDEX('2018 Data Lockdown'!F$5:F$255, MATCH(B252,'2018 Data Lockdown'!B$5:B$255,0))</f>
        <v>0</v>
      </c>
      <c r="H252" s="7">
        <f t="shared" si="40"/>
        <v>107892.54</v>
      </c>
      <c r="I252" s="6">
        <f t="shared" si="41"/>
        <v>1107.5819686937523</v>
      </c>
      <c r="J252" s="6">
        <f t="shared" si="42"/>
        <v>1107.5819686937523</v>
      </c>
      <c r="K252" s="5">
        <f t="shared" si="43"/>
        <v>107892.53999999998</v>
      </c>
      <c r="L252" s="4">
        <f t="shared" si="44"/>
        <v>0</v>
      </c>
      <c r="M252" s="2">
        <f t="shared" si="45"/>
        <v>663.07888025219313</v>
      </c>
      <c r="N252" s="1">
        <f t="shared" si="46"/>
        <v>30</v>
      </c>
      <c r="O252" s="3">
        <f t="shared" si="47"/>
        <v>197582.99563408457</v>
      </c>
      <c r="P252" s="2">
        <f t="shared" si="48"/>
        <v>478.04171104805528</v>
      </c>
      <c r="Q252" s="2">
        <f t="shared" si="52"/>
        <v>50.443777062938352</v>
      </c>
      <c r="R252" s="2">
        <f t="shared" si="52"/>
        <v>1275.7139834414479</v>
      </c>
      <c r="S252" s="2">
        <f t="shared" si="49"/>
        <v>1107.5819686937523</v>
      </c>
    </row>
    <row r="253" spans="2:19" x14ac:dyDescent="0.25">
      <c r="B253" s="25">
        <v>987</v>
      </c>
      <c r="C253" s="46">
        <v>9</v>
      </c>
      <c r="D253" s="39" t="s">
        <v>540</v>
      </c>
      <c r="E253" s="162">
        <f>INDEX('2018 Data Lockdown'!H$5:H$255, MATCH(B253,'2018 Data Lockdown'!B$5:B$255,0))</f>
        <v>253.77541145224947</v>
      </c>
      <c r="F253" s="7">
        <f>INDEX('2018 Data Lockdown'!E$5:E$255,MATCH(B253,'2018 Data Lockdown'!B$5:B$255,0))</f>
        <v>88557.58</v>
      </c>
      <c r="G253" s="7">
        <f>INDEX('2018 Data Lockdown'!F$5:F$255, MATCH(B253,'2018 Data Lockdown'!B$5:B$255,0))</f>
        <v>0</v>
      </c>
      <c r="H253" s="7">
        <f t="shared" si="40"/>
        <v>88557.58</v>
      </c>
      <c r="I253" s="6">
        <f t="shared" si="41"/>
        <v>348.96044298863467</v>
      </c>
      <c r="J253" s="6">
        <f t="shared" si="42"/>
        <v>348.96044298863467</v>
      </c>
      <c r="K253" s="5">
        <f t="shared" si="43"/>
        <v>88557.58</v>
      </c>
      <c r="L253" s="4">
        <f t="shared" si="44"/>
        <v>0</v>
      </c>
      <c r="M253" s="2">
        <f t="shared" si="45"/>
        <v>663.07888025219313</v>
      </c>
      <c r="N253" s="1">
        <f t="shared" si="46"/>
        <v>30</v>
      </c>
      <c r="O253" s="3">
        <f t="shared" si="47"/>
        <v>98670.39262890011</v>
      </c>
      <c r="P253" s="2">
        <f t="shared" si="48"/>
        <v>478.04171104805528</v>
      </c>
      <c r="Q253" s="2">
        <f t="shared" si="52"/>
        <v>50.443777062938352</v>
      </c>
      <c r="R253" s="2">
        <f t="shared" si="52"/>
        <v>1275.7139834414479</v>
      </c>
      <c r="S253" s="2">
        <f t="shared" si="49"/>
        <v>348.96044298863467</v>
      </c>
    </row>
    <row r="254" spans="2:19" x14ac:dyDescent="0.25">
      <c r="B254" s="25">
        <v>998</v>
      </c>
      <c r="C254" s="46">
        <v>9</v>
      </c>
      <c r="D254" s="39" t="s">
        <v>545</v>
      </c>
      <c r="E254" s="162">
        <f>INDEX('2018 Data Lockdown'!H$5:H$255, MATCH(B254,'2018 Data Lockdown'!B$5:B$255,0))</f>
        <v>87.200228717838542</v>
      </c>
      <c r="F254" s="7">
        <f>INDEX('2018 Data Lockdown'!E$5:E$255,MATCH(B254,'2018 Data Lockdown'!B$5:B$255,0))</f>
        <v>219857.96</v>
      </c>
      <c r="G254" s="7">
        <f>INDEX('2018 Data Lockdown'!F$5:F$255, MATCH(B254,'2018 Data Lockdown'!B$5:B$255,0))</f>
        <v>0</v>
      </c>
      <c r="H254" s="7">
        <f t="shared" si="40"/>
        <v>219857.96</v>
      </c>
      <c r="I254" s="6">
        <f t="shared" si="41"/>
        <v>2521.3002675877578</v>
      </c>
      <c r="J254" s="6">
        <f t="shared" si="42"/>
        <v>1275.7139834414479</v>
      </c>
      <c r="K254" s="5">
        <f t="shared" si="43"/>
        <v>111242.55113463914</v>
      </c>
      <c r="L254" s="4">
        <f t="shared" si="44"/>
        <v>0</v>
      </c>
      <c r="M254" s="2">
        <f t="shared" si="45"/>
        <v>663.07888025219313</v>
      </c>
      <c r="N254" s="1">
        <f t="shared" si="46"/>
        <v>30</v>
      </c>
      <c r="O254" s="3">
        <f t="shared" si="47"/>
        <v>3452986.7243513106</v>
      </c>
      <c r="P254" s="2">
        <f t="shared" si="48"/>
        <v>478.04171104805528</v>
      </c>
      <c r="Q254" s="2">
        <f t="shared" si="52"/>
        <v>50.443777062938352</v>
      </c>
      <c r="R254" s="2">
        <f t="shared" si="52"/>
        <v>1275.7139834414479</v>
      </c>
      <c r="S254" s="2">
        <f t="shared" si="49"/>
        <v>1275.7139834414479</v>
      </c>
    </row>
  </sheetData>
  <conditionalFormatting sqref="H7:S76 B51:D77 E6:S6 H78:S254 E7:G254">
    <cfRule type="expression" dxfId="53" priority="25">
      <formula>$C6&lt;&gt;$C5</formula>
    </cfRule>
  </conditionalFormatting>
  <conditionalFormatting sqref="J6:J254">
    <cfRule type="expression" dxfId="52" priority="23">
      <formula>$J6&lt;$I6=TRUE</formula>
    </cfRule>
  </conditionalFormatting>
  <conditionalFormatting sqref="B151:D163 B165:D170 B214:D236 B83:D149 B78:D80 B172:D182 B184:D212 B6:D49">
    <cfRule type="expression" dxfId="51" priority="15">
      <formula>$C6&lt;&gt;$C5</formula>
    </cfRule>
  </conditionalFormatting>
  <conditionalFormatting sqref="B50:D50 B164:D164 B213:D213 B81:D81 B183:D183">
    <cfRule type="expression" dxfId="50" priority="16">
      <formula>$C50&lt;&gt;$C48</formula>
    </cfRule>
  </conditionalFormatting>
  <conditionalFormatting sqref="B82:D82">
    <cfRule type="expression" dxfId="49" priority="18">
      <formula>$C82&lt;&gt;$C79</formula>
    </cfRule>
  </conditionalFormatting>
  <conditionalFormatting sqref="B150:D150 B171:D171">
    <cfRule type="expression" dxfId="48" priority="17">
      <formula>$C150&lt;&gt;#REF!</formula>
    </cfRule>
  </conditionalFormatting>
  <conditionalFormatting sqref="S6:S254">
    <cfRule type="expression" dxfId="47" priority="13">
      <formula>$S6&lt;$I6=TRUE</formula>
    </cfRule>
    <cfRule type="expression" dxfId="46" priority="14">
      <formula>$S6&gt;$I6=TRUE</formula>
    </cfRule>
  </conditionalFormatting>
  <conditionalFormatting sqref="E4">
    <cfRule type="expression" dxfId="45" priority="6">
      <formula>$C4&lt;&gt;$C3</formula>
    </cfRule>
  </conditionalFormatting>
  <conditionalFormatting sqref="E4">
    <cfRule type="expression" dxfId="44" priority="5">
      <formula>$C4&lt;&gt;$C3</formula>
    </cfRule>
  </conditionalFormatting>
  <conditionalFormatting sqref="E4">
    <cfRule type="expression" dxfId="43" priority="4">
      <formula>$C4&lt;&gt;$C3</formula>
    </cfRule>
  </conditionalFormatting>
  <conditionalFormatting sqref="F4">
    <cfRule type="expression" dxfId="42" priority="3">
      <formula>$C4&lt;&gt;$C3</formula>
    </cfRule>
  </conditionalFormatting>
  <conditionalFormatting sqref="G4">
    <cfRule type="expression" dxfId="41" priority="2">
      <formula>$C4&lt;&gt;$C3</formula>
    </cfRule>
  </conditionalFormatting>
  <conditionalFormatting sqref="H4">
    <cfRule type="expression" dxfId="40" priority="1">
      <formula>$C4&lt;&gt;$C3</formula>
    </cfRule>
  </conditionalFormatting>
  <conditionalFormatting sqref="H77:S77">
    <cfRule type="expression" dxfId="39" priority="42">
      <formula>$C77&lt;&gt;#REF!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9" tint="0.79998168889431442"/>
  </sheetPr>
  <dimension ref="A1:I253"/>
  <sheetViews>
    <sheetView workbookViewId="0"/>
  </sheetViews>
  <sheetFormatPr defaultColWidth="8.85546875" defaultRowHeight="15" x14ac:dyDescent="0.25"/>
  <cols>
    <col min="1" max="1" width="4.85546875" style="31" customWidth="1"/>
    <col min="2" max="2" width="8.5703125" style="31" customWidth="1"/>
    <col min="3" max="3" width="8.85546875" style="31"/>
    <col min="4" max="4" width="53" style="31" customWidth="1"/>
    <col min="5" max="8" width="13.85546875" style="31" customWidth="1"/>
    <col min="9" max="9" width="12.85546875" style="29" customWidth="1"/>
    <col min="10" max="16384" width="8.85546875" style="31"/>
  </cols>
  <sheetData>
    <row r="1" spans="1:9" x14ac:dyDescent="0.25">
      <c r="A1" s="29"/>
      <c r="B1" s="29"/>
      <c r="C1" s="29"/>
      <c r="D1" s="29"/>
      <c r="E1" s="29" t="s">
        <v>14</v>
      </c>
      <c r="F1" s="30">
        <v>1000</v>
      </c>
      <c r="H1" s="31" t="s">
        <v>15</v>
      </c>
      <c r="I1" s="32" cm="1">
        <f t="array" ref="I1">AVERAGE(IF($I$5:$I$250&lt;&gt;0,IF($I$5:$I$250&lt;=F1,$I$5:$I$250)))</f>
        <v>501.44256975170623</v>
      </c>
    </row>
    <row r="2" spans="1:9" x14ac:dyDescent="0.25">
      <c r="B2" s="33" t="s">
        <v>571</v>
      </c>
      <c r="E2" s="34"/>
      <c r="H2" s="31" t="s">
        <v>16</v>
      </c>
      <c r="I2" s="32" cm="1">
        <f t="array" ref="I2">STDEV(IF($I$5:$I$250&lt;&gt;0,IF($I$5:$I$250&lt;=F1,$I$5:$I$250)))</f>
        <v>210.90350647090685</v>
      </c>
    </row>
    <row r="3" spans="1:9" ht="15.75" thickBot="1" x14ac:dyDescent="0.3">
      <c r="E3" s="35">
        <f>SUM(E5:E281)</f>
        <v>366648957.74999952</v>
      </c>
      <c r="F3" s="35">
        <f>SUM(F5:F281)</f>
        <v>75098964.159999996</v>
      </c>
      <c r="G3" s="35">
        <f>SUM(G5:G281)</f>
        <v>291549993.58999985</v>
      </c>
      <c r="H3" s="42">
        <f>SUM(H5:H281)</f>
        <v>780555.21799223369</v>
      </c>
      <c r="I3" s="30">
        <f>G3/H3</f>
        <v>373.51616755561895</v>
      </c>
    </row>
    <row r="4" spans="1:9" ht="45.75" thickBot="1" x14ac:dyDescent="0.3">
      <c r="B4" s="12" t="s">
        <v>11</v>
      </c>
      <c r="C4" s="12" t="s">
        <v>10</v>
      </c>
      <c r="D4" s="12" t="s">
        <v>9</v>
      </c>
      <c r="E4" s="12" t="s">
        <v>17</v>
      </c>
      <c r="F4" s="12" t="s">
        <v>18</v>
      </c>
      <c r="G4" s="12" t="s">
        <v>19</v>
      </c>
      <c r="H4" s="37" t="s">
        <v>20</v>
      </c>
      <c r="I4" s="12" t="s">
        <v>21</v>
      </c>
    </row>
    <row r="5" spans="1:9" x14ac:dyDescent="0.25">
      <c r="A5" s="38"/>
      <c r="B5" s="157">
        <v>1</v>
      </c>
      <c r="C5" s="27">
        <v>1</v>
      </c>
      <c r="D5" s="39" t="s">
        <v>299</v>
      </c>
      <c r="E5" s="40">
        <v>9766397.1899999995</v>
      </c>
      <c r="F5" s="41">
        <v>568925.55000000005</v>
      </c>
      <c r="G5" s="41">
        <v>9197471.6399999987</v>
      </c>
      <c r="H5" s="42">
        <v>38779.589531164704</v>
      </c>
      <c r="I5" s="43">
        <v>237.17300134413676</v>
      </c>
    </row>
    <row r="6" spans="1:9" x14ac:dyDescent="0.25">
      <c r="A6" s="38"/>
      <c r="B6" s="157">
        <v>20</v>
      </c>
      <c r="C6" s="27">
        <v>1</v>
      </c>
      <c r="D6" s="39" t="s">
        <v>300</v>
      </c>
      <c r="E6" s="40">
        <v>71739245.819999993</v>
      </c>
      <c r="F6" s="41">
        <v>10663964.02</v>
      </c>
      <c r="G6" s="41">
        <v>61075281.799999997</v>
      </c>
      <c r="H6" s="42">
        <v>95138.34</v>
      </c>
      <c r="I6" s="43">
        <v>641.96287006899638</v>
      </c>
    </row>
    <row r="7" spans="1:9" x14ac:dyDescent="0.25">
      <c r="A7" s="38"/>
      <c r="B7" s="157">
        <v>50</v>
      </c>
      <c r="C7" s="27">
        <v>1</v>
      </c>
      <c r="D7" s="39" t="s">
        <v>301</v>
      </c>
      <c r="E7" s="40">
        <v>10267643.390000001</v>
      </c>
      <c r="F7" s="41">
        <v>3253400.57</v>
      </c>
      <c r="G7" s="41">
        <v>7014242.8200000003</v>
      </c>
      <c r="H7" s="42">
        <v>21832.32</v>
      </c>
      <c r="I7" s="43">
        <v>321.27794114413859</v>
      </c>
    </row>
    <row r="8" spans="1:9" x14ac:dyDescent="0.25">
      <c r="A8" s="38"/>
      <c r="B8" s="157">
        <v>97</v>
      </c>
      <c r="C8" s="27">
        <v>1</v>
      </c>
      <c r="D8" s="39" t="s">
        <v>302</v>
      </c>
      <c r="E8" s="40">
        <v>29671076.98</v>
      </c>
      <c r="F8" s="41">
        <v>5189475.3699999992</v>
      </c>
      <c r="G8" s="41">
        <v>24481601.609999999</v>
      </c>
      <c r="H8" s="42">
        <v>65811.663101711354</v>
      </c>
      <c r="I8" s="43">
        <v>371.99487835710664</v>
      </c>
    </row>
    <row r="9" spans="1:9" x14ac:dyDescent="0.25">
      <c r="A9" s="38"/>
      <c r="B9" s="157">
        <v>172</v>
      </c>
      <c r="C9" s="27">
        <v>1</v>
      </c>
      <c r="D9" s="39" t="s">
        <v>303</v>
      </c>
      <c r="E9" s="40">
        <v>15497137.449999999</v>
      </c>
      <c r="F9" s="41">
        <v>3445193.7500000005</v>
      </c>
      <c r="G9" s="41">
        <v>12051943.699999999</v>
      </c>
      <c r="H9" s="42">
        <v>34341.100000000006</v>
      </c>
      <c r="I9" s="43">
        <v>350.94809717801695</v>
      </c>
    </row>
    <row r="10" spans="1:9" x14ac:dyDescent="0.25">
      <c r="A10" s="38"/>
      <c r="B10" s="157">
        <v>270</v>
      </c>
      <c r="C10" s="27">
        <v>1</v>
      </c>
      <c r="D10" s="39" t="s">
        <v>304</v>
      </c>
      <c r="E10" s="40">
        <v>36853205.850000001</v>
      </c>
      <c r="F10" s="41">
        <v>6800569.6699999999</v>
      </c>
      <c r="G10" s="41">
        <v>30052636.18</v>
      </c>
      <c r="H10" s="42">
        <v>81774.8</v>
      </c>
      <c r="I10" s="43">
        <v>367.50485699751022</v>
      </c>
    </row>
    <row r="11" spans="1:9" x14ac:dyDescent="0.25">
      <c r="A11" s="38"/>
      <c r="B11" s="157">
        <v>6</v>
      </c>
      <c r="C11" s="27">
        <v>2</v>
      </c>
      <c r="D11" s="39" t="s">
        <v>305</v>
      </c>
      <c r="E11" s="40">
        <v>19454497.760000002</v>
      </c>
      <c r="F11" s="41">
        <v>4664058.9000000004</v>
      </c>
      <c r="G11" s="41">
        <v>14790438.860000001</v>
      </c>
      <c r="H11" s="42">
        <v>43278</v>
      </c>
      <c r="I11" s="43">
        <v>341.75421368824811</v>
      </c>
    </row>
    <row r="12" spans="1:9" x14ac:dyDescent="0.25">
      <c r="A12" s="38"/>
      <c r="B12" s="157">
        <v>18</v>
      </c>
      <c r="C12" s="27">
        <v>2</v>
      </c>
      <c r="D12" s="39" t="s">
        <v>306</v>
      </c>
      <c r="E12" s="40">
        <v>8155555.9199999999</v>
      </c>
      <c r="F12" s="41">
        <v>3204604.9</v>
      </c>
      <c r="G12" s="41">
        <v>4950951.0199999996</v>
      </c>
      <c r="H12" s="42">
        <v>23157.74</v>
      </c>
      <c r="I12" s="43">
        <v>213.79249529530944</v>
      </c>
    </row>
    <row r="13" spans="1:9" x14ac:dyDescent="0.25">
      <c r="A13" s="38"/>
      <c r="B13" s="157">
        <v>53</v>
      </c>
      <c r="C13" s="27">
        <v>2</v>
      </c>
      <c r="D13" s="39" t="s">
        <v>307</v>
      </c>
      <c r="E13" s="40">
        <v>11201363.85</v>
      </c>
      <c r="F13" s="41">
        <v>3914991.95</v>
      </c>
      <c r="G13" s="41">
        <v>7286371.8999999994</v>
      </c>
      <c r="H13" s="42">
        <v>36449.64</v>
      </c>
      <c r="I13" s="43">
        <v>199.90243799390061</v>
      </c>
    </row>
    <row r="14" spans="1:9" x14ac:dyDescent="0.25">
      <c r="A14" s="38"/>
      <c r="B14" s="157">
        <v>335</v>
      </c>
      <c r="C14" s="27">
        <v>2</v>
      </c>
      <c r="D14" s="39" t="s">
        <v>308</v>
      </c>
      <c r="E14" s="40">
        <v>10253567.189999999</v>
      </c>
      <c r="F14" s="41">
        <v>3115651.2</v>
      </c>
      <c r="G14" s="41">
        <v>7137915.9899999993</v>
      </c>
      <c r="H14" s="42">
        <v>24830.720000000001</v>
      </c>
      <c r="I14" s="43">
        <v>287.46310980913961</v>
      </c>
    </row>
    <row r="15" spans="1:9" x14ac:dyDescent="0.25">
      <c r="A15" s="38"/>
      <c r="B15" s="157">
        <v>357</v>
      </c>
      <c r="C15" s="27">
        <v>2</v>
      </c>
      <c r="D15" s="39" t="s">
        <v>309</v>
      </c>
      <c r="E15" s="40">
        <v>12842982.59</v>
      </c>
      <c r="F15" s="41">
        <v>4901152.2100000009</v>
      </c>
      <c r="G15" s="41">
        <v>7941830.379999999</v>
      </c>
      <c r="H15" s="42">
        <v>35854.92</v>
      </c>
      <c r="I15" s="43">
        <v>221.49904057797366</v>
      </c>
    </row>
    <row r="16" spans="1:9" x14ac:dyDescent="0.25">
      <c r="A16" s="38"/>
      <c r="B16" s="157">
        <v>441</v>
      </c>
      <c r="C16" s="27">
        <v>2</v>
      </c>
      <c r="D16" s="39" t="s">
        <v>310</v>
      </c>
      <c r="E16" s="40">
        <v>19699264.510000002</v>
      </c>
      <c r="F16" s="41">
        <v>8176719.169999999</v>
      </c>
      <c r="G16" s="41">
        <v>11522545.340000004</v>
      </c>
      <c r="H16" s="42">
        <v>56329.880000000012</v>
      </c>
      <c r="I16" s="43">
        <v>204.55476454059553</v>
      </c>
    </row>
    <row r="17" spans="1:9" x14ac:dyDescent="0.25">
      <c r="A17" s="38"/>
      <c r="B17" s="157">
        <v>14</v>
      </c>
      <c r="C17" s="27">
        <v>3</v>
      </c>
      <c r="D17" s="39" t="s">
        <v>311</v>
      </c>
      <c r="E17" s="40">
        <v>2606685.4500000002</v>
      </c>
      <c r="F17" s="41">
        <v>263239.97000000003</v>
      </c>
      <c r="G17" s="41">
        <v>2343445.48</v>
      </c>
      <c r="H17" s="42">
        <v>11367.08</v>
      </c>
      <c r="I17" s="43">
        <v>206.16072729320106</v>
      </c>
    </row>
    <row r="18" spans="1:9" x14ac:dyDescent="0.25">
      <c r="A18" s="38"/>
      <c r="B18" s="157">
        <v>36</v>
      </c>
      <c r="C18" s="27">
        <v>3</v>
      </c>
      <c r="D18" s="39" t="s">
        <v>312</v>
      </c>
      <c r="E18" s="40">
        <v>6197835.3200000003</v>
      </c>
      <c r="F18" s="41">
        <v>874483.81000000017</v>
      </c>
      <c r="G18" s="41">
        <v>5323351.51</v>
      </c>
      <c r="H18" s="42">
        <v>8138.780484742425</v>
      </c>
      <c r="I18" s="43">
        <v>654.07237853134859</v>
      </c>
    </row>
    <row r="19" spans="1:9" x14ac:dyDescent="0.25">
      <c r="A19" s="38"/>
      <c r="B19" s="157">
        <v>55</v>
      </c>
      <c r="C19" s="27">
        <v>3</v>
      </c>
      <c r="D19" s="39" t="s">
        <v>313</v>
      </c>
      <c r="E19" s="40">
        <v>1492885.07</v>
      </c>
      <c r="F19" s="41">
        <v>67559.319999999992</v>
      </c>
      <c r="G19" s="41">
        <v>1425325.75</v>
      </c>
      <c r="H19" s="42">
        <v>3445.1599999999994</v>
      </c>
      <c r="I19" s="43">
        <v>413.71830335891519</v>
      </c>
    </row>
    <row r="20" spans="1:9" x14ac:dyDescent="0.25">
      <c r="A20" s="38"/>
      <c r="B20" s="157">
        <v>103</v>
      </c>
      <c r="C20" s="27">
        <v>3</v>
      </c>
      <c r="D20" s="39" t="s">
        <v>314</v>
      </c>
      <c r="E20" s="40">
        <v>1518639.38</v>
      </c>
      <c r="F20" s="41">
        <v>554001.79</v>
      </c>
      <c r="G20" s="41">
        <v>964637.58999999985</v>
      </c>
      <c r="H20" s="42">
        <v>4118.84</v>
      </c>
      <c r="I20" s="43">
        <v>234.20127754416288</v>
      </c>
    </row>
    <row r="21" spans="1:9" x14ac:dyDescent="0.25">
      <c r="A21" s="38"/>
      <c r="B21" s="157">
        <v>123</v>
      </c>
      <c r="C21" s="27">
        <v>3</v>
      </c>
      <c r="D21" s="39" t="s">
        <v>315</v>
      </c>
      <c r="E21" s="40">
        <v>1284089.29</v>
      </c>
      <c r="F21" s="41">
        <v>0</v>
      </c>
      <c r="G21" s="41">
        <v>1284089.29</v>
      </c>
      <c r="H21" s="42">
        <v>6660.5800000000008</v>
      </c>
      <c r="I21" s="43">
        <v>192.78941023154138</v>
      </c>
    </row>
    <row r="22" spans="1:9" x14ac:dyDescent="0.25">
      <c r="A22" s="38"/>
      <c r="B22" s="157">
        <v>179</v>
      </c>
      <c r="C22" s="27">
        <v>3</v>
      </c>
      <c r="D22" s="39" t="s">
        <v>316</v>
      </c>
      <c r="E22" s="40">
        <v>2468879.0699999998</v>
      </c>
      <c r="F22" s="41">
        <v>713319.58000000007</v>
      </c>
      <c r="G22" s="41">
        <v>1755559.4899999998</v>
      </c>
      <c r="H22" s="42">
        <v>6074.0999999999995</v>
      </c>
      <c r="I22" s="43">
        <v>289.02380434961555</v>
      </c>
    </row>
    <row r="23" spans="1:9" x14ac:dyDescent="0.25">
      <c r="A23" s="38"/>
      <c r="B23" s="157">
        <v>293</v>
      </c>
      <c r="C23" s="27">
        <v>3</v>
      </c>
      <c r="D23" s="39" t="s">
        <v>317</v>
      </c>
      <c r="E23" s="40">
        <v>2337931.94</v>
      </c>
      <c r="F23" s="41">
        <v>945985.67999999993</v>
      </c>
      <c r="G23" s="41">
        <v>1391946.26</v>
      </c>
      <c r="H23" s="42">
        <v>7938.2</v>
      </c>
      <c r="I23" s="43">
        <v>175.34784459953138</v>
      </c>
    </row>
    <row r="24" spans="1:9" x14ac:dyDescent="0.25">
      <c r="A24" s="38"/>
      <c r="B24" s="157">
        <v>12</v>
      </c>
      <c r="C24" s="27">
        <v>4</v>
      </c>
      <c r="D24" s="39" t="s">
        <v>318</v>
      </c>
      <c r="E24" s="40">
        <v>2922626.6</v>
      </c>
      <c r="F24" s="41">
        <v>693708.37</v>
      </c>
      <c r="G24" s="41">
        <v>2228918.23</v>
      </c>
      <c r="H24" s="42">
        <v>5092.2999999999993</v>
      </c>
      <c r="I24" s="43">
        <v>437.70363686349987</v>
      </c>
    </row>
    <row r="25" spans="1:9" x14ac:dyDescent="0.25">
      <c r="A25" s="38"/>
      <c r="B25" s="157">
        <v>21</v>
      </c>
      <c r="C25" s="27">
        <v>4</v>
      </c>
      <c r="D25" s="39" t="s">
        <v>319</v>
      </c>
      <c r="E25" s="40">
        <v>3018158.71</v>
      </c>
      <c r="F25" s="41">
        <v>630793.78</v>
      </c>
      <c r="G25" s="41">
        <v>2387364.9299999997</v>
      </c>
      <c r="H25" s="42">
        <v>5179.17</v>
      </c>
      <c r="I25" s="43">
        <v>460.95512022196601</v>
      </c>
    </row>
    <row r="26" spans="1:9" x14ac:dyDescent="0.25">
      <c r="A26" s="38"/>
      <c r="B26" s="157">
        <v>34</v>
      </c>
      <c r="C26" s="27">
        <v>4</v>
      </c>
      <c r="D26" s="39" t="s">
        <v>320</v>
      </c>
      <c r="E26" s="40">
        <v>2143525.2799999998</v>
      </c>
      <c r="F26" s="41">
        <v>564954.64</v>
      </c>
      <c r="G26" s="41">
        <v>1578570.6399999997</v>
      </c>
      <c r="H26" s="42">
        <v>4762.82</v>
      </c>
      <c r="I26" s="43">
        <v>331.43613237535743</v>
      </c>
    </row>
    <row r="27" spans="1:9" x14ac:dyDescent="0.25">
      <c r="A27" s="38"/>
      <c r="B27" s="157">
        <v>87</v>
      </c>
      <c r="C27" s="27">
        <v>4</v>
      </c>
      <c r="D27" s="39" t="s">
        <v>321</v>
      </c>
      <c r="E27" s="40">
        <v>5182853.97</v>
      </c>
      <c r="F27" s="41">
        <v>1110329.5500000003</v>
      </c>
      <c r="G27" s="41">
        <v>4072524.4199999995</v>
      </c>
      <c r="H27" s="42">
        <v>10810.4</v>
      </c>
      <c r="I27" s="43">
        <v>376.72282431732401</v>
      </c>
    </row>
    <row r="28" spans="1:9" x14ac:dyDescent="0.25">
      <c r="A28" s="38"/>
      <c r="B28" s="157">
        <v>88</v>
      </c>
      <c r="C28" s="27">
        <v>4</v>
      </c>
      <c r="D28" s="39" t="s">
        <v>322</v>
      </c>
      <c r="E28" s="40">
        <v>2125011.54</v>
      </c>
      <c r="F28" s="41">
        <v>560089.80000000005</v>
      </c>
      <c r="G28" s="41">
        <v>1564921.74</v>
      </c>
      <c r="H28" s="42">
        <v>4759.3799999999992</v>
      </c>
      <c r="I28" s="43">
        <v>328.80789934823451</v>
      </c>
    </row>
    <row r="29" spans="1:9" x14ac:dyDescent="0.25">
      <c r="A29" s="38"/>
      <c r="B29" s="157">
        <v>89</v>
      </c>
      <c r="C29" s="27">
        <v>4</v>
      </c>
      <c r="D29" s="39" t="s">
        <v>555</v>
      </c>
      <c r="E29" s="40">
        <v>3750607.74</v>
      </c>
      <c r="F29" s="41">
        <v>559601.63</v>
      </c>
      <c r="G29" s="41">
        <v>3191006.1100000003</v>
      </c>
      <c r="H29" s="42">
        <v>5636.98</v>
      </c>
      <c r="I29" s="43">
        <v>566.0843412607461</v>
      </c>
    </row>
    <row r="30" spans="1:9" x14ac:dyDescent="0.25">
      <c r="A30" s="38"/>
      <c r="B30" s="157">
        <v>143</v>
      </c>
      <c r="C30" s="27">
        <v>4</v>
      </c>
      <c r="D30" s="39" t="s">
        <v>324</v>
      </c>
      <c r="E30" s="40">
        <v>956347.7</v>
      </c>
      <c r="F30" s="41">
        <v>393346.75</v>
      </c>
      <c r="G30" s="41">
        <v>563000.94999999995</v>
      </c>
      <c r="H30" s="42">
        <v>2834.8</v>
      </c>
      <c r="I30" s="43">
        <v>198.60341117539153</v>
      </c>
    </row>
    <row r="31" spans="1:9" x14ac:dyDescent="0.25">
      <c r="A31" s="38"/>
      <c r="B31" s="157">
        <v>183</v>
      </c>
      <c r="C31" s="27">
        <v>4</v>
      </c>
      <c r="D31" s="39" t="s">
        <v>325</v>
      </c>
      <c r="E31" s="40">
        <v>6696146.4100000001</v>
      </c>
      <c r="F31" s="41">
        <v>412366.9599999999</v>
      </c>
      <c r="G31" s="41">
        <v>6283779.4500000002</v>
      </c>
      <c r="H31" s="42">
        <v>11774.169999999998</v>
      </c>
      <c r="I31" s="43">
        <v>533.69192478110995</v>
      </c>
    </row>
    <row r="32" spans="1:9" x14ac:dyDescent="0.25">
      <c r="A32" s="38"/>
      <c r="B32" s="157">
        <v>186</v>
      </c>
      <c r="C32" s="27">
        <v>4</v>
      </c>
      <c r="D32" s="39" t="s">
        <v>326</v>
      </c>
      <c r="E32" s="40">
        <v>8005773.7000000002</v>
      </c>
      <c r="F32" s="41">
        <v>1431664.65</v>
      </c>
      <c r="G32" s="41">
        <v>6574109.0500000007</v>
      </c>
      <c r="H32" s="42">
        <v>11101.34</v>
      </c>
      <c r="I32" s="43">
        <v>592.19058690212182</v>
      </c>
    </row>
    <row r="33" spans="1:9" x14ac:dyDescent="0.25">
      <c r="A33" s="38"/>
      <c r="B33" s="157">
        <v>190</v>
      </c>
      <c r="C33" s="27">
        <v>4</v>
      </c>
      <c r="D33" s="39" t="s">
        <v>327</v>
      </c>
      <c r="E33" s="40">
        <v>2284236.41</v>
      </c>
      <c r="F33" s="41">
        <v>599429.44999999995</v>
      </c>
      <c r="G33" s="41">
        <v>1684806.9600000002</v>
      </c>
      <c r="H33" s="42">
        <v>3309.0599999999995</v>
      </c>
      <c r="I33" s="43">
        <v>509.14971623361333</v>
      </c>
    </row>
    <row r="34" spans="1:9" x14ac:dyDescent="0.25">
      <c r="A34" s="38"/>
      <c r="B34" s="157">
        <v>324</v>
      </c>
      <c r="C34" s="27">
        <v>4</v>
      </c>
      <c r="D34" s="39" t="s">
        <v>328</v>
      </c>
      <c r="E34" s="40">
        <v>4196501.4400000004</v>
      </c>
      <c r="F34" s="41">
        <v>1059029.5799999998</v>
      </c>
      <c r="G34" s="41">
        <v>3137471.8600000003</v>
      </c>
      <c r="H34" s="42">
        <v>7987.3900000000021</v>
      </c>
      <c r="I34" s="43">
        <v>392.80313844697696</v>
      </c>
    </row>
    <row r="35" spans="1:9" x14ac:dyDescent="0.25">
      <c r="A35" s="38"/>
      <c r="B35" s="157">
        <v>429</v>
      </c>
      <c r="C35" s="27">
        <v>4</v>
      </c>
      <c r="D35" s="39" t="s">
        <v>329</v>
      </c>
      <c r="E35" s="40">
        <v>1673741.25</v>
      </c>
      <c r="F35" s="41">
        <v>427615.25</v>
      </c>
      <c r="G35" s="41">
        <v>1246126</v>
      </c>
      <c r="H35" s="42">
        <v>4357.0309999999999</v>
      </c>
      <c r="I35" s="43">
        <v>286.00347346622044</v>
      </c>
    </row>
    <row r="36" spans="1:9" x14ac:dyDescent="0.25">
      <c r="A36" s="38"/>
      <c r="B36" s="157">
        <v>601</v>
      </c>
      <c r="C36" s="27">
        <v>4</v>
      </c>
      <c r="D36" s="39" t="s">
        <v>330</v>
      </c>
      <c r="E36" s="40">
        <v>3078679.08</v>
      </c>
      <c r="F36" s="41">
        <v>303552.10000000003</v>
      </c>
      <c r="G36" s="41">
        <v>2775126.98</v>
      </c>
      <c r="H36" s="42">
        <v>5915.7199999999993</v>
      </c>
      <c r="I36" s="43">
        <v>469.11060361207092</v>
      </c>
    </row>
    <row r="37" spans="1:9" x14ac:dyDescent="0.25">
      <c r="A37" s="38"/>
      <c r="B37" s="157">
        <v>760</v>
      </c>
      <c r="C37" s="27">
        <v>4</v>
      </c>
      <c r="D37" s="39" t="s">
        <v>331</v>
      </c>
      <c r="E37" s="40">
        <v>1441842.03</v>
      </c>
      <c r="F37" s="41">
        <v>713377.46</v>
      </c>
      <c r="G37" s="41">
        <v>728464.57000000007</v>
      </c>
      <c r="H37" s="42">
        <v>5286.9399999999987</v>
      </c>
      <c r="I37" s="43">
        <v>137.78566997166607</v>
      </c>
    </row>
    <row r="38" spans="1:9" x14ac:dyDescent="0.25">
      <c r="A38" s="38"/>
      <c r="B38" s="157">
        <v>878</v>
      </c>
      <c r="C38" s="27">
        <v>4</v>
      </c>
      <c r="D38" s="39" t="s">
        <v>332</v>
      </c>
      <c r="E38" s="40">
        <v>2910917.69</v>
      </c>
      <c r="F38" s="41">
        <v>838992.06</v>
      </c>
      <c r="G38" s="41">
        <v>2071925.63</v>
      </c>
      <c r="H38" s="42">
        <v>7663.1599999999989</v>
      </c>
      <c r="I38" s="43">
        <v>270.37483622944063</v>
      </c>
    </row>
    <row r="39" spans="1:9" x14ac:dyDescent="0.25">
      <c r="A39" s="38"/>
      <c r="B39" s="157">
        <v>8</v>
      </c>
      <c r="C39" s="27">
        <v>5</v>
      </c>
      <c r="D39" s="39" t="s">
        <v>333</v>
      </c>
      <c r="E39" s="40">
        <v>627029.25</v>
      </c>
      <c r="F39" s="41">
        <v>25077.3</v>
      </c>
      <c r="G39" s="41">
        <v>601951.94999999995</v>
      </c>
      <c r="H39" s="42">
        <v>2105.2199999999998</v>
      </c>
      <c r="I39" s="43">
        <v>285.93303787727649</v>
      </c>
    </row>
    <row r="40" spans="1:9" x14ac:dyDescent="0.25">
      <c r="A40" s="38"/>
      <c r="B40" s="157">
        <v>41</v>
      </c>
      <c r="C40" s="27">
        <v>5</v>
      </c>
      <c r="D40" s="39" t="s">
        <v>334</v>
      </c>
      <c r="E40" s="40">
        <v>652189.06000000006</v>
      </c>
      <c r="F40" s="41">
        <v>215017.75000000003</v>
      </c>
      <c r="G40" s="41">
        <v>437171.31000000006</v>
      </c>
      <c r="H40" s="42">
        <v>1688.06</v>
      </c>
      <c r="I40" s="43">
        <v>258.97853749274321</v>
      </c>
    </row>
    <row r="41" spans="1:9" x14ac:dyDescent="0.25">
      <c r="A41" s="38"/>
      <c r="B41" s="157">
        <v>56</v>
      </c>
      <c r="C41" s="27">
        <v>5</v>
      </c>
      <c r="D41" s="39" t="s">
        <v>335</v>
      </c>
      <c r="E41" s="40">
        <v>561942.06999999995</v>
      </c>
      <c r="F41" s="41">
        <v>2316.81</v>
      </c>
      <c r="G41" s="41">
        <v>559625.25999999989</v>
      </c>
      <c r="H41" s="42">
        <v>3016.58</v>
      </c>
      <c r="I41" s="43">
        <v>185.51646566641691</v>
      </c>
    </row>
    <row r="42" spans="1:9" x14ac:dyDescent="0.25">
      <c r="A42" s="38"/>
      <c r="B42" s="157">
        <v>67</v>
      </c>
      <c r="C42" s="27">
        <v>5</v>
      </c>
      <c r="D42" s="39" t="s">
        <v>336</v>
      </c>
      <c r="E42" s="40">
        <v>218449.94</v>
      </c>
      <c r="F42" s="41">
        <v>0</v>
      </c>
      <c r="G42" s="41">
        <v>218449.94</v>
      </c>
      <c r="H42" s="42">
        <v>1474.6758017491509</v>
      </c>
      <c r="I42" s="43">
        <v>148.13421345958949</v>
      </c>
    </row>
    <row r="43" spans="1:9" x14ac:dyDescent="0.25">
      <c r="A43" s="38"/>
      <c r="B43" s="157">
        <v>157</v>
      </c>
      <c r="C43" s="27">
        <v>5</v>
      </c>
      <c r="D43" s="39" t="s">
        <v>337</v>
      </c>
      <c r="E43" s="40">
        <v>145211.09</v>
      </c>
      <c r="F43" s="41">
        <v>320</v>
      </c>
      <c r="G43" s="41">
        <v>144891.09</v>
      </c>
      <c r="H43" s="42">
        <v>446.65493195328992</v>
      </c>
      <c r="I43" s="43">
        <v>324.39155964621108</v>
      </c>
    </row>
    <row r="44" spans="1:9" x14ac:dyDescent="0.25">
      <c r="A44" s="38"/>
      <c r="B44" s="157">
        <v>214</v>
      </c>
      <c r="C44" s="27">
        <v>5</v>
      </c>
      <c r="D44" s="39" t="s">
        <v>338</v>
      </c>
      <c r="E44" s="40">
        <v>1677840.57</v>
      </c>
      <c r="F44" s="41">
        <v>291173.04000000004</v>
      </c>
      <c r="G44" s="41">
        <v>1386667.53</v>
      </c>
      <c r="H44" s="42">
        <v>2922.96</v>
      </c>
      <c r="I44" s="43">
        <v>474.40523647261682</v>
      </c>
    </row>
    <row r="45" spans="1:9" x14ac:dyDescent="0.25">
      <c r="A45" s="38"/>
      <c r="B45" s="157">
        <v>223</v>
      </c>
      <c r="C45" s="27">
        <v>5</v>
      </c>
      <c r="D45" s="39" t="s">
        <v>339</v>
      </c>
      <c r="E45" s="40">
        <v>244596.98</v>
      </c>
      <c r="F45" s="41">
        <v>1303.98</v>
      </c>
      <c r="G45" s="41">
        <v>243293</v>
      </c>
      <c r="H45" s="42">
        <v>297.74</v>
      </c>
      <c r="I45" s="43">
        <v>817.13239739369919</v>
      </c>
    </row>
    <row r="46" spans="1:9" x14ac:dyDescent="0.25">
      <c r="A46" s="38"/>
      <c r="B46" s="157">
        <v>224</v>
      </c>
      <c r="C46" s="27">
        <v>5</v>
      </c>
      <c r="D46" s="39" t="s">
        <v>340</v>
      </c>
      <c r="E46" s="40">
        <v>73965.39</v>
      </c>
      <c r="F46" s="41">
        <v>245</v>
      </c>
      <c r="G46" s="41">
        <v>73720.39</v>
      </c>
      <c r="H46" s="42">
        <v>257.07384904737762</v>
      </c>
      <c r="I46" s="43">
        <v>286.76736382631299</v>
      </c>
    </row>
    <row r="47" spans="1:9" x14ac:dyDescent="0.25">
      <c r="A47" s="38"/>
      <c r="B47" s="157">
        <v>233</v>
      </c>
      <c r="C47" s="27">
        <v>5</v>
      </c>
      <c r="D47" s="39" t="s">
        <v>341</v>
      </c>
      <c r="E47" s="40">
        <v>657892.93999999994</v>
      </c>
      <c r="F47" s="41">
        <v>285320.61</v>
      </c>
      <c r="G47" s="41">
        <v>372572.32999999996</v>
      </c>
      <c r="H47" s="42">
        <v>2096.4900000000002</v>
      </c>
      <c r="I47" s="43">
        <v>177.71242886920516</v>
      </c>
    </row>
    <row r="48" spans="1:9" x14ac:dyDescent="0.25">
      <c r="A48" s="38"/>
      <c r="B48" s="157">
        <v>272</v>
      </c>
      <c r="C48" s="27">
        <v>5</v>
      </c>
      <c r="D48" s="39" t="s">
        <v>342</v>
      </c>
      <c r="E48" s="40">
        <v>79352.12</v>
      </c>
      <c r="F48" s="41">
        <v>0</v>
      </c>
      <c r="G48" s="41">
        <v>79352.12</v>
      </c>
      <c r="H48" s="42">
        <v>365.3662530466043</v>
      </c>
      <c r="I48" s="43">
        <v>217.18513775786028</v>
      </c>
    </row>
    <row r="49" spans="1:9" x14ac:dyDescent="0.25">
      <c r="A49" s="38"/>
      <c r="B49" s="157">
        <v>427</v>
      </c>
      <c r="C49" s="27">
        <v>5</v>
      </c>
      <c r="D49" s="39" t="s">
        <v>343</v>
      </c>
      <c r="E49" s="40">
        <v>198493.19</v>
      </c>
      <c r="F49" s="41">
        <v>56867.6</v>
      </c>
      <c r="G49" s="41">
        <v>141625.59</v>
      </c>
      <c r="H49" s="42">
        <v>444.9199999999999</v>
      </c>
      <c r="I49" s="43">
        <v>318.31697833318356</v>
      </c>
    </row>
    <row r="50" spans="1:9" x14ac:dyDescent="0.25">
      <c r="A50" s="38"/>
      <c r="B50" s="157">
        <v>524</v>
      </c>
      <c r="C50" s="27">
        <v>5</v>
      </c>
      <c r="D50" s="39" t="s">
        <v>344</v>
      </c>
      <c r="E50" s="40">
        <v>234790.57</v>
      </c>
      <c r="F50" s="41">
        <v>453.75</v>
      </c>
      <c r="G50" s="41">
        <v>234336.82</v>
      </c>
      <c r="H50" s="42">
        <v>503.24541510407607</v>
      </c>
      <c r="I50" s="43">
        <v>465.65117727210065</v>
      </c>
    </row>
    <row r="51" spans="1:9" x14ac:dyDescent="0.25">
      <c r="A51" s="38"/>
      <c r="B51" s="157">
        <v>565</v>
      </c>
      <c r="C51" s="27">
        <v>5</v>
      </c>
      <c r="D51" s="39" t="s">
        <v>345</v>
      </c>
      <c r="E51" s="40">
        <v>165733.01</v>
      </c>
      <c r="F51" s="41">
        <v>710</v>
      </c>
      <c r="G51" s="41">
        <v>165023.01</v>
      </c>
      <c r="H51" s="42">
        <v>471.64773139908056</v>
      </c>
      <c r="I51" s="43">
        <v>349.8861523418783</v>
      </c>
    </row>
    <row r="52" spans="1:9" x14ac:dyDescent="0.25">
      <c r="A52" s="38"/>
      <c r="B52" s="157">
        <v>696</v>
      </c>
      <c r="C52" s="27">
        <v>5</v>
      </c>
      <c r="D52" s="39" t="s">
        <v>347</v>
      </c>
      <c r="E52" s="40">
        <v>126909.24</v>
      </c>
      <c r="F52" s="41">
        <v>38.94</v>
      </c>
      <c r="G52" s="41">
        <v>126870.3</v>
      </c>
      <c r="H52" s="42">
        <v>295.10104095842627</v>
      </c>
      <c r="I52" s="43">
        <v>429.92156038471393</v>
      </c>
    </row>
    <row r="53" spans="1:9" x14ac:dyDescent="0.25">
      <c r="A53" s="38"/>
      <c r="B53" s="157">
        <v>731</v>
      </c>
      <c r="C53" s="27">
        <v>5</v>
      </c>
      <c r="D53" s="39" t="s">
        <v>348</v>
      </c>
      <c r="E53" s="40">
        <v>227370.13</v>
      </c>
      <c r="F53" s="41">
        <v>35311</v>
      </c>
      <c r="G53" s="41">
        <v>192059.13</v>
      </c>
      <c r="H53" s="42">
        <v>859.8900000000001</v>
      </c>
      <c r="I53" s="43">
        <v>223.35313819209432</v>
      </c>
    </row>
    <row r="54" spans="1:9" x14ac:dyDescent="0.25">
      <c r="A54" s="38"/>
      <c r="B54" s="157">
        <v>732</v>
      </c>
      <c r="C54" s="27">
        <v>5</v>
      </c>
      <c r="D54" s="39" t="s">
        <v>349</v>
      </c>
      <c r="E54" s="40">
        <v>69856.94</v>
      </c>
      <c r="F54" s="41">
        <v>0</v>
      </c>
      <c r="G54" s="41">
        <v>69856.94</v>
      </c>
      <c r="H54" s="42">
        <v>215.10540422039867</v>
      </c>
      <c r="I54" s="43">
        <v>324.75678727450304</v>
      </c>
    </row>
    <row r="55" spans="1:9" x14ac:dyDescent="0.25">
      <c r="A55" s="38"/>
      <c r="B55" s="157">
        <v>754</v>
      </c>
      <c r="C55" s="27">
        <v>5</v>
      </c>
      <c r="D55" s="39" t="s">
        <v>350</v>
      </c>
      <c r="E55" s="40">
        <v>34950.230000000003</v>
      </c>
      <c r="F55" s="41">
        <v>0</v>
      </c>
      <c r="G55" s="41">
        <v>34950.230000000003</v>
      </c>
      <c r="H55" s="42">
        <v>114.00956480658041</v>
      </c>
      <c r="I55" s="43">
        <v>306.55524437176643</v>
      </c>
    </row>
    <row r="56" spans="1:9" x14ac:dyDescent="0.25">
      <c r="A56" s="38"/>
      <c r="B56" s="157">
        <v>885</v>
      </c>
      <c r="C56" s="27">
        <v>5</v>
      </c>
      <c r="D56" s="39" t="s">
        <v>351</v>
      </c>
      <c r="E56" s="40">
        <v>148663.73000000001</v>
      </c>
      <c r="F56" s="41">
        <v>61071.180000000008</v>
      </c>
      <c r="G56" s="41">
        <v>87592.55</v>
      </c>
      <c r="H56" s="42">
        <v>442.78000000000003</v>
      </c>
      <c r="I56" s="43">
        <v>197.82408871222728</v>
      </c>
    </row>
    <row r="57" spans="1:9" x14ac:dyDescent="0.25">
      <c r="A57" s="38"/>
      <c r="B57" s="157">
        <v>909</v>
      </c>
      <c r="C57" s="27">
        <v>5</v>
      </c>
      <c r="D57" s="39" t="s">
        <v>352</v>
      </c>
      <c r="E57" s="40">
        <v>238013.06</v>
      </c>
      <c r="F57" s="41">
        <v>67250.02</v>
      </c>
      <c r="G57" s="41">
        <v>170763.03999999998</v>
      </c>
      <c r="H57" s="42">
        <v>496.92000000000007</v>
      </c>
      <c r="I57" s="43">
        <v>343.64292038959985</v>
      </c>
    </row>
    <row r="58" spans="1:9" x14ac:dyDescent="0.25">
      <c r="A58" s="38"/>
      <c r="B58" s="157">
        <v>923</v>
      </c>
      <c r="C58" s="27">
        <v>5</v>
      </c>
      <c r="D58" s="39" t="s">
        <v>353</v>
      </c>
      <c r="E58" s="40">
        <v>30138.59</v>
      </c>
      <c r="F58" s="41">
        <v>156</v>
      </c>
      <c r="G58" s="41">
        <v>29982.59</v>
      </c>
      <c r="H58" s="42">
        <v>49.064782259954448</v>
      </c>
      <c r="I58" s="43">
        <v>611.0816887181237</v>
      </c>
    </row>
    <row r="59" spans="1:9" x14ac:dyDescent="0.25">
      <c r="A59" s="38"/>
      <c r="B59" s="157">
        <v>394</v>
      </c>
      <c r="C59" s="27">
        <v>6</v>
      </c>
      <c r="D59" s="39" t="s">
        <v>354</v>
      </c>
      <c r="E59" s="40">
        <v>378356.65</v>
      </c>
      <c r="F59" s="41">
        <v>36610</v>
      </c>
      <c r="G59" s="41">
        <v>341746.65</v>
      </c>
      <c r="H59" s="42">
        <v>634.74</v>
      </c>
      <c r="I59" s="43">
        <v>538.40414973059842</v>
      </c>
    </row>
    <row r="60" spans="1:9" x14ac:dyDescent="0.25">
      <c r="A60" s="38"/>
      <c r="B60" s="157">
        <v>414</v>
      </c>
      <c r="C60" s="27">
        <v>6</v>
      </c>
      <c r="D60" s="39" t="s">
        <v>355</v>
      </c>
      <c r="E60" s="40">
        <v>283141.53000000003</v>
      </c>
      <c r="F60" s="41">
        <v>10663.29</v>
      </c>
      <c r="G60" s="41">
        <v>272478.24000000005</v>
      </c>
      <c r="H60" s="42">
        <v>248.32677336420244</v>
      </c>
      <c r="I60" s="43">
        <v>1097.2567971975234</v>
      </c>
    </row>
    <row r="61" spans="1:9" x14ac:dyDescent="0.25">
      <c r="A61" s="38"/>
      <c r="B61" s="157">
        <v>426</v>
      </c>
      <c r="C61" s="27">
        <v>6</v>
      </c>
      <c r="D61" s="39" t="s">
        <v>356</v>
      </c>
      <c r="E61" s="40">
        <v>106980.28</v>
      </c>
      <c r="F61" s="41">
        <v>0</v>
      </c>
      <c r="G61" s="41">
        <v>106980.28</v>
      </c>
      <c r="H61" s="42">
        <v>398.46987658571351</v>
      </c>
      <c r="I61" s="43">
        <v>268.47771007600329</v>
      </c>
    </row>
    <row r="62" spans="1:9" x14ac:dyDescent="0.25">
      <c r="A62" s="38"/>
      <c r="B62" s="157">
        <v>430</v>
      </c>
      <c r="C62" s="27">
        <v>6</v>
      </c>
      <c r="D62" s="39" t="s">
        <v>357</v>
      </c>
      <c r="E62" s="40">
        <v>1674152.86</v>
      </c>
      <c r="F62" s="41">
        <v>100</v>
      </c>
      <c r="G62" s="41">
        <v>1674052.86</v>
      </c>
      <c r="H62" s="42">
        <v>2885.2977142676095</v>
      </c>
      <c r="I62" s="43">
        <v>580.20108348678116</v>
      </c>
    </row>
    <row r="63" spans="1:9" x14ac:dyDescent="0.25">
      <c r="A63" s="38"/>
      <c r="B63" s="157">
        <v>443</v>
      </c>
      <c r="C63" s="27">
        <v>6</v>
      </c>
      <c r="D63" s="39" t="s">
        <v>358</v>
      </c>
      <c r="E63" s="40">
        <v>15830.2</v>
      </c>
      <c r="F63" s="41">
        <v>0</v>
      </c>
      <c r="G63" s="41">
        <v>15830.2</v>
      </c>
      <c r="H63" s="42">
        <v>11.627319147048576</v>
      </c>
      <c r="I63" s="43">
        <v>1361.4660266737637</v>
      </c>
    </row>
    <row r="64" spans="1:9" x14ac:dyDescent="0.25">
      <c r="A64" s="38"/>
      <c r="B64" s="157">
        <v>562</v>
      </c>
      <c r="C64" s="27">
        <v>6</v>
      </c>
      <c r="D64" s="39" t="s">
        <v>359</v>
      </c>
      <c r="E64" s="40">
        <v>47597.599999999999</v>
      </c>
      <c r="F64" s="41">
        <v>0</v>
      </c>
      <c r="G64" s="41">
        <v>47597.599999999999</v>
      </c>
      <c r="H64" s="42">
        <v>55.566474597654711</v>
      </c>
      <c r="I64" s="43">
        <v>856.58844374497971</v>
      </c>
    </row>
    <row r="65" spans="1:9" x14ac:dyDescent="0.25">
      <c r="A65" s="38"/>
      <c r="B65" s="157">
        <v>603</v>
      </c>
      <c r="C65" s="27">
        <v>6</v>
      </c>
      <c r="D65" s="39" t="s">
        <v>360</v>
      </c>
      <c r="E65" s="40">
        <v>85628.45</v>
      </c>
      <c r="F65" s="41">
        <v>0</v>
      </c>
      <c r="G65" s="41">
        <v>85628.45</v>
      </c>
      <c r="H65" s="42">
        <v>109.56634963052151</v>
      </c>
      <c r="I65" s="43">
        <v>781.52142778102359</v>
      </c>
    </row>
    <row r="66" spans="1:9" x14ac:dyDescent="0.25">
      <c r="A66" s="38"/>
      <c r="B66" s="157">
        <v>618</v>
      </c>
      <c r="C66" s="27">
        <v>6</v>
      </c>
      <c r="D66" s="39" t="s">
        <v>361</v>
      </c>
      <c r="E66" s="40">
        <v>16335.8</v>
      </c>
      <c r="F66" s="41">
        <v>0</v>
      </c>
      <c r="G66" s="41">
        <v>16335.8</v>
      </c>
      <c r="H66" s="42">
        <v>22.913731248399976</v>
      </c>
      <c r="I66" s="43">
        <v>712.9262285094095</v>
      </c>
    </row>
    <row r="67" spans="1:9" x14ac:dyDescent="0.25">
      <c r="A67" s="38"/>
      <c r="B67" s="157">
        <v>620</v>
      </c>
      <c r="C67" s="27">
        <v>6</v>
      </c>
      <c r="D67" s="39" t="s">
        <v>362</v>
      </c>
      <c r="E67" s="40">
        <v>118610.13</v>
      </c>
      <c r="F67" s="41">
        <v>0</v>
      </c>
      <c r="G67" s="41">
        <v>118610.13</v>
      </c>
      <c r="H67" s="42">
        <v>247.11841445539267</v>
      </c>
      <c r="I67" s="43">
        <v>479.97285132067856</v>
      </c>
    </row>
    <row r="68" spans="1:9" x14ac:dyDescent="0.25">
      <c r="A68" s="38"/>
      <c r="B68" s="157">
        <v>622</v>
      </c>
      <c r="C68" s="27">
        <v>6</v>
      </c>
      <c r="D68" s="39" t="s">
        <v>363</v>
      </c>
      <c r="E68" s="40">
        <v>80933.14</v>
      </c>
      <c r="F68" s="41">
        <v>715</v>
      </c>
      <c r="G68" s="41">
        <v>80218.14</v>
      </c>
      <c r="H68" s="42">
        <v>117.76088798616892</v>
      </c>
      <c r="I68" s="43">
        <v>681.19510112238333</v>
      </c>
    </row>
    <row r="69" spans="1:9" x14ac:dyDescent="0.25">
      <c r="A69" s="38"/>
      <c r="B69" s="157">
        <v>623</v>
      </c>
      <c r="C69" s="27">
        <v>6</v>
      </c>
      <c r="D69" s="39" t="s">
        <v>364</v>
      </c>
      <c r="E69" s="40">
        <v>85871.33</v>
      </c>
      <c r="F69" s="41">
        <v>0</v>
      </c>
      <c r="G69" s="41">
        <v>85871.33</v>
      </c>
      <c r="H69" s="42">
        <v>238.88534218865161</v>
      </c>
      <c r="I69" s="43">
        <v>359.4667182726767</v>
      </c>
    </row>
    <row r="70" spans="1:9" x14ac:dyDescent="0.25">
      <c r="A70" s="38"/>
      <c r="B70" s="157">
        <v>626</v>
      </c>
      <c r="C70" s="27">
        <v>6</v>
      </c>
      <c r="D70" s="39" t="s">
        <v>365</v>
      </c>
      <c r="E70" s="40">
        <v>17594.09</v>
      </c>
      <c r="F70" s="41">
        <v>0</v>
      </c>
      <c r="G70" s="41">
        <v>17594.09</v>
      </c>
      <c r="H70" s="42">
        <v>22.444815850951411</v>
      </c>
      <c r="I70" s="43">
        <v>783.88212747373495</v>
      </c>
    </row>
    <row r="71" spans="1:9" x14ac:dyDescent="0.25">
      <c r="A71" s="38"/>
      <c r="B71" s="157">
        <v>627</v>
      </c>
      <c r="C71" s="27">
        <v>6</v>
      </c>
      <c r="D71" s="39" t="s">
        <v>366</v>
      </c>
      <c r="E71" s="40">
        <v>78681.460000000006</v>
      </c>
      <c r="F71" s="41">
        <v>0</v>
      </c>
      <c r="G71" s="41">
        <v>78681.460000000006</v>
      </c>
      <c r="H71" s="42">
        <v>172.58791907246243</v>
      </c>
      <c r="I71" s="43">
        <v>455.89204866051466</v>
      </c>
    </row>
    <row r="72" spans="1:9" x14ac:dyDescent="0.25">
      <c r="A72" s="38"/>
      <c r="B72" s="157">
        <v>634</v>
      </c>
      <c r="C72" s="27">
        <v>6</v>
      </c>
      <c r="D72" s="39" t="s">
        <v>367</v>
      </c>
      <c r="E72" s="40">
        <v>582665.36</v>
      </c>
      <c r="F72" s="41">
        <v>0</v>
      </c>
      <c r="G72" s="41">
        <v>582665.36</v>
      </c>
      <c r="H72" s="42">
        <v>648.63374679368712</v>
      </c>
      <c r="I72" s="43">
        <v>898.29640051912088</v>
      </c>
    </row>
    <row r="73" spans="1:9" x14ac:dyDescent="0.25">
      <c r="A73" s="45"/>
      <c r="B73" s="157">
        <v>636</v>
      </c>
      <c r="C73" s="27">
        <v>6</v>
      </c>
      <c r="D73" s="39" t="s">
        <v>558</v>
      </c>
      <c r="E73" s="40">
        <v>74827.44</v>
      </c>
      <c r="F73" s="41">
        <v>76212</v>
      </c>
      <c r="G73" s="41">
        <v>-1384.5599999999977</v>
      </c>
      <c r="H73" s="42">
        <v>72.113777565310741</v>
      </c>
      <c r="I73" s="43">
        <v>-19.199659853431665</v>
      </c>
    </row>
    <row r="74" spans="1:9" x14ac:dyDescent="0.25">
      <c r="A74" s="38"/>
      <c r="B74" s="157">
        <v>694</v>
      </c>
      <c r="C74" s="27">
        <v>6</v>
      </c>
      <c r="D74" s="39" t="s">
        <v>368</v>
      </c>
      <c r="E74" s="40">
        <v>60191.32</v>
      </c>
      <c r="F74" s="41">
        <v>0</v>
      </c>
      <c r="G74" s="41">
        <v>60191.32</v>
      </c>
      <c r="H74" s="42">
        <v>10.25564638073009</v>
      </c>
      <c r="I74" s="43">
        <v>5869.0908174346623</v>
      </c>
    </row>
    <row r="75" spans="1:9" x14ac:dyDescent="0.25">
      <c r="A75" s="38"/>
      <c r="B75" s="157">
        <v>706</v>
      </c>
      <c r="C75" s="27">
        <v>6</v>
      </c>
      <c r="D75" s="39" t="s">
        <v>476</v>
      </c>
      <c r="E75" s="40">
        <v>61219.35</v>
      </c>
      <c r="F75" s="41">
        <v>0</v>
      </c>
      <c r="G75" s="41">
        <v>61219.35</v>
      </c>
      <c r="H75" s="42">
        <v>61.701349959338025</v>
      </c>
      <c r="I75" s="43">
        <v>992.18817806003153</v>
      </c>
    </row>
    <row r="76" spans="1:9" x14ac:dyDescent="0.25">
      <c r="A76" s="38"/>
      <c r="B76" s="157">
        <v>710</v>
      </c>
      <c r="C76" s="27">
        <v>6</v>
      </c>
      <c r="D76" s="39" t="s">
        <v>370</v>
      </c>
      <c r="E76" s="40">
        <v>49597.59</v>
      </c>
      <c r="F76" s="41">
        <v>0</v>
      </c>
      <c r="G76" s="41">
        <v>49597.59</v>
      </c>
      <c r="H76" s="42">
        <v>73.989999999999995</v>
      </c>
      <c r="I76" s="43">
        <v>670.32828760643326</v>
      </c>
    </row>
    <row r="77" spans="1:9" x14ac:dyDescent="0.25">
      <c r="A77" s="38"/>
      <c r="B77" s="157">
        <v>743</v>
      </c>
      <c r="C77" s="27">
        <v>6</v>
      </c>
      <c r="D77" s="39" t="s">
        <v>371</v>
      </c>
      <c r="E77" s="40">
        <v>136207.07999999999</v>
      </c>
      <c r="F77" s="41">
        <v>0</v>
      </c>
      <c r="G77" s="41">
        <v>136207.07999999999</v>
      </c>
      <c r="H77" s="42">
        <v>82.770881637323171</v>
      </c>
      <c r="I77" s="43">
        <v>1645.5917504517831</v>
      </c>
    </row>
    <row r="78" spans="1:9" x14ac:dyDescent="0.25">
      <c r="A78" s="38"/>
      <c r="B78" s="157">
        <v>747</v>
      </c>
      <c r="C78" s="27">
        <v>6</v>
      </c>
      <c r="D78" s="39" t="s">
        <v>372</v>
      </c>
      <c r="E78" s="40">
        <v>58996.69</v>
      </c>
      <c r="F78" s="41">
        <v>0</v>
      </c>
      <c r="G78" s="41">
        <v>58996.69</v>
      </c>
      <c r="H78" s="42">
        <v>36.5</v>
      </c>
      <c r="I78" s="43">
        <v>1616.3476712328768</v>
      </c>
    </row>
    <row r="79" spans="1:9" x14ac:dyDescent="0.25">
      <c r="A79" s="38"/>
      <c r="B79" s="157">
        <v>758</v>
      </c>
      <c r="C79" s="27">
        <v>6</v>
      </c>
      <c r="D79" s="39" t="s">
        <v>373</v>
      </c>
      <c r="E79" s="40">
        <v>319509.06</v>
      </c>
      <c r="F79" s="41">
        <v>785.37</v>
      </c>
      <c r="G79" s="41">
        <v>318723.69</v>
      </c>
      <c r="H79" s="42">
        <v>306.60873748050523</v>
      </c>
      <c r="I79" s="43">
        <v>1039.5127438932332</v>
      </c>
    </row>
    <row r="80" spans="1:9" x14ac:dyDescent="0.25">
      <c r="A80" s="38"/>
      <c r="B80" s="157">
        <v>765</v>
      </c>
      <c r="C80" s="27">
        <v>6</v>
      </c>
      <c r="D80" s="39" t="s">
        <v>374</v>
      </c>
      <c r="E80" s="40">
        <v>86969.12</v>
      </c>
      <c r="F80" s="41">
        <v>0</v>
      </c>
      <c r="G80" s="41">
        <v>86969.12</v>
      </c>
      <c r="H80" s="42">
        <v>69.141877232449346</v>
      </c>
      <c r="I80" s="43">
        <v>1257.8356776113687</v>
      </c>
    </row>
    <row r="81" spans="1:9" x14ac:dyDescent="0.25">
      <c r="A81" s="38"/>
      <c r="B81" s="157">
        <v>770</v>
      </c>
      <c r="C81" s="27">
        <v>6</v>
      </c>
      <c r="D81" s="39" t="s">
        <v>375</v>
      </c>
      <c r="E81" s="40">
        <v>24774.6</v>
      </c>
      <c r="F81" s="41">
        <v>0</v>
      </c>
      <c r="G81" s="41">
        <v>24774.6</v>
      </c>
      <c r="H81" s="42">
        <v>25.798612785118063</v>
      </c>
      <c r="I81" s="43">
        <v>960.30744778227893</v>
      </c>
    </row>
    <row r="82" spans="1:9" x14ac:dyDescent="0.25">
      <c r="A82" s="38"/>
      <c r="B82" s="157">
        <v>774</v>
      </c>
      <c r="C82" s="27">
        <v>6</v>
      </c>
      <c r="D82" s="39" t="s">
        <v>376</v>
      </c>
      <c r="E82" s="40">
        <v>290603.45</v>
      </c>
      <c r="F82" s="41">
        <v>0</v>
      </c>
      <c r="G82" s="41">
        <v>290603.45</v>
      </c>
      <c r="H82" s="42">
        <v>457.94097362750716</v>
      </c>
      <c r="I82" s="43">
        <v>634.58713400993724</v>
      </c>
    </row>
    <row r="83" spans="1:9" x14ac:dyDescent="0.25">
      <c r="A83" s="38"/>
      <c r="B83" s="157">
        <v>794</v>
      </c>
      <c r="C83" s="27">
        <v>6</v>
      </c>
      <c r="D83" s="39" t="s">
        <v>377</v>
      </c>
      <c r="E83" s="40">
        <v>45369.11</v>
      </c>
      <c r="F83" s="41">
        <v>0</v>
      </c>
      <c r="G83" s="41">
        <v>45369.11</v>
      </c>
      <c r="H83" s="42">
        <v>19.568200239680415</v>
      </c>
      <c r="I83" s="43">
        <v>2318.512149523106</v>
      </c>
    </row>
    <row r="84" spans="1:9" x14ac:dyDescent="0.25">
      <c r="A84" s="38"/>
      <c r="B84" s="157">
        <v>806</v>
      </c>
      <c r="C84" s="27">
        <v>6</v>
      </c>
      <c r="D84" s="39" t="s">
        <v>378</v>
      </c>
      <c r="E84" s="40">
        <v>37091.449999999997</v>
      </c>
      <c r="F84" s="41">
        <v>0</v>
      </c>
      <c r="G84" s="41">
        <v>37091.449999999997</v>
      </c>
      <c r="H84" s="42">
        <v>23.326411869078932</v>
      </c>
      <c r="I84" s="43">
        <v>1590.1052509995225</v>
      </c>
    </row>
    <row r="85" spans="1:9" x14ac:dyDescent="0.25">
      <c r="A85" s="38"/>
      <c r="B85" s="157">
        <v>809</v>
      </c>
      <c r="C85" s="27">
        <v>6</v>
      </c>
      <c r="D85" s="39" t="s">
        <v>563</v>
      </c>
      <c r="E85" s="40">
        <v>497452.38</v>
      </c>
      <c r="F85" s="41">
        <v>0</v>
      </c>
      <c r="G85" s="41">
        <v>497452.38</v>
      </c>
      <c r="H85" s="42">
        <v>477.2783239455166</v>
      </c>
      <c r="I85" s="43">
        <v>1042.2689551197518</v>
      </c>
    </row>
    <row r="86" spans="1:9" x14ac:dyDescent="0.25">
      <c r="A86" s="38"/>
      <c r="B86" s="157">
        <v>811</v>
      </c>
      <c r="C86" s="27">
        <v>6</v>
      </c>
      <c r="D86" s="39" t="s">
        <v>379</v>
      </c>
      <c r="E86" s="40">
        <v>505579.98</v>
      </c>
      <c r="F86" s="41">
        <v>3403.13</v>
      </c>
      <c r="G86" s="41">
        <v>502176.85</v>
      </c>
      <c r="H86" s="42">
        <v>746.28568297723302</v>
      </c>
      <c r="I86" s="43">
        <v>672.9016266218789</v>
      </c>
    </row>
    <row r="87" spans="1:9" x14ac:dyDescent="0.25">
      <c r="A87" s="38"/>
      <c r="B87" s="157">
        <v>824</v>
      </c>
      <c r="C87" s="27">
        <v>6</v>
      </c>
      <c r="D87" s="39" t="s">
        <v>380</v>
      </c>
      <c r="E87" s="40">
        <v>54369.59</v>
      </c>
      <c r="F87" s="41">
        <v>0</v>
      </c>
      <c r="G87" s="41">
        <v>54369.59</v>
      </c>
      <c r="H87" s="42">
        <v>35.809199999999997</v>
      </c>
      <c r="I87" s="43">
        <v>1518.3134501748154</v>
      </c>
    </row>
    <row r="88" spans="1:9" x14ac:dyDescent="0.25">
      <c r="A88" s="38"/>
      <c r="B88" s="157">
        <v>826</v>
      </c>
      <c r="C88" s="27">
        <v>6</v>
      </c>
      <c r="D88" s="39" t="s">
        <v>381</v>
      </c>
      <c r="E88" s="40">
        <v>33872.559999999998</v>
      </c>
      <c r="F88" s="41">
        <v>0</v>
      </c>
      <c r="G88" s="41">
        <v>33872.559999999998</v>
      </c>
      <c r="H88" s="42">
        <v>41.71</v>
      </c>
      <c r="I88" s="43">
        <v>812.09685926636291</v>
      </c>
    </row>
    <row r="89" spans="1:9" x14ac:dyDescent="0.25">
      <c r="A89" s="38"/>
      <c r="B89" s="157">
        <v>840</v>
      </c>
      <c r="C89" s="27">
        <v>6</v>
      </c>
      <c r="D89" s="39" t="s">
        <v>382</v>
      </c>
      <c r="E89" s="40">
        <v>88518.53</v>
      </c>
      <c r="F89" s="41">
        <v>0</v>
      </c>
      <c r="G89" s="41">
        <v>88518.53</v>
      </c>
      <c r="H89" s="42">
        <v>161.72</v>
      </c>
      <c r="I89" s="43">
        <v>547.35672767746723</v>
      </c>
    </row>
    <row r="90" spans="1:9" x14ac:dyDescent="0.25">
      <c r="A90" s="38"/>
      <c r="B90" s="157">
        <v>843</v>
      </c>
      <c r="C90" s="27">
        <v>6</v>
      </c>
      <c r="D90" s="39" t="s">
        <v>383</v>
      </c>
      <c r="E90" s="40">
        <v>32653.86</v>
      </c>
      <c r="F90" s="41">
        <v>0</v>
      </c>
      <c r="G90" s="41">
        <v>32653.86</v>
      </c>
      <c r="H90" s="42">
        <v>19.13961999514169</v>
      </c>
      <c r="I90" s="43">
        <v>1706.0871641280601</v>
      </c>
    </row>
    <row r="91" spans="1:9" x14ac:dyDescent="0.25">
      <c r="A91" s="38"/>
      <c r="B91" s="157">
        <v>846</v>
      </c>
      <c r="C91" s="27">
        <v>6</v>
      </c>
      <c r="D91" s="39" t="s">
        <v>384</v>
      </c>
      <c r="E91" s="40">
        <v>42522.03</v>
      </c>
      <c r="F91" s="41">
        <v>0</v>
      </c>
      <c r="G91" s="41">
        <v>42522.03</v>
      </c>
      <c r="H91" s="42">
        <v>24.91</v>
      </c>
      <c r="I91" s="43">
        <v>1707.0264953833801</v>
      </c>
    </row>
    <row r="92" spans="1:9" x14ac:dyDescent="0.25">
      <c r="A92" s="38"/>
      <c r="B92" s="157">
        <v>888</v>
      </c>
      <c r="C92" s="27">
        <v>6</v>
      </c>
      <c r="D92" s="39" t="s">
        <v>385</v>
      </c>
      <c r="E92" s="40">
        <v>48959.88</v>
      </c>
      <c r="F92" s="41">
        <v>0</v>
      </c>
      <c r="G92" s="41">
        <v>48959.88</v>
      </c>
      <c r="H92" s="42">
        <v>110.31234724977445</v>
      </c>
      <c r="I92" s="43">
        <v>443.82955508273898</v>
      </c>
    </row>
    <row r="93" spans="1:9" x14ac:dyDescent="0.25">
      <c r="A93" s="38"/>
      <c r="B93" s="157">
        <v>889</v>
      </c>
      <c r="C93" s="27">
        <v>6</v>
      </c>
      <c r="D93" s="39" t="s">
        <v>386</v>
      </c>
      <c r="E93" s="40">
        <v>50376.82</v>
      </c>
      <c r="F93" s="41">
        <v>0</v>
      </c>
      <c r="G93" s="41">
        <v>50376.82</v>
      </c>
      <c r="H93" s="42">
        <v>36.972175568059775</v>
      </c>
      <c r="I93" s="43">
        <v>1362.5603369556777</v>
      </c>
    </row>
    <row r="94" spans="1:9" x14ac:dyDescent="0.25">
      <c r="A94" s="38"/>
      <c r="B94" s="157">
        <v>891</v>
      </c>
      <c r="C94" s="27">
        <v>6</v>
      </c>
      <c r="D94" s="39" t="s">
        <v>387</v>
      </c>
      <c r="E94" s="40">
        <v>78385.320000000007</v>
      </c>
      <c r="F94" s="41">
        <v>0</v>
      </c>
      <c r="G94" s="41">
        <v>78385.320000000007</v>
      </c>
      <c r="H94" s="42">
        <v>291.67983388429468</v>
      </c>
      <c r="I94" s="43">
        <v>268.73753648356222</v>
      </c>
    </row>
    <row r="95" spans="1:9" x14ac:dyDescent="0.25">
      <c r="A95" s="38"/>
      <c r="B95" s="157">
        <v>897</v>
      </c>
      <c r="C95" s="27">
        <v>6</v>
      </c>
      <c r="D95" s="39" t="s">
        <v>497</v>
      </c>
      <c r="E95" s="40">
        <v>296933.45</v>
      </c>
      <c r="F95" s="41">
        <v>119</v>
      </c>
      <c r="G95" s="41">
        <v>296814.45</v>
      </c>
      <c r="H95" s="42">
        <v>75.298454997553264</v>
      </c>
      <c r="I95" s="43">
        <v>3941.8398426587191</v>
      </c>
    </row>
    <row r="96" spans="1:9" x14ac:dyDescent="0.25">
      <c r="A96" s="38"/>
      <c r="B96" s="157">
        <v>904</v>
      </c>
      <c r="C96" s="27">
        <v>6</v>
      </c>
      <c r="D96" s="39" t="s">
        <v>388</v>
      </c>
      <c r="E96" s="40">
        <v>14117.02</v>
      </c>
      <c r="F96" s="41">
        <v>0</v>
      </c>
      <c r="G96" s="41">
        <v>14117.02</v>
      </c>
      <c r="H96" s="42">
        <v>26.962939668155855</v>
      </c>
      <c r="I96" s="43">
        <v>523.57124904569218</v>
      </c>
    </row>
    <row r="97" spans="1:9" x14ac:dyDescent="0.25">
      <c r="A97" s="38"/>
      <c r="B97" s="157">
        <v>906</v>
      </c>
      <c r="C97" s="27">
        <v>6</v>
      </c>
      <c r="D97" s="39" t="s">
        <v>565</v>
      </c>
      <c r="E97" s="40">
        <v>218001.44</v>
      </c>
      <c r="F97" s="41">
        <v>29.22</v>
      </c>
      <c r="G97" s="41">
        <v>217972.22</v>
      </c>
      <c r="H97" s="42">
        <v>185.1</v>
      </c>
      <c r="I97" s="43">
        <v>1177.5916801728795</v>
      </c>
    </row>
    <row r="98" spans="1:9" x14ac:dyDescent="0.25">
      <c r="A98" s="38"/>
      <c r="B98" s="157">
        <v>917</v>
      </c>
      <c r="C98" s="27">
        <v>6</v>
      </c>
      <c r="D98" s="39" t="s">
        <v>390</v>
      </c>
      <c r="E98" s="40">
        <v>54501.95</v>
      </c>
      <c r="F98" s="41">
        <v>0</v>
      </c>
      <c r="G98" s="41">
        <v>54501.95</v>
      </c>
      <c r="H98" s="42">
        <v>98.170300891747573</v>
      </c>
      <c r="I98" s="43">
        <v>555.17757921613497</v>
      </c>
    </row>
    <row r="99" spans="1:9" x14ac:dyDescent="0.25">
      <c r="A99" s="38"/>
      <c r="B99" s="157">
        <v>957</v>
      </c>
      <c r="C99" s="27">
        <v>6</v>
      </c>
      <c r="D99" s="39" t="s">
        <v>391</v>
      </c>
      <c r="E99" s="40">
        <v>36421.629999999997</v>
      </c>
      <c r="F99" s="41">
        <v>0</v>
      </c>
      <c r="G99" s="41">
        <v>36421.629999999997</v>
      </c>
      <c r="H99" s="42">
        <v>104.75750331076839</v>
      </c>
      <c r="I99" s="43">
        <v>347.67562082835639</v>
      </c>
    </row>
    <row r="100" spans="1:9" x14ac:dyDescent="0.25">
      <c r="A100" s="38"/>
      <c r="B100" s="157">
        <v>959</v>
      </c>
      <c r="C100" s="27">
        <v>6</v>
      </c>
      <c r="D100" s="39" t="s">
        <v>392</v>
      </c>
      <c r="E100" s="40">
        <v>116655.67</v>
      </c>
      <c r="F100" s="41">
        <v>240.45</v>
      </c>
      <c r="G100" s="41">
        <v>116415.22</v>
      </c>
      <c r="H100" s="42">
        <v>326.68938879207468</v>
      </c>
      <c r="I100" s="43">
        <v>356.34833574008076</v>
      </c>
    </row>
    <row r="101" spans="1:9" x14ac:dyDescent="0.25">
      <c r="A101" s="38"/>
      <c r="B101" s="157">
        <v>969</v>
      </c>
      <c r="C101" s="27">
        <v>6</v>
      </c>
      <c r="D101" s="39" t="s">
        <v>393</v>
      </c>
      <c r="E101" s="40">
        <v>66251.19</v>
      </c>
      <c r="F101" s="41">
        <v>0</v>
      </c>
      <c r="G101" s="41">
        <v>66251.19</v>
      </c>
      <c r="H101" s="42">
        <v>21.452324077887976</v>
      </c>
      <c r="I101" s="43">
        <v>3088.2989535053939</v>
      </c>
    </row>
    <row r="102" spans="1:9" x14ac:dyDescent="0.25">
      <c r="A102" s="38"/>
      <c r="B102" s="157">
        <v>970</v>
      </c>
      <c r="C102" s="27">
        <v>6</v>
      </c>
      <c r="D102" s="39" t="s">
        <v>394</v>
      </c>
      <c r="E102" s="40">
        <v>72830</v>
      </c>
      <c r="F102" s="41">
        <v>408</v>
      </c>
      <c r="G102" s="41">
        <v>72422</v>
      </c>
      <c r="H102" s="42">
        <v>167.59129758245945</v>
      </c>
      <c r="I102" s="43">
        <v>432.134609879528</v>
      </c>
    </row>
    <row r="103" spans="1:9" x14ac:dyDescent="0.25">
      <c r="A103" s="38"/>
      <c r="B103" s="157">
        <v>978</v>
      </c>
      <c r="C103" s="27">
        <v>6</v>
      </c>
      <c r="D103" s="39" t="s">
        <v>507</v>
      </c>
      <c r="E103" s="40">
        <v>31329.48</v>
      </c>
      <c r="F103" s="41">
        <v>0</v>
      </c>
      <c r="G103" s="41">
        <v>31329.48</v>
      </c>
      <c r="H103" s="42">
        <v>0</v>
      </c>
      <c r="I103" s="43">
        <v>0</v>
      </c>
    </row>
    <row r="104" spans="1:9" x14ac:dyDescent="0.25">
      <c r="A104" s="38"/>
      <c r="B104" s="157">
        <v>980</v>
      </c>
      <c r="C104" s="27">
        <v>6</v>
      </c>
      <c r="D104" s="39" t="s">
        <v>395</v>
      </c>
      <c r="E104" s="40">
        <v>37348.19</v>
      </c>
      <c r="F104" s="41">
        <v>0</v>
      </c>
      <c r="G104" s="41">
        <v>37348.19</v>
      </c>
      <c r="H104" s="42">
        <v>38.773680173491201</v>
      </c>
      <c r="I104" s="43">
        <v>963.23562356957336</v>
      </c>
    </row>
    <row r="105" spans="1:9" x14ac:dyDescent="0.25">
      <c r="A105" s="38"/>
      <c r="B105" s="157">
        <v>986</v>
      </c>
      <c r="C105" s="27">
        <v>6</v>
      </c>
      <c r="D105" s="39" t="s">
        <v>396</v>
      </c>
      <c r="E105" s="40">
        <v>42773.26</v>
      </c>
      <c r="F105" s="41">
        <v>0</v>
      </c>
      <c r="G105" s="41">
        <v>42773.26</v>
      </c>
      <c r="H105" s="42">
        <v>8.1183888146059324</v>
      </c>
      <c r="I105" s="43">
        <v>5268.6882800003241</v>
      </c>
    </row>
    <row r="106" spans="1:9" x14ac:dyDescent="0.25">
      <c r="A106" s="38"/>
      <c r="B106" s="157">
        <v>988</v>
      </c>
      <c r="C106" s="27">
        <v>6</v>
      </c>
      <c r="D106" s="39" t="s">
        <v>397</v>
      </c>
      <c r="E106" s="40">
        <v>80859.64</v>
      </c>
      <c r="F106" s="41">
        <v>155</v>
      </c>
      <c r="G106" s="41">
        <v>80704.639999999999</v>
      </c>
      <c r="H106" s="42">
        <v>144.72352333946131</v>
      </c>
      <c r="I106" s="43">
        <v>557.64700953762997</v>
      </c>
    </row>
    <row r="107" spans="1:9" x14ac:dyDescent="0.25">
      <c r="A107" s="38"/>
      <c r="B107" s="157">
        <v>989</v>
      </c>
      <c r="C107" s="27">
        <v>6</v>
      </c>
      <c r="D107" s="39" t="s">
        <v>398</v>
      </c>
      <c r="E107" s="40">
        <v>266398.28999999998</v>
      </c>
      <c r="F107" s="41">
        <v>36564.799999999996</v>
      </c>
      <c r="G107" s="41">
        <v>229833.49</v>
      </c>
      <c r="H107" s="42">
        <v>456.51183625078789</v>
      </c>
      <c r="I107" s="43">
        <v>503.4557085913965</v>
      </c>
    </row>
    <row r="108" spans="1:9" x14ac:dyDescent="0.25">
      <c r="A108" s="38"/>
      <c r="B108" s="157">
        <v>39</v>
      </c>
      <c r="C108" s="27">
        <v>7</v>
      </c>
      <c r="D108" s="39" t="s">
        <v>399</v>
      </c>
      <c r="E108" s="40">
        <v>108160.35</v>
      </c>
      <c r="F108" s="41">
        <v>1756.13</v>
      </c>
      <c r="G108" s="41">
        <v>106404.22</v>
      </c>
      <c r="H108" s="42">
        <v>383.36</v>
      </c>
      <c r="I108" s="43">
        <v>277.55691777963273</v>
      </c>
    </row>
    <row r="109" spans="1:9" x14ac:dyDescent="0.25">
      <c r="A109" s="38"/>
      <c r="B109" s="157">
        <v>59</v>
      </c>
      <c r="C109" s="27">
        <v>7</v>
      </c>
      <c r="D109" s="39" t="s">
        <v>400</v>
      </c>
      <c r="E109" s="40">
        <v>172265.9</v>
      </c>
      <c r="F109" s="41">
        <v>0</v>
      </c>
      <c r="G109" s="41">
        <v>172265.9</v>
      </c>
      <c r="H109" s="42">
        <v>233.31196774077719</v>
      </c>
      <c r="I109" s="43">
        <v>738.35003694022748</v>
      </c>
    </row>
    <row r="110" spans="1:9" x14ac:dyDescent="0.25">
      <c r="A110" s="38"/>
      <c r="B110" s="157">
        <v>100</v>
      </c>
      <c r="C110" s="27">
        <v>7</v>
      </c>
      <c r="D110" s="39" t="s">
        <v>509</v>
      </c>
      <c r="E110" s="40">
        <v>30401.27</v>
      </c>
      <c r="F110" s="41">
        <v>0</v>
      </c>
      <c r="G110" s="41">
        <v>30401.27</v>
      </c>
      <c r="H110" s="42">
        <v>31.644171725300925</v>
      </c>
      <c r="I110" s="43">
        <v>960.72257045972322</v>
      </c>
    </row>
    <row r="111" spans="1:9" x14ac:dyDescent="0.25">
      <c r="A111" s="38"/>
      <c r="B111" s="157">
        <v>128</v>
      </c>
      <c r="C111" s="27">
        <v>7</v>
      </c>
      <c r="D111" s="39" t="s">
        <v>401</v>
      </c>
      <c r="E111" s="40">
        <v>96271.57</v>
      </c>
      <c r="F111" s="41">
        <v>119.44</v>
      </c>
      <c r="G111" s="41">
        <v>96152.13</v>
      </c>
      <c r="H111" s="42">
        <v>144.8151497882408</v>
      </c>
      <c r="I111" s="43">
        <v>663.96457926260211</v>
      </c>
    </row>
    <row r="112" spans="1:9" x14ac:dyDescent="0.25">
      <c r="A112" s="38"/>
      <c r="B112" s="157">
        <v>152</v>
      </c>
      <c r="C112" s="27">
        <v>7</v>
      </c>
      <c r="D112" s="39" t="s">
        <v>402</v>
      </c>
      <c r="E112" s="40">
        <v>157814.06</v>
      </c>
      <c r="F112" s="41">
        <v>22795.199999999997</v>
      </c>
      <c r="G112" s="41">
        <v>135018.85999999999</v>
      </c>
      <c r="H112" s="42">
        <v>355.34</v>
      </c>
      <c r="I112" s="43">
        <v>379.97090110879719</v>
      </c>
    </row>
    <row r="113" spans="1:9" x14ac:dyDescent="0.25">
      <c r="A113" s="38"/>
      <c r="B113" s="157">
        <v>162</v>
      </c>
      <c r="C113" s="27">
        <v>7</v>
      </c>
      <c r="D113" s="39" t="s">
        <v>403</v>
      </c>
      <c r="E113" s="40">
        <v>386975.44</v>
      </c>
      <c r="F113" s="41">
        <v>24452.720000000001</v>
      </c>
      <c r="G113" s="41">
        <v>362522.72</v>
      </c>
      <c r="H113" s="42">
        <v>789.80000000000007</v>
      </c>
      <c r="I113" s="43">
        <v>459.00572296783986</v>
      </c>
    </row>
    <row r="114" spans="1:9" x14ac:dyDescent="0.25">
      <c r="A114" s="38"/>
      <c r="B114" s="157">
        <v>166</v>
      </c>
      <c r="C114" s="27">
        <v>7</v>
      </c>
      <c r="D114" s="39" t="s">
        <v>404</v>
      </c>
      <c r="E114" s="40">
        <v>451775.31</v>
      </c>
      <c r="F114" s="41">
        <v>109930.31</v>
      </c>
      <c r="G114" s="41">
        <v>341845</v>
      </c>
      <c r="H114" s="42">
        <v>860.3599999999999</v>
      </c>
      <c r="I114" s="43">
        <v>397.32786275512581</v>
      </c>
    </row>
    <row r="115" spans="1:9" x14ac:dyDescent="0.25">
      <c r="A115" s="38"/>
      <c r="B115" s="157">
        <v>192</v>
      </c>
      <c r="C115" s="27">
        <v>7</v>
      </c>
      <c r="D115" s="39" t="s">
        <v>405</v>
      </c>
      <c r="E115" s="40">
        <v>119649.47</v>
      </c>
      <c r="F115" s="41">
        <v>21552.310000000005</v>
      </c>
      <c r="G115" s="41">
        <v>98097.16</v>
      </c>
      <c r="H115" s="42">
        <v>166.06</v>
      </c>
      <c r="I115" s="43">
        <v>590.73322895339038</v>
      </c>
    </row>
    <row r="116" spans="1:9" x14ac:dyDescent="0.25">
      <c r="A116" s="38"/>
      <c r="B116" s="157">
        <v>205</v>
      </c>
      <c r="C116" s="27">
        <v>7</v>
      </c>
      <c r="D116" s="39" t="s">
        <v>406</v>
      </c>
      <c r="E116" s="40">
        <v>424199.53</v>
      </c>
      <c r="F116" s="41">
        <v>18066.25</v>
      </c>
      <c r="G116" s="41">
        <v>406133.28</v>
      </c>
      <c r="H116" s="42">
        <v>611.51978389570877</v>
      </c>
      <c r="I116" s="43">
        <v>664.13759733612108</v>
      </c>
    </row>
    <row r="117" spans="1:9" x14ac:dyDescent="0.25">
      <c r="A117" s="38"/>
      <c r="B117" s="157">
        <v>212</v>
      </c>
      <c r="C117" s="27">
        <v>7</v>
      </c>
      <c r="D117" s="39" t="s">
        <v>407</v>
      </c>
      <c r="E117" s="40">
        <v>245644.58</v>
      </c>
      <c r="F117" s="41">
        <v>630</v>
      </c>
      <c r="G117" s="41">
        <v>245014.58</v>
      </c>
      <c r="H117" s="42">
        <v>456.16891805920824</v>
      </c>
      <c r="I117" s="43">
        <v>537.11371007570142</v>
      </c>
    </row>
    <row r="118" spans="1:9" x14ac:dyDescent="0.25">
      <c r="A118" s="38"/>
      <c r="B118" s="157">
        <v>216</v>
      </c>
      <c r="C118" s="27">
        <v>7</v>
      </c>
      <c r="D118" s="39" t="s">
        <v>408</v>
      </c>
      <c r="E118" s="40">
        <v>319371.06</v>
      </c>
      <c r="F118" s="41">
        <v>285</v>
      </c>
      <c r="G118" s="41">
        <v>319086.06</v>
      </c>
      <c r="H118" s="42">
        <v>764.6477139740557</v>
      </c>
      <c r="I118" s="43">
        <v>417.2981284958455</v>
      </c>
    </row>
    <row r="119" spans="1:9" x14ac:dyDescent="0.25">
      <c r="A119" s="38"/>
      <c r="B119" s="157">
        <v>218</v>
      </c>
      <c r="C119" s="27">
        <v>7</v>
      </c>
      <c r="D119" s="39" t="s">
        <v>513</v>
      </c>
      <c r="E119" s="40">
        <v>189204.88</v>
      </c>
      <c r="F119" s="41">
        <v>110</v>
      </c>
      <c r="G119" s="41">
        <v>189094.88</v>
      </c>
      <c r="H119" s="42">
        <v>290.41193028521099</v>
      </c>
      <c r="I119" s="43">
        <v>651.12641830620248</v>
      </c>
    </row>
    <row r="120" spans="1:9" x14ac:dyDescent="0.25">
      <c r="A120" s="38"/>
      <c r="B120" s="157">
        <v>229</v>
      </c>
      <c r="C120" s="27">
        <v>7</v>
      </c>
      <c r="D120" s="39" t="s">
        <v>409</v>
      </c>
      <c r="E120" s="40">
        <v>449836.67</v>
      </c>
      <c r="F120" s="41">
        <v>104238</v>
      </c>
      <c r="G120" s="41">
        <v>345598.67</v>
      </c>
      <c r="H120" s="42">
        <v>816</v>
      </c>
      <c r="I120" s="43">
        <v>423.52778186274509</v>
      </c>
    </row>
    <row r="121" spans="1:9" x14ac:dyDescent="0.25">
      <c r="A121" s="38"/>
      <c r="B121" s="157">
        <v>236</v>
      </c>
      <c r="C121" s="27">
        <v>7</v>
      </c>
      <c r="D121" s="39" t="s">
        <v>410</v>
      </c>
      <c r="E121" s="40">
        <v>616356.31999999995</v>
      </c>
      <c r="F121" s="41">
        <v>145860.79</v>
      </c>
      <c r="G121" s="41">
        <v>470495.52999999991</v>
      </c>
      <c r="H121" s="42">
        <v>1084.1000000000001</v>
      </c>
      <c r="I121" s="43">
        <v>433.99643021861436</v>
      </c>
    </row>
    <row r="122" spans="1:9" x14ac:dyDescent="0.25">
      <c r="A122" s="38"/>
      <c r="B122" s="157">
        <v>238</v>
      </c>
      <c r="C122" s="27">
        <v>7</v>
      </c>
      <c r="D122" s="39" t="s">
        <v>556</v>
      </c>
      <c r="E122" s="40">
        <v>56188.56</v>
      </c>
      <c r="F122" s="41">
        <v>0</v>
      </c>
      <c r="G122" s="41">
        <v>56188.56</v>
      </c>
      <c r="H122" s="42">
        <v>67.316412345260062</v>
      </c>
      <c r="I122" s="43">
        <v>834.69332429383985</v>
      </c>
    </row>
    <row r="123" spans="1:9" x14ac:dyDescent="0.25">
      <c r="A123" s="38"/>
      <c r="B123" s="157">
        <v>239</v>
      </c>
      <c r="C123" s="27">
        <v>7</v>
      </c>
      <c r="D123" s="39" t="s">
        <v>411</v>
      </c>
      <c r="E123" s="40">
        <v>1786444.75</v>
      </c>
      <c r="F123" s="41">
        <v>419175.63</v>
      </c>
      <c r="G123" s="41">
        <v>1367269.12</v>
      </c>
      <c r="H123" s="42">
        <v>3252.7579008551165</v>
      </c>
      <c r="I123" s="43">
        <v>420.34149533248666</v>
      </c>
    </row>
    <row r="124" spans="1:9" x14ac:dyDescent="0.25">
      <c r="A124" s="38"/>
      <c r="B124" s="157">
        <v>249</v>
      </c>
      <c r="C124" s="27">
        <v>7</v>
      </c>
      <c r="D124" s="39" t="s">
        <v>412</v>
      </c>
      <c r="E124" s="40">
        <v>606310.29</v>
      </c>
      <c r="F124" s="41">
        <v>0</v>
      </c>
      <c r="G124" s="41">
        <v>606310.29</v>
      </c>
      <c r="H124" s="42">
        <v>1154.9883434484898</v>
      </c>
      <c r="I124" s="43">
        <v>524.94927194651837</v>
      </c>
    </row>
    <row r="125" spans="1:9" x14ac:dyDescent="0.25">
      <c r="A125" s="38"/>
      <c r="B125" s="157">
        <v>271</v>
      </c>
      <c r="C125" s="27">
        <v>7</v>
      </c>
      <c r="D125" s="39" t="s">
        <v>413</v>
      </c>
      <c r="E125" s="40">
        <v>988965.82</v>
      </c>
      <c r="F125" s="41">
        <v>90489.709999999992</v>
      </c>
      <c r="G125" s="41">
        <v>898476.11</v>
      </c>
      <c r="H125" s="42">
        <v>1048.2</v>
      </c>
      <c r="I125" s="43">
        <v>857.16095210837625</v>
      </c>
    </row>
    <row r="126" spans="1:9" x14ac:dyDescent="0.25">
      <c r="A126" s="38"/>
      <c r="B126" s="157">
        <v>275</v>
      </c>
      <c r="C126" s="27">
        <v>7</v>
      </c>
      <c r="D126" s="39" t="s">
        <v>414</v>
      </c>
      <c r="E126" s="40">
        <v>324500.11</v>
      </c>
      <c r="F126" s="41">
        <v>62912.880000000005</v>
      </c>
      <c r="G126" s="41">
        <v>261587.22999999998</v>
      </c>
      <c r="H126" s="42">
        <v>710.94999999999993</v>
      </c>
      <c r="I126" s="43">
        <v>367.94040368520996</v>
      </c>
    </row>
    <row r="127" spans="1:9" x14ac:dyDescent="0.25">
      <c r="A127" s="38"/>
      <c r="B127" s="157">
        <v>282</v>
      </c>
      <c r="C127" s="27">
        <v>7</v>
      </c>
      <c r="D127" s="39" t="s">
        <v>415</v>
      </c>
      <c r="E127" s="40">
        <v>55222.87</v>
      </c>
      <c r="F127" s="41">
        <v>0</v>
      </c>
      <c r="G127" s="41">
        <v>55222.87</v>
      </c>
      <c r="H127" s="42">
        <v>145.34946417977184</v>
      </c>
      <c r="I127" s="43">
        <v>379.93170674299137</v>
      </c>
    </row>
    <row r="128" spans="1:9" x14ac:dyDescent="0.25">
      <c r="A128" s="38"/>
      <c r="B128" s="157">
        <v>287</v>
      </c>
      <c r="C128" s="27">
        <v>7</v>
      </c>
      <c r="D128" s="39" t="s">
        <v>416</v>
      </c>
      <c r="E128" s="40">
        <v>102363.95</v>
      </c>
      <c r="F128" s="41">
        <v>282</v>
      </c>
      <c r="G128" s="41">
        <v>102081.95</v>
      </c>
      <c r="H128" s="42">
        <v>147.07202997933462</v>
      </c>
      <c r="I128" s="43">
        <v>694.09492759665955</v>
      </c>
    </row>
    <row r="129" spans="1:9" x14ac:dyDescent="0.25">
      <c r="A129" s="38"/>
      <c r="B129" s="157">
        <v>290</v>
      </c>
      <c r="C129" s="27">
        <v>7</v>
      </c>
      <c r="D129" s="39" t="s">
        <v>417</v>
      </c>
      <c r="E129" s="40">
        <v>134939.94</v>
      </c>
      <c r="F129" s="41">
        <v>423.97</v>
      </c>
      <c r="G129" s="41">
        <v>134515.97</v>
      </c>
      <c r="H129" s="42">
        <v>335.89235607307199</v>
      </c>
      <c r="I129" s="43">
        <v>400.4734480195691</v>
      </c>
    </row>
    <row r="130" spans="1:9" x14ac:dyDescent="0.25">
      <c r="A130" s="38"/>
      <c r="B130" s="157">
        <v>294</v>
      </c>
      <c r="C130" s="27">
        <v>7</v>
      </c>
      <c r="D130" s="39" t="s">
        <v>418</v>
      </c>
      <c r="E130" s="40">
        <v>632461</v>
      </c>
      <c r="F130" s="41">
        <v>637</v>
      </c>
      <c r="G130" s="41">
        <v>631824</v>
      </c>
      <c r="H130" s="42">
        <v>1221.8972650148394</v>
      </c>
      <c r="I130" s="43">
        <v>517.08438842632711</v>
      </c>
    </row>
    <row r="131" spans="1:9" x14ac:dyDescent="0.25">
      <c r="A131" s="38"/>
      <c r="B131" s="157">
        <v>296</v>
      </c>
      <c r="C131" s="27">
        <v>7</v>
      </c>
      <c r="D131" s="39" t="s">
        <v>419</v>
      </c>
      <c r="E131" s="40">
        <v>836673.68</v>
      </c>
      <c r="F131" s="41">
        <v>180195.59000000003</v>
      </c>
      <c r="G131" s="41">
        <v>656478.09000000008</v>
      </c>
      <c r="H131" s="42">
        <v>869.4000000000002</v>
      </c>
      <c r="I131" s="43">
        <v>755.09327122153206</v>
      </c>
    </row>
    <row r="132" spans="1:9" x14ac:dyDescent="0.25">
      <c r="A132" s="38"/>
      <c r="B132" s="157">
        <v>301</v>
      </c>
      <c r="C132" s="27">
        <v>7</v>
      </c>
      <c r="D132" s="39" t="s">
        <v>420</v>
      </c>
      <c r="E132" s="40">
        <v>227243.7</v>
      </c>
      <c r="F132" s="41">
        <v>424.62</v>
      </c>
      <c r="G132" s="41">
        <v>226819.08000000002</v>
      </c>
      <c r="H132" s="42">
        <v>630.73820209822964</v>
      </c>
      <c r="I132" s="43">
        <v>359.60891419840743</v>
      </c>
    </row>
    <row r="133" spans="1:9" x14ac:dyDescent="0.25">
      <c r="A133" s="38"/>
      <c r="B133" s="157">
        <v>321</v>
      </c>
      <c r="C133" s="27">
        <v>7</v>
      </c>
      <c r="D133" s="39" t="s">
        <v>421</v>
      </c>
      <c r="E133" s="40">
        <v>483134.14</v>
      </c>
      <c r="F133" s="41">
        <v>39768.860000000008</v>
      </c>
      <c r="G133" s="41">
        <v>443365.28</v>
      </c>
      <c r="H133" s="42">
        <v>443.65</v>
      </c>
      <c r="I133" s="43">
        <v>999.35823284120374</v>
      </c>
    </row>
    <row r="134" spans="1:9" x14ac:dyDescent="0.25">
      <c r="A134" s="38"/>
      <c r="B134" s="157">
        <v>325</v>
      </c>
      <c r="C134" s="27">
        <v>7</v>
      </c>
      <c r="D134" s="39" t="s">
        <v>422</v>
      </c>
      <c r="E134" s="40">
        <v>173117.05</v>
      </c>
      <c r="F134" s="41">
        <v>304</v>
      </c>
      <c r="G134" s="41">
        <v>172813.05</v>
      </c>
      <c r="H134" s="42">
        <v>392.34692360749096</v>
      </c>
      <c r="I134" s="43">
        <v>440.45980636484978</v>
      </c>
    </row>
    <row r="135" spans="1:9" x14ac:dyDescent="0.25">
      <c r="A135" s="38"/>
      <c r="B135" s="157">
        <v>346</v>
      </c>
      <c r="C135" s="27">
        <v>7</v>
      </c>
      <c r="D135" s="39" t="s">
        <v>423</v>
      </c>
      <c r="E135" s="40">
        <v>123092.65</v>
      </c>
      <c r="F135" s="41">
        <v>27381.15</v>
      </c>
      <c r="G135" s="41">
        <v>95711.5</v>
      </c>
      <c r="H135" s="42">
        <v>262.16879519273215</v>
      </c>
      <c r="I135" s="43">
        <v>365.07586621679422</v>
      </c>
    </row>
    <row r="136" spans="1:9" x14ac:dyDescent="0.25">
      <c r="A136" s="38"/>
      <c r="B136" s="157">
        <v>358</v>
      </c>
      <c r="C136" s="27">
        <v>7</v>
      </c>
      <c r="D136" s="39" t="s">
        <v>424</v>
      </c>
      <c r="E136" s="40">
        <v>241699.7</v>
      </c>
      <c r="F136" s="41">
        <v>48918.26</v>
      </c>
      <c r="G136" s="41">
        <v>192781.44</v>
      </c>
      <c r="H136" s="42">
        <v>379.12</v>
      </c>
      <c r="I136" s="43">
        <v>508.49715129774216</v>
      </c>
    </row>
    <row r="137" spans="1:9" x14ac:dyDescent="0.25">
      <c r="A137" s="38"/>
      <c r="B137" s="157">
        <v>361</v>
      </c>
      <c r="C137" s="27">
        <v>7</v>
      </c>
      <c r="D137" s="39" t="s">
        <v>425</v>
      </c>
      <c r="E137" s="40">
        <v>911184.79</v>
      </c>
      <c r="F137" s="41">
        <v>7581.0599999999995</v>
      </c>
      <c r="G137" s="41">
        <v>903603.73</v>
      </c>
      <c r="H137" s="42">
        <v>1540.865013619775</v>
      </c>
      <c r="I137" s="43">
        <v>586.42627486055301</v>
      </c>
    </row>
    <row r="138" spans="1:9" x14ac:dyDescent="0.25">
      <c r="A138" s="38"/>
      <c r="B138" s="157">
        <v>376</v>
      </c>
      <c r="C138" s="27">
        <v>7</v>
      </c>
      <c r="D138" s="39" t="s">
        <v>426</v>
      </c>
      <c r="E138" s="40">
        <v>281309.96000000002</v>
      </c>
      <c r="F138" s="41">
        <v>326</v>
      </c>
      <c r="G138" s="41">
        <v>280983.96000000002</v>
      </c>
      <c r="H138" s="42">
        <v>685.89220705089633</v>
      </c>
      <c r="I138" s="43">
        <v>409.6619805729178</v>
      </c>
    </row>
    <row r="139" spans="1:9" x14ac:dyDescent="0.25">
      <c r="A139" s="38"/>
      <c r="B139" s="157">
        <v>382</v>
      </c>
      <c r="C139" s="27">
        <v>7</v>
      </c>
      <c r="D139" s="39" t="s">
        <v>427</v>
      </c>
      <c r="E139" s="40">
        <v>98656.37</v>
      </c>
      <c r="F139" s="41">
        <v>22015.520000000004</v>
      </c>
      <c r="G139" s="41">
        <v>76640.849999999991</v>
      </c>
      <c r="H139" s="42">
        <v>185.27</v>
      </c>
      <c r="I139" s="43">
        <v>413.67112862309057</v>
      </c>
    </row>
    <row r="140" spans="1:9" x14ac:dyDescent="0.25">
      <c r="A140" s="38"/>
      <c r="B140" s="157">
        <v>389</v>
      </c>
      <c r="C140" s="27">
        <v>7</v>
      </c>
      <c r="D140" s="39" t="s">
        <v>428</v>
      </c>
      <c r="E140" s="40">
        <v>166030.71</v>
      </c>
      <c r="F140" s="41">
        <v>944.5</v>
      </c>
      <c r="G140" s="41">
        <v>165086.21</v>
      </c>
      <c r="H140" s="42">
        <v>971.31315779571287</v>
      </c>
      <c r="I140" s="43">
        <v>169.96187962144441</v>
      </c>
    </row>
    <row r="141" spans="1:9" x14ac:dyDescent="0.25">
      <c r="A141" s="38"/>
      <c r="B141" s="157">
        <v>420</v>
      </c>
      <c r="C141" s="27">
        <v>7</v>
      </c>
      <c r="D141" s="39" t="s">
        <v>520</v>
      </c>
      <c r="E141" s="40">
        <v>181392.42</v>
      </c>
      <c r="F141" s="41">
        <v>158.49</v>
      </c>
      <c r="G141" s="41">
        <v>181233.93000000002</v>
      </c>
      <c r="H141" s="42">
        <v>439.19048015518462</v>
      </c>
      <c r="I141" s="43">
        <v>412.65450456932126</v>
      </c>
    </row>
    <row r="142" spans="1:9" x14ac:dyDescent="0.25">
      <c r="A142" s="38"/>
      <c r="B142" s="157">
        <v>434</v>
      </c>
      <c r="C142" s="27">
        <v>7</v>
      </c>
      <c r="D142" s="39" t="s">
        <v>429</v>
      </c>
      <c r="E142" s="40">
        <v>130973.72</v>
      </c>
      <c r="F142" s="41">
        <v>0</v>
      </c>
      <c r="G142" s="41">
        <v>130973.72</v>
      </c>
      <c r="H142" s="42">
        <v>314.12901317026297</v>
      </c>
      <c r="I142" s="43">
        <v>416.94244883076158</v>
      </c>
    </row>
    <row r="143" spans="1:9" x14ac:dyDescent="0.25">
      <c r="A143" s="38"/>
      <c r="B143" s="157">
        <v>437</v>
      </c>
      <c r="C143" s="27">
        <v>7</v>
      </c>
      <c r="D143" s="39" t="s">
        <v>430</v>
      </c>
      <c r="E143" s="40">
        <v>233460.45</v>
      </c>
      <c r="F143" s="41">
        <v>0</v>
      </c>
      <c r="G143" s="41">
        <v>233460.45</v>
      </c>
      <c r="H143" s="42">
        <v>381.25325546155779</v>
      </c>
      <c r="I143" s="43">
        <v>612.35004988315461</v>
      </c>
    </row>
    <row r="144" spans="1:9" x14ac:dyDescent="0.25">
      <c r="A144" s="38"/>
      <c r="B144" s="157">
        <v>502</v>
      </c>
      <c r="C144" s="27">
        <v>7</v>
      </c>
      <c r="D144" s="39" t="s">
        <v>431</v>
      </c>
      <c r="E144" s="40">
        <v>321308.17</v>
      </c>
      <c r="F144" s="41">
        <v>0</v>
      </c>
      <c r="G144" s="41">
        <v>321308.17</v>
      </c>
      <c r="H144" s="42">
        <v>668.15033574141978</v>
      </c>
      <c r="I144" s="43">
        <v>480.89202805452027</v>
      </c>
    </row>
    <row r="145" spans="1:9" x14ac:dyDescent="0.25">
      <c r="A145" s="38"/>
      <c r="B145" s="157">
        <v>503</v>
      </c>
      <c r="C145" s="27">
        <v>7</v>
      </c>
      <c r="D145" s="39" t="s">
        <v>432</v>
      </c>
      <c r="E145" s="40">
        <v>200464.15</v>
      </c>
      <c r="F145" s="41">
        <v>51599.19000000001</v>
      </c>
      <c r="G145" s="41">
        <v>148864.95999999999</v>
      </c>
      <c r="H145" s="42">
        <v>362.80000000000007</v>
      </c>
      <c r="I145" s="43">
        <v>410.32238147739793</v>
      </c>
    </row>
    <row r="146" spans="1:9" x14ac:dyDescent="0.25">
      <c r="A146" s="38"/>
      <c r="B146" s="157">
        <v>510</v>
      </c>
      <c r="C146" s="27">
        <v>7</v>
      </c>
      <c r="D146" s="39" t="s">
        <v>433</v>
      </c>
      <c r="E146" s="40">
        <v>225129.38</v>
      </c>
      <c r="F146" s="41">
        <v>1049</v>
      </c>
      <c r="G146" s="41">
        <v>224080.38</v>
      </c>
      <c r="H146" s="42">
        <v>488.33931602748999</v>
      </c>
      <c r="I146" s="43">
        <v>458.86205072086779</v>
      </c>
    </row>
    <row r="147" spans="1:9" x14ac:dyDescent="0.25">
      <c r="A147" s="38"/>
      <c r="B147" s="157">
        <v>531</v>
      </c>
      <c r="C147" s="27">
        <v>7</v>
      </c>
      <c r="D147" s="39" t="s">
        <v>434</v>
      </c>
      <c r="E147" s="40">
        <v>619077.55000000005</v>
      </c>
      <c r="F147" s="41">
        <v>5174.5599999999995</v>
      </c>
      <c r="G147" s="41">
        <v>613902.99</v>
      </c>
      <c r="H147" s="42">
        <v>2134.37</v>
      </c>
      <c r="I147" s="43">
        <v>287.62725769196533</v>
      </c>
    </row>
    <row r="148" spans="1:9" x14ac:dyDescent="0.25">
      <c r="A148" s="38"/>
      <c r="B148" s="157">
        <v>550</v>
      </c>
      <c r="C148" s="27">
        <v>7</v>
      </c>
      <c r="D148" s="39" t="s">
        <v>435</v>
      </c>
      <c r="E148" s="40">
        <v>412541.65</v>
      </c>
      <c r="F148" s="41">
        <v>100</v>
      </c>
      <c r="G148" s="41">
        <v>412441.65</v>
      </c>
      <c r="H148" s="42">
        <v>257.69</v>
      </c>
      <c r="I148" s="43">
        <v>1600.5341689627073</v>
      </c>
    </row>
    <row r="149" spans="1:9" x14ac:dyDescent="0.25">
      <c r="A149" s="38"/>
      <c r="B149" s="157">
        <v>551</v>
      </c>
      <c r="C149" s="27">
        <v>7</v>
      </c>
      <c r="D149" s="39" t="s">
        <v>436</v>
      </c>
      <c r="E149" s="40">
        <v>85940.14</v>
      </c>
      <c r="F149" s="41">
        <v>201</v>
      </c>
      <c r="G149" s="41">
        <v>85739.14</v>
      </c>
      <c r="H149" s="42">
        <v>172.97</v>
      </c>
      <c r="I149" s="43">
        <v>495.68792276117244</v>
      </c>
    </row>
    <row r="150" spans="1:9" x14ac:dyDescent="0.25">
      <c r="A150" s="38"/>
      <c r="B150" s="157">
        <v>555</v>
      </c>
      <c r="C150" s="27">
        <v>7</v>
      </c>
      <c r="D150" s="39" t="s">
        <v>437</v>
      </c>
      <c r="E150" s="40">
        <v>492787.09</v>
      </c>
      <c r="F150" s="41">
        <v>498</v>
      </c>
      <c r="G150" s="41">
        <v>492289.09</v>
      </c>
      <c r="H150" s="42">
        <v>603.33664613851852</v>
      </c>
      <c r="I150" s="43">
        <v>815.94428773845209</v>
      </c>
    </row>
    <row r="151" spans="1:9" x14ac:dyDescent="0.25">
      <c r="A151" s="38"/>
      <c r="B151" s="157">
        <v>556</v>
      </c>
      <c r="C151" s="27">
        <v>7</v>
      </c>
      <c r="D151" s="39" t="s">
        <v>438</v>
      </c>
      <c r="E151" s="40">
        <v>144657.59</v>
      </c>
      <c r="F151" s="41">
        <v>350.51</v>
      </c>
      <c r="G151" s="41">
        <v>144307.07999999999</v>
      </c>
      <c r="H151" s="42">
        <v>391.24677594424628</v>
      </c>
      <c r="I151" s="43">
        <v>368.83902660085852</v>
      </c>
    </row>
    <row r="152" spans="1:9" x14ac:dyDescent="0.25">
      <c r="A152" s="38"/>
      <c r="B152" s="157">
        <v>558</v>
      </c>
      <c r="C152" s="27">
        <v>7</v>
      </c>
      <c r="D152" s="39" t="s">
        <v>439</v>
      </c>
      <c r="E152" s="40">
        <v>230639.34</v>
      </c>
      <c r="F152" s="41">
        <v>26698.63</v>
      </c>
      <c r="G152" s="41">
        <v>203940.71</v>
      </c>
      <c r="H152" s="42">
        <v>347.54359974511453</v>
      </c>
      <c r="I152" s="43">
        <v>586.80611626733548</v>
      </c>
    </row>
    <row r="153" spans="1:9" x14ac:dyDescent="0.25">
      <c r="A153" s="38"/>
      <c r="B153" s="157">
        <v>600</v>
      </c>
      <c r="C153" s="27">
        <v>7</v>
      </c>
      <c r="D153" s="39" t="s">
        <v>440</v>
      </c>
      <c r="E153" s="40">
        <v>251152.74</v>
      </c>
      <c r="F153" s="41">
        <v>0</v>
      </c>
      <c r="G153" s="41">
        <v>251152.74</v>
      </c>
      <c r="H153" s="42">
        <v>804.36</v>
      </c>
      <c r="I153" s="43">
        <v>312.23922124421898</v>
      </c>
    </row>
    <row r="154" spans="1:9" x14ac:dyDescent="0.25">
      <c r="A154" s="38"/>
      <c r="B154" s="157">
        <v>604</v>
      </c>
      <c r="C154" s="27">
        <v>7</v>
      </c>
      <c r="D154" s="39" t="s">
        <v>441</v>
      </c>
      <c r="E154" s="40">
        <v>238868.16</v>
      </c>
      <c r="F154" s="41">
        <v>30079.71</v>
      </c>
      <c r="G154" s="41">
        <v>208788.45</v>
      </c>
      <c r="H154" s="42">
        <v>727.41720759868917</v>
      </c>
      <c r="I154" s="43">
        <v>287.02709781810262</v>
      </c>
    </row>
    <row r="155" spans="1:9" x14ac:dyDescent="0.25">
      <c r="A155" s="38"/>
      <c r="B155" s="157">
        <v>612</v>
      </c>
      <c r="C155" s="27">
        <v>7</v>
      </c>
      <c r="D155" s="39" t="s">
        <v>442</v>
      </c>
      <c r="E155" s="40">
        <v>278008.61</v>
      </c>
      <c r="F155" s="41">
        <v>7776.44</v>
      </c>
      <c r="G155" s="41">
        <v>270232.17</v>
      </c>
      <c r="H155" s="42">
        <v>488.86576888424196</v>
      </c>
      <c r="I155" s="43">
        <v>552.7737616335088</v>
      </c>
    </row>
    <row r="156" spans="1:9" x14ac:dyDescent="0.25">
      <c r="A156" s="38"/>
      <c r="B156" s="157">
        <v>635</v>
      </c>
      <c r="C156" s="27">
        <v>7</v>
      </c>
      <c r="D156" s="39" t="s">
        <v>557</v>
      </c>
      <c r="E156" s="40">
        <v>41866.43</v>
      </c>
      <c r="F156" s="41">
        <v>7688.1000000000013</v>
      </c>
      <c r="G156" s="41">
        <v>34178.33</v>
      </c>
      <c r="H156" s="42">
        <v>48.589999999999996</v>
      </c>
      <c r="I156" s="43">
        <v>703.40255196542512</v>
      </c>
    </row>
    <row r="157" spans="1:9" x14ac:dyDescent="0.25">
      <c r="A157" s="38"/>
      <c r="B157" s="157">
        <v>711</v>
      </c>
      <c r="C157" s="27">
        <v>7</v>
      </c>
      <c r="D157" s="39" t="s">
        <v>443</v>
      </c>
      <c r="E157" s="40">
        <v>219303.41</v>
      </c>
      <c r="F157" s="41">
        <v>15317.63</v>
      </c>
      <c r="G157" s="41">
        <v>203985.78</v>
      </c>
      <c r="H157" s="42">
        <v>420.12</v>
      </c>
      <c r="I157" s="43">
        <v>485.54170237075118</v>
      </c>
    </row>
    <row r="158" spans="1:9" x14ac:dyDescent="0.25">
      <c r="A158" s="38"/>
      <c r="B158" s="157">
        <v>712</v>
      </c>
      <c r="C158" s="27">
        <v>7</v>
      </c>
      <c r="D158" s="39" t="s">
        <v>444</v>
      </c>
      <c r="E158" s="40">
        <v>285648.96000000002</v>
      </c>
      <c r="F158" s="41">
        <v>0</v>
      </c>
      <c r="G158" s="41">
        <v>285648.96000000002</v>
      </c>
      <c r="H158" s="42">
        <v>743.30000000000007</v>
      </c>
      <c r="I158" s="43">
        <v>384.29834521727429</v>
      </c>
    </row>
    <row r="159" spans="1:9" x14ac:dyDescent="0.25">
      <c r="A159" s="38"/>
      <c r="B159" s="157">
        <v>718</v>
      </c>
      <c r="C159" s="27">
        <v>7</v>
      </c>
      <c r="D159" s="39" t="s">
        <v>445</v>
      </c>
      <c r="E159" s="40">
        <v>22733.55</v>
      </c>
      <c r="F159" s="41">
        <v>0</v>
      </c>
      <c r="G159" s="41">
        <v>22733.55</v>
      </c>
      <c r="H159" s="42">
        <v>29.977429817390671</v>
      </c>
      <c r="I159" s="43">
        <v>758.35554076793096</v>
      </c>
    </row>
    <row r="160" spans="1:9" x14ac:dyDescent="0.25">
      <c r="A160" s="38"/>
      <c r="B160" s="157">
        <v>736</v>
      </c>
      <c r="C160" s="27">
        <v>7</v>
      </c>
      <c r="D160" s="39" t="s">
        <v>446</v>
      </c>
      <c r="E160" s="40">
        <v>55322.1</v>
      </c>
      <c r="F160" s="41">
        <v>161</v>
      </c>
      <c r="G160" s="41">
        <v>55161.1</v>
      </c>
      <c r="H160" s="42">
        <v>138.56449994605035</v>
      </c>
      <c r="I160" s="43">
        <v>398.08969845434291</v>
      </c>
    </row>
    <row r="161" spans="1:9" x14ac:dyDescent="0.25">
      <c r="A161" s="38"/>
      <c r="B161" s="157">
        <v>757</v>
      </c>
      <c r="C161" s="27">
        <v>7</v>
      </c>
      <c r="D161" s="39" t="s">
        <v>447</v>
      </c>
      <c r="E161" s="40">
        <v>325864.53000000003</v>
      </c>
      <c r="F161" s="41">
        <v>65666.5</v>
      </c>
      <c r="G161" s="41">
        <v>260198.03000000003</v>
      </c>
      <c r="H161" s="42">
        <v>535.91999999999996</v>
      </c>
      <c r="I161" s="43">
        <v>485.51655097775796</v>
      </c>
    </row>
    <row r="162" spans="1:9" x14ac:dyDescent="0.25">
      <c r="A162" s="38"/>
      <c r="B162" s="157">
        <v>786</v>
      </c>
      <c r="C162" s="27">
        <v>7</v>
      </c>
      <c r="D162" s="39" t="s">
        <v>448</v>
      </c>
      <c r="E162" s="40">
        <v>1566858.3</v>
      </c>
      <c r="F162" s="41">
        <v>287163.78999999998</v>
      </c>
      <c r="G162" s="41">
        <v>1279694.51</v>
      </c>
      <c r="H162" s="42">
        <v>3145.58</v>
      </c>
      <c r="I162" s="43">
        <v>406.82306919550609</v>
      </c>
    </row>
    <row r="163" spans="1:9" x14ac:dyDescent="0.25">
      <c r="A163" s="38"/>
      <c r="B163" s="157">
        <v>854</v>
      </c>
      <c r="C163" s="27">
        <v>7</v>
      </c>
      <c r="D163" s="39" t="s">
        <v>449</v>
      </c>
      <c r="E163" s="40">
        <v>490740.21</v>
      </c>
      <c r="F163" s="41">
        <v>37547.699999999997</v>
      </c>
      <c r="G163" s="41">
        <v>453192.51</v>
      </c>
      <c r="H163" s="42">
        <v>839.93</v>
      </c>
      <c r="I163" s="43">
        <v>539.55985617849115</v>
      </c>
    </row>
    <row r="164" spans="1:9" x14ac:dyDescent="0.25">
      <c r="A164" s="38"/>
      <c r="B164" s="157">
        <v>855</v>
      </c>
      <c r="C164" s="27">
        <v>7</v>
      </c>
      <c r="D164" s="39" t="s">
        <v>450</v>
      </c>
      <c r="E164" s="40">
        <v>140079.48000000001</v>
      </c>
      <c r="F164" s="41">
        <v>12090</v>
      </c>
      <c r="G164" s="41">
        <v>127989.48000000001</v>
      </c>
      <c r="H164" s="42">
        <v>208.08754355551341</v>
      </c>
      <c r="I164" s="43">
        <v>615.07516410205062</v>
      </c>
    </row>
    <row r="165" spans="1:9" x14ac:dyDescent="0.25">
      <c r="A165" s="45"/>
      <c r="B165" s="157">
        <v>862</v>
      </c>
      <c r="C165" s="27">
        <v>7</v>
      </c>
      <c r="D165" s="39" t="s">
        <v>451</v>
      </c>
      <c r="E165" s="40">
        <v>10884.05</v>
      </c>
      <c r="F165" s="41">
        <v>8152.2</v>
      </c>
      <c r="G165" s="41">
        <v>2731.8499999999995</v>
      </c>
      <c r="H165" s="42">
        <v>13.057490298183062</v>
      </c>
      <c r="I165" s="43">
        <v>209.2170805886131</v>
      </c>
    </row>
    <row r="166" spans="1:9" x14ac:dyDescent="0.25">
      <c r="A166" s="38"/>
      <c r="B166" s="157">
        <v>958</v>
      </c>
      <c r="C166" s="27">
        <v>7</v>
      </c>
      <c r="D166" s="39" t="s">
        <v>452</v>
      </c>
      <c r="E166" s="40">
        <v>165631.01</v>
      </c>
      <c r="F166" s="41">
        <v>290.27999999999997</v>
      </c>
      <c r="G166" s="41">
        <v>165340.73000000001</v>
      </c>
      <c r="H166" s="42">
        <v>510.68493823667342</v>
      </c>
      <c r="I166" s="43">
        <v>323.76269128065411</v>
      </c>
    </row>
    <row r="167" spans="1:9" x14ac:dyDescent="0.25">
      <c r="A167" s="38"/>
      <c r="B167" s="157">
        <v>967</v>
      </c>
      <c r="C167" s="27">
        <v>7</v>
      </c>
      <c r="D167" s="39" t="s">
        <v>453</v>
      </c>
      <c r="E167" s="40">
        <v>79646.62</v>
      </c>
      <c r="F167" s="41">
        <v>0</v>
      </c>
      <c r="G167" s="41">
        <v>79646.62</v>
      </c>
      <c r="H167" s="42">
        <v>180.72179769743559</v>
      </c>
      <c r="I167" s="43">
        <v>440.7139648607544</v>
      </c>
    </row>
    <row r="168" spans="1:9" x14ac:dyDescent="0.25">
      <c r="A168" s="38"/>
      <c r="B168" s="157">
        <v>971</v>
      </c>
      <c r="C168" s="27">
        <v>7</v>
      </c>
      <c r="D168" s="39" t="s">
        <v>454</v>
      </c>
      <c r="E168" s="40">
        <v>536513.62</v>
      </c>
      <c r="F168" s="41">
        <v>137200.55999999997</v>
      </c>
      <c r="G168" s="41">
        <v>399313.06000000006</v>
      </c>
      <c r="H168" s="42">
        <v>976</v>
      </c>
      <c r="I168" s="43">
        <v>409.13223360655741</v>
      </c>
    </row>
    <row r="169" spans="1:9" x14ac:dyDescent="0.25">
      <c r="A169" s="38"/>
      <c r="B169" s="157">
        <v>975</v>
      </c>
      <c r="C169" s="27">
        <v>7</v>
      </c>
      <c r="D169" s="39" t="s">
        <v>455</v>
      </c>
      <c r="E169" s="40">
        <v>55760.17</v>
      </c>
      <c r="F169" s="41">
        <v>0</v>
      </c>
      <c r="G169" s="41">
        <v>55760.17</v>
      </c>
      <c r="H169" s="42">
        <v>19.270619314376521</v>
      </c>
      <c r="I169" s="43">
        <v>2893.5328486511621</v>
      </c>
    </row>
    <row r="170" spans="1:9" x14ac:dyDescent="0.25">
      <c r="A170" s="38"/>
      <c r="B170" s="157">
        <v>976</v>
      </c>
      <c r="C170" s="27">
        <v>7</v>
      </c>
      <c r="D170" s="39" t="s">
        <v>456</v>
      </c>
      <c r="E170" s="40">
        <v>25941.279999999999</v>
      </c>
      <c r="F170" s="41">
        <v>0</v>
      </c>
      <c r="G170" s="41">
        <v>25941.279999999999</v>
      </c>
      <c r="H170" s="42">
        <v>29.487564416476946</v>
      </c>
      <c r="I170" s="43">
        <v>879.73627233535206</v>
      </c>
    </row>
    <row r="171" spans="1:9" x14ac:dyDescent="0.25">
      <c r="A171" s="38"/>
      <c r="B171" s="157">
        <v>977</v>
      </c>
      <c r="C171" s="27">
        <v>7</v>
      </c>
      <c r="D171" s="39" t="s">
        <v>457</v>
      </c>
      <c r="E171" s="40">
        <v>31893.51</v>
      </c>
      <c r="F171" s="41">
        <v>0</v>
      </c>
      <c r="G171" s="41">
        <v>31893.51</v>
      </c>
      <c r="H171" s="42">
        <v>40.759415747987155</v>
      </c>
      <c r="I171" s="43">
        <v>782.4820207727098</v>
      </c>
    </row>
    <row r="172" spans="1:9" x14ac:dyDescent="0.25">
      <c r="A172" s="38"/>
      <c r="B172" s="157">
        <v>979</v>
      </c>
      <c r="C172" s="27">
        <v>7</v>
      </c>
      <c r="D172" s="39" t="s">
        <v>546</v>
      </c>
      <c r="E172" s="40">
        <v>116196.12</v>
      </c>
      <c r="F172" s="41">
        <v>0</v>
      </c>
      <c r="G172" s="41">
        <v>116196.12</v>
      </c>
      <c r="H172" s="42">
        <v>68.082908668012507</v>
      </c>
      <c r="I172" s="43">
        <v>1706.6856024997151</v>
      </c>
    </row>
    <row r="173" spans="1:9" x14ac:dyDescent="0.25">
      <c r="A173" s="38"/>
      <c r="B173" s="157">
        <v>983</v>
      </c>
      <c r="C173" s="27">
        <v>7</v>
      </c>
      <c r="D173" s="39" t="s">
        <v>459</v>
      </c>
      <c r="E173" s="40">
        <v>30825.599999999999</v>
      </c>
      <c r="F173" s="41">
        <v>250</v>
      </c>
      <c r="G173" s="41">
        <v>30575.599999999999</v>
      </c>
      <c r="H173" s="42">
        <v>86.136151469782178</v>
      </c>
      <c r="I173" s="43">
        <v>354.96826220203684</v>
      </c>
    </row>
    <row r="174" spans="1:9" x14ac:dyDescent="0.25">
      <c r="A174" s="38"/>
      <c r="B174" s="157">
        <v>188</v>
      </c>
      <c r="C174" s="27">
        <v>8</v>
      </c>
      <c r="D174" s="39" t="s">
        <v>460</v>
      </c>
      <c r="E174" s="40">
        <v>125246.14</v>
      </c>
      <c r="F174" s="41">
        <v>23903.22</v>
      </c>
      <c r="G174" s="41">
        <v>101342.92</v>
      </c>
      <c r="H174" s="42">
        <v>287.33</v>
      </c>
      <c r="I174" s="43">
        <v>352.70566943932067</v>
      </c>
    </row>
    <row r="175" spans="1:9" x14ac:dyDescent="0.25">
      <c r="A175" s="38"/>
      <c r="B175" s="157">
        <v>232</v>
      </c>
      <c r="C175" s="27">
        <v>8</v>
      </c>
      <c r="D175" s="39" t="s">
        <v>461</v>
      </c>
      <c r="E175" s="40">
        <v>101873.03</v>
      </c>
      <c r="F175" s="41">
        <v>0</v>
      </c>
      <c r="G175" s="41">
        <v>101873.03</v>
      </c>
      <c r="H175" s="42">
        <v>97.381103404750618</v>
      </c>
      <c r="I175" s="43">
        <v>1046.1272920330275</v>
      </c>
    </row>
    <row r="176" spans="1:9" x14ac:dyDescent="0.25">
      <c r="A176" s="38"/>
      <c r="B176" s="157">
        <v>245</v>
      </c>
      <c r="C176" s="27">
        <v>8</v>
      </c>
      <c r="D176" s="39" t="s">
        <v>462</v>
      </c>
      <c r="E176" s="40">
        <v>620305.29</v>
      </c>
      <c r="F176" s="41">
        <v>0</v>
      </c>
      <c r="G176" s="41">
        <v>620305.29</v>
      </c>
      <c r="H176" s="42">
        <v>182.45317762647645</v>
      </c>
      <c r="I176" s="43">
        <v>3399.8053531844066</v>
      </c>
    </row>
    <row r="177" spans="1:9" x14ac:dyDescent="0.25">
      <c r="A177" s="38"/>
      <c r="B177" s="157">
        <v>372</v>
      </c>
      <c r="C177" s="27">
        <v>8</v>
      </c>
      <c r="D177" s="39" t="s">
        <v>463</v>
      </c>
      <c r="E177" s="40">
        <v>83312.27</v>
      </c>
      <c r="F177" s="41">
        <v>0</v>
      </c>
      <c r="G177" s="41">
        <v>83312.27</v>
      </c>
      <c r="H177" s="42">
        <v>120.44</v>
      </c>
      <c r="I177" s="43">
        <v>691.73256393224847</v>
      </c>
    </row>
    <row r="178" spans="1:9" x14ac:dyDescent="0.25">
      <c r="A178" s="38"/>
      <c r="B178" s="157">
        <v>375</v>
      </c>
      <c r="C178" s="27">
        <v>8</v>
      </c>
      <c r="D178" s="39" t="s">
        <v>464</v>
      </c>
      <c r="E178" s="40">
        <v>245447.76</v>
      </c>
      <c r="F178" s="41">
        <v>0</v>
      </c>
      <c r="G178" s="41">
        <v>245447.76</v>
      </c>
      <c r="H178" s="42">
        <v>165.84</v>
      </c>
      <c r="I178" s="43">
        <v>1480.027496382055</v>
      </c>
    </row>
    <row r="179" spans="1:9" x14ac:dyDescent="0.25">
      <c r="A179" s="38"/>
      <c r="B179" s="157">
        <v>404</v>
      </c>
      <c r="C179" s="27">
        <v>8</v>
      </c>
      <c r="D179" s="39" t="s">
        <v>465</v>
      </c>
      <c r="E179" s="40">
        <v>260768.05</v>
      </c>
      <c r="F179" s="41">
        <v>28484.19</v>
      </c>
      <c r="G179" s="41">
        <v>232283.86</v>
      </c>
      <c r="H179" s="42">
        <v>471.43130890795055</v>
      </c>
      <c r="I179" s="43">
        <v>492.72047827725976</v>
      </c>
    </row>
    <row r="180" spans="1:9" x14ac:dyDescent="0.25">
      <c r="A180" s="45"/>
      <c r="B180" s="157">
        <v>413</v>
      </c>
      <c r="C180" s="27">
        <v>8</v>
      </c>
      <c r="D180" s="39" t="s">
        <v>466</v>
      </c>
      <c r="E180" s="40">
        <v>59936.91</v>
      </c>
      <c r="F180" s="41">
        <v>95</v>
      </c>
      <c r="G180" s="41">
        <v>59841.91</v>
      </c>
      <c r="H180" s="42">
        <v>73.969999999999985</v>
      </c>
      <c r="I180" s="43">
        <v>809.00243341895384</v>
      </c>
    </row>
    <row r="181" spans="1:9" x14ac:dyDescent="0.25">
      <c r="A181" s="38"/>
      <c r="B181" s="157">
        <v>537</v>
      </c>
      <c r="C181" s="27">
        <v>8</v>
      </c>
      <c r="D181" s="39" t="s">
        <v>467</v>
      </c>
      <c r="E181" s="40">
        <v>7779.28</v>
      </c>
      <c r="F181" s="41">
        <v>0</v>
      </c>
      <c r="G181" s="41">
        <v>7779.28</v>
      </c>
      <c r="H181" s="42">
        <v>21.43637439455869</v>
      </c>
      <c r="I181" s="43">
        <v>362.90092050149377</v>
      </c>
    </row>
    <row r="182" spans="1:9" x14ac:dyDescent="0.25">
      <c r="A182" s="38"/>
      <c r="B182" s="157">
        <v>545</v>
      </c>
      <c r="C182" s="27">
        <v>8</v>
      </c>
      <c r="D182" s="39" t="s">
        <v>468</v>
      </c>
      <c r="E182" s="40">
        <v>6792.3</v>
      </c>
      <c r="F182" s="41">
        <v>0</v>
      </c>
      <c r="G182" s="41">
        <v>6792.3</v>
      </c>
      <c r="H182" s="42">
        <v>14.770835019629734</v>
      </c>
      <c r="I182" s="43">
        <v>459.84536358123006</v>
      </c>
    </row>
    <row r="183" spans="1:9" x14ac:dyDescent="0.25">
      <c r="A183" s="38"/>
      <c r="B183" s="157">
        <v>602</v>
      </c>
      <c r="C183" s="27">
        <v>8</v>
      </c>
      <c r="D183" s="39" t="s">
        <v>469</v>
      </c>
      <c r="E183" s="40">
        <v>15846.15</v>
      </c>
      <c r="F183" s="41">
        <v>0</v>
      </c>
      <c r="G183" s="41">
        <v>15846.15</v>
      </c>
      <c r="H183" s="42">
        <v>12.767721505092435</v>
      </c>
      <c r="I183" s="43">
        <v>1241.1102477195893</v>
      </c>
    </row>
    <row r="184" spans="1:9" x14ac:dyDescent="0.25">
      <c r="A184" s="38"/>
      <c r="B184" s="157">
        <v>605</v>
      </c>
      <c r="C184" s="27">
        <v>8</v>
      </c>
      <c r="D184" s="39" t="s">
        <v>470</v>
      </c>
      <c r="E184" s="40">
        <v>7392.31</v>
      </c>
      <c r="F184" s="41">
        <v>0</v>
      </c>
      <c r="G184" s="41">
        <v>7392.31</v>
      </c>
      <c r="H184" s="42">
        <v>10.431092897352221</v>
      </c>
      <c r="I184" s="43">
        <v>708.68029579876804</v>
      </c>
    </row>
    <row r="185" spans="1:9" x14ac:dyDescent="0.25">
      <c r="A185" s="38"/>
      <c r="B185" s="157">
        <v>607</v>
      </c>
      <c r="C185" s="27">
        <v>8</v>
      </c>
      <c r="D185" s="39" t="s">
        <v>471</v>
      </c>
      <c r="E185" s="40">
        <v>11273.44</v>
      </c>
      <c r="F185" s="41">
        <v>0</v>
      </c>
      <c r="G185" s="41">
        <v>11273.44</v>
      </c>
      <c r="H185" s="42">
        <v>15.646639346028332</v>
      </c>
      <c r="I185" s="43">
        <v>720.50232325841887</v>
      </c>
    </row>
    <row r="186" spans="1:9" x14ac:dyDescent="0.25">
      <c r="A186" s="45"/>
      <c r="B186" s="157">
        <v>610</v>
      </c>
      <c r="C186" s="27">
        <v>8</v>
      </c>
      <c r="D186" s="39" t="s">
        <v>472</v>
      </c>
      <c r="E186" s="40">
        <v>31778.68</v>
      </c>
      <c r="F186" s="41">
        <v>0</v>
      </c>
      <c r="G186" s="41">
        <v>31778.68</v>
      </c>
      <c r="H186" s="42">
        <v>73.259013247540878</v>
      </c>
      <c r="I186" s="43">
        <v>433.78525851311178</v>
      </c>
    </row>
    <row r="187" spans="1:9" x14ac:dyDescent="0.25">
      <c r="A187" s="38"/>
      <c r="B187" s="157">
        <v>611</v>
      </c>
      <c r="C187" s="27">
        <v>8</v>
      </c>
      <c r="D187" s="39" t="s">
        <v>473</v>
      </c>
      <c r="E187" s="40">
        <v>31143.71</v>
      </c>
      <c r="F187" s="41">
        <v>0</v>
      </c>
      <c r="G187" s="41">
        <v>31143.71</v>
      </c>
      <c r="H187" s="42">
        <v>19.550165032086241</v>
      </c>
      <c r="I187" s="43">
        <v>1593.0151970014642</v>
      </c>
    </row>
    <row r="188" spans="1:9" x14ac:dyDescent="0.25">
      <c r="A188" s="38"/>
      <c r="B188" s="157">
        <v>616</v>
      </c>
      <c r="C188" s="27">
        <v>8</v>
      </c>
      <c r="D188" s="39" t="s">
        <v>474</v>
      </c>
      <c r="E188" s="40">
        <v>256312.37</v>
      </c>
      <c r="F188" s="41">
        <v>0</v>
      </c>
      <c r="G188" s="41">
        <v>256312.37</v>
      </c>
      <c r="H188" s="42">
        <v>186.85</v>
      </c>
      <c r="I188" s="43">
        <v>1371.7547230398716</v>
      </c>
    </row>
    <row r="189" spans="1:9" x14ac:dyDescent="0.25">
      <c r="A189" s="38"/>
      <c r="B189" s="157">
        <v>637</v>
      </c>
      <c r="C189" s="27">
        <v>8</v>
      </c>
      <c r="D189" s="39" t="s">
        <v>559</v>
      </c>
      <c r="E189" s="40">
        <v>7158.52</v>
      </c>
      <c r="F189" s="41">
        <v>0</v>
      </c>
      <c r="G189" s="41">
        <v>7158.52</v>
      </c>
      <c r="H189" s="42">
        <v>2.2728298744230755</v>
      </c>
      <c r="I189" s="43">
        <v>3149.6066118090275</v>
      </c>
    </row>
    <row r="190" spans="1:9" x14ac:dyDescent="0.25">
      <c r="A190" s="38"/>
      <c r="B190" s="157">
        <v>638</v>
      </c>
      <c r="C190" s="27">
        <v>8</v>
      </c>
      <c r="D190" s="39" t="s">
        <v>560</v>
      </c>
      <c r="E190" s="40">
        <v>20375.98</v>
      </c>
      <c r="F190" s="41">
        <v>0</v>
      </c>
      <c r="G190" s="41">
        <v>20375.98</v>
      </c>
      <c r="H190" s="42">
        <v>10.470967105675433</v>
      </c>
      <c r="I190" s="43">
        <v>1945.9501490512648</v>
      </c>
    </row>
    <row r="191" spans="1:9" x14ac:dyDescent="0.25">
      <c r="A191" s="38"/>
      <c r="B191" s="157">
        <v>639</v>
      </c>
      <c r="C191" s="27">
        <v>8</v>
      </c>
      <c r="D191" s="39" t="s">
        <v>561</v>
      </c>
      <c r="E191" s="40">
        <v>17243.23</v>
      </c>
      <c r="F191" s="41">
        <v>0</v>
      </c>
      <c r="G191" s="41">
        <v>17243.23</v>
      </c>
      <c r="H191" s="42">
        <v>21.173204619625494</v>
      </c>
      <c r="I191" s="43">
        <v>814.3892391243038</v>
      </c>
    </row>
    <row r="192" spans="1:9" x14ac:dyDescent="0.25">
      <c r="A192" s="38"/>
      <c r="B192" s="157">
        <v>709</v>
      </c>
      <c r="C192" s="27">
        <v>8</v>
      </c>
      <c r="D192" s="39" t="s">
        <v>477</v>
      </c>
      <c r="E192" s="40">
        <v>45634.17</v>
      </c>
      <c r="F192" s="41">
        <v>0</v>
      </c>
      <c r="G192" s="41">
        <v>45634.17</v>
      </c>
      <c r="H192" s="42">
        <v>74.93628755379919</v>
      </c>
      <c r="I192" s="43">
        <v>608.97292206046029</v>
      </c>
    </row>
    <row r="193" spans="1:9" x14ac:dyDescent="0.25">
      <c r="A193" s="38"/>
      <c r="B193" s="157">
        <v>714</v>
      </c>
      <c r="C193" s="27">
        <v>8</v>
      </c>
      <c r="D193" s="39" t="s">
        <v>478</v>
      </c>
      <c r="E193" s="40">
        <v>49120.9</v>
      </c>
      <c r="F193" s="41">
        <v>0</v>
      </c>
      <c r="G193" s="41">
        <v>49120.9</v>
      </c>
      <c r="H193" s="42">
        <v>57.802840339332469</v>
      </c>
      <c r="I193" s="43">
        <v>849.80080064638685</v>
      </c>
    </row>
    <row r="194" spans="1:9" x14ac:dyDescent="0.25">
      <c r="A194" s="38"/>
      <c r="B194" s="157">
        <v>749</v>
      </c>
      <c r="C194" s="27">
        <v>8</v>
      </c>
      <c r="D194" s="39" t="s">
        <v>479</v>
      </c>
      <c r="E194" s="40">
        <v>4850.01</v>
      </c>
      <c r="F194" s="41">
        <v>0</v>
      </c>
      <c r="G194" s="41">
        <v>4850.01</v>
      </c>
      <c r="H194" s="42">
        <v>22.43579824715432</v>
      </c>
      <c r="I194" s="43">
        <v>216.1728299823323</v>
      </c>
    </row>
    <row r="195" spans="1:9" x14ac:dyDescent="0.25">
      <c r="A195" s="38"/>
      <c r="B195" s="157">
        <v>764</v>
      </c>
      <c r="C195" s="27">
        <v>8</v>
      </c>
      <c r="D195" s="39" t="s">
        <v>480</v>
      </c>
      <c r="E195" s="40">
        <v>12986.28</v>
      </c>
      <c r="F195" s="41">
        <v>0</v>
      </c>
      <c r="G195" s="41">
        <v>12986.28</v>
      </c>
      <c r="H195" s="42">
        <v>34.6</v>
      </c>
      <c r="I195" s="43">
        <v>375.32601156069364</v>
      </c>
    </row>
    <row r="196" spans="1:9" x14ac:dyDescent="0.25">
      <c r="A196" s="38"/>
      <c r="B196" s="157">
        <v>775</v>
      </c>
      <c r="C196" s="27">
        <v>8</v>
      </c>
      <c r="D196" s="39" t="s">
        <v>481</v>
      </c>
      <c r="E196" s="40">
        <v>62319.01</v>
      </c>
      <c r="F196" s="41">
        <v>0</v>
      </c>
      <c r="G196" s="41">
        <v>62319.01</v>
      </c>
      <c r="H196" s="42">
        <v>125.81110210139802</v>
      </c>
      <c r="I196" s="43">
        <v>495.33792295829119</v>
      </c>
    </row>
    <row r="197" spans="1:9" x14ac:dyDescent="0.25">
      <c r="A197" s="38"/>
      <c r="B197" s="157">
        <v>790</v>
      </c>
      <c r="C197" s="27">
        <v>8</v>
      </c>
      <c r="D197" s="39" t="s">
        <v>482</v>
      </c>
      <c r="E197" s="40">
        <v>7906.08</v>
      </c>
      <c r="F197" s="41">
        <v>0</v>
      </c>
      <c r="G197" s="41">
        <v>7906.08</v>
      </c>
      <c r="H197" s="42">
        <v>21.43637439455869</v>
      </c>
      <c r="I197" s="43">
        <v>368.81609989079323</v>
      </c>
    </row>
    <row r="198" spans="1:9" x14ac:dyDescent="0.25">
      <c r="A198" s="38"/>
      <c r="B198" s="157">
        <v>795</v>
      </c>
      <c r="C198" s="27">
        <v>8</v>
      </c>
      <c r="D198" s="39" t="s">
        <v>562</v>
      </c>
      <c r="E198" s="40">
        <v>328034.84000000003</v>
      </c>
      <c r="F198" s="41">
        <v>121984.66</v>
      </c>
      <c r="G198" s="41">
        <v>206050.18000000002</v>
      </c>
      <c r="H198" s="42">
        <v>330.20629396618199</v>
      </c>
      <c r="I198" s="43">
        <v>624.00439896249407</v>
      </c>
    </row>
    <row r="199" spans="1:9" x14ac:dyDescent="0.25">
      <c r="A199" s="38"/>
      <c r="B199" s="157">
        <v>796</v>
      </c>
      <c r="C199" s="27">
        <v>8</v>
      </c>
      <c r="D199" s="39" t="s">
        <v>483</v>
      </c>
      <c r="E199" s="40">
        <v>19423.14</v>
      </c>
      <c r="F199" s="41">
        <v>0</v>
      </c>
      <c r="G199" s="41">
        <v>19423.14</v>
      </c>
      <c r="H199" s="42">
        <v>23.924524993927111</v>
      </c>
      <c r="I199" s="43">
        <v>811.85060121069398</v>
      </c>
    </row>
    <row r="200" spans="1:9" x14ac:dyDescent="0.25">
      <c r="A200" s="45"/>
      <c r="B200" s="157">
        <v>797</v>
      </c>
      <c r="C200" s="27">
        <v>8</v>
      </c>
      <c r="D200" s="39" t="s">
        <v>484</v>
      </c>
      <c r="E200" s="40">
        <v>39509.410000000003</v>
      </c>
      <c r="F200" s="41">
        <v>1800</v>
      </c>
      <c r="G200" s="41">
        <v>37709.410000000003</v>
      </c>
      <c r="H200" s="42">
        <v>27.819307714015707</v>
      </c>
      <c r="I200" s="43">
        <v>1355.5121639853583</v>
      </c>
    </row>
    <row r="201" spans="1:9" x14ac:dyDescent="0.25">
      <c r="A201" s="38"/>
      <c r="B201" s="157">
        <v>801</v>
      </c>
      <c r="C201" s="27">
        <v>8</v>
      </c>
      <c r="D201" s="39" t="s">
        <v>485</v>
      </c>
      <c r="E201" s="40">
        <v>102578.78</v>
      </c>
      <c r="F201" s="41">
        <v>0</v>
      </c>
      <c r="G201" s="41">
        <v>102578.78</v>
      </c>
      <c r="H201" s="42">
        <v>143.33481235470978</v>
      </c>
      <c r="I201" s="43">
        <v>715.65852227265577</v>
      </c>
    </row>
    <row r="202" spans="1:9" x14ac:dyDescent="0.25">
      <c r="A202" s="38"/>
      <c r="B202" s="157">
        <v>810</v>
      </c>
      <c r="C202" s="27">
        <v>8</v>
      </c>
      <c r="D202" s="39" t="s">
        <v>486</v>
      </c>
      <c r="E202" s="40">
        <v>133935.18</v>
      </c>
      <c r="F202" s="41">
        <v>0</v>
      </c>
      <c r="G202" s="41">
        <v>133935.18</v>
      </c>
      <c r="H202" s="42">
        <v>129.91</v>
      </c>
      <c r="I202" s="43">
        <v>1030.9843737972442</v>
      </c>
    </row>
    <row r="203" spans="1:9" x14ac:dyDescent="0.25">
      <c r="A203" s="38"/>
      <c r="B203" s="157">
        <v>812</v>
      </c>
      <c r="C203" s="27">
        <v>8</v>
      </c>
      <c r="D203" s="39" t="s">
        <v>487</v>
      </c>
      <c r="E203" s="40">
        <v>75414.47</v>
      </c>
      <c r="F203" s="41">
        <v>196</v>
      </c>
      <c r="G203" s="41">
        <v>75218.47</v>
      </c>
      <c r="H203" s="42">
        <v>52.402684578365019</v>
      </c>
      <c r="I203" s="43">
        <v>1435.3934460650651</v>
      </c>
    </row>
    <row r="204" spans="1:9" x14ac:dyDescent="0.25">
      <c r="A204" s="38"/>
      <c r="B204" s="157">
        <v>818</v>
      </c>
      <c r="C204" s="27">
        <v>8</v>
      </c>
      <c r="D204" s="39" t="s">
        <v>488</v>
      </c>
      <c r="E204" s="40">
        <v>16701.97</v>
      </c>
      <c r="F204" s="41">
        <v>0</v>
      </c>
      <c r="G204" s="41">
        <v>16701.97</v>
      </c>
      <c r="H204" s="42">
        <v>39.084698998412264</v>
      </c>
      <c r="I204" s="43">
        <v>427.32758414433442</v>
      </c>
    </row>
    <row r="205" spans="1:9" x14ac:dyDescent="0.25">
      <c r="A205" s="38"/>
      <c r="B205" s="157">
        <v>833</v>
      </c>
      <c r="C205" s="27">
        <v>8</v>
      </c>
      <c r="D205" s="39" t="s">
        <v>489</v>
      </c>
      <c r="E205" s="40">
        <v>53144.45</v>
      </c>
      <c r="F205" s="41">
        <v>0</v>
      </c>
      <c r="G205" s="41">
        <v>53144.45</v>
      </c>
      <c r="H205" s="42">
        <v>68.497718442678561</v>
      </c>
      <c r="I205" s="43">
        <v>775.85722865314483</v>
      </c>
    </row>
    <row r="206" spans="1:9" x14ac:dyDescent="0.25">
      <c r="A206" s="38"/>
      <c r="B206" s="157">
        <v>834</v>
      </c>
      <c r="C206" s="27">
        <v>8</v>
      </c>
      <c r="D206" s="39" t="s">
        <v>490</v>
      </c>
      <c r="E206" s="40">
        <v>64791.31</v>
      </c>
      <c r="F206" s="41">
        <v>5551.2800000000007</v>
      </c>
      <c r="G206" s="41">
        <v>59240.03</v>
      </c>
      <c r="H206" s="42">
        <v>93.830000000000013</v>
      </c>
      <c r="I206" s="43">
        <v>631.35489715442816</v>
      </c>
    </row>
    <row r="207" spans="1:9" x14ac:dyDescent="0.25">
      <c r="A207" s="38"/>
      <c r="B207" s="157">
        <v>837</v>
      </c>
      <c r="C207" s="27">
        <v>8</v>
      </c>
      <c r="D207" s="39" t="s">
        <v>491</v>
      </c>
      <c r="E207" s="40">
        <v>133882.48000000001</v>
      </c>
      <c r="F207" s="41">
        <v>0</v>
      </c>
      <c r="G207" s="41">
        <v>133882.48000000001</v>
      </c>
      <c r="H207" s="42">
        <v>191.19000000000003</v>
      </c>
      <c r="I207" s="43">
        <v>700.25880014645111</v>
      </c>
    </row>
    <row r="208" spans="1:9" x14ac:dyDescent="0.25">
      <c r="A208" s="38"/>
      <c r="B208" s="157">
        <v>845</v>
      </c>
      <c r="C208" s="27">
        <v>8</v>
      </c>
      <c r="D208" s="39" t="s">
        <v>564</v>
      </c>
      <c r="E208" s="40">
        <v>9336.9500000000007</v>
      </c>
      <c r="F208" s="41">
        <v>0</v>
      </c>
      <c r="G208" s="41">
        <v>9336.9500000000007</v>
      </c>
      <c r="H208" s="42">
        <v>5.5265652735971607</v>
      </c>
      <c r="I208" s="43">
        <v>1689.4670627716509</v>
      </c>
    </row>
    <row r="209" spans="1:9" x14ac:dyDescent="0.25">
      <c r="A209" s="38"/>
      <c r="B209" s="157">
        <v>847</v>
      </c>
      <c r="C209" s="27">
        <v>8</v>
      </c>
      <c r="D209" s="39" t="s">
        <v>492</v>
      </c>
      <c r="E209" s="40">
        <v>114871.03</v>
      </c>
      <c r="F209" s="41">
        <v>0</v>
      </c>
      <c r="G209" s="41">
        <v>114871.03</v>
      </c>
      <c r="H209" s="42">
        <v>70.589802523602913</v>
      </c>
      <c r="I209" s="43">
        <v>1627.3034615954748</v>
      </c>
    </row>
    <row r="210" spans="1:9" x14ac:dyDescent="0.25">
      <c r="A210" s="38"/>
      <c r="B210" s="157">
        <v>866</v>
      </c>
      <c r="C210" s="27">
        <v>8</v>
      </c>
      <c r="D210" s="39" t="s">
        <v>493</v>
      </c>
      <c r="E210" s="40">
        <v>63164.800000000003</v>
      </c>
      <c r="F210" s="41">
        <v>0</v>
      </c>
      <c r="G210" s="41">
        <v>63164.800000000003</v>
      </c>
      <c r="H210" s="42">
        <v>160.53138279575614</v>
      </c>
      <c r="I210" s="43">
        <v>393.47321937894532</v>
      </c>
    </row>
    <row r="211" spans="1:9" x14ac:dyDescent="0.25">
      <c r="A211" s="38"/>
      <c r="B211" s="157">
        <v>871</v>
      </c>
      <c r="C211" s="27">
        <v>8</v>
      </c>
      <c r="D211" s="39" t="s">
        <v>494</v>
      </c>
      <c r="E211" s="40">
        <v>11872.16</v>
      </c>
      <c r="F211" s="41">
        <v>0</v>
      </c>
      <c r="G211" s="41">
        <v>11872.16</v>
      </c>
      <c r="H211" s="42">
        <v>16.078387570207461</v>
      </c>
      <c r="I211" s="43">
        <v>738.39245062101782</v>
      </c>
    </row>
    <row r="212" spans="1:9" x14ac:dyDescent="0.25">
      <c r="A212" s="38"/>
      <c r="B212" s="157">
        <v>873</v>
      </c>
      <c r="C212" s="27">
        <v>8</v>
      </c>
      <c r="D212" s="39" t="s">
        <v>495</v>
      </c>
      <c r="E212" s="40">
        <v>68071.05</v>
      </c>
      <c r="F212" s="41">
        <v>0</v>
      </c>
      <c r="G212" s="41">
        <v>68071.05</v>
      </c>
      <c r="H212" s="42">
        <v>159.24</v>
      </c>
      <c r="I212" s="43">
        <v>427.47456669178598</v>
      </c>
    </row>
    <row r="213" spans="1:9" x14ac:dyDescent="0.25">
      <c r="A213" s="38"/>
      <c r="B213" s="157">
        <v>895</v>
      </c>
      <c r="C213" s="27">
        <v>8</v>
      </c>
      <c r="D213" s="39" t="s">
        <v>496</v>
      </c>
      <c r="E213" s="40">
        <v>4417.1099999999997</v>
      </c>
      <c r="F213" s="41">
        <v>0</v>
      </c>
      <c r="G213" s="41">
        <v>4417.1099999999997</v>
      </c>
      <c r="H213" s="42">
        <v>9.8090552475101163</v>
      </c>
      <c r="I213" s="43">
        <v>450.30942211496034</v>
      </c>
    </row>
    <row r="214" spans="1:9" x14ac:dyDescent="0.25">
      <c r="A214" s="38"/>
      <c r="B214" s="157">
        <v>905</v>
      </c>
      <c r="C214" s="27">
        <v>8</v>
      </c>
      <c r="D214" s="39" t="s">
        <v>498</v>
      </c>
      <c r="E214" s="40">
        <v>57092.91</v>
      </c>
      <c r="F214" s="41">
        <v>0</v>
      </c>
      <c r="G214" s="41">
        <v>57092.91</v>
      </c>
      <c r="H214" s="42">
        <v>92.836231091018377</v>
      </c>
      <c r="I214" s="43">
        <v>614.98521998404965</v>
      </c>
    </row>
    <row r="215" spans="1:9" x14ac:dyDescent="0.25">
      <c r="A215" s="38"/>
      <c r="B215" s="157">
        <v>907</v>
      </c>
      <c r="C215" s="27">
        <v>8</v>
      </c>
      <c r="D215" s="39" t="s">
        <v>499</v>
      </c>
      <c r="E215" s="40">
        <v>19453.25</v>
      </c>
      <c r="F215" s="41">
        <v>0</v>
      </c>
      <c r="G215" s="41">
        <v>19453.25</v>
      </c>
      <c r="H215" s="42">
        <v>17.277728875220131</v>
      </c>
      <c r="I215" s="43">
        <v>1125.9147623215699</v>
      </c>
    </row>
    <row r="216" spans="1:9" x14ac:dyDescent="0.25">
      <c r="A216" s="38"/>
      <c r="B216" s="157">
        <v>918</v>
      </c>
      <c r="C216" s="27">
        <v>8</v>
      </c>
      <c r="D216" s="39" t="s">
        <v>500</v>
      </c>
      <c r="E216" s="40">
        <v>58594.77</v>
      </c>
      <c r="F216" s="41">
        <v>0</v>
      </c>
      <c r="G216" s="41">
        <v>58594.77</v>
      </c>
      <c r="H216" s="42">
        <v>63.790529260598753</v>
      </c>
      <c r="I216" s="43">
        <v>918.54967624781887</v>
      </c>
    </row>
    <row r="217" spans="1:9" x14ac:dyDescent="0.25">
      <c r="A217" s="38"/>
      <c r="B217" s="157">
        <v>922</v>
      </c>
      <c r="C217" s="27">
        <v>8</v>
      </c>
      <c r="D217" s="39" t="s">
        <v>501</v>
      </c>
      <c r="E217" s="40">
        <v>138545.48000000001</v>
      </c>
      <c r="F217" s="41">
        <v>12389.89</v>
      </c>
      <c r="G217" s="41">
        <v>126155.59000000001</v>
      </c>
      <c r="H217" s="42">
        <v>137.06999999999996</v>
      </c>
      <c r="I217" s="43">
        <v>920.37345881666329</v>
      </c>
    </row>
    <row r="218" spans="1:9" x14ac:dyDescent="0.25">
      <c r="A218" s="38"/>
      <c r="B218" s="157">
        <v>924</v>
      </c>
      <c r="C218" s="27">
        <v>8</v>
      </c>
      <c r="D218" s="39" t="s">
        <v>502</v>
      </c>
      <c r="E218" s="40">
        <v>59433.15</v>
      </c>
      <c r="F218" s="41">
        <v>0</v>
      </c>
      <c r="G218" s="41">
        <v>59433.15</v>
      </c>
      <c r="H218" s="42">
        <v>101.88088769949739</v>
      </c>
      <c r="I218" s="43">
        <v>583.35916914368624</v>
      </c>
    </row>
    <row r="219" spans="1:9" x14ac:dyDescent="0.25">
      <c r="A219" s="38"/>
      <c r="B219" s="157">
        <v>929</v>
      </c>
      <c r="C219" s="27">
        <v>8</v>
      </c>
      <c r="D219" s="39" t="s">
        <v>503</v>
      </c>
      <c r="E219" s="40">
        <v>48337.61</v>
      </c>
      <c r="F219" s="41">
        <v>0</v>
      </c>
      <c r="G219" s="41">
        <v>48337.61</v>
      </c>
      <c r="H219" s="42">
        <v>63.123226579614247</v>
      </c>
      <c r="I219" s="43">
        <v>765.76583009479293</v>
      </c>
    </row>
    <row r="220" spans="1:9" x14ac:dyDescent="0.25">
      <c r="A220" s="38"/>
      <c r="B220" s="157">
        <v>955</v>
      </c>
      <c r="C220" s="27">
        <v>8</v>
      </c>
      <c r="D220" s="39" t="s">
        <v>504</v>
      </c>
      <c r="E220" s="40">
        <v>22678.11</v>
      </c>
      <c r="F220" s="41">
        <v>0</v>
      </c>
      <c r="G220" s="41">
        <v>22678.11</v>
      </c>
      <c r="H220" s="42">
        <v>40.67169248967609</v>
      </c>
      <c r="I220" s="43">
        <v>557.58953246798137</v>
      </c>
    </row>
    <row r="221" spans="1:9" x14ac:dyDescent="0.25">
      <c r="A221" s="38"/>
      <c r="B221" s="157">
        <v>973</v>
      </c>
      <c r="C221" s="27">
        <v>8</v>
      </c>
      <c r="D221" s="39" t="s">
        <v>505</v>
      </c>
      <c r="E221" s="40">
        <v>10497.69</v>
      </c>
      <c r="F221" s="41">
        <v>0</v>
      </c>
      <c r="G221" s="41">
        <v>10497.69</v>
      </c>
      <c r="H221" s="42">
        <v>7.5601498980809678</v>
      </c>
      <c r="I221" s="43">
        <v>1388.5558013426009</v>
      </c>
    </row>
    <row r="222" spans="1:9" x14ac:dyDescent="0.25">
      <c r="A222" s="38"/>
      <c r="B222" s="157">
        <v>974</v>
      </c>
      <c r="C222" s="27">
        <v>8</v>
      </c>
      <c r="D222" s="39" t="s">
        <v>506</v>
      </c>
      <c r="E222" s="40">
        <v>14226.72</v>
      </c>
      <c r="F222" s="41">
        <v>0</v>
      </c>
      <c r="G222" s="41">
        <v>14226.72</v>
      </c>
      <c r="H222" s="42">
        <v>15.839999999999998</v>
      </c>
      <c r="I222" s="43">
        <v>898.15151515151524</v>
      </c>
    </row>
    <row r="223" spans="1:9" x14ac:dyDescent="0.25">
      <c r="A223" s="38"/>
      <c r="B223" s="157">
        <v>985</v>
      </c>
      <c r="C223" s="27">
        <v>8</v>
      </c>
      <c r="D223" s="39" t="s">
        <v>508</v>
      </c>
      <c r="E223" s="40">
        <v>97273.34</v>
      </c>
      <c r="F223" s="41">
        <v>0</v>
      </c>
      <c r="G223" s="41">
        <v>97273.34</v>
      </c>
      <c r="H223" s="42">
        <v>44.348575474077556</v>
      </c>
      <c r="I223" s="43">
        <v>2193.3813873425947</v>
      </c>
    </row>
    <row r="224" spans="1:9" x14ac:dyDescent="0.25">
      <c r="A224" s="38"/>
      <c r="B224" s="157">
        <v>159</v>
      </c>
      <c r="C224" s="27">
        <v>9</v>
      </c>
      <c r="D224" s="39" t="s">
        <v>510</v>
      </c>
      <c r="E224" s="40">
        <v>185850.32</v>
      </c>
      <c r="F224" s="41">
        <v>0</v>
      </c>
      <c r="G224" s="41">
        <v>185850.32</v>
      </c>
      <c r="H224" s="42">
        <v>836.31061134951221</v>
      </c>
      <c r="I224" s="43">
        <v>222.22642816895834</v>
      </c>
    </row>
    <row r="225" spans="1:9" x14ac:dyDescent="0.25">
      <c r="A225" s="38"/>
      <c r="B225" s="157">
        <v>173</v>
      </c>
      <c r="C225" s="27">
        <v>9</v>
      </c>
      <c r="D225" s="39" t="s">
        <v>511</v>
      </c>
      <c r="E225" s="40">
        <v>163416.66</v>
      </c>
      <c r="F225" s="41">
        <v>8.85</v>
      </c>
      <c r="G225" s="41">
        <v>163407.81</v>
      </c>
      <c r="H225" s="42">
        <v>331.48</v>
      </c>
      <c r="I225" s="43">
        <v>492.96431157234218</v>
      </c>
    </row>
    <row r="226" spans="1:9" x14ac:dyDescent="0.25">
      <c r="A226" s="38"/>
      <c r="B226" s="157">
        <v>204</v>
      </c>
      <c r="C226" s="27">
        <v>9</v>
      </c>
      <c r="D226" s="39" t="s">
        <v>512</v>
      </c>
      <c r="E226" s="40">
        <v>537687.29</v>
      </c>
      <c r="F226" s="41">
        <v>13863.43</v>
      </c>
      <c r="G226" s="41">
        <v>523823.86000000004</v>
      </c>
      <c r="H226" s="42">
        <v>580.96721526919669</v>
      </c>
      <c r="I226" s="43">
        <v>901.64099837764729</v>
      </c>
    </row>
    <row r="227" spans="1:9" x14ac:dyDescent="0.25">
      <c r="A227" s="38"/>
      <c r="B227" s="157">
        <v>230</v>
      </c>
      <c r="C227" s="27">
        <v>9</v>
      </c>
      <c r="D227" s="39" t="s">
        <v>514</v>
      </c>
      <c r="E227" s="40">
        <v>74126.899999999994</v>
      </c>
      <c r="F227" s="41">
        <v>2183.36</v>
      </c>
      <c r="G227" s="41">
        <v>71943.539999999994</v>
      </c>
      <c r="H227" s="42">
        <v>138.87109847515134</v>
      </c>
      <c r="I227" s="43">
        <v>518.05984679290975</v>
      </c>
    </row>
    <row r="228" spans="1:9" x14ac:dyDescent="0.25">
      <c r="A228" s="38"/>
      <c r="B228" s="157">
        <v>277</v>
      </c>
      <c r="C228" s="27">
        <v>9</v>
      </c>
      <c r="D228" s="39" t="s">
        <v>515</v>
      </c>
      <c r="E228" s="40">
        <v>80836.320000000007</v>
      </c>
      <c r="F228" s="41">
        <v>0</v>
      </c>
      <c r="G228" s="41">
        <v>80836.320000000007</v>
      </c>
      <c r="H228" s="42">
        <v>116.68788323704716</v>
      </c>
      <c r="I228" s="43">
        <v>692.75676066369272</v>
      </c>
    </row>
    <row r="229" spans="1:9" x14ac:dyDescent="0.25">
      <c r="A229" s="38"/>
      <c r="B229" s="157">
        <v>279</v>
      </c>
      <c r="C229" s="27">
        <v>9</v>
      </c>
      <c r="D229" s="39" t="s">
        <v>516</v>
      </c>
      <c r="E229" s="40">
        <v>169004.5</v>
      </c>
      <c r="F229" s="41">
        <v>672</v>
      </c>
      <c r="G229" s="41">
        <v>168332.5</v>
      </c>
      <c r="H229" s="42">
        <v>433.73772503612372</v>
      </c>
      <c r="I229" s="43">
        <v>388.09743834475194</v>
      </c>
    </row>
    <row r="230" spans="1:9" x14ac:dyDescent="0.25">
      <c r="A230" s="38"/>
      <c r="B230" s="157">
        <v>331</v>
      </c>
      <c r="C230" s="27">
        <v>9</v>
      </c>
      <c r="D230" s="39" t="s">
        <v>517</v>
      </c>
      <c r="E230" s="40">
        <v>154031.09</v>
      </c>
      <c r="F230" s="41">
        <v>1052.98</v>
      </c>
      <c r="G230" s="41">
        <v>152978.10999999999</v>
      </c>
      <c r="H230" s="42">
        <v>394.99809912383472</v>
      </c>
      <c r="I230" s="43">
        <v>387.28821819479253</v>
      </c>
    </row>
    <row r="231" spans="1:9" x14ac:dyDescent="0.25">
      <c r="A231" s="38"/>
      <c r="B231" s="157">
        <v>369</v>
      </c>
      <c r="C231" s="27">
        <v>9</v>
      </c>
      <c r="D231" s="39" t="s">
        <v>518</v>
      </c>
      <c r="E231" s="40">
        <v>450151.28</v>
      </c>
      <c r="F231" s="41">
        <v>0</v>
      </c>
      <c r="G231" s="41">
        <v>450151.28</v>
      </c>
      <c r="H231" s="42">
        <v>361.24999999999994</v>
      </c>
      <c r="I231" s="43">
        <v>1246.0935086505192</v>
      </c>
    </row>
    <row r="232" spans="1:9" x14ac:dyDescent="0.25">
      <c r="A232" s="38"/>
      <c r="B232" s="157">
        <v>416</v>
      </c>
      <c r="C232" s="27">
        <v>9</v>
      </c>
      <c r="D232" s="39" t="s">
        <v>519</v>
      </c>
      <c r="E232" s="40">
        <v>53379.53</v>
      </c>
      <c r="F232" s="41">
        <v>735</v>
      </c>
      <c r="G232" s="41">
        <v>52644.53</v>
      </c>
      <c r="H232" s="42">
        <v>77.118547672694447</v>
      </c>
      <c r="I232" s="43">
        <v>682.6442093208658</v>
      </c>
    </row>
    <row r="233" spans="1:9" x14ac:dyDescent="0.25">
      <c r="A233" s="38"/>
      <c r="B233" s="157">
        <v>508</v>
      </c>
      <c r="C233" s="27">
        <v>9</v>
      </c>
      <c r="D233" s="39" t="s">
        <v>521</v>
      </c>
      <c r="E233" s="40">
        <v>70511.86</v>
      </c>
      <c r="F233" s="41">
        <v>0</v>
      </c>
      <c r="G233" s="41">
        <v>70511.86</v>
      </c>
      <c r="H233" s="42">
        <v>97.534402669301102</v>
      </c>
      <c r="I233" s="43">
        <v>722.94347502261962</v>
      </c>
    </row>
    <row r="234" spans="1:9" x14ac:dyDescent="0.25">
      <c r="A234" s="38"/>
      <c r="B234" s="157">
        <v>512</v>
      </c>
      <c r="C234" s="27">
        <v>9</v>
      </c>
      <c r="D234" s="39" t="s">
        <v>522</v>
      </c>
      <c r="E234" s="40">
        <v>289506.95</v>
      </c>
      <c r="F234" s="41">
        <v>6673.84</v>
      </c>
      <c r="G234" s="41">
        <v>282833.11</v>
      </c>
      <c r="H234" s="42">
        <v>240.71591575946039</v>
      </c>
      <c r="I234" s="43">
        <v>1174.9663876925611</v>
      </c>
    </row>
    <row r="235" spans="1:9" x14ac:dyDescent="0.25">
      <c r="A235" s="45"/>
      <c r="B235" s="157">
        <v>516</v>
      </c>
      <c r="C235" s="27">
        <v>9</v>
      </c>
      <c r="D235" s="39" t="s">
        <v>523</v>
      </c>
      <c r="E235" s="40">
        <v>167497.34</v>
      </c>
      <c r="F235" s="41">
        <v>180.64</v>
      </c>
      <c r="G235" s="41">
        <v>167316.69999999998</v>
      </c>
      <c r="H235" s="42">
        <v>342.01065921214706</v>
      </c>
      <c r="I235" s="43">
        <v>489.21486945883311</v>
      </c>
    </row>
    <row r="236" spans="1:9" x14ac:dyDescent="0.25">
      <c r="A236" s="45"/>
      <c r="B236" s="157">
        <v>521</v>
      </c>
      <c r="C236" s="27">
        <v>9</v>
      </c>
      <c r="D236" s="39" t="s">
        <v>524</v>
      </c>
      <c r="E236" s="40">
        <v>373633.01</v>
      </c>
      <c r="F236" s="41">
        <v>8.85</v>
      </c>
      <c r="G236" s="41">
        <v>373624.16000000003</v>
      </c>
      <c r="H236" s="42">
        <v>150.54889539237996</v>
      </c>
      <c r="I236" s="43">
        <v>2481.746272705705</v>
      </c>
    </row>
    <row r="237" spans="1:9" x14ac:dyDescent="0.25">
      <c r="A237" s="45"/>
      <c r="B237" s="157">
        <v>522</v>
      </c>
      <c r="C237" s="27">
        <v>9</v>
      </c>
      <c r="D237" s="39" t="s">
        <v>525</v>
      </c>
      <c r="E237" s="40">
        <v>93639.74</v>
      </c>
      <c r="F237" s="41">
        <v>36</v>
      </c>
      <c r="G237" s="41">
        <v>93603.74</v>
      </c>
      <c r="H237" s="42">
        <v>107.92268224354619</v>
      </c>
      <c r="I237" s="43">
        <v>867.32221674000823</v>
      </c>
    </row>
    <row r="238" spans="1:9" x14ac:dyDescent="0.25">
      <c r="A238" s="45"/>
      <c r="B238" s="157">
        <v>523</v>
      </c>
      <c r="C238" s="27">
        <v>9</v>
      </c>
      <c r="D238" s="39" t="s">
        <v>526</v>
      </c>
      <c r="E238" s="40">
        <v>285802.86</v>
      </c>
      <c r="F238" s="41">
        <v>321.60000000000002</v>
      </c>
      <c r="G238" s="41">
        <v>285481.26</v>
      </c>
      <c r="H238" s="42">
        <v>909.72292386160336</v>
      </c>
      <c r="I238" s="43">
        <v>313.81121934158318</v>
      </c>
    </row>
    <row r="239" spans="1:9" x14ac:dyDescent="0.25">
      <c r="A239" s="45"/>
      <c r="B239" s="157">
        <v>527</v>
      </c>
      <c r="C239" s="27">
        <v>9</v>
      </c>
      <c r="D239" s="39" t="s">
        <v>527</v>
      </c>
      <c r="E239" s="40">
        <v>119863.42</v>
      </c>
      <c r="F239" s="41">
        <v>135</v>
      </c>
      <c r="G239" s="41">
        <v>119728.42</v>
      </c>
      <c r="H239" s="42">
        <v>178.04356936970052</v>
      </c>
      <c r="I239" s="43">
        <v>672.46697212292236</v>
      </c>
    </row>
    <row r="240" spans="1:9" x14ac:dyDescent="0.25">
      <c r="A240" s="45"/>
      <c r="B240" s="157">
        <v>543</v>
      </c>
      <c r="C240" s="27">
        <v>9</v>
      </c>
      <c r="D240" s="39" t="s">
        <v>528</v>
      </c>
      <c r="E240" s="40">
        <v>42102.49</v>
      </c>
      <c r="F240" s="41">
        <v>0</v>
      </c>
      <c r="G240" s="41">
        <v>42102.49</v>
      </c>
      <c r="H240" s="42">
        <v>64.881659320046367</v>
      </c>
      <c r="I240" s="43">
        <v>648.91204141863966</v>
      </c>
    </row>
    <row r="241" spans="1:9" x14ac:dyDescent="0.25">
      <c r="A241" s="45"/>
      <c r="B241" s="157">
        <v>547</v>
      </c>
      <c r="C241" s="27">
        <v>9</v>
      </c>
      <c r="D241" s="39" t="s">
        <v>529</v>
      </c>
      <c r="E241" s="40">
        <v>122807.2</v>
      </c>
      <c r="F241" s="41">
        <v>0</v>
      </c>
      <c r="G241" s="41">
        <v>122807.2</v>
      </c>
      <c r="H241" s="42">
        <v>231.39171343327169</v>
      </c>
      <c r="I241" s="43">
        <v>530.73292114851347</v>
      </c>
    </row>
    <row r="242" spans="1:9" x14ac:dyDescent="0.25">
      <c r="A242" s="45"/>
      <c r="B242" s="157">
        <v>552</v>
      </c>
      <c r="C242" s="27">
        <v>9</v>
      </c>
      <c r="D242" s="39" t="s">
        <v>530</v>
      </c>
      <c r="E242" s="40">
        <v>108827.49</v>
      </c>
      <c r="F242" s="41">
        <v>0</v>
      </c>
      <c r="G242" s="41">
        <v>108827.49</v>
      </c>
      <c r="H242" s="42">
        <v>114.55</v>
      </c>
      <c r="I242" s="43">
        <v>950.04356176342219</v>
      </c>
    </row>
    <row r="243" spans="1:9" x14ac:dyDescent="0.25">
      <c r="B243" s="157">
        <v>567</v>
      </c>
      <c r="C243" s="27">
        <v>9</v>
      </c>
      <c r="D243" s="39" t="s">
        <v>531</v>
      </c>
      <c r="E243" s="40">
        <v>195195.07</v>
      </c>
      <c r="F243" s="41">
        <v>152</v>
      </c>
      <c r="G243" s="41">
        <v>195043.07</v>
      </c>
      <c r="H243" s="42">
        <v>343.68793351840543</v>
      </c>
      <c r="I243" s="43">
        <v>567.50048802500339</v>
      </c>
    </row>
    <row r="244" spans="1:9" x14ac:dyDescent="0.25">
      <c r="B244" s="157">
        <v>629</v>
      </c>
      <c r="C244" s="27">
        <v>9</v>
      </c>
      <c r="D244" s="39" t="s">
        <v>532</v>
      </c>
      <c r="E244" s="40">
        <v>183277.62</v>
      </c>
      <c r="F244" s="41">
        <v>561.61</v>
      </c>
      <c r="G244" s="41">
        <v>182716.01</v>
      </c>
      <c r="H244" s="42">
        <v>258.73</v>
      </c>
      <c r="I244" s="43">
        <v>706.20341668921264</v>
      </c>
    </row>
    <row r="245" spans="1:9" x14ac:dyDescent="0.25">
      <c r="B245" s="157">
        <v>630</v>
      </c>
      <c r="C245" s="27">
        <v>9</v>
      </c>
      <c r="D245" s="39" t="s">
        <v>533</v>
      </c>
      <c r="E245" s="40">
        <v>233180.61</v>
      </c>
      <c r="F245" s="41">
        <v>2518.79</v>
      </c>
      <c r="G245" s="41">
        <v>230661.81999999998</v>
      </c>
      <c r="H245" s="42">
        <v>179.48000000000002</v>
      </c>
      <c r="I245" s="43">
        <v>1285.1672609761531</v>
      </c>
    </row>
    <row r="246" spans="1:9" x14ac:dyDescent="0.25">
      <c r="B246" s="157">
        <v>695</v>
      </c>
      <c r="C246" s="27">
        <v>9</v>
      </c>
      <c r="D246" s="39" t="s">
        <v>534</v>
      </c>
      <c r="E246" s="40">
        <v>40518.69</v>
      </c>
      <c r="F246" s="41">
        <v>0</v>
      </c>
      <c r="G246" s="41">
        <v>40518.69</v>
      </c>
      <c r="H246" s="42">
        <v>29.69831035912819</v>
      </c>
      <c r="I246" s="43">
        <v>1364.3432744161494</v>
      </c>
    </row>
    <row r="247" spans="1:9" x14ac:dyDescent="0.25">
      <c r="B247" s="157">
        <v>771</v>
      </c>
      <c r="C247" s="27">
        <v>9</v>
      </c>
      <c r="D247" s="39" t="s">
        <v>535</v>
      </c>
      <c r="E247" s="40">
        <v>63559.46</v>
      </c>
      <c r="F247" s="41">
        <v>0</v>
      </c>
      <c r="G247" s="41">
        <v>63559.46</v>
      </c>
      <c r="H247" s="42">
        <v>176.36629506344221</v>
      </c>
      <c r="I247" s="43">
        <v>360.38325790728032</v>
      </c>
    </row>
    <row r="248" spans="1:9" x14ac:dyDescent="0.25">
      <c r="B248" s="157">
        <v>830</v>
      </c>
      <c r="C248" s="27">
        <v>9</v>
      </c>
      <c r="D248" s="39" t="s">
        <v>536</v>
      </c>
      <c r="E248" s="40">
        <v>25322.05</v>
      </c>
      <c r="F248" s="41">
        <v>0</v>
      </c>
      <c r="G248" s="41">
        <v>25322.05</v>
      </c>
      <c r="H248" s="42">
        <v>22.210358152227126</v>
      </c>
      <c r="I248" s="43">
        <v>1140.1009306759356</v>
      </c>
    </row>
    <row r="249" spans="1:9" x14ac:dyDescent="0.25">
      <c r="B249" s="157">
        <v>936</v>
      </c>
      <c r="C249" s="27">
        <v>9</v>
      </c>
      <c r="D249" s="39" t="s">
        <v>537</v>
      </c>
      <c r="E249" s="40">
        <v>69869.86</v>
      </c>
      <c r="F249" s="41">
        <v>0</v>
      </c>
      <c r="G249" s="41">
        <v>69869.86</v>
      </c>
      <c r="H249" s="42">
        <v>43.383691867789167</v>
      </c>
      <c r="I249" s="43">
        <v>1610.5097789493536</v>
      </c>
    </row>
    <row r="250" spans="1:9" x14ac:dyDescent="0.25">
      <c r="B250" s="157">
        <v>952</v>
      </c>
      <c r="C250" s="27">
        <v>9</v>
      </c>
      <c r="D250" s="39" t="s">
        <v>538</v>
      </c>
      <c r="E250" s="40">
        <v>81300.5</v>
      </c>
      <c r="F250" s="41">
        <v>3878.1</v>
      </c>
      <c r="G250" s="41">
        <v>77422.399999999994</v>
      </c>
      <c r="H250" s="42">
        <v>65.756366888363871</v>
      </c>
      <c r="I250" s="43">
        <v>1177.4129816423986</v>
      </c>
    </row>
    <row r="251" spans="1:9" x14ac:dyDescent="0.25">
      <c r="B251" s="157">
        <v>982</v>
      </c>
      <c r="C251" s="27">
        <v>9</v>
      </c>
      <c r="D251" s="39" t="s">
        <v>539</v>
      </c>
      <c r="E251" s="40">
        <v>107892.54</v>
      </c>
      <c r="F251" s="41">
        <v>0</v>
      </c>
      <c r="G251" s="41">
        <v>107892.54</v>
      </c>
      <c r="H251" s="42">
        <v>97.412690933606555</v>
      </c>
      <c r="I251" s="43">
        <v>1107.5819686937523</v>
      </c>
    </row>
    <row r="252" spans="1:9" x14ac:dyDescent="0.25">
      <c r="B252" s="157">
        <v>987</v>
      </c>
      <c r="C252" s="27">
        <v>9</v>
      </c>
      <c r="D252" s="39" t="s">
        <v>540</v>
      </c>
      <c r="E252" s="40">
        <v>88557.58</v>
      </c>
      <c r="F252" s="41">
        <v>0</v>
      </c>
      <c r="G252" s="41">
        <v>88557.58</v>
      </c>
      <c r="H252" s="42">
        <v>253.77541145224947</v>
      </c>
      <c r="I252" s="43">
        <v>348.96044298863467</v>
      </c>
    </row>
    <row r="253" spans="1:9" x14ac:dyDescent="0.25">
      <c r="B253" s="157">
        <v>998</v>
      </c>
      <c r="C253" s="27">
        <v>9</v>
      </c>
      <c r="D253" s="39" t="s">
        <v>545</v>
      </c>
      <c r="E253" s="40">
        <v>219857.96</v>
      </c>
      <c r="F253" s="41">
        <v>0</v>
      </c>
      <c r="G253" s="41">
        <v>219857.96</v>
      </c>
      <c r="H253" s="42">
        <v>87.200228717838542</v>
      </c>
      <c r="I253" s="43">
        <v>2521.3002675877578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 tint="0.79998168889431442"/>
  </sheetPr>
  <dimension ref="A1:M252"/>
  <sheetViews>
    <sheetView workbookViewId="0"/>
  </sheetViews>
  <sheetFormatPr defaultRowHeight="15" x14ac:dyDescent="0.25"/>
  <cols>
    <col min="3" max="3" width="50.7109375" customWidth="1"/>
    <col min="4" max="4" width="12" customWidth="1"/>
    <col min="5" max="5" width="10.85546875" customWidth="1"/>
    <col min="6" max="7" width="11.5703125" customWidth="1"/>
    <col min="8" max="8" width="10.85546875" customWidth="1"/>
    <col min="9" max="9" width="10.42578125" customWidth="1"/>
    <col min="10" max="11" width="11.5703125" customWidth="1"/>
    <col min="12" max="12" width="11.5703125" style="17" customWidth="1"/>
    <col min="13" max="13" width="14.85546875" customWidth="1"/>
  </cols>
  <sheetData>
    <row r="1" spans="1:13" x14ac:dyDescent="0.25">
      <c r="D1" s="129">
        <v>0.16666666666666666</v>
      </c>
      <c r="E1" s="129">
        <v>8.3333333333333329E-2</v>
      </c>
      <c r="F1" s="129">
        <v>8.3333333333333329E-2</v>
      </c>
      <c r="G1" s="129">
        <v>0.16666666666666666</v>
      </c>
      <c r="H1" s="129">
        <v>0.16666666666666666</v>
      </c>
      <c r="I1" s="129">
        <v>0.1111111111111111</v>
      </c>
      <c r="J1" s="129">
        <v>0.1111111111111111</v>
      </c>
      <c r="K1" s="129">
        <v>0.1111111111111111</v>
      </c>
      <c r="L1" s="129"/>
    </row>
    <row r="2" spans="1:13" ht="15.75" thickBot="1" x14ac:dyDescent="0.3">
      <c r="A2" s="122" t="s">
        <v>572</v>
      </c>
      <c r="B2" s="1"/>
      <c r="D2" s="208">
        <v>0.16625000000000001</v>
      </c>
      <c r="E2" s="208">
        <v>8.2250000000000004E-2</v>
      </c>
      <c r="F2" s="208">
        <v>8.2250000000000004E-2</v>
      </c>
      <c r="G2" s="208">
        <v>0.16628571428571429</v>
      </c>
      <c r="H2" s="208">
        <v>0.16628571428571429</v>
      </c>
      <c r="I2" s="208">
        <v>0.11225</v>
      </c>
      <c r="J2" s="208">
        <v>0.11225</v>
      </c>
      <c r="K2" s="208">
        <v>0.11225</v>
      </c>
      <c r="L2" s="212">
        <f>SUM(D2:K2)</f>
        <v>1.0000714285714285</v>
      </c>
    </row>
    <row r="3" spans="1:13" ht="15.75" thickBot="1" x14ac:dyDescent="0.3">
      <c r="A3" s="123" t="s">
        <v>11</v>
      </c>
      <c r="B3" s="123" t="s">
        <v>10</v>
      </c>
      <c r="C3" s="123" t="s">
        <v>56</v>
      </c>
      <c r="D3" s="124">
        <v>1</v>
      </c>
      <c r="E3" s="124">
        <v>2</v>
      </c>
      <c r="F3" s="124">
        <v>3</v>
      </c>
      <c r="G3" s="124" t="s">
        <v>57</v>
      </c>
      <c r="H3" s="124" t="s">
        <v>58</v>
      </c>
      <c r="I3" s="124">
        <v>5</v>
      </c>
      <c r="J3" s="124">
        <v>6</v>
      </c>
      <c r="K3" s="124">
        <v>7</v>
      </c>
      <c r="L3" s="209" t="s">
        <v>597</v>
      </c>
      <c r="M3" s="211" t="s">
        <v>596</v>
      </c>
    </row>
    <row r="4" spans="1:13" x14ac:dyDescent="0.25">
      <c r="A4" s="176">
        <v>1</v>
      </c>
      <c r="B4" s="176">
        <v>1</v>
      </c>
      <c r="C4" s="179" t="s">
        <v>299</v>
      </c>
      <c r="D4" s="177">
        <v>1</v>
      </c>
      <c r="E4" s="178">
        <v>1</v>
      </c>
      <c r="F4" s="178">
        <v>1</v>
      </c>
      <c r="G4" s="178">
        <v>1</v>
      </c>
      <c r="H4" s="178">
        <v>1</v>
      </c>
      <c r="I4" s="177">
        <v>1</v>
      </c>
      <c r="J4" s="178">
        <v>1</v>
      </c>
      <c r="K4" s="177">
        <v>1</v>
      </c>
      <c r="L4" s="210">
        <f>D4*D$2+E4*E$2+F4*F$2+G4*G$2+H4*H$2+I4*I$2+J4*J$2+K4*K$2</f>
        <v>1.0000714285714285</v>
      </c>
      <c r="M4" s="210">
        <f>IF(L4&gt;1,1,L4)</f>
        <v>1</v>
      </c>
    </row>
    <row r="5" spans="1:13" x14ac:dyDescent="0.25">
      <c r="A5" s="158">
        <v>6</v>
      </c>
      <c r="B5" s="158">
        <v>2</v>
      </c>
      <c r="C5" s="180" t="s">
        <v>305</v>
      </c>
      <c r="D5" s="159">
        <v>1</v>
      </c>
      <c r="E5" s="160">
        <v>1</v>
      </c>
      <c r="F5" s="160">
        <v>1</v>
      </c>
      <c r="G5" s="160">
        <v>0.5</v>
      </c>
      <c r="H5" s="160">
        <v>0.25</v>
      </c>
      <c r="I5" s="159">
        <v>1</v>
      </c>
      <c r="J5" s="160">
        <v>1</v>
      </c>
      <c r="K5" s="159">
        <v>1</v>
      </c>
      <c r="L5" s="210">
        <f t="shared" ref="L5:L68" si="0">D5*D$2+E5*E$2+F5*F$2+G5*G$2+H5*H$2+I5*I$2+J5*J$2+K5*K$2</f>
        <v>0.79221428571428565</v>
      </c>
      <c r="M5" s="210">
        <f t="shared" ref="M5:M68" si="1">IF(L5&gt;1,1,L5)</f>
        <v>0.79221428571428565</v>
      </c>
    </row>
    <row r="6" spans="1:13" x14ac:dyDescent="0.25">
      <c r="A6" s="158">
        <v>8</v>
      </c>
      <c r="B6" s="158">
        <v>5</v>
      </c>
      <c r="C6" s="181" t="s">
        <v>333</v>
      </c>
      <c r="D6" s="159">
        <v>0</v>
      </c>
      <c r="E6" s="160">
        <v>1</v>
      </c>
      <c r="F6" s="160">
        <v>0.5</v>
      </c>
      <c r="G6" s="160">
        <v>0.5</v>
      </c>
      <c r="H6" s="160">
        <v>0.5</v>
      </c>
      <c r="I6" s="159">
        <v>0.83333333333333337</v>
      </c>
      <c r="J6" s="160">
        <v>1</v>
      </c>
      <c r="K6" s="159">
        <v>1</v>
      </c>
      <c r="L6" s="210">
        <f t="shared" si="0"/>
        <v>0.60770238095238094</v>
      </c>
      <c r="M6" s="210">
        <f t="shared" si="1"/>
        <v>0.60770238095238094</v>
      </c>
    </row>
    <row r="7" spans="1:13" x14ac:dyDescent="0.25">
      <c r="A7" s="158">
        <v>12</v>
      </c>
      <c r="B7" s="158">
        <v>4</v>
      </c>
      <c r="C7" s="180" t="s">
        <v>318</v>
      </c>
      <c r="D7" s="159">
        <v>1</v>
      </c>
      <c r="E7" s="160">
        <v>0.83333333333333337</v>
      </c>
      <c r="F7" s="160">
        <v>1</v>
      </c>
      <c r="G7" s="160">
        <v>0.25</v>
      </c>
      <c r="H7" s="160">
        <v>0.5</v>
      </c>
      <c r="I7" s="159">
        <v>1</v>
      </c>
      <c r="J7" s="160">
        <v>1</v>
      </c>
      <c r="K7" s="159">
        <v>1</v>
      </c>
      <c r="L7" s="210">
        <f t="shared" si="0"/>
        <v>0.77850595238095233</v>
      </c>
      <c r="M7" s="210">
        <f t="shared" si="1"/>
        <v>0.77850595238095233</v>
      </c>
    </row>
    <row r="8" spans="1:13" x14ac:dyDescent="0.25">
      <c r="A8" s="158">
        <v>14</v>
      </c>
      <c r="B8" s="158">
        <v>3</v>
      </c>
      <c r="C8" s="181" t="s">
        <v>311</v>
      </c>
      <c r="D8" s="159">
        <v>1</v>
      </c>
      <c r="E8" s="160">
        <v>1</v>
      </c>
      <c r="F8" s="160">
        <v>0.75</v>
      </c>
      <c r="G8" s="160">
        <v>0.75</v>
      </c>
      <c r="H8" s="160">
        <v>0.5</v>
      </c>
      <c r="I8" s="159">
        <v>1</v>
      </c>
      <c r="J8" s="160">
        <v>1</v>
      </c>
      <c r="K8" s="159">
        <v>1</v>
      </c>
      <c r="L8" s="210">
        <f>D8*D$2+E8*E$2+F8*F$2+G8*G$2+H8*H$2+I8*I$2+J8*J$2+K8*K$2</f>
        <v>0.85479464285714279</v>
      </c>
      <c r="M8" s="210">
        <f t="shared" si="1"/>
        <v>0.85479464285714279</v>
      </c>
    </row>
    <row r="9" spans="1:13" x14ac:dyDescent="0.25">
      <c r="A9" s="158">
        <v>18</v>
      </c>
      <c r="B9" s="158">
        <v>2</v>
      </c>
      <c r="C9" s="181" t="s">
        <v>306</v>
      </c>
      <c r="D9" s="159">
        <v>1</v>
      </c>
      <c r="E9" s="160">
        <v>1</v>
      </c>
      <c r="F9" s="160">
        <v>1</v>
      </c>
      <c r="G9" s="160">
        <v>0.25</v>
      </c>
      <c r="H9" s="160">
        <v>0.5</v>
      </c>
      <c r="I9" s="159">
        <v>0.93200000000000005</v>
      </c>
      <c r="J9" s="160">
        <v>1</v>
      </c>
      <c r="K9" s="159">
        <v>1</v>
      </c>
      <c r="L9" s="210">
        <f>D9*D$2+E9*E$2+F9*F$2+G9*G$2+H9*H$2+I9*I$2+J9*J$2+K9*K$2</f>
        <v>0.78458128571428565</v>
      </c>
      <c r="M9" s="210">
        <f t="shared" si="1"/>
        <v>0.78458128571428565</v>
      </c>
    </row>
    <row r="10" spans="1:13" x14ac:dyDescent="0.25">
      <c r="A10" s="158">
        <v>20</v>
      </c>
      <c r="B10" s="158">
        <v>1</v>
      </c>
      <c r="C10" s="180" t="s">
        <v>300</v>
      </c>
      <c r="D10" s="159">
        <v>1</v>
      </c>
      <c r="E10" s="160">
        <v>1</v>
      </c>
      <c r="F10" s="160">
        <v>1</v>
      </c>
      <c r="G10" s="160">
        <v>0.5</v>
      </c>
      <c r="H10" s="160">
        <v>0.5</v>
      </c>
      <c r="I10" s="159">
        <v>1</v>
      </c>
      <c r="J10" s="160">
        <v>1</v>
      </c>
      <c r="K10" s="159">
        <v>1</v>
      </c>
      <c r="L10" s="210">
        <f t="shared" si="0"/>
        <v>0.83378571428571413</v>
      </c>
      <c r="M10" s="210">
        <f t="shared" si="1"/>
        <v>0.83378571428571413</v>
      </c>
    </row>
    <row r="11" spans="1:13" x14ac:dyDescent="0.25">
      <c r="A11" s="158">
        <v>21</v>
      </c>
      <c r="B11" s="158">
        <v>4</v>
      </c>
      <c r="C11" s="181" t="s">
        <v>319</v>
      </c>
      <c r="D11" s="159">
        <v>1</v>
      </c>
      <c r="E11" s="160">
        <v>1</v>
      </c>
      <c r="F11" s="160">
        <v>1</v>
      </c>
      <c r="G11" s="160">
        <v>0</v>
      </c>
      <c r="H11" s="160">
        <v>0.5</v>
      </c>
      <c r="I11" s="159">
        <v>1</v>
      </c>
      <c r="J11" s="160">
        <v>1</v>
      </c>
      <c r="K11" s="159">
        <v>1</v>
      </c>
      <c r="L11" s="210">
        <f t="shared" si="0"/>
        <v>0.75064285714285706</v>
      </c>
      <c r="M11" s="210">
        <f t="shared" si="1"/>
        <v>0.75064285714285706</v>
      </c>
    </row>
    <row r="12" spans="1:13" x14ac:dyDescent="0.25">
      <c r="A12" s="158">
        <v>34</v>
      </c>
      <c r="B12" s="158">
        <v>4</v>
      </c>
      <c r="C12" s="181" t="s">
        <v>320</v>
      </c>
      <c r="D12" s="159">
        <v>1</v>
      </c>
      <c r="E12" s="160">
        <v>0.83333333333333337</v>
      </c>
      <c r="F12" s="160">
        <v>0.625</v>
      </c>
      <c r="G12" s="160">
        <v>0.75</v>
      </c>
      <c r="H12" s="160">
        <v>0.75</v>
      </c>
      <c r="I12" s="159">
        <v>1</v>
      </c>
      <c r="J12" s="160">
        <v>1</v>
      </c>
      <c r="K12" s="159">
        <v>1</v>
      </c>
      <c r="L12" s="210">
        <f t="shared" si="0"/>
        <v>0.87237648809523805</v>
      </c>
      <c r="M12" s="210">
        <f t="shared" si="1"/>
        <v>0.87237648809523805</v>
      </c>
    </row>
    <row r="13" spans="1:13" x14ac:dyDescent="0.25">
      <c r="A13" s="158">
        <v>36</v>
      </c>
      <c r="B13" s="158">
        <v>3</v>
      </c>
      <c r="C13" s="181" t="s">
        <v>312</v>
      </c>
      <c r="D13" s="159">
        <v>0.83333333333333337</v>
      </c>
      <c r="E13" s="160">
        <v>1</v>
      </c>
      <c r="F13" s="160">
        <v>0.625</v>
      </c>
      <c r="G13" s="160">
        <v>0.5</v>
      </c>
      <c r="H13" s="160">
        <v>0</v>
      </c>
      <c r="I13" s="159">
        <v>1</v>
      </c>
      <c r="J13" s="160">
        <v>1</v>
      </c>
      <c r="K13" s="159">
        <v>1</v>
      </c>
      <c r="L13" s="210">
        <f t="shared" si="0"/>
        <v>0.69209077380952377</v>
      </c>
      <c r="M13" s="210">
        <f t="shared" si="1"/>
        <v>0.69209077380952377</v>
      </c>
    </row>
    <row r="14" spans="1:13" x14ac:dyDescent="0.25">
      <c r="A14" s="158">
        <v>39</v>
      </c>
      <c r="B14" s="158">
        <v>7</v>
      </c>
      <c r="C14" s="181" t="s">
        <v>399</v>
      </c>
      <c r="D14" s="159">
        <v>0.33333333333333331</v>
      </c>
      <c r="E14" s="160">
        <v>1</v>
      </c>
      <c r="F14" s="160">
        <v>0.25</v>
      </c>
      <c r="G14" s="160">
        <v>1</v>
      </c>
      <c r="H14" s="160">
        <v>1</v>
      </c>
      <c r="I14" s="159">
        <v>0</v>
      </c>
      <c r="J14" s="160">
        <v>0</v>
      </c>
      <c r="K14" s="159">
        <v>1</v>
      </c>
      <c r="L14" s="210">
        <f t="shared" si="0"/>
        <v>0.60305059523809523</v>
      </c>
      <c r="M14" s="210">
        <f t="shared" si="1"/>
        <v>0.60305059523809523</v>
      </c>
    </row>
    <row r="15" spans="1:13" x14ac:dyDescent="0.25">
      <c r="A15" s="158">
        <v>41</v>
      </c>
      <c r="B15" s="158">
        <v>5</v>
      </c>
      <c r="C15" s="181" t="s">
        <v>334</v>
      </c>
      <c r="D15" s="159">
        <v>0</v>
      </c>
      <c r="E15" s="160">
        <v>0</v>
      </c>
      <c r="F15" s="160">
        <v>0</v>
      </c>
      <c r="G15" s="160">
        <v>1</v>
      </c>
      <c r="H15" s="160">
        <v>0.5</v>
      </c>
      <c r="I15" s="159">
        <v>0</v>
      </c>
      <c r="J15" s="160">
        <v>0</v>
      </c>
      <c r="K15" s="159">
        <v>0.5</v>
      </c>
      <c r="L15" s="210">
        <f t="shared" si="0"/>
        <v>0.30555357142857142</v>
      </c>
      <c r="M15" s="210">
        <f t="shared" si="1"/>
        <v>0.30555357142857142</v>
      </c>
    </row>
    <row r="16" spans="1:13" x14ac:dyDescent="0.25">
      <c r="A16" s="158">
        <v>50</v>
      </c>
      <c r="B16" s="158">
        <v>1</v>
      </c>
      <c r="C16" s="181" t="s">
        <v>301</v>
      </c>
      <c r="D16" s="159">
        <v>1</v>
      </c>
      <c r="E16" s="160">
        <v>1</v>
      </c>
      <c r="F16" s="160">
        <v>1</v>
      </c>
      <c r="G16" s="160">
        <v>0.5</v>
      </c>
      <c r="H16" s="160">
        <v>0.75</v>
      </c>
      <c r="I16" s="159">
        <v>1</v>
      </c>
      <c r="J16" s="160">
        <v>1</v>
      </c>
      <c r="K16" s="159">
        <v>1</v>
      </c>
      <c r="L16" s="210">
        <f t="shared" si="0"/>
        <v>0.87535714285714272</v>
      </c>
      <c r="M16" s="210">
        <f t="shared" si="1"/>
        <v>0.87535714285714272</v>
      </c>
    </row>
    <row r="17" spans="1:13" x14ac:dyDescent="0.25">
      <c r="A17" s="158">
        <v>53</v>
      </c>
      <c r="B17" s="158">
        <v>2</v>
      </c>
      <c r="C17" s="181" t="s">
        <v>307</v>
      </c>
      <c r="D17" s="159">
        <v>1</v>
      </c>
      <c r="E17" s="160">
        <v>1</v>
      </c>
      <c r="F17" s="160">
        <v>1</v>
      </c>
      <c r="G17" s="160">
        <v>0.5</v>
      </c>
      <c r="H17" s="160">
        <v>0.75</v>
      </c>
      <c r="I17" s="159">
        <v>1</v>
      </c>
      <c r="J17" s="160">
        <v>1</v>
      </c>
      <c r="K17" s="159">
        <v>1</v>
      </c>
      <c r="L17" s="210">
        <f t="shared" si="0"/>
        <v>0.87535714285714272</v>
      </c>
      <c r="M17" s="210">
        <f t="shared" si="1"/>
        <v>0.87535714285714272</v>
      </c>
    </row>
    <row r="18" spans="1:13" x14ac:dyDescent="0.25">
      <c r="A18" s="158">
        <v>55</v>
      </c>
      <c r="B18" s="158">
        <v>3</v>
      </c>
      <c r="C18" s="180" t="s">
        <v>313</v>
      </c>
      <c r="D18" s="159">
        <v>0.66666666666666663</v>
      </c>
      <c r="E18" s="160">
        <v>0</v>
      </c>
      <c r="F18" s="160">
        <v>0</v>
      </c>
      <c r="G18" s="160">
        <v>0</v>
      </c>
      <c r="H18" s="160">
        <v>0.5</v>
      </c>
      <c r="I18" s="159">
        <v>1</v>
      </c>
      <c r="J18" s="160">
        <v>0.66666666666666663</v>
      </c>
      <c r="K18" s="159">
        <v>1</v>
      </c>
      <c r="L18" s="210">
        <f t="shared" si="0"/>
        <v>0.49330952380952381</v>
      </c>
      <c r="M18" s="210">
        <f t="shared" si="1"/>
        <v>0.49330952380952381</v>
      </c>
    </row>
    <row r="19" spans="1:13" x14ac:dyDescent="0.25">
      <c r="A19" s="158">
        <v>56</v>
      </c>
      <c r="B19" s="158">
        <v>5</v>
      </c>
      <c r="C19" s="180" t="s">
        <v>335</v>
      </c>
      <c r="D19" s="159">
        <v>1</v>
      </c>
      <c r="E19" s="160">
        <v>0.83333333333333337</v>
      </c>
      <c r="F19" s="160">
        <v>0.625</v>
      </c>
      <c r="G19" s="160">
        <v>1</v>
      </c>
      <c r="H19" s="160">
        <v>0.75</v>
      </c>
      <c r="I19" s="159">
        <v>1</v>
      </c>
      <c r="J19" s="160">
        <v>1</v>
      </c>
      <c r="K19" s="159">
        <v>1</v>
      </c>
      <c r="L19" s="210">
        <f t="shared" si="0"/>
        <v>0.91394791666666664</v>
      </c>
      <c r="M19" s="210">
        <f t="shared" si="1"/>
        <v>0.91394791666666664</v>
      </c>
    </row>
    <row r="20" spans="1:13" x14ac:dyDescent="0.25">
      <c r="A20" s="158">
        <v>59</v>
      </c>
      <c r="B20" s="158">
        <v>7</v>
      </c>
      <c r="C20" s="180" t="s">
        <v>400</v>
      </c>
      <c r="D20" s="159">
        <v>0</v>
      </c>
      <c r="E20" s="160">
        <v>0</v>
      </c>
      <c r="F20" s="160">
        <v>0</v>
      </c>
      <c r="G20" s="160">
        <v>0.25</v>
      </c>
      <c r="H20" s="160">
        <v>0</v>
      </c>
      <c r="I20" s="159">
        <v>0</v>
      </c>
      <c r="J20" s="160">
        <v>0</v>
      </c>
      <c r="K20" s="159">
        <v>0.5</v>
      </c>
      <c r="L20" s="210">
        <f t="shared" si="0"/>
        <v>9.7696428571428573E-2</v>
      </c>
      <c r="M20" s="210">
        <f t="shared" si="1"/>
        <v>9.7696428571428573E-2</v>
      </c>
    </row>
    <row r="21" spans="1:13" x14ac:dyDescent="0.25">
      <c r="A21" s="158">
        <v>67</v>
      </c>
      <c r="B21" s="158">
        <v>5</v>
      </c>
      <c r="C21" s="180" t="s">
        <v>336</v>
      </c>
      <c r="D21" s="159">
        <v>1</v>
      </c>
      <c r="E21" s="160">
        <v>1</v>
      </c>
      <c r="F21" s="160">
        <v>0.5</v>
      </c>
      <c r="G21" s="160">
        <v>0.5</v>
      </c>
      <c r="H21" s="160">
        <v>0.75</v>
      </c>
      <c r="I21" s="159">
        <v>1</v>
      </c>
      <c r="J21" s="160">
        <v>0.5</v>
      </c>
      <c r="K21" s="159">
        <v>0.5</v>
      </c>
      <c r="L21" s="210">
        <f t="shared" si="0"/>
        <v>0.72198214285714279</v>
      </c>
      <c r="M21" s="210">
        <f t="shared" si="1"/>
        <v>0.72198214285714279</v>
      </c>
    </row>
    <row r="22" spans="1:13" x14ac:dyDescent="0.25">
      <c r="A22" s="158">
        <v>87</v>
      </c>
      <c r="B22" s="158">
        <v>4</v>
      </c>
      <c r="C22" s="181" t="s">
        <v>321</v>
      </c>
      <c r="D22" s="159">
        <v>1</v>
      </c>
      <c r="E22" s="160">
        <v>1</v>
      </c>
      <c r="F22" s="160">
        <v>1</v>
      </c>
      <c r="G22" s="160">
        <v>0.5</v>
      </c>
      <c r="H22" s="160">
        <v>0.5</v>
      </c>
      <c r="I22" s="159">
        <v>1</v>
      </c>
      <c r="J22" s="160">
        <v>1</v>
      </c>
      <c r="K22" s="159">
        <v>1</v>
      </c>
      <c r="L22" s="210">
        <f t="shared" si="0"/>
        <v>0.83378571428571413</v>
      </c>
      <c r="M22" s="210">
        <f t="shared" si="1"/>
        <v>0.83378571428571413</v>
      </c>
    </row>
    <row r="23" spans="1:13" x14ac:dyDescent="0.25">
      <c r="A23" s="158">
        <v>88</v>
      </c>
      <c r="B23" s="158">
        <v>4</v>
      </c>
      <c r="C23" s="180" t="s">
        <v>322</v>
      </c>
      <c r="D23" s="159">
        <v>1</v>
      </c>
      <c r="E23" s="160">
        <v>1</v>
      </c>
      <c r="F23" s="160">
        <v>1</v>
      </c>
      <c r="G23" s="160">
        <v>1</v>
      </c>
      <c r="H23" s="160">
        <v>0.75</v>
      </c>
      <c r="I23" s="159">
        <v>1</v>
      </c>
      <c r="J23" s="160">
        <v>1</v>
      </c>
      <c r="K23" s="159">
        <v>1</v>
      </c>
      <c r="L23" s="210">
        <f t="shared" si="0"/>
        <v>0.95849999999999991</v>
      </c>
      <c r="M23" s="210">
        <f t="shared" si="1"/>
        <v>0.95849999999999991</v>
      </c>
    </row>
    <row r="24" spans="1:13" x14ac:dyDescent="0.25">
      <c r="A24" s="158">
        <v>89</v>
      </c>
      <c r="B24" s="158">
        <v>4</v>
      </c>
      <c r="C24" s="181" t="s">
        <v>555</v>
      </c>
      <c r="D24" s="159">
        <v>1</v>
      </c>
      <c r="E24" s="160">
        <v>1</v>
      </c>
      <c r="F24" s="160">
        <v>0.5</v>
      </c>
      <c r="G24" s="160">
        <v>1</v>
      </c>
      <c r="H24" s="160">
        <v>0</v>
      </c>
      <c r="I24" s="159">
        <v>1</v>
      </c>
      <c r="J24" s="160">
        <v>0.66666666666666663</v>
      </c>
      <c r="K24" s="159">
        <v>1</v>
      </c>
      <c r="L24" s="210">
        <f t="shared" si="0"/>
        <v>0.75524404761904751</v>
      </c>
      <c r="M24" s="210">
        <f t="shared" si="1"/>
        <v>0.75524404761904751</v>
      </c>
    </row>
    <row r="25" spans="1:13" x14ac:dyDescent="0.25">
      <c r="A25" s="158">
        <v>97</v>
      </c>
      <c r="B25" s="158">
        <v>1</v>
      </c>
      <c r="C25" s="180" t="s">
        <v>302</v>
      </c>
      <c r="D25" s="159">
        <v>1</v>
      </c>
      <c r="E25" s="160">
        <v>1</v>
      </c>
      <c r="F25" s="160">
        <v>1</v>
      </c>
      <c r="G25" s="160">
        <v>0.75</v>
      </c>
      <c r="H25" s="160">
        <v>0.5</v>
      </c>
      <c r="I25" s="159">
        <v>1</v>
      </c>
      <c r="J25" s="160">
        <v>1</v>
      </c>
      <c r="K25" s="159">
        <v>1</v>
      </c>
      <c r="L25" s="210">
        <f t="shared" si="0"/>
        <v>0.87535714285714272</v>
      </c>
      <c r="M25" s="210">
        <f t="shared" si="1"/>
        <v>0.87535714285714272</v>
      </c>
    </row>
    <row r="26" spans="1:13" x14ac:dyDescent="0.25">
      <c r="A26" s="158">
        <v>100</v>
      </c>
      <c r="B26" s="158">
        <v>7</v>
      </c>
      <c r="C26" s="181" t="s">
        <v>509</v>
      </c>
      <c r="D26" s="159">
        <v>0</v>
      </c>
      <c r="E26" s="160">
        <v>0</v>
      </c>
      <c r="F26" s="160">
        <v>0</v>
      </c>
      <c r="G26" s="160">
        <v>0</v>
      </c>
      <c r="H26" s="160">
        <v>0</v>
      </c>
      <c r="I26" s="159">
        <v>0</v>
      </c>
      <c r="J26" s="160">
        <v>0</v>
      </c>
      <c r="K26" s="159">
        <v>0</v>
      </c>
      <c r="L26" s="210">
        <f t="shared" si="0"/>
        <v>0</v>
      </c>
      <c r="M26" s="210">
        <f t="shared" si="1"/>
        <v>0</v>
      </c>
    </row>
    <row r="27" spans="1:13" x14ac:dyDescent="0.25">
      <c r="A27" s="158">
        <v>103</v>
      </c>
      <c r="B27" s="158">
        <v>3</v>
      </c>
      <c r="C27" s="181" t="s">
        <v>314</v>
      </c>
      <c r="D27" s="159">
        <v>0.33333333333333331</v>
      </c>
      <c r="E27" s="160">
        <v>0</v>
      </c>
      <c r="F27" s="160">
        <v>0.25</v>
      </c>
      <c r="G27" s="160">
        <v>0.25</v>
      </c>
      <c r="H27" s="160">
        <v>0.5</v>
      </c>
      <c r="I27" s="159">
        <v>0.25</v>
      </c>
      <c r="J27" s="160">
        <v>0.66666666666666663</v>
      </c>
      <c r="K27" s="159">
        <v>1</v>
      </c>
      <c r="L27" s="210">
        <f t="shared" si="0"/>
        <v>0.41583928571428569</v>
      </c>
      <c r="M27" s="210">
        <f t="shared" si="1"/>
        <v>0.41583928571428569</v>
      </c>
    </row>
    <row r="28" spans="1:13" x14ac:dyDescent="0.25">
      <c r="A28" s="158">
        <v>123</v>
      </c>
      <c r="B28" s="158">
        <v>3</v>
      </c>
      <c r="C28" s="180" t="s">
        <v>315</v>
      </c>
      <c r="D28" s="159">
        <v>1</v>
      </c>
      <c r="E28" s="160">
        <v>1</v>
      </c>
      <c r="F28" s="160">
        <v>0.625</v>
      </c>
      <c r="G28" s="160">
        <v>0.5</v>
      </c>
      <c r="H28" s="160">
        <v>0.5</v>
      </c>
      <c r="I28" s="159">
        <v>0.625</v>
      </c>
      <c r="J28" s="160">
        <v>1</v>
      </c>
      <c r="K28" s="159">
        <v>1</v>
      </c>
      <c r="L28" s="210">
        <f t="shared" si="0"/>
        <v>0.76084821428571414</v>
      </c>
      <c r="M28" s="210">
        <f t="shared" si="1"/>
        <v>0.76084821428571414</v>
      </c>
    </row>
    <row r="29" spans="1:13" x14ac:dyDescent="0.25">
      <c r="A29" s="158">
        <v>128</v>
      </c>
      <c r="B29" s="158">
        <v>7</v>
      </c>
      <c r="C29" s="180" t="s">
        <v>401</v>
      </c>
      <c r="D29" s="159">
        <v>0</v>
      </c>
      <c r="E29" s="160">
        <v>0</v>
      </c>
      <c r="F29" s="160">
        <v>0</v>
      </c>
      <c r="G29" s="160">
        <v>0</v>
      </c>
      <c r="H29" s="160">
        <v>0.25</v>
      </c>
      <c r="I29" s="159">
        <v>0</v>
      </c>
      <c r="J29" s="160">
        <v>0</v>
      </c>
      <c r="K29" s="159">
        <v>0.5</v>
      </c>
      <c r="L29" s="210">
        <f t="shared" si="0"/>
        <v>9.7696428571428573E-2</v>
      </c>
      <c r="M29" s="210">
        <f t="shared" si="1"/>
        <v>9.7696428571428573E-2</v>
      </c>
    </row>
    <row r="30" spans="1:13" x14ac:dyDescent="0.25">
      <c r="A30" s="158">
        <v>143</v>
      </c>
      <c r="B30" s="158">
        <v>4</v>
      </c>
      <c r="C30" s="181" t="s">
        <v>324</v>
      </c>
      <c r="D30" s="159">
        <v>1</v>
      </c>
      <c r="E30" s="160">
        <v>1</v>
      </c>
      <c r="F30" s="160">
        <v>0.75</v>
      </c>
      <c r="G30" s="160">
        <v>0</v>
      </c>
      <c r="H30" s="160">
        <v>1</v>
      </c>
      <c r="I30" s="159">
        <v>1</v>
      </c>
      <c r="J30" s="160">
        <v>1</v>
      </c>
      <c r="K30" s="159">
        <v>1</v>
      </c>
      <c r="L30" s="210">
        <f t="shared" si="0"/>
        <v>0.8132232142857142</v>
      </c>
      <c r="M30" s="210">
        <f t="shared" si="1"/>
        <v>0.8132232142857142</v>
      </c>
    </row>
    <row r="31" spans="1:13" x14ac:dyDescent="0.25">
      <c r="A31" s="158">
        <v>152</v>
      </c>
      <c r="B31" s="158">
        <v>7</v>
      </c>
      <c r="C31" s="181" t="s">
        <v>402</v>
      </c>
      <c r="D31" s="159">
        <v>0</v>
      </c>
      <c r="E31" s="160">
        <v>0</v>
      </c>
      <c r="F31" s="160">
        <v>0</v>
      </c>
      <c r="G31" s="160">
        <v>0.25</v>
      </c>
      <c r="H31" s="160">
        <v>0.75</v>
      </c>
      <c r="I31" s="159">
        <v>0</v>
      </c>
      <c r="J31" s="160">
        <v>0.33333333333333331</v>
      </c>
      <c r="K31" s="159">
        <v>0.5</v>
      </c>
      <c r="L31" s="210">
        <f t="shared" si="0"/>
        <v>0.25982738095238095</v>
      </c>
      <c r="M31" s="210">
        <f t="shared" si="1"/>
        <v>0.25982738095238095</v>
      </c>
    </row>
    <row r="32" spans="1:13" x14ac:dyDescent="0.25">
      <c r="A32" s="158">
        <v>157</v>
      </c>
      <c r="B32" s="158">
        <v>5</v>
      </c>
      <c r="C32" s="181" t="s">
        <v>337</v>
      </c>
      <c r="D32" s="159">
        <v>1</v>
      </c>
      <c r="E32" s="160">
        <v>0.83333333333333337</v>
      </c>
      <c r="F32" s="160">
        <v>0.25</v>
      </c>
      <c r="G32" s="160">
        <v>0.25</v>
      </c>
      <c r="H32" s="160">
        <v>0.5</v>
      </c>
      <c r="I32" s="159">
        <v>1</v>
      </c>
      <c r="J32" s="160">
        <v>0.33333333333333331</v>
      </c>
      <c r="K32" s="159">
        <v>1</v>
      </c>
      <c r="L32" s="210">
        <f t="shared" si="0"/>
        <v>0.64198511904761901</v>
      </c>
      <c r="M32" s="210">
        <f t="shared" si="1"/>
        <v>0.64198511904761901</v>
      </c>
    </row>
    <row r="33" spans="1:13" x14ac:dyDescent="0.25">
      <c r="A33" s="158">
        <v>159</v>
      </c>
      <c r="B33" s="158">
        <v>9</v>
      </c>
      <c r="C33" s="181" t="s">
        <v>510</v>
      </c>
      <c r="D33" s="159">
        <v>1</v>
      </c>
      <c r="E33" s="160">
        <v>0.66666666666666663</v>
      </c>
      <c r="F33" s="160">
        <v>0.5</v>
      </c>
      <c r="G33" s="160">
        <v>0.75</v>
      </c>
      <c r="H33" s="160">
        <v>1</v>
      </c>
      <c r="I33" s="159">
        <v>0.5</v>
      </c>
      <c r="J33" s="160">
        <v>1</v>
      </c>
      <c r="K33" s="159">
        <v>0.5</v>
      </c>
      <c r="L33" s="210">
        <f t="shared" si="0"/>
        <v>0.77770833333333333</v>
      </c>
      <c r="M33" s="210">
        <f t="shared" si="1"/>
        <v>0.77770833333333333</v>
      </c>
    </row>
    <row r="34" spans="1:13" x14ac:dyDescent="0.25">
      <c r="A34" s="158">
        <v>162</v>
      </c>
      <c r="B34" s="158">
        <v>7</v>
      </c>
      <c r="C34" s="181" t="s">
        <v>403</v>
      </c>
      <c r="D34" s="159">
        <v>1</v>
      </c>
      <c r="E34" s="160">
        <v>1</v>
      </c>
      <c r="F34" s="160">
        <v>0.75</v>
      </c>
      <c r="G34" s="160">
        <v>1</v>
      </c>
      <c r="H34" s="160">
        <v>0.5</v>
      </c>
      <c r="I34" s="159">
        <v>0.5</v>
      </c>
      <c r="J34" s="160">
        <v>0.83333333333333337</v>
      </c>
      <c r="K34" s="159">
        <v>1</v>
      </c>
      <c r="L34" s="210">
        <f t="shared" si="0"/>
        <v>0.82153273809523808</v>
      </c>
      <c r="M34" s="210">
        <f t="shared" si="1"/>
        <v>0.82153273809523808</v>
      </c>
    </row>
    <row r="35" spans="1:13" x14ac:dyDescent="0.25">
      <c r="A35" s="158">
        <v>166</v>
      </c>
      <c r="B35" s="158">
        <v>7</v>
      </c>
      <c r="C35" s="181" t="s">
        <v>404</v>
      </c>
      <c r="D35" s="159">
        <v>1</v>
      </c>
      <c r="E35" s="160">
        <v>1</v>
      </c>
      <c r="F35" s="160">
        <v>1</v>
      </c>
      <c r="G35" s="160">
        <v>0.5</v>
      </c>
      <c r="H35" s="160">
        <v>0.75</v>
      </c>
      <c r="I35" s="159">
        <v>1</v>
      </c>
      <c r="J35" s="160">
        <v>0.66666666666666663</v>
      </c>
      <c r="K35" s="159">
        <v>1</v>
      </c>
      <c r="L35" s="210">
        <f t="shared" si="0"/>
        <v>0.83794047619047607</v>
      </c>
      <c r="M35" s="210">
        <f t="shared" si="1"/>
        <v>0.83794047619047607</v>
      </c>
    </row>
    <row r="36" spans="1:13" x14ac:dyDescent="0.25">
      <c r="A36" s="158">
        <v>172</v>
      </c>
      <c r="B36" s="158">
        <v>1</v>
      </c>
      <c r="C36" s="181" t="s">
        <v>303</v>
      </c>
      <c r="D36" s="159">
        <v>1</v>
      </c>
      <c r="E36" s="160">
        <v>1</v>
      </c>
      <c r="F36" s="160">
        <v>1</v>
      </c>
      <c r="G36" s="160">
        <v>0.75</v>
      </c>
      <c r="H36" s="160">
        <v>0.5</v>
      </c>
      <c r="I36" s="159">
        <v>1</v>
      </c>
      <c r="J36" s="160">
        <v>1</v>
      </c>
      <c r="K36" s="159">
        <v>1</v>
      </c>
      <c r="L36" s="210">
        <f t="shared" si="0"/>
        <v>0.87535714285714272</v>
      </c>
      <c r="M36" s="210">
        <f t="shared" si="1"/>
        <v>0.87535714285714272</v>
      </c>
    </row>
    <row r="37" spans="1:13" x14ac:dyDescent="0.25">
      <c r="A37" s="158">
        <v>173</v>
      </c>
      <c r="B37" s="158">
        <v>9</v>
      </c>
      <c r="C37" s="181" t="s">
        <v>511</v>
      </c>
      <c r="D37" s="159">
        <v>1</v>
      </c>
      <c r="E37" s="160">
        <v>1</v>
      </c>
      <c r="F37" s="160">
        <v>1</v>
      </c>
      <c r="G37" s="160">
        <v>0.75</v>
      </c>
      <c r="H37" s="160">
        <v>0.5</v>
      </c>
      <c r="I37" s="159">
        <v>1</v>
      </c>
      <c r="J37" s="160">
        <v>0.66666666666666663</v>
      </c>
      <c r="K37" s="159">
        <v>1</v>
      </c>
      <c r="L37" s="210">
        <f t="shared" si="0"/>
        <v>0.83794047619047607</v>
      </c>
      <c r="M37" s="210">
        <f t="shared" si="1"/>
        <v>0.83794047619047607</v>
      </c>
    </row>
    <row r="38" spans="1:13" x14ac:dyDescent="0.25">
      <c r="A38" s="158">
        <v>179</v>
      </c>
      <c r="B38" s="158">
        <v>3</v>
      </c>
      <c r="C38" s="180" t="s">
        <v>316</v>
      </c>
      <c r="D38" s="159">
        <v>1</v>
      </c>
      <c r="E38" s="160">
        <v>1</v>
      </c>
      <c r="F38" s="160">
        <v>1</v>
      </c>
      <c r="G38" s="160">
        <v>0.5</v>
      </c>
      <c r="H38" s="160">
        <v>0.5</v>
      </c>
      <c r="I38" s="159">
        <v>1</v>
      </c>
      <c r="J38" s="160">
        <v>1</v>
      </c>
      <c r="K38" s="159">
        <v>1</v>
      </c>
      <c r="L38" s="210">
        <f t="shared" si="0"/>
        <v>0.83378571428571413</v>
      </c>
      <c r="M38" s="210">
        <f t="shared" si="1"/>
        <v>0.83378571428571413</v>
      </c>
    </row>
    <row r="39" spans="1:13" x14ac:dyDescent="0.25">
      <c r="A39" s="158">
        <v>183</v>
      </c>
      <c r="B39" s="158">
        <v>4</v>
      </c>
      <c r="C39" s="181" t="s">
        <v>325</v>
      </c>
      <c r="D39" s="159">
        <v>1</v>
      </c>
      <c r="E39" s="160">
        <v>1</v>
      </c>
      <c r="F39" s="160">
        <v>1</v>
      </c>
      <c r="G39" s="160">
        <v>0.5</v>
      </c>
      <c r="H39" s="160">
        <v>0.25</v>
      </c>
      <c r="I39" s="159">
        <v>1</v>
      </c>
      <c r="J39" s="160">
        <v>1</v>
      </c>
      <c r="K39" s="159">
        <v>1</v>
      </c>
      <c r="L39" s="210">
        <f t="shared" si="0"/>
        <v>0.79221428571428565</v>
      </c>
      <c r="M39" s="210">
        <f t="shared" si="1"/>
        <v>0.79221428571428565</v>
      </c>
    </row>
    <row r="40" spans="1:13" x14ac:dyDescent="0.25">
      <c r="A40" s="158">
        <v>186</v>
      </c>
      <c r="B40" s="158">
        <v>4</v>
      </c>
      <c r="C40" s="181" t="s">
        <v>326</v>
      </c>
      <c r="D40" s="159">
        <v>1</v>
      </c>
      <c r="E40" s="160">
        <v>1</v>
      </c>
      <c r="F40" s="160">
        <v>1</v>
      </c>
      <c r="G40" s="160">
        <v>0.75</v>
      </c>
      <c r="H40" s="160">
        <v>0</v>
      </c>
      <c r="I40" s="159">
        <v>0.83250000000000002</v>
      </c>
      <c r="J40" s="160">
        <v>1</v>
      </c>
      <c r="K40" s="159">
        <v>1</v>
      </c>
      <c r="L40" s="210">
        <f t="shared" si="0"/>
        <v>0.77341241071428568</v>
      </c>
      <c r="M40" s="210">
        <f t="shared" si="1"/>
        <v>0.77341241071428568</v>
      </c>
    </row>
    <row r="41" spans="1:13" x14ac:dyDescent="0.25">
      <c r="A41" s="158">
        <v>188</v>
      </c>
      <c r="B41" s="158">
        <v>8</v>
      </c>
      <c r="C41" s="180" t="s">
        <v>460</v>
      </c>
      <c r="D41" s="159">
        <v>0.83333333333333337</v>
      </c>
      <c r="E41" s="160">
        <v>0.66666666666666663</v>
      </c>
      <c r="F41" s="160">
        <v>1</v>
      </c>
      <c r="G41" s="160">
        <v>0.75</v>
      </c>
      <c r="H41" s="160">
        <v>1</v>
      </c>
      <c r="I41" s="159">
        <v>1</v>
      </c>
      <c r="J41" s="160">
        <v>0</v>
      </c>
      <c r="K41" s="159">
        <v>1</v>
      </c>
      <c r="L41" s="210">
        <f t="shared" si="0"/>
        <v>0.79112499999999997</v>
      </c>
      <c r="M41" s="210">
        <f t="shared" si="1"/>
        <v>0.79112499999999997</v>
      </c>
    </row>
    <row r="42" spans="1:13" x14ac:dyDescent="0.25">
      <c r="A42" s="158">
        <v>190</v>
      </c>
      <c r="B42" s="158">
        <v>4</v>
      </c>
      <c r="C42" s="181" t="s">
        <v>327</v>
      </c>
      <c r="D42" s="159">
        <v>0.83333333333333337</v>
      </c>
      <c r="E42" s="160">
        <v>0.83333333333333337</v>
      </c>
      <c r="F42" s="160">
        <v>0.5</v>
      </c>
      <c r="G42" s="160">
        <v>0</v>
      </c>
      <c r="H42" s="160">
        <v>0.25</v>
      </c>
      <c r="I42" s="159">
        <v>0.95750000000000002</v>
      </c>
      <c r="J42" s="160">
        <v>0</v>
      </c>
      <c r="K42" s="159">
        <v>0.5</v>
      </c>
      <c r="L42" s="210">
        <f t="shared" si="0"/>
        <v>0.45338413690476187</v>
      </c>
      <c r="M42" s="210">
        <f t="shared" si="1"/>
        <v>0.45338413690476187</v>
      </c>
    </row>
    <row r="43" spans="1:13" x14ac:dyDescent="0.25">
      <c r="A43" s="158">
        <v>192</v>
      </c>
      <c r="B43" s="158">
        <v>7</v>
      </c>
      <c r="C43" s="181" t="s">
        <v>405</v>
      </c>
      <c r="D43" s="159">
        <v>1</v>
      </c>
      <c r="E43" s="160">
        <v>1</v>
      </c>
      <c r="F43" s="160">
        <v>0.75</v>
      </c>
      <c r="G43" s="160">
        <v>0</v>
      </c>
      <c r="H43" s="160">
        <v>0.25</v>
      </c>
      <c r="I43" s="159">
        <v>0</v>
      </c>
      <c r="J43" s="160">
        <v>1</v>
      </c>
      <c r="K43" s="159">
        <v>1</v>
      </c>
      <c r="L43" s="210">
        <f t="shared" si="0"/>
        <v>0.57625892857142857</v>
      </c>
      <c r="M43" s="210">
        <f t="shared" si="1"/>
        <v>0.57625892857142857</v>
      </c>
    </row>
    <row r="44" spans="1:13" x14ac:dyDescent="0.25">
      <c r="A44" s="158">
        <v>204</v>
      </c>
      <c r="B44" s="158">
        <v>9</v>
      </c>
      <c r="C44" s="181" t="s">
        <v>512</v>
      </c>
      <c r="D44" s="159">
        <v>1</v>
      </c>
      <c r="E44" s="160">
        <v>0</v>
      </c>
      <c r="F44" s="160">
        <v>0.125</v>
      </c>
      <c r="G44" s="160">
        <v>0.5</v>
      </c>
      <c r="H44" s="160">
        <v>0.25</v>
      </c>
      <c r="I44" s="159">
        <v>0.25</v>
      </c>
      <c r="J44" s="160">
        <v>0</v>
      </c>
      <c r="K44" s="159">
        <v>0.5</v>
      </c>
      <c r="L44" s="210">
        <f t="shared" si="0"/>
        <v>0.38543303571428572</v>
      </c>
      <c r="M44" s="210">
        <f t="shared" si="1"/>
        <v>0.38543303571428572</v>
      </c>
    </row>
    <row r="45" spans="1:13" x14ac:dyDescent="0.25">
      <c r="A45" s="158">
        <v>205</v>
      </c>
      <c r="B45" s="158">
        <v>7</v>
      </c>
      <c r="C45" s="181" t="s">
        <v>406</v>
      </c>
      <c r="D45" s="159">
        <v>0.66666666666666663</v>
      </c>
      <c r="E45" s="160">
        <v>0.33333333333333331</v>
      </c>
      <c r="F45" s="160">
        <v>0.5</v>
      </c>
      <c r="G45" s="160">
        <v>0.5</v>
      </c>
      <c r="H45" s="160">
        <v>0.25</v>
      </c>
      <c r="I45" s="159">
        <v>1</v>
      </c>
      <c r="J45" s="160">
        <v>0.66666666666666663</v>
      </c>
      <c r="K45" s="159">
        <v>0.5</v>
      </c>
      <c r="L45" s="210">
        <f t="shared" si="0"/>
        <v>0.54729761904761909</v>
      </c>
      <c r="M45" s="210">
        <f t="shared" si="1"/>
        <v>0.54729761904761909</v>
      </c>
    </row>
    <row r="46" spans="1:13" x14ac:dyDescent="0.25">
      <c r="A46" s="158">
        <v>212</v>
      </c>
      <c r="B46" s="158">
        <v>7</v>
      </c>
      <c r="C46" s="181" t="s">
        <v>407</v>
      </c>
      <c r="D46" s="159">
        <v>0.33333333333333331</v>
      </c>
      <c r="E46" s="160">
        <v>0</v>
      </c>
      <c r="F46" s="160">
        <v>0</v>
      </c>
      <c r="G46" s="160">
        <v>0</v>
      </c>
      <c r="H46" s="160">
        <v>0.5</v>
      </c>
      <c r="I46" s="159">
        <v>0</v>
      </c>
      <c r="J46" s="160">
        <v>0.66666666666666663</v>
      </c>
      <c r="K46" s="159">
        <v>0.5</v>
      </c>
      <c r="L46" s="210">
        <f t="shared" si="0"/>
        <v>0.26951785714285714</v>
      </c>
      <c r="M46" s="210">
        <f t="shared" si="1"/>
        <v>0.26951785714285714</v>
      </c>
    </row>
    <row r="47" spans="1:13" x14ac:dyDescent="0.25">
      <c r="A47" s="158">
        <v>214</v>
      </c>
      <c r="B47" s="158">
        <v>5</v>
      </c>
      <c r="C47" s="181" t="s">
        <v>338</v>
      </c>
      <c r="D47" s="159">
        <v>1</v>
      </c>
      <c r="E47" s="160">
        <v>1</v>
      </c>
      <c r="F47" s="160">
        <v>0.75</v>
      </c>
      <c r="G47" s="160">
        <v>0.5</v>
      </c>
      <c r="H47" s="160">
        <v>0</v>
      </c>
      <c r="I47" s="159">
        <v>0.33333333333333331</v>
      </c>
      <c r="J47" s="160">
        <v>1</v>
      </c>
      <c r="K47" s="159">
        <v>1</v>
      </c>
      <c r="L47" s="210">
        <f t="shared" si="0"/>
        <v>0.65524702380952371</v>
      </c>
      <c r="M47" s="210">
        <f t="shared" si="1"/>
        <v>0.65524702380952371</v>
      </c>
    </row>
    <row r="48" spans="1:13" x14ac:dyDescent="0.25">
      <c r="A48" s="158">
        <v>216</v>
      </c>
      <c r="B48" s="158">
        <v>7</v>
      </c>
      <c r="C48" s="181" t="s">
        <v>408</v>
      </c>
      <c r="D48" s="159">
        <v>0.16666666666666666</v>
      </c>
      <c r="E48" s="160">
        <v>1</v>
      </c>
      <c r="F48" s="160">
        <v>0.5</v>
      </c>
      <c r="G48" s="160">
        <v>0.5</v>
      </c>
      <c r="H48" s="160">
        <v>0.5</v>
      </c>
      <c r="I48" s="159">
        <v>1</v>
      </c>
      <c r="J48" s="160">
        <v>0.83333333333333337</v>
      </c>
      <c r="K48" s="159">
        <v>1</v>
      </c>
      <c r="L48" s="210">
        <f t="shared" si="0"/>
        <v>0.63541071428571427</v>
      </c>
      <c r="M48" s="210">
        <f t="shared" si="1"/>
        <v>0.63541071428571427</v>
      </c>
    </row>
    <row r="49" spans="1:13" x14ac:dyDescent="0.25">
      <c r="A49" s="158">
        <v>218</v>
      </c>
      <c r="B49" s="158">
        <v>7</v>
      </c>
      <c r="C49" s="181" t="s">
        <v>513</v>
      </c>
      <c r="D49" s="159">
        <v>0</v>
      </c>
      <c r="E49" s="160">
        <v>0.83333333333333337</v>
      </c>
      <c r="F49" s="160">
        <v>0.375</v>
      </c>
      <c r="G49" s="160">
        <v>0</v>
      </c>
      <c r="H49" s="160">
        <v>0.25</v>
      </c>
      <c r="I49" s="159">
        <v>0.66500000000000004</v>
      </c>
      <c r="J49" s="160">
        <v>1</v>
      </c>
      <c r="K49" s="159">
        <v>1</v>
      </c>
      <c r="L49" s="210">
        <f t="shared" si="0"/>
        <v>0.44010309523809527</v>
      </c>
      <c r="M49" s="210">
        <f t="shared" si="1"/>
        <v>0.44010309523809527</v>
      </c>
    </row>
    <row r="50" spans="1:13" x14ac:dyDescent="0.25">
      <c r="A50" s="158">
        <v>223</v>
      </c>
      <c r="B50" s="158">
        <v>5</v>
      </c>
      <c r="C50" s="181" t="s">
        <v>339</v>
      </c>
      <c r="D50" s="159">
        <v>1</v>
      </c>
      <c r="E50" s="160">
        <v>0</v>
      </c>
      <c r="F50" s="160">
        <v>0.75</v>
      </c>
      <c r="G50" s="160">
        <v>0</v>
      </c>
      <c r="H50" s="160">
        <v>0</v>
      </c>
      <c r="I50" s="159">
        <v>0</v>
      </c>
      <c r="J50" s="160">
        <v>1</v>
      </c>
      <c r="K50" s="159">
        <v>1</v>
      </c>
      <c r="L50" s="210">
        <f t="shared" si="0"/>
        <v>0.45243750000000005</v>
      </c>
      <c r="M50" s="210">
        <f t="shared" si="1"/>
        <v>0.45243750000000005</v>
      </c>
    </row>
    <row r="51" spans="1:13" x14ac:dyDescent="0.25">
      <c r="A51" s="158">
        <v>224</v>
      </c>
      <c r="B51" s="158">
        <v>5</v>
      </c>
      <c r="C51" s="180" t="s">
        <v>340</v>
      </c>
      <c r="D51" s="159">
        <v>1</v>
      </c>
      <c r="E51" s="160">
        <v>0.33333333333333331</v>
      </c>
      <c r="F51" s="160">
        <v>0.25</v>
      </c>
      <c r="G51" s="160">
        <v>0.5</v>
      </c>
      <c r="H51" s="160">
        <v>0.5</v>
      </c>
      <c r="I51" s="159">
        <v>0</v>
      </c>
      <c r="J51" s="160">
        <v>0.5</v>
      </c>
      <c r="K51" s="159">
        <v>0.5</v>
      </c>
      <c r="L51" s="210">
        <f t="shared" si="0"/>
        <v>0.49276488095238091</v>
      </c>
      <c r="M51" s="210">
        <f t="shared" si="1"/>
        <v>0.49276488095238091</v>
      </c>
    </row>
    <row r="52" spans="1:13" x14ac:dyDescent="0.25">
      <c r="A52" s="158">
        <v>229</v>
      </c>
      <c r="B52" s="158">
        <v>7</v>
      </c>
      <c r="C52" s="181" t="s">
        <v>409</v>
      </c>
      <c r="D52" s="159">
        <v>1</v>
      </c>
      <c r="E52" s="160">
        <v>1</v>
      </c>
      <c r="F52" s="160">
        <v>1</v>
      </c>
      <c r="G52" s="160">
        <v>0.5</v>
      </c>
      <c r="H52" s="160">
        <v>0.5</v>
      </c>
      <c r="I52" s="159">
        <v>0.66666666666666663</v>
      </c>
      <c r="J52" s="160">
        <v>0</v>
      </c>
      <c r="K52" s="159">
        <v>1</v>
      </c>
      <c r="L52" s="210">
        <f t="shared" si="0"/>
        <v>0.68411904761904752</v>
      </c>
      <c r="M52" s="210">
        <f t="shared" si="1"/>
        <v>0.68411904761904752</v>
      </c>
    </row>
    <row r="53" spans="1:13" x14ac:dyDescent="0.25">
      <c r="A53" s="158">
        <v>230</v>
      </c>
      <c r="B53" s="158">
        <v>9</v>
      </c>
      <c r="C53" s="181" t="s">
        <v>514</v>
      </c>
      <c r="D53" s="159">
        <v>0</v>
      </c>
      <c r="E53" s="160">
        <v>0</v>
      </c>
      <c r="F53" s="160">
        <v>0</v>
      </c>
      <c r="G53" s="160">
        <v>0.25</v>
      </c>
      <c r="H53" s="160">
        <v>0.5</v>
      </c>
      <c r="I53" s="159">
        <v>0.25</v>
      </c>
      <c r="J53" s="160">
        <v>0.66666666666666663</v>
      </c>
      <c r="K53" s="159">
        <v>0.5</v>
      </c>
      <c r="L53" s="210">
        <f t="shared" si="0"/>
        <v>0.28373511904761906</v>
      </c>
      <c r="M53" s="210">
        <f t="shared" si="1"/>
        <v>0.28373511904761906</v>
      </c>
    </row>
    <row r="54" spans="1:13" x14ac:dyDescent="0.25">
      <c r="A54" s="158">
        <v>232</v>
      </c>
      <c r="B54" s="158">
        <v>8</v>
      </c>
      <c r="C54" s="181" t="s">
        <v>461</v>
      </c>
      <c r="D54" s="159">
        <v>0</v>
      </c>
      <c r="E54" s="160">
        <v>0</v>
      </c>
      <c r="F54" s="160">
        <v>0</v>
      </c>
      <c r="G54" s="160">
        <v>0.75</v>
      </c>
      <c r="H54" s="160">
        <v>0.25</v>
      </c>
      <c r="I54" s="159">
        <v>0</v>
      </c>
      <c r="J54" s="160">
        <v>0</v>
      </c>
      <c r="K54" s="159">
        <v>1</v>
      </c>
      <c r="L54" s="210">
        <f t="shared" si="0"/>
        <v>0.27853571428571428</v>
      </c>
      <c r="M54" s="210">
        <f t="shared" si="1"/>
        <v>0.27853571428571428</v>
      </c>
    </row>
    <row r="55" spans="1:13" x14ac:dyDescent="0.25">
      <c r="A55" s="158">
        <v>233</v>
      </c>
      <c r="B55" s="158">
        <v>5</v>
      </c>
      <c r="C55" s="181" t="s">
        <v>341</v>
      </c>
      <c r="D55" s="159">
        <v>1</v>
      </c>
      <c r="E55" s="160">
        <v>0</v>
      </c>
      <c r="F55" s="160">
        <v>0.5</v>
      </c>
      <c r="G55" s="160">
        <v>0</v>
      </c>
      <c r="H55" s="160">
        <v>0.75</v>
      </c>
      <c r="I55" s="159">
        <v>1</v>
      </c>
      <c r="J55" s="160">
        <v>0.83333333333333337</v>
      </c>
      <c r="K55" s="159">
        <v>1</v>
      </c>
      <c r="L55" s="210">
        <f t="shared" si="0"/>
        <v>0.65013095238095242</v>
      </c>
      <c r="M55" s="210">
        <f t="shared" si="1"/>
        <v>0.65013095238095242</v>
      </c>
    </row>
    <row r="56" spans="1:13" x14ac:dyDescent="0.25">
      <c r="A56" s="158">
        <v>236</v>
      </c>
      <c r="B56" s="158">
        <v>7</v>
      </c>
      <c r="C56" s="181" t="s">
        <v>410</v>
      </c>
      <c r="D56" s="159">
        <v>1</v>
      </c>
      <c r="E56" s="160">
        <v>1</v>
      </c>
      <c r="F56" s="160">
        <v>1</v>
      </c>
      <c r="G56" s="160">
        <v>0.5</v>
      </c>
      <c r="H56" s="160">
        <v>0.5</v>
      </c>
      <c r="I56" s="159">
        <v>0.33333333333333331</v>
      </c>
      <c r="J56" s="160">
        <v>0.83333333333333337</v>
      </c>
      <c r="K56" s="159">
        <v>0.5</v>
      </c>
      <c r="L56" s="210">
        <f t="shared" si="0"/>
        <v>0.68411904761904752</v>
      </c>
      <c r="M56" s="210">
        <f t="shared" si="1"/>
        <v>0.68411904761904752</v>
      </c>
    </row>
    <row r="57" spans="1:13" x14ac:dyDescent="0.25">
      <c r="A57" s="158">
        <v>238</v>
      </c>
      <c r="B57" s="158">
        <v>7</v>
      </c>
      <c r="C57" s="181" t="s">
        <v>556</v>
      </c>
      <c r="D57" s="159">
        <v>0.33333333333333331</v>
      </c>
      <c r="E57" s="160">
        <v>0.66666666666666663</v>
      </c>
      <c r="F57" s="160">
        <v>0.5</v>
      </c>
      <c r="G57" s="160">
        <v>1</v>
      </c>
      <c r="H57" s="160">
        <v>0</v>
      </c>
      <c r="I57" s="159">
        <v>0</v>
      </c>
      <c r="J57" s="160">
        <v>0</v>
      </c>
      <c r="K57" s="159">
        <v>0.5</v>
      </c>
      <c r="L57" s="210">
        <f t="shared" si="0"/>
        <v>0.37378571428571428</v>
      </c>
      <c r="M57" s="210">
        <f t="shared" si="1"/>
        <v>0.37378571428571428</v>
      </c>
    </row>
    <row r="58" spans="1:13" x14ac:dyDescent="0.25">
      <c r="A58" s="158">
        <v>239</v>
      </c>
      <c r="B58" s="158">
        <v>7</v>
      </c>
      <c r="C58" s="181" t="s">
        <v>411</v>
      </c>
      <c r="D58" s="159">
        <v>0.83333333333333337</v>
      </c>
      <c r="E58" s="160">
        <v>1</v>
      </c>
      <c r="F58" s="160">
        <v>1</v>
      </c>
      <c r="G58" s="160">
        <v>1</v>
      </c>
      <c r="H58" s="160">
        <v>0.5</v>
      </c>
      <c r="I58" s="159">
        <v>1</v>
      </c>
      <c r="J58" s="160">
        <v>1</v>
      </c>
      <c r="K58" s="159">
        <v>0.5</v>
      </c>
      <c r="L58" s="210">
        <f t="shared" si="0"/>
        <v>0.833095238095238</v>
      </c>
      <c r="M58" s="210">
        <f t="shared" si="1"/>
        <v>0.833095238095238</v>
      </c>
    </row>
    <row r="59" spans="1:13" x14ac:dyDescent="0.25">
      <c r="A59" s="158">
        <v>245</v>
      </c>
      <c r="B59" s="158">
        <v>8</v>
      </c>
      <c r="C59" s="181" t="s">
        <v>462</v>
      </c>
      <c r="D59" s="159">
        <v>1</v>
      </c>
      <c r="E59" s="160">
        <v>0</v>
      </c>
      <c r="F59" s="160">
        <v>0.5</v>
      </c>
      <c r="G59" s="160">
        <v>0.75</v>
      </c>
      <c r="H59" s="160">
        <v>0</v>
      </c>
      <c r="I59" s="159">
        <v>1</v>
      </c>
      <c r="J59" s="160">
        <v>0.5</v>
      </c>
      <c r="K59" s="159">
        <v>1</v>
      </c>
      <c r="L59" s="210">
        <f t="shared" si="0"/>
        <v>0.61271428571428577</v>
      </c>
      <c r="M59" s="210">
        <f t="shared" si="1"/>
        <v>0.61271428571428577</v>
      </c>
    </row>
    <row r="60" spans="1:13" x14ac:dyDescent="0.25">
      <c r="A60" s="158">
        <v>249</v>
      </c>
      <c r="B60" s="158">
        <v>7</v>
      </c>
      <c r="C60" s="181" t="s">
        <v>412</v>
      </c>
      <c r="D60" s="159">
        <v>1</v>
      </c>
      <c r="E60" s="160">
        <v>1</v>
      </c>
      <c r="F60" s="160">
        <v>0.875</v>
      </c>
      <c r="G60" s="160">
        <v>0.25</v>
      </c>
      <c r="H60" s="160">
        <v>0.5</v>
      </c>
      <c r="I60" s="159">
        <v>0.33333333333333331</v>
      </c>
      <c r="J60" s="160">
        <v>1</v>
      </c>
      <c r="K60" s="159">
        <v>1</v>
      </c>
      <c r="L60" s="210">
        <f t="shared" si="0"/>
        <v>0.70709970238095232</v>
      </c>
      <c r="M60" s="210">
        <f t="shared" si="1"/>
        <v>0.70709970238095232</v>
      </c>
    </row>
    <row r="61" spans="1:13" x14ac:dyDescent="0.25">
      <c r="A61" s="158">
        <v>270</v>
      </c>
      <c r="B61" s="158">
        <v>1</v>
      </c>
      <c r="C61" s="181" t="s">
        <v>304</v>
      </c>
      <c r="D61" s="159">
        <v>1</v>
      </c>
      <c r="E61" s="160">
        <v>1</v>
      </c>
      <c r="F61" s="160">
        <v>1</v>
      </c>
      <c r="G61" s="160">
        <v>0.75</v>
      </c>
      <c r="H61" s="160">
        <v>0.5</v>
      </c>
      <c r="I61" s="159">
        <v>1</v>
      </c>
      <c r="J61" s="160">
        <v>1</v>
      </c>
      <c r="K61" s="159">
        <v>1</v>
      </c>
      <c r="L61" s="210">
        <f t="shared" si="0"/>
        <v>0.87535714285714272</v>
      </c>
      <c r="M61" s="210">
        <f t="shared" si="1"/>
        <v>0.87535714285714272</v>
      </c>
    </row>
    <row r="62" spans="1:13" x14ac:dyDescent="0.25">
      <c r="A62" s="158">
        <v>271</v>
      </c>
      <c r="B62" s="158">
        <v>7</v>
      </c>
      <c r="C62" s="181" t="s">
        <v>413</v>
      </c>
      <c r="D62" s="159">
        <v>0</v>
      </c>
      <c r="E62" s="160">
        <v>1</v>
      </c>
      <c r="F62" s="160">
        <v>1</v>
      </c>
      <c r="G62" s="160">
        <v>1</v>
      </c>
      <c r="H62" s="160">
        <v>0</v>
      </c>
      <c r="I62" s="159">
        <v>0</v>
      </c>
      <c r="J62" s="160">
        <v>0.83333333333333337</v>
      </c>
      <c r="K62" s="159">
        <v>1</v>
      </c>
      <c r="L62" s="210">
        <f t="shared" si="0"/>
        <v>0.53657738095238094</v>
      </c>
      <c r="M62" s="210">
        <f t="shared" si="1"/>
        <v>0.53657738095238094</v>
      </c>
    </row>
    <row r="63" spans="1:13" x14ac:dyDescent="0.25">
      <c r="A63" s="158">
        <v>272</v>
      </c>
      <c r="B63" s="158">
        <v>5</v>
      </c>
      <c r="C63" s="181" t="s">
        <v>342</v>
      </c>
      <c r="D63" s="159">
        <v>1</v>
      </c>
      <c r="E63" s="160">
        <v>0</v>
      </c>
      <c r="F63" s="160">
        <v>0</v>
      </c>
      <c r="G63" s="160">
        <v>0.5</v>
      </c>
      <c r="H63" s="160">
        <v>0.5</v>
      </c>
      <c r="I63" s="159">
        <v>0.5</v>
      </c>
      <c r="J63" s="160">
        <v>0</v>
      </c>
      <c r="K63" s="159">
        <v>0.5</v>
      </c>
      <c r="L63" s="210">
        <f t="shared" si="0"/>
        <v>0.44478571428571423</v>
      </c>
      <c r="M63" s="210">
        <f t="shared" si="1"/>
        <v>0.44478571428571423</v>
      </c>
    </row>
    <row r="64" spans="1:13" x14ac:dyDescent="0.25">
      <c r="A64" s="158">
        <v>275</v>
      </c>
      <c r="B64" s="158">
        <v>7</v>
      </c>
      <c r="C64" s="181" t="s">
        <v>414</v>
      </c>
      <c r="D64" s="159">
        <v>0.5</v>
      </c>
      <c r="E64" s="160">
        <v>1</v>
      </c>
      <c r="F64" s="160">
        <v>0.75</v>
      </c>
      <c r="G64" s="160">
        <v>0.25</v>
      </c>
      <c r="H64" s="160">
        <v>0.75</v>
      </c>
      <c r="I64" s="159">
        <v>0</v>
      </c>
      <c r="J64" s="160">
        <v>0.66666666666666663</v>
      </c>
      <c r="K64" s="159">
        <v>1</v>
      </c>
      <c r="L64" s="210">
        <f t="shared" si="0"/>
        <v>0.58043154761904758</v>
      </c>
      <c r="M64" s="210">
        <f t="shared" si="1"/>
        <v>0.58043154761904758</v>
      </c>
    </row>
    <row r="65" spans="1:13" x14ac:dyDescent="0.25">
      <c r="A65" s="158">
        <v>277</v>
      </c>
      <c r="B65" s="158">
        <v>9</v>
      </c>
      <c r="C65" s="181" t="s">
        <v>515</v>
      </c>
      <c r="D65" s="159">
        <v>0</v>
      </c>
      <c r="E65" s="160">
        <v>0</v>
      </c>
      <c r="F65" s="160">
        <v>0.25</v>
      </c>
      <c r="G65" s="160">
        <v>0.5</v>
      </c>
      <c r="H65" s="160">
        <v>0.5</v>
      </c>
      <c r="I65" s="159">
        <v>0</v>
      </c>
      <c r="J65" s="160">
        <v>1</v>
      </c>
      <c r="K65" s="159">
        <v>0.5</v>
      </c>
      <c r="L65" s="210">
        <f t="shared" si="0"/>
        <v>0.35522321428571429</v>
      </c>
      <c r="M65" s="210">
        <f t="shared" si="1"/>
        <v>0.35522321428571429</v>
      </c>
    </row>
    <row r="66" spans="1:13" x14ac:dyDescent="0.25">
      <c r="A66" s="158">
        <v>279</v>
      </c>
      <c r="B66" s="158">
        <v>9</v>
      </c>
      <c r="C66" s="181" t="s">
        <v>516</v>
      </c>
      <c r="D66" s="159">
        <v>0</v>
      </c>
      <c r="E66" s="160">
        <v>0</v>
      </c>
      <c r="F66" s="160">
        <v>0.25</v>
      </c>
      <c r="G66" s="160">
        <v>0.5</v>
      </c>
      <c r="H66" s="160">
        <v>0.75</v>
      </c>
      <c r="I66" s="159">
        <v>1</v>
      </c>
      <c r="J66" s="160">
        <v>0</v>
      </c>
      <c r="K66" s="159">
        <v>0.5</v>
      </c>
      <c r="L66" s="210">
        <f t="shared" si="0"/>
        <v>0.39679464285714283</v>
      </c>
      <c r="M66" s="210">
        <f t="shared" si="1"/>
        <v>0.39679464285714283</v>
      </c>
    </row>
    <row r="67" spans="1:13" x14ac:dyDescent="0.25">
      <c r="A67" s="158">
        <v>282</v>
      </c>
      <c r="B67" s="158">
        <v>7</v>
      </c>
      <c r="C67" s="181" t="s">
        <v>415</v>
      </c>
      <c r="D67" s="159">
        <v>0</v>
      </c>
      <c r="E67" s="160">
        <v>0</v>
      </c>
      <c r="F67" s="160">
        <v>0</v>
      </c>
      <c r="G67" s="160">
        <v>0.25</v>
      </c>
      <c r="H67" s="160">
        <v>0.75</v>
      </c>
      <c r="I67" s="159">
        <v>0</v>
      </c>
      <c r="J67" s="160">
        <v>0</v>
      </c>
      <c r="K67" s="159">
        <v>1</v>
      </c>
      <c r="L67" s="210">
        <f t="shared" si="0"/>
        <v>0.27853571428571428</v>
      </c>
      <c r="M67" s="210">
        <f t="shared" si="1"/>
        <v>0.27853571428571428</v>
      </c>
    </row>
    <row r="68" spans="1:13" x14ac:dyDescent="0.25">
      <c r="A68" s="158">
        <v>287</v>
      </c>
      <c r="B68" s="158">
        <v>7</v>
      </c>
      <c r="C68" s="181" t="s">
        <v>416</v>
      </c>
      <c r="D68" s="159">
        <v>0.33333333333333331</v>
      </c>
      <c r="E68" s="160">
        <v>0.16666666666666666</v>
      </c>
      <c r="F68" s="160">
        <v>0.25</v>
      </c>
      <c r="G68" s="160">
        <v>0</v>
      </c>
      <c r="H68" s="160">
        <v>0</v>
      </c>
      <c r="I68" s="159">
        <v>0</v>
      </c>
      <c r="J68" s="160">
        <v>0</v>
      </c>
      <c r="K68" s="159">
        <v>1</v>
      </c>
      <c r="L68" s="210">
        <f t="shared" si="0"/>
        <v>0.20193749999999999</v>
      </c>
      <c r="M68" s="210">
        <f t="shared" si="1"/>
        <v>0.20193749999999999</v>
      </c>
    </row>
    <row r="69" spans="1:13" x14ac:dyDescent="0.25">
      <c r="A69" s="158">
        <v>290</v>
      </c>
      <c r="B69" s="158">
        <v>7</v>
      </c>
      <c r="C69" s="181" t="s">
        <v>417</v>
      </c>
      <c r="D69" s="159">
        <v>1</v>
      </c>
      <c r="E69" s="160">
        <v>1</v>
      </c>
      <c r="F69" s="160">
        <v>1</v>
      </c>
      <c r="G69" s="160">
        <v>0.25</v>
      </c>
      <c r="H69" s="160">
        <v>0.75</v>
      </c>
      <c r="I69" s="159">
        <v>1</v>
      </c>
      <c r="J69" s="160">
        <v>1</v>
      </c>
      <c r="K69" s="159">
        <v>1</v>
      </c>
      <c r="L69" s="210">
        <f t="shared" ref="L69:L132" si="2">D69*D$2+E69*E$2+F69*F$2+G69*G$2+H69*H$2+I69*I$2+J69*J$2+K69*K$2</f>
        <v>0.83378571428571424</v>
      </c>
      <c r="M69" s="210">
        <f t="shared" ref="M69:M132" si="3">IF(L69&gt;1,1,L69)</f>
        <v>0.83378571428571424</v>
      </c>
    </row>
    <row r="70" spans="1:13" x14ac:dyDescent="0.25">
      <c r="A70" s="158">
        <v>293</v>
      </c>
      <c r="B70" s="158">
        <v>3</v>
      </c>
      <c r="C70" s="181" t="s">
        <v>317</v>
      </c>
      <c r="D70" s="159">
        <v>1</v>
      </c>
      <c r="E70" s="160">
        <v>1</v>
      </c>
      <c r="F70" s="160">
        <v>1</v>
      </c>
      <c r="G70" s="160">
        <v>1</v>
      </c>
      <c r="H70" s="160">
        <v>0.75</v>
      </c>
      <c r="I70" s="159">
        <v>0.66500000000000004</v>
      </c>
      <c r="J70" s="160">
        <v>1</v>
      </c>
      <c r="K70" s="159">
        <v>1</v>
      </c>
      <c r="L70" s="210">
        <f t="shared" si="2"/>
        <v>0.92089624999999997</v>
      </c>
      <c r="M70" s="210">
        <f t="shared" si="3"/>
        <v>0.92089624999999997</v>
      </c>
    </row>
    <row r="71" spans="1:13" x14ac:dyDescent="0.25">
      <c r="A71" s="158">
        <v>294</v>
      </c>
      <c r="B71" s="158">
        <v>7</v>
      </c>
      <c r="C71" s="181" t="s">
        <v>418</v>
      </c>
      <c r="D71" s="159">
        <v>0.83333333333333337</v>
      </c>
      <c r="E71" s="160">
        <v>1</v>
      </c>
      <c r="F71" s="160">
        <v>1</v>
      </c>
      <c r="G71" s="160">
        <v>0.75</v>
      </c>
      <c r="H71" s="160">
        <v>0.5</v>
      </c>
      <c r="I71" s="159">
        <v>0.33333333333333331</v>
      </c>
      <c r="J71" s="160">
        <v>1</v>
      </c>
      <c r="K71" s="159">
        <v>1</v>
      </c>
      <c r="L71" s="210">
        <f t="shared" si="2"/>
        <v>0.77281547619047608</v>
      </c>
      <c r="M71" s="210">
        <f t="shared" si="3"/>
        <v>0.77281547619047608</v>
      </c>
    </row>
    <row r="72" spans="1:13" x14ac:dyDescent="0.25">
      <c r="A72" s="158">
        <v>296</v>
      </c>
      <c r="B72" s="158">
        <v>7</v>
      </c>
      <c r="C72" s="181" t="s">
        <v>419</v>
      </c>
      <c r="D72" s="159">
        <v>1</v>
      </c>
      <c r="E72" s="160">
        <v>1</v>
      </c>
      <c r="F72" s="160">
        <v>1</v>
      </c>
      <c r="G72" s="160">
        <v>0</v>
      </c>
      <c r="H72" s="160">
        <v>0</v>
      </c>
      <c r="I72" s="159">
        <v>1</v>
      </c>
      <c r="J72" s="160">
        <v>0</v>
      </c>
      <c r="K72" s="159">
        <v>1</v>
      </c>
      <c r="L72" s="210">
        <f t="shared" si="2"/>
        <v>0.55525000000000002</v>
      </c>
      <c r="M72" s="210">
        <f t="shared" si="3"/>
        <v>0.55525000000000002</v>
      </c>
    </row>
    <row r="73" spans="1:13" x14ac:dyDescent="0.25">
      <c r="A73" s="158">
        <v>301</v>
      </c>
      <c r="B73" s="158">
        <v>7</v>
      </c>
      <c r="C73" s="181" t="s">
        <v>420</v>
      </c>
      <c r="D73" s="159">
        <v>0</v>
      </c>
      <c r="E73" s="160">
        <v>0</v>
      </c>
      <c r="F73" s="160">
        <v>0.75</v>
      </c>
      <c r="G73" s="160">
        <v>0.25</v>
      </c>
      <c r="H73" s="160">
        <v>0.75</v>
      </c>
      <c r="I73" s="159">
        <v>0</v>
      </c>
      <c r="J73" s="160">
        <v>0.83333333333333337</v>
      </c>
      <c r="K73" s="159">
        <v>1</v>
      </c>
      <c r="L73" s="210">
        <f t="shared" si="2"/>
        <v>0.43376488095238097</v>
      </c>
      <c r="M73" s="210">
        <f t="shared" si="3"/>
        <v>0.43376488095238097</v>
      </c>
    </row>
    <row r="74" spans="1:13" x14ac:dyDescent="0.25">
      <c r="A74" s="158">
        <v>321</v>
      </c>
      <c r="B74" s="158">
        <v>7</v>
      </c>
      <c r="C74" s="181" t="s">
        <v>421</v>
      </c>
      <c r="D74" s="159">
        <v>0.5</v>
      </c>
      <c r="E74" s="160">
        <v>1</v>
      </c>
      <c r="F74" s="160">
        <v>0.875</v>
      </c>
      <c r="G74" s="160">
        <v>0</v>
      </c>
      <c r="H74" s="160">
        <v>0</v>
      </c>
      <c r="I74" s="159">
        <v>0</v>
      </c>
      <c r="J74" s="160">
        <v>0.66666666666666663</v>
      </c>
      <c r="K74" s="159">
        <v>1</v>
      </c>
      <c r="L74" s="210">
        <f t="shared" si="2"/>
        <v>0.42442708333333334</v>
      </c>
      <c r="M74" s="210">
        <f t="shared" si="3"/>
        <v>0.42442708333333334</v>
      </c>
    </row>
    <row r="75" spans="1:13" x14ac:dyDescent="0.25">
      <c r="A75" s="158">
        <v>324</v>
      </c>
      <c r="B75" s="158">
        <v>4</v>
      </c>
      <c r="C75" s="181" t="s">
        <v>328</v>
      </c>
      <c r="D75" s="159">
        <v>1</v>
      </c>
      <c r="E75" s="160">
        <v>1</v>
      </c>
      <c r="F75" s="160">
        <v>1</v>
      </c>
      <c r="G75" s="160">
        <v>0.5</v>
      </c>
      <c r="H75" s="160">
        <v>0.5</v>
      </c>
      <c r="I75" s="159">
        <v>1</v>
      </c>
      <c r="J75" s="160">
        <v>1</v>
      </c>
      <c r="K75" s="159">
        <v>1</v>
      </c>
      <c r="L75" s="210">
        <f t="shared" si="2"/>
        <v>0.83378571428571413</v>
      </c>
      <c r="M75" s="210">
        <f t="shared" si="3"/>
        <v>0.83378571428571413</v>
      </c>
    </row>
    <row r="76" spans="1:13" x14ac:dyDescent="0.25">
      <c r="A76" s="158">
        <v>325</v>
      </c>
      <c r="B76" s="158">
        <v>7</v>
      </c>
      <c r="C76" s="181" t="s">
        <v>422</v>
      </c>
      <c r="D76" s="159">
        <v>0</v>
      </c>
      <c r="E76" s="160">
        <v>0</v>
      </c>
      <c r="F76" s="160">
        <v>0.25</v>
      </c>
      <c r="G76" s="160">
        <v>0.5</v>
      </c>
      <c r="H76" s="160">
        <v>0.5</v>
      </c>
      <c r="I76" s="159">
        <v>0</v>
      </c>
      <c r="J76" s="160">
        <v>0</v>
      </c>
      <c r="K76" s="159">
        <v>0.5</v>
      </c>
      <c r="L76" s="210">
        <f t="shared" si="2"/>
        <v>0.24297321428571431</v>
      </c>
      <c r="M76" s="210">
        <f t="shared" si="3"/>
        <v>0.24297321428571431</v>
      </c>
    </row>
    <row r="77" spans="1:13" x14ac:dyDescent="0.25">
      <c r="A77" s="158">
        <v>331</v>
      </c>
      <c r="B77" s="158">
        <v>9</v>
      </c>
      <c r="C77" s="181" t="s">
        <v>517</v>
      </c>
      <c r="D77" s="159">
        <v>0</v>
      </c>
      <c r="E77" s="160">
        <v>0.83333333333333337</v>
      </c>
      <c r="F77" s="160">
        <v>0.625</v>
      </c>
      <c r="G77" s="160">
        <v>0.5</v>
      </c>
      <c r="H77" s="160">
        <v>0.75</v>
      </c>
      <c r="I77" s="159">
        <v>0</v>
      </c>
      <c r="J77" s="160">
        <v>0.83333333333333337</v>
      </c>
      <c r="K77" s="159">
        <v>0.5</v>
      </c>
      <c r="L77" s="210">
        <f t="shared" si="2"/>
        <v>0.47747172619047623</v>
      </c>
      <c r="M77" s="210">
        <f t="shared" si="3"/>
        <v>0.47747172619047623</v>
      </c>
    </row>
    <row r="78" spans="1:13" x14ac:dyDescent="0.25">
      <c r="A78" s="158">
        <v>335</v>
      </c>
      <c r="B78" s="158">
        <v>2</v>
      </c>
      <c r="C78" s="181" t="s">
        <v>308</v>
      </c>
      <c r="D78" s="159">
        <v>1</v>
      </c>
      <c r="E78" s="160">
        <v>1</v>
      </c>
      <c r="F78" s="160">
        <v>1</v>
      </c>
      <c r="G78" s="160">
        <v>1</v>
      </c>
      <c r="H78" s="160">
        <v>0.25</v>
      </c>
      <c r="I78" s="159">
        <v>1</v>
      </c>
      <c r="J78" s="160">
        <v>1</v>
      </c>
      <c r="K78" s="159">
        <v>1</v>
      </c>
      <c r="L78" s="210">
        <f t="shared" si="2"/>
        <v>0.87535714285714272</v>
      </c>
      <c r="M78" s="210">
        <f t="shared" si="3"/>
        <v>0.87535714285714272</v>
      </c>
    </row>
    <row r="79" spans="1:13" x14ac:dyDescent="0.25">
      <c r="A79" s="158">
        <v>346</v>
      </c>
      <c r="B79" s="158">
        <v>7</v>
      </c>
      <c r="C79" s="181" t="s">
        <v>423</v>
      </c>
      <c r="D79" s="159">
        <v>0.83333333333333337</v>
      </c>
      <c r="E79" s="160">
        <v>0</v>
      </c>
      <c r="F79" s="160">
        <v>0</v>
      </c>
      <c r="G79" s="160">
        <v>0.5</v>
      </c>
      <c r="H79" s="160">
        <v>0.75</v>
      </c>
      <c r="I79" s="159">
        <v>0.5</v>
      </c>
      <c r="J79" s="160">
        <v>0.5</v>
      </c>
      <c r="K79" s="159">
        <v>0.5</v>
      </c>
      <c r="L79" s="210">
        <f t="shared" si="2"/>
        <v>0.51477380952380947</v>
      </c>
      <c r="M79" s="210">
        <f t="shared" si="3"/>
        <v>0.51477380952380947</v>
      </c>
    </row>
    <row r="80" spans="1:13" x14ac:dyDescent="0.25">
      <c r="A80" s="158">
        <v>357</v>
      </c>
      <c r="B80" s="158">
        <v>2</v>
      </c>
      <c r="C80" s="181" t="s">
        <v>309</v>
      </c>
      <c r="D80" s="159">
        <v>1</v>
      </c>
      <c r="E80" s="160">
        <v>1</v>
      </c>
      <c r="F80" s="160">
        <v>1</v>
      </c>
      <c r="G80" s="160">
        <v>1</v>
      </c>
      <c r="H80" s="160">
        <v>0.5</v>
      </c>
      <c r="I80" s="159">
        <v>1</v>
      </c>
      <c r="J80" s="160">
        <v>1</v>
      </c>
      <c r="K80" s="159">
        <v>1</v>
      </c>
      <c r="L80" s="210">
        <f t="shared" si="2"/>
        <v>0.91692857142857132</v>
      </c>
      <c r="M80" s="210">
        <f t="shared" si="3"/>
        <v>0.91692857142857132</v>
      </c>
    </row>
    <row r="81" spans="1:13" x14ac:dyDescent="0.25">
      <c r="A81" s="158">
        <v>358</v>
      </c>
      <c r="B81" s="158">
        <v>7</v>
      </c>
      <c r="C81" s="181" t="s">
        <v>424</v>
      </c>
      <c r="D81" s="159">
        <v>1</v>
      </c>
      <c r="E81" s="160">
        <v>1</v>
      </c>
      <c r="F81" s="160">
        <v>1</v>
      </c>
      <c r="G81" s="160">
        <v>0.25</v>
      </c>
      <c r="H81" s="160">
        <v>0.5</v>
      </c>
      <c r="I81" s="159">
        <v>1</v>
      </c>
      <c r="J81" s="160">
        <v>1</v>
      </c>
      <c r="K81" s="159">
        <v>1</v>
      </c>
      <c r="L81" s="210">
        <f t="shared" si="2"/>
        <v>0.79221428571428565</v>
      </c>
      <c r="M81" s="210">
        <f t="shared" si="3"/>
        <v>0.79221428571428565</v>
      </c>
    </row>
    <row r="82" spans="1:13" x14ac:dyDescent="0.25">
      <c r="A82" s="158">
        <v>361</v>
      </c>
      <c r="B82" s="158">
        <v>7</v>
      </c>
      <c r="C82" s="181" t="s">
        <v>425</v>
      </c>
      <c r="D82" s="159">
        <v>0.33333333333333331</v>
      </c>
      <c r="E82" s="160">
        <v>0</v>
      </c>
      <c r="F82" s="160">
        <v>0</v>
      </c>
      <c r="G82" s="160">
        <v>0.5</v>
      </c>
      <c r="H82" s="160">
        <v>0.25</v>
      </c>
      <c r="I82" s="159">
        <v>0</v>
      </c>
      <c r="J82" s="160">
        <v>0.66666666666666663</v>
      </c>
      <c r="K82" s="159">
        <v>1</v>
      </c>
      <c r="L82" s="210">
        <f t="shared" si="2"/>
        <v>0.36721428571428572</v>
      </c>
      <c r="M82" s="210">
        <f t="shared" si="3"/>
        <v>0.36721428571428572</v>
      </c>
    </row>
    <row r="83" spans="1:13" x14ac:dyDescent="0.25">
      <c r="A83" s="158">
        <v>369</v>
      </c>
      <c r="B83" s="158">
        <v>9</v>
      </c>
      <c r="C83" s="181" t="s">
        <v>518</v>
      </c>
      <c r="D83" s="159">
        <v>0.66666666666666663</v>
      </c>
      <c r="E83" s="160">
        <v>1</v>
      </c>
      <c r="F83" s="160">
        <v>0.75</v>
      </c>
      <c r="G83" s="160">
        <v>0.75</v>
      </c>
      <c r="H83" s="160">
        <v>0</v>
      </c>
      <c r="I83" s="159">
        <v>0</v>
      </c>
      <c r="J83" s="160">
        <v>0.83333333333333337</v>
      </c>
      <c r="K83" s="159">
        <v>1</v>
      </c>
      <c r="L83" s="210">
        <f t="shared" si="2"/>
        <v>0.58527678571428576</v>
      </c>
      <c r="M83" s="210">
        <f t="shared" si="3"/>
        <v>0.58527678571428576</v>
      </c>
    </row>
    <row r="84" spans="1:13" x14ac:dyDescent="0.25">
      <c r="A84" s="158">
        <v>372</v>
      </c>
      <c r="B84" s="158">
        <v>8</v>
      </c>
      <c r="C84" s="181" t="s">
        <v>463</v>
      </c>
      <c r="D84" s="159">
        <v>0</v>
      </c>
      <c r="E84" s="160">
        <v>0</v>
      </c>
      <c r="F84" s="160">
        <v>0.5</v>
      </c>
      <c r="G84" s="160">
        <v>0.75</v>
      </c>
      <c r="H84" s="160">
        <v>0.75</v>
      </c>
      <c r="I84" s="159">
        <v>0</v>
      </c>
      <c r="J84" s="160">
        <v>0</v>
      </c>
      <c r="K84" s="159">
        <v>0.5</v>
      </c>
      <c r="L84" s="210">
        <f t="shared" si="2"/>
        <v>0.34667857142857139</v>
      </c>
      <c r="M84" s="210">
        <f t="shared" si="3"/>
        <v>0.34667857142857139</v>
      </c>
    </row>
    <row r="85" spans="1:13" x14ac:dyDescent="0.25">
      <c r="A85" s="158">
        <v>375</v>
      </c>
      <c r="B85" s="158">
        <v>8</v>
      </c>
      <c r="C85" s="181" t="s">
        <v>464</v>
      </c>
      <c r="D85" s="159">
        <v>0.33333333333333331</v>
      </c>
      <c r="E85" s="160">
        <v>0.66666666666666663</v>
      </c>
      <c r="F85" s="160">
        <v>0.25</v>
      </c>
      <c r="G85" s="160">
        <v>0.5</v>
      </c>
      <c r="H85" s="160">
        <v>0</v>
      </c>
      <c r="I85" s="159">
        <v>1</v>
      </c>
      <c r="J85" s="160">
        <v>0.33333333333333331</v>
      </c>
      <c r="K85" s="159">
        <v>0.5</v>
      </c>
      <c r="L85" s="210">
        <f t="shared" si="2"/>
        <v>0.41974702380952378</v>
      </c>
      <c r="M85" s="210">
        <f t="shared" si="3"/>
        <v>0.41974702380952378</v>
      </c>
    </row>
    <row r="86" spans="1:13" x14ac:dyDescent="0.25">
      <c r="A86" s="158">
        <v>376</v>
      </c>
      <c r="B86" s="158">
        <v>7</v>
      </c>
      <c r="C86" s="181" t="s">
        <v>426</v>
      </c>
      <c r="D86" s="159">
        <v>0.5</v>
      </c>
      <c r="E86" s="160">
        <v>1</v>
      </c>
      <c r="F86" s="160">
        <v>0.875</v>
      </c>
      <c r="G86" s="160">
        <v>0.25</v>
      </c>
      <c r="H86" s="160">
        <v>0.5</v>
      </c>
      <c r="I86" s="159">
        <v>0</v>
      </c>
      <c r="J86" s="160">
        <v>0.66666666666666663</v>
      </c>
      <c r="K86" s="159">
        <v>1</v>
      </c>
      <c r="L86" s="210">
        <f t="shared" si="2"/>
        <v>0.54914136904761901</v>
      </c>
      <c r="M86" s="210">
        <f t="shared" si="3"/>
        <v>0.54914136904761901</v>
      </c>
    </row>
    <row r="87" spans="1:13" x14ac:dyDescent="0.25">
      <c r="A87" s="158">
        <v>382</v>
      </c>
      <c r="B87" s="158">
        <v>7</v>
      </c>
      <c r="C87" s="181" t="s">
        <v>427</v>
      </c>
      <c r="D87" s="159">
        <v>0.66666666666666663</v>
      </c>
      <c r="E87" s="160">
        <v>0.83333333333333337</v>
      </c>
      <c r="F87" s="160">
        <v>0.5</v>
      </c>
      <c r="G87" s="160">
        <v>0.25</v>
      </c>
      <c r="H87" s="160">
        <v>0.5</v>
      </c>
      <c r="I87" s="159">
        <v>1</v>
      </c>
      <c r="J87" s="160">
        <v>0.66666666666666663</v>
      </c>
      <c r="K87" s="159">
        <v>1</v>
      </c>
      <c r="L87" s="210">
        <f t="shared" si="2"/>
        <v>0.64454761904761904</v>
      </c>
      <c r="M87" s="210">
        <f t="shared" si="3"/>
        <v>0.64454761904761904</v>
      </c>
    </row>
    <row r="88" spans="1:13" x14ac:dyDescent="0.25">
      <c r="A88" s="158">
        <v>389</v>
      </c>
      <c r="B88" s="158">
        <v>7</v>
      </c>
      <c r="C88" s="181" t="s">
        <v>428</v>
      </c>
      <c r="D88" s="159">
        <v>1</v>
      </c>
      <c r="E88" s="160">
        <v>0</v>
      </c>
      <c r="F88" s="160">
        <v>0.5</v>
      </c>
      <c r="G88" s="160">
        <v>0.5</v>
      </c>
      <c r="H88" s="160">
        <v>1</v>
      </c>
      <c r="I88" s="159">
        <v>0</v>
      </c>
      <c r="J88" s="160">
        <v>0.66666666666666663</v>
      </c>
      <c r="K88" s="159">
        <v>0.5</v>
      </c>
      <c r="L88" s="210">
        <f t="shared" si="2"/>
        <v>0.58776190476190471</v>
      </c>
      <c r="M88" s="210">
        <f t="shared" si="3"/>
        <v>0.58776190476190471</v>
      </c>
    </row>
    <row r="89" spans="1:13" x14ac:dyDescent="0.25">
      <c r="A89" s="158">
        <v>394</v>
      </c>
      <c r="B89" s="158">
        <v>6</v>
      </c>
      <c r="C89" s="181" t="s">
        <v>354</v>
      </c>
      <c r="D89" s="159">
        <v>1</v>
      </c>
      <c r="E89" s="160">
        <v>1</v>
      </c>
      <c r="F89" s="160">
        <v>0.75</v>
      </c>
      <c r="G89" s="160">
        <v>0.25</v>
      </c>
      <c r="H89" s="160">
        <v>0.5</v>
      </c>
      <c r="I89" s="159">
        <v>1</v>
      </c>
      <c r="J89" s="160">
        <v>0.83333333333333337</v>
      </c>
      <c r="K89" s="159">
        <v>1</v>
      </c>
      <c r="L89" s="210">
        <f t="shared" si="2"/>
        <v>0.75294345238095228</v>
      </c>
      <c r="M89" s="210">
        <f t="shared" si="3"/>
        <v>0.75294345238095228</v>
      </c>
    </row>
    <row r="90" spans="1:13" x14ac:dyDescent="0.25">
      <c r="A90" s="158">
        <v>404</v>
      </c>
      <c r="B90" s="158">
        <v>8</v>
      </c>
      <c r="C90" s="181" t="s">
        <v>465</v>
      </c>
      <c r="D90" s="159">
        <v>0</v>
      </c>
      <c r="E90" s="160">
        <v>0</v>
      </c>
      <c r="F90" s="160">
        <v>0.25</v>
      </c>
      <c r="G90" s="160">
        <v>0.75</v>
      </c>
      <c r="H90" s="160">
        <v>1</v>
      </c>
      <c r="I90" s="159">
        <v>0</v>
      </c>
      <c r="J90" s="160">
        <v>0</v>
      </c>
      <c r="K90" s="159">
        <v>0.5</v>
      </c>
      <c r="L90" s="210">
        <f t="shared" si="2"/>
        <v>0.3676875</v>
      </c>
      <c r="M90" s="210">
        <f t="shared" si="3"/>
        <v>0.3676875</v>
      </c>
    </row>
    <row r="91" spans="1:13" x14ac:dyDescent="0.25">
      <c r="A91" s="158">
        <v>413</v>
      </c>
      <c r="B91" s="158">
        <v>8</v>
      </c>
      <c r="C91" s="181" t="s">
        <v>466</v>
      </c>
      <c r="D91" s="159">
        <v>1</v>
      </c>
      <c r="E91" s="160">
        <v>0</v>
      </c>
      <c r="F91" s="160">
        <v>0</v>
      </c>
      <c r="G91" s="160">
        <v>0.5</v>
      </c>
      <c r="H91" s="160">
        <v>0.5</v>
      </c>
      <c r="I91" s="159">
        <v>0</v>
      </c>
      <c r="J91" s="160">
        <v>0.16666666666666666</v>
      </c>
      <c r="K91" s="159">
        <v>1</v>
      </c>
      <c r="L91" s="210">
        <f t="shared" si="2"/>
        <v>0.46349404761904761</v>
      </c>
      <c r="M91" s="210">
        <f t="shared" si="3"/>
        <v>0.46349404761904761</v>
      </c>
    </row>
    <row r="92" spans="1:13" x14ac:dyDescent="0.25">
      <c r="A92" s="158">
        <v>414</v>
      </c>
      <c r="B92" s="158">
        <v>6</v>
      </c>
      <c r="C92" s="181" t="s">
        <v>355</v>
      </c>
      <c r="D92" s="159">
        <v>0.83333333333333337</v>
      </c>
      <c r="E92" s="160">
        <v>1</v>
      </c>
      <c r="F92" s="160">
        <v>0.75</v>
      </c>
      <c r="G92" s="160">
        <v>0</v>
      </c>
      <c r="H92" s="160">
        <v>0</v>
      </c>
      <c r="I92" s="159">
        <v>1</v>
      </c>
      <c r="J92" s="160">
        <v>0.83333333333333337</v>
      </c>
      <c r="K92" s="159">
        <v>1</v>
      </c>
      <c r="L92" s="210">
        <f t="shared" si="2"/>
        <v>0.60052083333333339</v>
      </c>
      <c r="M92" s="210">
        <f t="shared" si="3"/>
        <v>0.60052083333333339</v>
      </c>
    </row>
    <row r="93" spans="1:13" x14ac:dyDescent="0.25">
      <c r="A93" s="158">
        <v>416</v>
      </c>
      <c r="B93" s="158">
        <v>9</v>
      </c>
      <c r="C93" s="181" t="s">
        <v>519</v>
      </c>
      <c r="D93" s="159">
        <v>0.66666666666666663</v>
      </c>
      <c r="E93" s="160">
        <v>1</v>
      </c>
      <c r="F93" s="160">
        <v>1</v>
      </c>
      <c r="G93" s="160">
        <v>0.25</v>
      </c>
      <c r="H93" s="160">
        <v>0.5</v>
      </c>
      <c r="I93" s="159">
        <v>1</v>
      </c>
      <c r="J93" s="160">
        <v>0.83333333333333337</v>
      </c>
      <c r="K93" s="159">
        <v>0.5</v>
      </c>
      <c r="L93" s="210">
        <f t="shared" si="2"/>
        <v>0.66196428571428567</v>
      </c>
      <c r="M93" s="210">
        <f t="shared" si="3"/>
        <v>0.66196428571428567</v>
      </c>
    </row>
    <row r="94" spans="1:13" x14ac:dyDescent="0.25">
      <c r="A94" s="158">
        <v>420</v>
      </c>
      <c r="B94" s="158">
        <v>7</v>
      </c>
      <c r="C94" s="181" t="s">
        <v>520</v>
      </c>
      <c r="D94" s="159">
        <v>0.83333333333333337</v>
      </c>
      <c r="E94" s="160">
        <v>0.66666666666666663</v>
      </c>
      <c r="F94" s="160">
        <v>0.25</v>
      </c>
      <c r="G94" s="160">
        <v>1</v>
      </c>
      <c r="H94" s="160">
        <v>0.5</v>
      </c>
      <c r="I94" s="159">
        <v>0</v>
      </c>
      <c r="J94" s="160">
        <v>0</v>
      </c>
      <c r="K94" s="159">
        <v>1</v>
      </c>
      <c r="L94" s="210">
        <f t="shared" si="2"/>
        <v>0.57561607142857141</v>
      </c>
      <c r="M94" s="210">
        <f t="shared" si="3"/>
        <v>0.57561607142857141</v>
      </c>
    </row>
    <row r="95" spans="1:13" x14ac:dyDescent="0.25">
      <c r="A95" s="158">
        <v>426</v>
      </c>
      <c r="B95" s="158">
        <v>6</v>
      </c>
      <c r="C95" s="181" t="s">
        <v>356</v>
      </c>
      <c r="D95" s="159">
        <v>1</v>
      </c>
      <c r="E95" s="160">
        <v>0</v>
      </c>
      <c r="F95" s="160">
        <v>0.25</v>
      </c>
      <c r="G95" s="160">
        <v>0</v>
      </c>
      <c r="H95" s="160">
        <v>1</v>
      </c>
      <c r="I95" s="159">
        <v>1</v>
      </c>
      <c r="J95" s="160">
        <v>0.66666666666666663</v>
      </c>
      <c r="K95" s="159">
        <v>0.5</v>
      </c>
      <c r="L95" s="210">
        <f t="shared" si="2"/>
        <v>0.59630654761904767</v>
      </c>
      <c r="M95" s="210">
        <f t="shared" si="3"/>
        <v>0.59630654761904767</v>
      </c>
    </row>
    <row r="96" spans="1:13" x14ac:dyDescent="0.25">
      <c r="A96" s="158">
        <v>427</v>
      </c>
      <c r="B96" s="158">
        <v>5</v>
      </c>
      <c r="C96" s="181" t="s">
        <v>343</v>
      </c>
      <c r="D96" s="159">
        <v>1</v>
      </c>
      <c r="E96" s="160">
        <v>0.66666666666666663</v>
      </c>
      <c r="F96" s="160">
        <v>0.5</v>
      </c>
      <c r="G96" s="160">
        <v>0.25</v>
      </c>
      <c r="H96" s="160">
        <v>0.5</v>
      </c>
      <c r="I96" s="159">
        <v>1</v>
      </c>
      <c r="J96" s="160">
        <v>0.66666666666666663</v>
      </c>
      <c r="K96" s="159">
        <v>1</v>
      </c>
      <c r="L96" s="210">
        <f t="shared" si="2"/>
        <v>0.68625595238095238</v>
      </c>
      <c r="M96" s="210">
        <f t="shared" si="3"/>
        <v>0.68625595238095238</v>
      </c>
    </row>
    <row r="97" spans="1:13" x14ac:dyDescent="0.25">
      <c r="A97" s="158">
        <v>429</v>
      </c>
      <c r="B97" s="158">
        <v>4</v>
      </c>
      <c r="C97" s="181" t="s">
        <v>329</v>
      </c>
      <c r="D97" s="159">
        <v>1</v>
      </c>
      <c r="E97" s="160">
        <v>1</v>
      </c>
      <c r="F97" s="160">
        <v>0.875</v>
      </c>
      <c r="G97" s="160">
        <v>0</v>
      </c>
      <c r="H97" s="160">
        <v>1</v>
      </c>
      <c r="I97" s="159">
        <v>0.5</v>
      </c>
      <c r="J97" s="160">
        <v>0.83333333333333337</v>
      </c>
      <c r="K97" s="159">
        <v>1</v>
      </c>
      <c r="L97" s="210">
        <f t="shared" si="2"/>
        <v>0.7486711309523808</v>
      </c>
      <c r="M97" s="210">
        <f t="shared" si="3"/>
        <v>0.7486711309523808</v>
      </c>
    </row>
    <row r="98" spans="1:13" x14ac:dyDescent="0.25">
      <c r="A98" s="158">
        <v>430</v>
      </c>
      <c r="B98" s="158">
        <v>6</v>
      </c>
      <c r="C98" s="181" t="s">
        <v>357</v>
      </c>
      <c r="D98" s="159">
        <v>0</v>
      </c>
      <c r="E98" s="160">
        <v>1</v>
      </c>
      <c r="F98" s="160">
        <v>0.5</v>
      </c>
      <c r="G98" s="160">
        <v>0.75</v>
      </c>
      <c r="H98" s="160">
        <v>0.5</v>
      </c>
      <c r="I98" s="159">
        <v>1</v>
      </c>
      <c r="J98" s="160">
        <v>0.83333333333333337</v>
      </c>
      <c r="K98" s="159">
        <v>1</v>
      </c>
      <c r="L98" s="210">
        <f t="shared" si="2"/>
        <v>0.64927380952380953</v>
      </c>
      <c r="M98" s="210">
        <f t="shared" si="3"/>
        <v>0.64927380952380953</v>
      </c>
    </row>
    <row r="99" spans="1:13" x14ac:dyDescent="0.25">
      <c r="A99" s="158">
        <v>434</v>
      </c>
      <c r="B99" s="158">
        <v>7</v>
      </c>
      <c r="C99" s="180" t="s">
        <v>429</v>
      </c>
      <c r="D99" s="159">
        <v>0.33333333333333331</v>
      </c>
      <c r="E99" s="160">
        <v>0.83333333333333337</v>
      </c>
      <c r="F99" s="160">
        <v>0</v>
      </c>
      <c r="G99" s="160">
        <v>0</v>
      </c>
      <c r="H99" s="160">
        <v>0.5</v>
      </c>
      <c r="I99" s="159">
        <v>0</v>
      </c>
      <c r="J99" s="160">
        <v>0.33333333333333331</v>
      </c>
      <c r="K99" s="159">
        <v>1</v>
      </c>
      <c r="L99" s="210">
        <f t="shared" si="2"/>
        <v>0.35676785714285714</v>
      </c>
      <c r="M99" s="210">
        <f t="shared" si="3"/>
        <v>0.35676785714285714</v>
      </c>
    </row>
    <row r="100" spans="1:13" x14ac:dyDescent="0.25">
      <c r="A100" s="158">
        <v>437</v>
      </c>
      <c r="B100" s="158">
        <v>7</v>
      </c>
      <c r="C100" s="181" t="s">
        <v>430</v>
      </c>
      <c r="D100" s="159">
        <v>0</v>
      </c>
      <c r="E100" s="160">
        <v>0</v>
      </c>
      <c r="F100" s="160">
        <v>0.75</v>
      </c>
      <c r="G100" s="160">
        <v>0.25</v>
      </c>
      <c r="H100" s="160">
        <v>0.25</v>
      </c>
      <c r="I100" s="159">
        <v>0.25</v>
      </c>
      <c r="J100" s="160">
        <v>0.66666666666666663</v>
      </c>
      <c r="K100" s="159">
        <v>1</v>
      </c>
      <c r="L100" s="210">
        <f t="shared" si="2"/>
        <v>0.35997619047619045</v>
      </c>
      <c r="M100" s="210">
        <f t="shared" si="3"/>
        <v>0.35997619047619045</v>
      </c>
    </row>
    <row r="101" spans="1:13" x14ac:dyDescent="0.25">
      <c r="A101" s="158">
        <v>441</v>
      </c>
      <c r="B101" s="158">
        <v>2</v>
      </c>
      <c r="C101" s="181" t="s">
        <v>310</v>
      </c>
      <c r="D101" s="159">
        <v>1</v>
      </c>
      <c r="E101" s="160">
        <v>1</v>
      </c>
      <c r="F101" s="160">
        <v>1</v>
      </c>
      <c r="G101" s="160">
        <v>0.25</v>
      </c>
      <c r="H101" s="160">
        <v>0.75</v>
      </c>
      <c r="I101" s="159">
        <v>1</v>
      </c>
      <c r="J101" s="160">
        <v>1</v>
      </c>
      <c r="K101" s="159">
        <v>1</v>
      </c>
      <c r="L101" s="210">
        <f t="shared" si="2"/>
        <v>0.83378571428571424</v>
      </c>
      <c r="M101" s="210">
        <f t="shared" si="3"/>
        <v>0.83378571428571424</v>
      </c>
    </row>
    <row r="102" spans="1:13" x14ac:dyDescent="0.25">
      <c r="A102" s="158">
        <v>443</v>
      </c>
      <c r="B102" s="158">
        <v>6</v>
      </c>
      <c r="C102" s="181" t="s">
        <v>358</v>
      </c>
      <c r="D102" s="159">
        <v>0.5</v>
      </c>
      <c r="E102" s="160">
        <v>0</v>
      </c>
      <c r="F102" s="160">
        <v>0</v>
      </c>
      <c r="G102" s="160">
        <v>1</v>
      </c>
      <c r="H102" s="160">
        <v>0</v>
      </c>
      <c r="I102" s="159">
        <v>0</v>
      </c>
      <c r="J102" s="160">
        <v>0</v>
      </c>
      <c r="K102" s="159">
        <v>1</v>
      </c>
      <c r="L102" s="210">
        <f t="shared" si="2"/>
        <v>0.36166071428571428</v>
      </c>
      <c r="M102" s="210">
        <f t="shared" si="3"/>
        <v>0.36166071428571428</v>
      </c>
    </row>
    <row r="103" spans="1:13" x14ac:dyDescent="0.25">
      <c r="A103" s="158">
        <v>502</v>
      </c>
      <c r="B103" s="158">
        <v>7</v>
      </c>
      <c r="C103" s="181" t="s">
        <v>431</v>
      </c>
      <c r="D103" s="159">
        <v>0</v>
      </c>
      <c r="E103" s="160">
        <v>0</v>
      </c>
      <c r="F103" s="160">
        <v>0.25</v>
      </c>
      <c r="G103" s="160">
        <v>0.25</v>
      </c>
      <c r="H103" s="160">
        <v>0.5</v>
      </c>
      <c r="I103" s="159">
        <v>1</v>
      </c>
      <c r="J103" s="160">
        <v>0</v>
      </c>
      <c r="K103" s="159">
        <v>1</v>
      </c>
      <c r="L103" s="210">
        <f t="shared" si="2"/>
        <v>0.36977678571428574</v>
      </c>
      <c r="M103" s="210">
        <f t="shared" si="3"/>
        <v>0.36977678571428574</v>
      </c>
    </row>
    <row r="104" spans="1:13" x14ac:dyDescent="0.25">
      <c r="A104" s="158">
        <v>503</v>
      </c>
      <c r="B104" s="158">
        <v>7</v>
      </c>
      <c r="C104" s="181" t="s">
        <v>432</v>
      </c>
      <c r="D104" s="159">
        <v>1</v>
      </c>
      <c r="E104" s="160">
        <v>1</v>
      </c>
      <c r="F104" s="160">
        <v>1</v>
      </c>
      <c r="G104" s="160">
        <v>0</v>
      </c>
      <c r="H104" s="160">
        <v>0.5</v>
      </c>
      <c r="I104" s="159">
        <v>1</v>
      </c>
      <c r="J104" s="160">
        <v>1</v>
      </c>
      <c r="K104" s="159">
        <v>1</v>
      </c>
      <c r="L104" s="210">
        <f t="shared" si="2"/>
        <v>0.75064285714285706</v>
      </c>
      <c r="M104" s="210">
        <f t="shared" si="3"/>
        <v>0.75064285714285706</v>
      </c>
    </row>
    <row r="105" spans="1:13" x14ac:dyDescent="0.25">
      <c r="A105" s="158">
        <v>508</v>
      </c>
      <c r="B105" s="158">
        <v>9</v>
      </c>
      <c r="C105" s="181" t="s">
        <v>521</v>
      </c>
      <c r="D105" s="159">
        <v>0.33333333333333331</v>
      </c>
      <c r="E105" s="160">
        <v>0.66666666666666663</v>
      </c>
      <c r="F105" s="160">
        <v>0.625</v>
      </c>
      <c r="G105" s="160">
        <v>0.75</v>
      </c>
      <c r="H105" s="160">
        <v>0.5</v>
      </c>
      <c r="I105" s="159">
        <v>0</v>
      </c>
      <c r="J105" s="160">
        <v>0.5</v>
      </c>
      <c r="K105" s="159">
        <v>1</v>
      </c>
      <c r="L105" s="210">
        <f t="shared" si="2"/>
        <v>0.53788839285714285</v>
      </c>
      <c r="M105" s="210">
        <f t="shared" si="3"/>
        <v>0.53788839285714285</v>
      </c>
    </row>
    <row r="106" spans="1:13" x14ac:dyDescent="0.25">
      <c r="A106" s="158">
        <v>510</v>
      </c>
      <c r="B106" s="158">
        <v>7</v>
      </c>
      <c r="C106" s="181" t="s">
        <v>433</v>
      </c>
      <c r="D106" s="159">
        <v>0.66666666666666663</v>
      </c>
      <c r="E106" s="160">
        <v>0.33333333333333331</v>
      </c>
      <c r="F106" s="160">
        <v>0.5</v>
      </c>
      <c r="G106" s="160">
        <v>0</v>
      </c>
      <c r="H106" s="160">
        <v>0.5</v>
      </c>
      <c r="I106" s="159">
        <v>1</v>
      </c>
      <c r="J106" s="160">
        <v>0.66666666666666663</v>
      </c>
      <c r="K106" s="159">
        <v>1</v>
      </c>
      <c r="L106" s="210">
        <f t="shared" si="2"/>
        <v>0.56185119047619048</v>
      </c>
      <c r="M106" s="210">
        <f t="shared" si="3"/>
        <v>0.56185119047619048</v>
      </c>
    </row>
    <row r="107" spans="1:13" x14ac:dyDescent="0.25">
      <c r="A107" s="158">
        <v>512</v>
      </c>
      <c r="B107" s="158">
        <v>9</v>
      </c>
      <c r="C107" s="181" t="s">
        <v>522</v>
      </c>
      <c r="D107" s="159">
        <v>1</v>
      </c>
      <c r="E107" s="160">
        <v>0.5</v>
      </c>
      <c r="F107" s="160">
        <v>1</v>
      </c>
      <c r="G107" s="160">
        <v>0</v>
      </c>
      <c r="H107" s="160">
        <v>0</v>
      </c>
      <c r="I107" s="159">
        <v>1</v>
      </c>
      <c r="J107" s="160">
        <v>1</v>
      </c>
      <c r="K107" s="159">
        <v>0.5</v>
      </c>
      <c r="L107" s="210">
        <f t="shared" si="2"/>
        <v>0.57025000000000003</v>
      </c>
      <c r="M107" s="210">
        <f t="shared" si="3"/>
        <v>0.57025000000000003</v>
      </c>
    </row>
    <row r="108" spans="1:13" x14ac:dyDescent="0.25">
      <c r="A108" s="158">
        <v>516</v>
      </c>
      <c r="B108" s="158">
        <v>9</v>
      </c>
      <c r="C108" s="181" t="s">
        <v>523</v>
      </c>
      <c r="D108" s="159">
        <v>0.33333333333333331</v>
      </c>
      <c r="E108" s="160">
        <v>0.66666666666666663</v>
      </c>
      <c r="F108" s="160">
        <v>0.5</v>
      </c>
      <c r="G108" s="160">
        <v>0.5</v>
      </c>
      <c r="H108" s="160">
        <v>0.5</v>
      </c>
      <c r="I108" s="159">
        <v>0.5</v>
      </c>
      <c r="J108" s="160">
        <v>0.16666666666666666</v>
      </c>
      <c r="K108" s="159">
        <v>0.5</v>
      </c>
      <c r="L108" s="210">
        <f t="shared" si="2"/>
        <v>0.44861904761904758</v>
      </c>
      <c r="M108" s="210">
        <f t="shared" si="3"/>
        <v>0.44861904761904758</v>
      </c>
    </row>
    <row r="109" spans="1:13" x14ac:dyDescent="0.25">
      <c r="A109" s="158">
        <v>521</v>
      </c>
      <c r="B109" s="158">
        <v>9</v>
      </c>
      <c r="C109" s="181" t="s">
        <v>524</v>
      </c>
      <c r="D109" s="159">
        <v>0</v>
      </c>
      <c r="E109" s="160">
        <v>1</v>
      </c>
      <c r="F109" s="160">
        <v>0.5</v>
      </c>
      <c r="G109" s="160">
        <v>0.75</v>
      </c>
      <c r="H109" s="160">
        <v>0</v>
      </c>
      <c r="I109" s="159">
        <v>1</v>
      </c>
      <c r="J109" s="160">
        <v>0.83333333333333337</v>
      </c>
      <c r="K109" s="159">
        <v>0.5</v>
      </c>
      <c r="L109" s="210">
        <f t="shared" si="2"/>
        <v>0.51000595238095248</v>
      </c>
      <c r="M109" s="210">
        <f t="shared" si="3"/>
        <v>0.51000595238095248</v>
      </c>
    </row>
    <row r="110" spans="1:13" x14ac:dyDescent="0.25">
      <c r="A110" s="158">
        <v>522</v>
      </c>
      <c r="B110" s="158">
        <v>9</v>
      </c>
      <c r="C110" s="180" t="s">
        <v>525</v>
      </c>
      <c r="D110" s="159">
        <v>0.83333333333333337</v>
      </c>
      <c r="E110" s="160">
        <v>0.83333333333333337</v>
      </c>
      <c r="F110" s="160">
        <v>0.75</v>
      </c>
      <c r="G110" s="160">
        <v>0</v>
      </c>
      <c r="H110" s="160">
        <v>0.25</v>
      </c>
      <c r="I110" s="159">
        <v>1</v>
      </c>
      <c r="J110" s="160">
        <v>0.83333333333333337</v>
      </c>
      <c r="K110" s="159">
        <v>1</v>
      </c>
      <c r="L110" s="210">
        <f t="shared" si="2"/>
        <v>0.62838392857142855</v>
      </c>
      <c r="M110" s="210">
        <f t="shared" si="3"/>
        <v>0.62838392857142855</v>
      </c>
    </row>
    <row r="111" spans="1:13" x14ac:dyDescent="0.25">
      <c r="A111" s="158">
        <v>523</v>
      </c>
      <c r="B111" s="158">
        <v>9</v>
      </c>
      <c r="C111" s="181" t="s">
        <v>526</v>
      </c>
      <c r="D111" s="159">
        <v>0.66666666666666663</v>
      </c>
      <c r="E111" s="160">
        <v>0.33333333333333331</v>
      </c>
      <c r="F111" s="160">
        <v>0</v>
      </c>
      <c r="G111" s="160">
        <v>0.75</v>
      </c>
      <c r="H111" s="160">
        <v>0.75</v>
      </c>
      <c r="I111" s="159">
        <v>1</v>
      </c>
      <c r="J111" s="160">
        <v>0</v>
      </c>
      <c r="K111" s="159">
        <v>0.5</v>
      </c>
      <c r="L111" s="210">
        <f t="shared" si="2"/>
        <v>0.55605357142857148</v>
      </c>
      <c r="M111" s="210">
        <f t="shared" si="3"/>
        <v>0.55605357142857148</v>
      </c>
    </row>
    <row r="112" spans="1:13" x14ac:dyDescent="0.25">
      <c r="A112" s="158">
        <v>524</v>
      </c>
      <c r="B112" s="158">
        <v>5</v>
      </c>
      <c r="C112" s="181" t="s">
        <v>344</v>
      </c>
      <c r="D112" s="159">
        <v>1</v>
      </c>
      <c r="E112" s="160">
        <v>1</v>
      </c>
      <c r="F112" s="160">
        <v>1</v>
      </c>
      <c r="G112" s="160">
        <v>0.25</v>
      </c>
      <c r="H112" s="160">
        <v>0</v>
      </c>
      <c r="I112" s="159">
        <v>0.5</v>
      </c>
      <c r="J112" s="160">
        <v>1</v>
      </c>
      <c r="K112" s="159">
        <v>1</v>
      </c>
      <c r="L112" s="210">
        <f t="shared" si="2"/>
        <v>0.65294642857142848</v>
      </c>
      <c r="M112" s="210">
        <f t="shared" si="3"/>
        <v>0.65294642857142848</v>
      </c>
    </row>
    <row r="113" spans="1:13" x14ac:dyDescent="0.25">
      <c r="A113" s="158">
        <v>527</v>
      </c>
      <c r="B113" s="158">
        <v>9</v>
      </c>
      <c r="C113" s="181" t="s">
        <v>527</v>
      </c>
      <c r="D113" s="159">
        <v>1</v>
      </c>
      <c r="E113" s="160">
        <v>1</v>
      </c>
      <c r="F113" s="160">
        <v>0.75</v>
      </c>
      <c r="G113" s="160">
        <v>0.5</v>
      </c>
      <c r="H113" s="160">
        <v>0.5</v>
      </c>
      <c r="I113" s="159">
        <v>0.75</v>
      </c>
      <c r="J113" s="160">
        <v>0.83333333333333337</v>
      </c>
      <c r="K113" s="159">
        <v>1</v>
      </c>
      <c r="L113" s="210">
        <f t="shared" si="2"/>
        <v>0.76645238095238089</v>
      </c>
      <c r="M113" s="210">
        <f t="shared" si="3"/>
        <v>0.76645238095238089</v>
      </c>
    </row>
    <row r="114" spans="1:13" x14ac:dyDescent="0.25">
      <c r="A114" s="158">
        <v>531</v>
      </c>
      <c r="B114" s="158">
        <v>7</v>
      </c>
      <c r="C114" s="181" t="s">
        <v>434</v>
      </c>
      <c r="D114" s="159">
        <v>1</v>
      </c>
      <c r="E114" s="160">
        <v>0.83333333333333337</v>
      </c>
      <c r="F114" s="160">
        <v>0.5</v>
      </c>
      <c r="G114" s="160">
        <v>0.75</v>
      </c>
      <c r="H114" s="160">
        <v>1</v>
      </c>
      <c r="I114" s="159">
        <v>0.66666666666666663</v>
      </c>
      <c r="J114" s="160">
        <v>0.83333333333333337</v>
      </c>
      <c r="K114" s="159">
        <v>1</v>
      </c>
      <c r="L114" s="210">
        <f t="shared" si="2"/>
        <v>0.84754166666666664</v>
      </c>
      <c r="M114" s="210">
        <f t="shared" si="3"/>
        <v>0.84754166666666664</v>
      </c>
    </row>
    <row r="115" spans="1:13" x14ac:dyDescent="0.25">
      <c r="A115" s="158">
        <v>537</v>
      </c>
      <c r="B115" s="158">
        <v>8</v>
      </c>
      <c r="C115" s="181" t="s">
        <v>467</v>
      </c>
      <c r="D115" s="159">
        <v>0.33333333333333331</v>
      </c>
      <c r="E115" s="160">
        <v>0.33333333333333331</v>
      </c>
      <c r="F115" s="160">
        <v>0</v>
      </c>
      <c r="G115" s="160">
        <v>0.5</v>
      </c>
      <c r="H115" s="160">
        <v>1</v>
      </c>
      <c r="I115" s="159">
        <v>1</v>
      </c>
      <c r="J115" s="160">
        <v>0</v>
      </c>
      <c r="K115" s="159">
        <v>0.5</v>
      </c>
      <c r="L115" s="210">
        <f t="shared" si="2"/>
        <v>0.50063690476190481</v>
      </c>
      <c r="M115" s="210">
        <f t="shared" si="3"/>
        <v>0.50063690476190481</v>
      </c>
    </row>
    <row r="116" spans="1:13" x14ac:dyDescent="0.25">
      <c r="A116" s="158">
        <v>543</v>
      </c>
      <c r="B116" s="158">
        <v>9</v>
      </c>
      <c r="C116" s="181" t="s">
        <v>528</v>
      </c>
      <c r="D116" s="159">
        <v>0</v>
      </c>
      <c r="E116" s="160">
        <v>0</v>
      </c>
      <c r="F116" s="160">
        <v>0</v>
      </c>
      <c r="G116" s="160">
        <v>0</v>
      </c>
      <c r="H116" s="160">
        <v>0.5</v>
      </c>
      <c r="I116" s="159">
        <v>0</v>
      </c>
      <c r="J116" s="160">
        <v>0</v>
      </c>
      <c r="K116" s="159">
        <v>0</v>
      </c>
      <c r="L116" s="210">
        <f t="shared" si="2"/>
        <v>8.3142857142857143E-2</v>
      </c>
      <c r="M116" s="210">
        <f t="shared" si="3"/>
        <v>8.3142857142857143E-2</v>
      </c>
    </row>
    <row r="117" spans="1:13" x14ac:dyDescent="0.25">
      <c r="A117" s="158">
        <v>545</v>
      </c>
      <c r="B117" s="158">
        <v>8</v>
      </c>
      <c r="C117" s="181" t="s">
        <v>468</v>
      </c>
      <c r="D117" s="159">
        <v>0.83333333333333337</v>
      </c>
      <c r="E117" s="160">
        <v>1</v>
      </c>
      <c r="F117" s="160">
        <v>0.25</v>
      </c>
      <c r="G117" s="160">
        <v>0</v>
      </c>
      <c r="H117" s="160">
        <v>1</v>
      </c>
      <c r="I117" s="159">
        <v>0.33</v>
      </c>
      <c r="J117" s="160">
        <v>0.5</v>
      </c>
      <c r="K117" s="159">
        <v>0.5</v>
      </c>
      <c r="L117" s="210">
        <f t="shared" si="2"/>
        <v>0.55693238095238096</v>
      </c>
      <c r="M117" s="210">
        <f t="shared" si="3"/>
        <v>0.55693238095238096</v>
      </c>
    </row>
    <row r="118" spans="1:13" x14ac:dyDescent="0.25">
      <c r="A118" s="158">
        <v>547</v>
      </c>
      <c r="B118" s="158">
        <v>9</v>
      </c>
      <c r="C118" s="181" t="s">
        <v>529</v>
      </c>
      <c r="D118" s="159">
        <v>0.83333333333333337</v>
      </c>
      <c r="E118" s="160">
        <v>0.83333333333333337</v>
      </c>
      <c r="F118" s="160">
        <v>0.75</v>
      </c>
      <c r="G118" s="160">
        <v>0.5</v>
      </c>
      <c r="H118" s="160">
        <v>0.5</v>
      </c>
      <c r="I118" s="159">
        <v>1</v>
      </c>
      <c r="J118" s="160">
        <v>0.66666666666666663</v>
      </c>
      <c r="K118" s="159">
        <v>0.5</v>
      </c>
      <c r="L118" s="210">
        <f t="shared" si="2"/>
        <v>0.67826488095238091</v>
      </c>
      <c r="M118" s="210">
        <f t="shared" si="3"/>
        <v>0.67826488095238091</v>
      </c>
    </row>
    <row r="119" spans="1:13" x14ac:dyDescent="0.25">
      <c r="A119" s="158">
        <v>550</v>
      </c>
      <c r="B119" s="158">
        <v>7</v>
      </c>
      <c r="C119" s="181" t="s">
        <v>435</v>
      </c>
      <c r="D119" s="159">
        <v>1</v>
      </c>
      <c r="E119" s="160">
        <v>1</v>
      </c>
      <c r="F119" s="160">
        <v>0.875</v>
      </c>
      <c r="G119" s="160">
        <v>0.5</v>
      </c>
      <c r="H119" s="160">
        <v>0</v>
      </c>
      <c r="I119" s="159">
        <v>0.75</v>
      </c>
      <c r="J119" s="160">
        <v>0.66666666666666663</v>
      </c>
      <c r="K119" s="159">
        <v>1</v>
      </c>
      <c r="L119" s="210">
        <f t="shared" si="2"/>
        <v>0.67488244047619039</v>
      </c>
      <c r="M119" s="210">
        <f t="shared" si="3"/>
        <v>0.67488244047619039</v>
      </c>
    </row>
    <row r="120" spans="1:13" x14ac:dyDescent="0.25">
      <c r="A120" s="158">
        <v>551</v>
      </c>
      <c r="B120" s="158">
        <v>7</v>
      </c>
      <c r="C120" s="181" t="s">
        <v>436</v>
      </c>
      <c r="D120" s="159">
        <v>1</v>
      </c>
      <c r="E120" s="160">
        <v>0.66666666666666663</v>
      </c>
      <c r="F120" s="160">
        <v>0.25</v>
      </c>
      <c r="G120" s="160">
        <v>0.5</v>
      </c>
      <c r="H120" s="160">
        <v>0.5</v>
      </c>
      <c r="I120" s="159">
        <v>0</v>
      </c>
      <c r="J120" s="160">
        <v>0.66666666666666663</v>
      </c>
      <c r="K120" s="159">
        <v>1</v>
      </c>
      <c r="L120" s="210">
        <f t="shared" si="2"/>
        <v>0.59501488095238098</v>
      </c>
      <c r="M120" s="210">
        <f t="shared" si="3"/>
        <v>0.59501488095238098</v>
      </c>
    </row>
    <row r="121" spans="1:13" x14ac:dyDescent="0.25">
      <c r="A121" s="158">
        <v>552</v>
      </c>
      <c r="B121" s="158">
        <v>9</v>
      </c>
      <c r="C121" s="181" t="s">
        <v>530</v>
      </c>
      <c r="D121" s="159">
        <v>1</v>
      </c>
      <c r="E121" s="160">
        <v>1</v>
      </c>
      <c r="F121" s="160">
        <v>0.25</v>
      </c>
      <c r="G121" s="160">
        <v>0</v>
      </c>
      <c r="H121" s="160">
        <v>0.25</v>
      </c>
      <c r="I121" s="159">
        <v>0</v>
      </c>
      <c r="J121" s="160">
        <v>0.33333333333333331</v>
      </c>
      <c r="K121" s="159">
        <v>1</v>
      </c>
      <c r="L121" s="210">
        <f t="shared" si="2"/>
        <v>0.46030059523809524</v>
      </c>
      <c r="M121" s="210">
        <f t="shared" si="3"/>
        <v>0.46030059523809524</v>
      </c>
    </row>
    <row r="122" spans="1:13" x14ac:dyDescent="0.25">
      <c r="A122" s="158">
        <v>555</v>
      </c>
      <c r="B122" s="158">
        <v>7</v>
      </c>
      <c r="C122" s="181" t="s">
        <v>437</v>
      </c>
      <c r="D122" s="159">
        <v>0.5</v>
      </c>
      <c r="E122" s="160">
        <v>1</v>
      </c>
      <c r="F122" s="160">
        <v>1</v>
      </c>
      <c r="G122" s="160">
        <v>0.5</v>
      </c>
      <c r="H122" s="160">
        <v>0</v>
      </c>
      <c r="I122" s="159">
        <v>1</v>
      </c>
      <c r="J122" s="160">
        <v>1</v>
      </c>
      <c r="K122" s="159">
        <v>0.5</v>
      </c>
      <c r="L122" s="210">
        <f t="shared" si="2"/>
        <v>0.61139285714285707</v>
      </c>
      <c r="M122" s="210">
        <f t="shared" si="3"/>
        <v>0.61139285714285707</v>
      </c>
    </row>
    <row r="123" spans="1:13" x14ac:dyDescent="0.25">
      <c r="A123" s="158">
        <v>556</v>
      </c>
      <c r="B123" s="158">
        <v>7</v>
      </c>
      <c r="C123" s="181" t="s">
        <v>438</v>
      </c>
      <c r="D123" s="159">
        <v>1</v>
      </c>
      <c r="E123" s="160">
        <v>0.83333333333333337</v>
      </c>
      <c r="F123" s="160">
        <v>1</v>
      </c>
      <c r="G123" s="160">
        <v>0.25</v>
      </c>
      <c r="H123" s="160">
        <v>0.75</v>
      </c>
      <c r="I123" s="159">
        <v>1</v>
      </c>
      <c r="J123" s="160">
        <v>0.83333333333333337</v>
      </c>
      <c r="K123" s="159">
        <v>1</v>
      </c>
      <c r="L123" s="210">
        <f t="shared" si="2"/>
        <v>0.80136904761904759</v>
      </c>
      <c r="M123" s="210">
        <f t="shared" si="3"/>
        <v>0.80136904761904759</v>
      </c>
    </row>
    <row r="124" spans="1:13" x14ac:dyDescent="0.25">
      <c r="A124" s="158">
        <v>558</v>
      </c>
      <c r="B124" s="158">
        <v>7</v>
      </c>
      <c r="C124" s="181" t="s">
        <v>439</v>
      </c>
      <c r="D124" s="159">
        <v>0.83333333333333337</v>
      </c>
      <c r="E124" s="160">
        <v>0.5</v>
      </c>
      <c r="F124" s="160">
        <v>0.125</v>
      </c>
      <c r="G124" s="160">
        <v>0.5</v>
      </c>
      <c r="H124" s="160">
        <v>0.25</v>
      </c>
      <c r="I124" s="159">
        <v>0</v>
      </c>
      <c r="J124" s="160">
        <v>0</v>
      </c>
      <c r="K124" s="159">
        <v>1</v>
      </c>
      <c r="L124" s="210">
        <f t="shared" si="2"/>
        <v>0.4269122023809524</v>
      </c>
      <c r="M124" s="210">
        <f t="shared" si="3"/>
        <v>0.4269122023809524</v>
      </c>
    </row>
    <row r="125" spans="1:13" x14ac:dyDescent="0.25">
      <c r="A125" s="158">
        <v>562</v>
      </c>
      <c r="B125" s="158">
        <v>6</v>
      </c>
      <c r="C125" s="181" t="s">
        <v>359</v>
      </c>
      <c r="D125" s="159">
        <v>0</v>
      </c>
      <c r="E125" s="160">
        <v>0.33333333333333331</v>
      </c>
      <c r="F125" s="160">
        <v>0.25</v>
      </c>
      <c r="G125" s="160">
        <v>0.5</v>
      </c>
      <c r="H125" s="160">
        <v>0.25</v>
      </c>
      <c r="I125" s="159">
        <v>1</v>
      </c>
      <c r="J125" s="160">
        <v>0.33333333333333331</v>
      </c>
      <c r="K125" s="159">
        <v>1</v>
      </c>
      <c r="L125" s="210">
        <f t="shared" si="2"/>
        <v>0.43461011904761904</v>
      </c>
      <c r="M125" s="210">
        <f t="shared" si="3"/>
        <v>0.43461011904761904</v>
      </c>
    </row>
    <row r="126" spans="1:13" x14ac:dyDescent="0.25">
      <c r="A126" s="158">
        <v>565</v>
      </c>
      <c r="B126" s="158">
        <v>5</v>
      </c>
      <c r="C126" s="181" t="s">
        <v>345</v>
      </c>
      <c r="D126" s="159">
        <v>0</v>
      </c>
      <c r="E126" s="160">
        <v>1</v>
      </c>
      <c r="F126" s="160">
        <v>1</v>
      </c>
      <c r="G126" s="160">
        <v>0.25</v>
      </c>
      <c r="H126" s="160">
        <v>0.5</v>
      </c>
      <c r="I126" s="159">
        <v>0.5</v>
      </c>
      <c r="J126" s="160">
        <v>0.83333333333333337</v>
      </c>
      <c r="K126" s="159">
        <v>1</v>
      </c>
      <c r="L126" s="210">
        <f t="shared" si="2"/>
        <v>0.55113095238095233</v>
      </c>
      <c r="M126" s="210">
        <f t="shared" si="3"/>
        <v>0.55113095238095233</v>
      </c>
    </row>
    <row r="127" spans="1:13" x14ac:dyDescent="0.25">
      <c r="A127" s="158">
        <v>567</v>
      </c>
      <c r="B127" s="158">
        <v>9</v>
      </c>
      <c r="C127" s="181" t="s">
        <v>531</v>
      </c>
      <c r="D127" s="159">
        <v>0.83333333333333337</v>
      </c>
      <c r="E127" s="160">
        <v>0.83333333333333337</v>
      </c>
      <c r="F127" s="160">
        <v>0.875</v>
      </c>
      <c r="G127" s="160">
        <v>0.5</v>
      </c>
      <c r="H127" s="160">
        <v>0.5</v>
      </c>
      <c r="I127" s="159">
        <v>1</v>
      </c>
      <c r="J127" s="160">
        <v>0.83333333333333337</v>
      </c>
      <c r="K127" s="159">
        <v>0.5</v>
      </c>
      <c r="L127" s="210">
        <f t="shared" si="2"/>
        <v>0.70725446428571415</v>
      </c>
      <c r="M127" s="210">
        <f t="shared" si="3"/>
        <v>0.70725446428571415</v>
      </c>
    </row>
    <row r="128" spans="1:13" x14ac:dyDescent="0.25">
      <c r="A128" s="158">
        <v>600</v>
      </c>
      <c r="B128" s="158">
        <v>7</v>
      </c>
      <c r="C128" s="181" t="s">
        <v>440</v>
      </c>
      <c r="D128" s="159">
        <v>1</v>
      </c>
      <c r="E128" s="160">
        <v>0.5</v>
      </c>
      <c r="F128" s="160">
        <v>0.25</v>
      </c>
      <c r="G128" s="160">
        <v>1</v>
      </c>
      <c r="H128" s="160">
        <v>1</v>
      </c>
      <c r="I128" s="159">
        <v>0.5</v>
      </c>
      <c r="J128" s="160">
        <v>0.66666666666666663</v>
      </c>
      <c r="K128" s="159">
        <v>1</v>
      </c>
      <c r="L128" s="210">
        <f t="shared" si="2"/>
        <v>0.80371726190476178</v>
      </c>
      <c r="M128" s="210">
        <f t="shared" si="3"/>
        <v>0.80371726190476178</v>
      </c>
    </row>
    <row r="129" spans="1:13" x14ac:dyDescent="0.25">
      <c r="A129" s="158">
        <v>601</v>
      </c>
      <c r="B129" s="158">
        <v>4</v>
      </c>
      <c r="C129" s="181" t="s">
        <v>330</v>
      </c>
      <c r="D129" s="159">
        <v>0.83333333333333337</v>
      </c>
      <c r="E129" s="160">
        <v>1</v>
      </c>
      <c r="F129" s="160">
        <v>1</v>
      </c>
      <c r="G129" s="160">
        <v>0.75</v>
      </c>
      <c r="H129" s="160">
        <v>0.5</v>
      </c>
      <c r="I129" s="159">
        <v>0.83250000000000002</v>
      </c>
      <c r="J129" s="160">
        <v>0.66666666666666663</v>
      </c>
      <c r="K129" s="159">
        <v>1</v>
      </c>
      <c r="L129" s="210">
        <f t="shared" si="2"/>
        <v>0.79143026785714277</v>
      </c>
      <c r="M129" s="210">
        <f t="shared" si="3"/>
        <v>0.79143026785714277</v>
      </c>
    </row>
    <row r="130" spans="1:13" x14ac:dyDescent="0.25">
      <c r="A130" s="158">
        <v>602</v>
      </c>
      <c r="B130" s="158">
        <v>8</v>
      </c>
      <c r="C130" s="181" t="s">
        <v>469</v>
      </c>
      <c r="D130" s="159">
        <v>1</v>
      </c>
      <c r="E130" s="160">
        <v>1</v>
      </c>
      <c r="F130" s="160">
        <v>1</v>
      </c>
      <c r="G130" s="160">
        <v>0</v>
      </c>
      <c r="H130" s="160">
        <v>0</v>
      </c>
      <c r="I130" s="159">
        <v>0.5</v>
      </c>
      <c r="J130" s="160">
        <v>1</v>
      </c>
      <c r="K130" s="159">
        <v>1</v>
      </c>
      <c r="L130" s="210">
        <f t="shared" si="2"/>
        <v>0.611375</v>
      </c>
      <c r="M130" s="210">
        <f t="shared" si="3"/>
        <v>0.611375</v>
      </c>
    </row>
    <row r="131" spans="1:13" x14ac:dyDescent="0.25">
      <c r="A131" s="158">
        <v>603</v>
      </c>
      <c r="B131" s="158">
        <v>6</v>
      </c>
      <c r="C131" s="181" t="s">
        <v>360</v>
      </c>
      <c r="D131" s="159">
        <v>0</v>
      </c>
      <c r="E131" s="160">
        <v>0.5</v>
      </c>
      <c r="F131" s="160">
        <v>0.125</v>
      </c>
      <c r="G131" s="160">
        <v>0.25</v>
      </c>
      <c r="H131" s="160">
        <v>0.25</v>
      </c>
      <c r="I131" s="159">
        <v>0.25</v>
      </c>
      <c r="J131" s="160">
        <v>0.83333333333333337</v>
      </c>
      <c r="K131" s="159">
        <v>0.5</v>
      </c>
      <c r="L131" s="210">
        <f t="shared" si="2"/>
        <v>0.31227827380952378</v>
      </c>
      <c r="M131" s="210">
        <f t="shared" si="3"/>
        <v>0.31227827380952378</v>
      </c>
    </row>
    <row r="132" spans="1:13" x14ac:dyDescent="0.25">
      <c r="A132" s="158">
        <v>604</v>
      </c>
      <c r="B132" s="158">
        <v>7</v>
      </c>
      <c r="C132" s="181" t="s">
        <v>441</v>
      </c>
      <c r="D132" s="159">
        <v>0.5</v>
      </c>
      <c r="E132" s="160">
        <v>0.5</v>
      </c>
      <c r="F132" s="160">
        <v>1</v>
      </c>
      <c r="G132" s="160">
        <v>0.5</v>
      </c>
      <c r="H132" s="160">
        <v>1</v>
      </c>
      <c r="I132" s="159">
        <v>0.33333333333333331</v>
      </c>
      <c r="J132" s="160">
        <v>0.83333333333333337</v>
      </c>
      <c r="K132" s="159">
        <v>0.5</v>
      </c>
      <c r="L132" s="210">
        <f t="shared" si="2"/>
        <v>0.64301190476190473</v>
      </c>
      <c r="M132" s="210">
        <f t="shared" si="3"/>
        <v>0.64301190476190473</v>
      </c>
    </row>
    <row r="133" spans="1:13" x14ac:dyDescent="0.25">
      <c r="A133" s="158">
        <v>605</v>
      </c>
      <c r="B133" s="158">
        <v>8</v>
      </c>
      <c r="C133" s="181" t="s">
        <v>470</v>
      </c>
      <c r="D133" s="159">
        <v>0</v>
      </c>
      <c r="E133" s="160">
        <v>1</v>
      </c>
      <c r="F133" s="160">
        <v>0.5</v>
      </c>
      <c r="G133" s="160">
        <v>0</v>
      </c>
      <c r="H133" s="160">
        <v>0.75</v>
      </c>
      <c r="I133" s="159">
        <v>0</v>
      </c>
      <c r="J133" s="160">
        <v>0</v>
      </c>
      <c r="K133" s="159">
        <v>0.5</v>
      </c>
      <c r="L133" s="210">
        <f t="shared" ref="L133:L196" si="4">D133*D$2+E133*E$2+F133*F$2+G133*G$2+H133*H$2+I133*I$2+J133*J$2+K133*K$2</f>
        <v>0.30421428571428571</v>
      </c>
      <c r="M133" s="210">
        <f t="shared" ref="M133:M196" si="5">IF(L133&gt;1,1,L133)</f>
        <v>0.30421428571428571</v>
      </c>
    </row>
    <row r="134" spans="1:13" x14ac:dyDescent="0.25">
      <c r="A134" s="158">
        <v>607</v>
      </c>
      <c r="B134" s="158">
        <v>8</v>
      </c>
      <c r="C134" s="181" t="s">
        <v>471</v>
      </c>
      <c r="D134" s="159">
        <v>0</v>
      </c>
      <c r="E134" s="160">
        <v>1</v>
      </c>
      <c r="F134" s="160">
        <v>0.5</v>
      </c>
      <c r="G134" s="160">
        <v>0</v>
      </c>
      <c r="H134" s="160">
        <v>0.5</v>
      </c>
      <c r="I134" s="159">
        <v>0</v>
      </c>
      <c r="J134" s="160">
        <v>0</v>
      </c>
      <c r="K134" s="159">
        <v>0.5</v>
      </c>
      <c r="L134" s="210">
        <f t="shared" si="4"/>
        <v>0.26264285714285712</v>
      </c>
      <c r="M134" s="210">
        <f t="shared" si="5"/>
        <v>0.26264285714285712</v>
      </c>
    </row>
    <row r="135" spans="1:13" x14ac:dyDescent="0.25">
      <c r="A135" s="158">
        <v>610</v>
      </c>
      <c r="B135" s="158">
        <v>8</v>
      </c>
      <c r="C135" s="181" t="s">
        <v>472</v>
      </c>
      <c r="D135" s="159">
        <v>0</v>
      </c>
      <c r="E135" s="160">
        <v>0.33333333333333331</v>
      </c>
      <c r="F135" s="160">
        <v>0</v>
      </c>
      <c r="G135" s="160">
        <v>0</v>
      </c>
      <c r="H135" s="160">
        <v>1</v>
      </c>
      <c r="I135" s="159">
        <v>0</v>
      </c>
      <c r="J135" s="160">
        <v>0</v>
      </c>
      <c r="K135" s="159">
        <v>0.5</v>
      </c>
      <c r="L135" s="210">
        <f t="shared" si="4"/>
        <v>0.24982738095238097</v>
      </c>
      <c r="M135" s="210">
        <f t="shared" si="5"/>
        <v>0.24982738095238097</v>
      </c>
    </row>
    <row r="136" spans="1:13" x14ac:dyDescent="0.25">
      <c r="A136" s="158">
        <v>611</v>
      </c>
      <c r="B136" s="158">
        <v>8</v>
      </c>
      <c r="C136" s="181" t="s">
        <v>473</v>
      </c>
      <c r="D136" s="159">
        <v>0.66666666666666663</v>
      </c>
      <c r="E136" s="160">
        <v>0.33333333333333331</v>
      </c>
      <c r="F136" s="160">
        <v>0.75</v>
      </c>
      <c r="G136" s="160">
        <v>0</v>
      </c>
      <c r="H136" s="160">
        <v>0</v>
      </c>
      <c r="I136" s="159">
        <v>1</v>
      </c>
      <c r="J136" s="160">
        <v>1</v>
      </c>
      <c r="K136" s="159">
        <v>1</v>
      </c>
      <c r="L136" s="210">
        <f t="shared" si="4"/>
        <v>0.53668749999999998</v>
      </c>
      <c r="M136" s="210">
        <f t="shared" si="5"/>
        <v>0.53668749999999998</v>
      </c>
    </row>
    <row r="137" spans="1:13" x14ac:dyDescent="0.25">
      <c r="A137" s="158">
        <v>612</v>
      </c>
      <c r="B137" s="158">
        <v>7</v>
      </c>
      <c r="C137" s="181" t="s">
        <v>442</v>
      </c>
      <c r="D137" s="159">
        <v>0.83333333333333337</v>
      </c>
      <c r="E137" s="160">
        <v>0.83333333333333337</v>
      </c>
      <c r="F137" s="160">
        <v>1</v>
      </c>
      <c r="G137" s="160">
        <v>0.5</v>
      </c>
      <c r="H137" s="160">
        <v>0.5</v>
      </c>
      <c r="I137" s="159">
        <v>1</v>
      </c>
      <c r="J137" s="160">
        <v>1</v>
      </c>
      <c r="K137" s="159">
        <v>1</v>
      </c>
      <c r="L137" s="210">
        <f t="shared" si="4"/>
        <v>0.79236904761904747</v>
      </c>
      <c r="M137" s="210">
        <f t="shared" si="5"/>
        <v>0.79236904761904747</v>
      </c>
    </row>
    <row r="138" spans="1:13" x14ac:dyDescent="0.25">
      <c r="A138" s="158">
        <v>616</v>
      </c>
      <c r="B138" s="158">
        <v>8</v>
      </c>
      <c r="C138" s="181" t="s">
        <v>474</v>
      </c>
      <c r="D138" s="159">
        <v>1</v>
      </c>
      <c r="E138" s="160">
        <v>1</v>
      </c>
      <c r="F138" s="160">
        <v>0.25</v>
      </c>
      <c r="G138" s="160">
        <v>0.5</v>
      </c>
      <c r="H138" s="160">
        <v>0</v>
      </c>
      <c r="I138" s="159">
        <v>0.25</v>
      </c>
      <c r="J138" s="160">
        <v>0</v>
      </c>
      <c r="K138" s="159">
        <v>0.5</v>
      </c>
      <c r="L138" s="210">
        <f t="shared" si="4"/>
        <v>0.43639285714285708</v>
      </c>
      <c r="M138" s="210">
        <f t="shared" si="5"/>
        <v>0.43639285714285708</v>
      </c>
    </row>
    <row r="139" spans="1:13" x14ac:dyDescent="0.25">
      <c r="A139" s="158">
        <v>618</v>
      </c>
      <c r="B139" s="158">
        <v>6</v>
      </c>
      <c r="C139" s="181" t="s">
        <v>361</v>
      </c>
      <c r="D139" s="159">
        <v>0.5</v>
      </c>
      <c r="E139" s="160">
        <v>0.5</v>
      </c>
      <c r="F139" s="160">
        <v>0</v>
      </c>
      <c r="G139" s="160">
        <v>0</v>
      </c>
      <c r="H139" s="160">
        <v>0.5</v>
      </c>
      <c r="I139" s="159">
        <v>0</v>
      </c>
      <c r="J139" s="160">
        <v>0</v>
      </c>
      <c r="K139" s="159">
        <v>0.5</v>
      </c>
      <c r="L139" s="210">
        <f t="shared" si="4"/>
        <v>0.26351785714285714</v>
      </c>
      <c r="M139" s="210">
        <f t="shared" si="5"/>
        <v>0.26351785714285714</v>
      </c>
    </row>
    <row r="140" spans="1:13" x14ac:dyDescent="0.25">
      <c r="A140" s="158">
        <v>620</v>
      </c>
      <c r="B140" s="158">
        <v>6</v>
      </c>
      <c r="C140" s="181" t="s">
        <v>362</v>
      </c>
      <c r="D140" s="159">
        <v>0</v>
      </c>
      <c r="E140" s="160">
        <v>0.5</v>
      </c>
      <c r="F140" s="160">
        <v>0</v>
      </c>
      <c r="G140" s="160">
        <v>0.75</v>
      </c>
      <c r="H140" s="160">
        <v>0.75</v>
      </c>
      <c r="I140" s="159">
        <v>0</v>
      </c>
      <c r="J140" s="160">
        <v>1</v>
      </c>
      <c r="K140" s="159">
        <v>1</v>
      </c>
      <c r="L140" s="210">
        <f t="shared" si="4"/>
        <v>0.51505357142857144</v>
      </c>
      <c r="M140" s="210">
        <f t="shared" si="5"/>
        <v>0.51505357142857144</v>
      </c>
    </row>
    <row r="141" spans="1:13" x14ac:dyDescent="0.25">
      <c r="A141" s="158">
        <v>622</v>
      </c>
      <c r="B141" s="158">
        <v>6</v>
      </c>
      <c r="C141" s="181" t="s">
        <v>363</v>
      </c>
      <c r="D141" s="159">
        <v>0.83333333333333337</v>
      </c>
      <c r="E141" s="160">
        <v>0</v>
      </c>
      <c r="F141" s="160">
        <v>0</v>
      </c>
      <c r="G141" s="160">
        <v>0.5</v>
      </c>
      <c r="H141" s="160">
        <v>0.5</v>
      </c>
      <c r="I141" s="159">
        <v>0</v>
      </c>
      <c r="J141" s="160">
        <v>0</v>
      </c>
      <c r="K141" s="159">
        <v>0.5</v>
      </c>
      <c r="L141" s="210">
        <f t="shared" si="4"/>
        <v>0.36095238095238091</v>
      </c>
      <c r="M141" s="210">
        <f t="shared" si="5"/>
        <v>0.36095238095238091</v>
      </c>
    </row>
    <row r="142" spans="1:13" x14ac:dyDescent="0.25">
      <c r="A142" s="158">
        <v>623</v>
      </c>
      <c r="B142" s="158">
        <v>6</v>
      </c>
      <c r="C142" s="181" t="s">
        <v>364</v>
      </c>
      <c r="D142" s="159">
        <v>0</v>
      </c>
      <c r="E142" s="160">
        <v>0</v>
      </c>
      <c r="F142" s="160">
        <v>0.25</v>
      </c>
      <c r="G142" s="160">
        <v>0.5</v>
      </c>
      <c r="H142" s="160">
        <v>1</v>
      </c>
      <c r="I142" s="159">
        <v>1</v>
      </c>
      <c r="J142" s="160">
        <v>0</v>
      </c>
      <c r="K142" s="159">
        <v>0.5</v>
      </c>
      <c r="L142" s="210">
        <f t="shared" si="4"/>
        <v>0.43836607142857142</v>
      </c>
      <c r="M142" s="210">
        <f t="shared" si="5"/>
        <v>0.43836607142857142</v>
      </c>
    </row>
    <row r="143" spans="1:13" x14ac:dyDescent="0.25">
      <c r="A143" s="158">
        <v>626</v>
      </c>
      <c r="B143" s="158">
        <v>6</v>
      </c>
      <c r="C143" s="181" t="s">
        <v>365</v>
      </c>
      <c r="D143" s="159">
        <v>0</v>
      </c>
      <c r="E143" s="160">
        <v>0</v>
      </c>
      <c r="F143" s="160">
        <v>0</v>
      </c>
      <c r="G143" s="160">
        <v>0.5</v>
      </c>
      <c r="H143" s="160">
        <v>0.25</v>
      </c>
      <c r="I143" s="159">
        <v>0</v>
      </c>
      <c r="J143" s="160">
        <v>0</v>
      </c>
      <c r="K143" s="159">
        <v>0.5</v>
      </c>
      <c r="L143" s="210">
        <f t="shared" si="4"/>
        <v>0.18083928571428573</v>
      </c>
      <c r="M143" s="210">
        <f t="shared" si="5"/>
        <v>0.18083928571428573</v>
      </c>
    </row>
    <row r="144" spans="1:13" x14ac:dyDescent="0.25">
      <c r="A144" s="158">
        <v>627</v>
      </c>
      <c r="B144" s="158">
        <v>6</v>
      </c>
      <c r="C144" s="181" t="s">
        <v>366</v>
      </c>
      <c r="D144" s="159">
        <v>0</v>
      </c>
      <c r="E144" s="160">
        <v>0</v>
      </c>
      <c r="F144" s="160">
        <v>0</v>
      </c>
      <c r="G144" s="160">
        <v>0.75</v>
      </c>
      <c r="H144" s="160">
        <v>0.75</v>
      </c>
      <c r="I144" s="159">
        <v>0</v>
      </c>
      <c r="J144" s="160">
        <v>0</v>
      </c>
      <c r="K144" s="159">
        <v>0.5</v>
      </c>
      <c r="L144" s="210">
        <f t="shared" si="4"/>
        <v>0.30555357142857142</v>
      </c>
      <c r="M144" s="210">
        <f t="shared" si="5"/>
        <v>0.30555357142857142</v>
      </c>
    </row>
    <row r="145" spans="1:13" x14ac:dyDescent="0.25">
      <c r="A145" s="158">
        <v>629</v>
      </c>
      <c r="B145" s="158">
        <v>9</v>
      </c>
      <c r="C145" s="181" t="s">
        <v>532</v>
      </c>
      <c r="D145" s="159">
        <v>0</v>
      </c>
      <c r="E145" s="160">
        <v>1</v>
      </c>
      <c r="F145" s="160">
        <v>0.75</v>
      </c>
      <c r="G145" s="160">
        <v>0.5</v>
      </c>
      <c r="H145" s="160">
        <v>0.5</v>
      </c>
      <c r="I145" s="159">
        <v>0.5</v>
      </c>
      <c r="J145" s="160">
        <v>1</v>
      </c>
      <c r="K145" s="159">
        <v>1</v>
      </c>
      <c r="L145" s="210">
        <f t="shared" si="4"/>
        <v>0.59084821428571421</v>
      </c>
      <c r="M145" s="210">
        <f t="shared" si="5"/>
        <v>0.59084821428571421</v>
      </c>
    </row>
    <row r="146" spans="1:13" x14ac:dyDescent="0.25">
      <c r="A146" s="158">
        <v>630</v>
      </c>
      <c r="B146" s="158">
        <v>9</v>
      </c>
      <c r="C146" s="181" t="s">
        <v>533</v>
      </c>
      <c r="D146" s="159">
        <v>0.33333333333333331</v>
      </c>
      <c r="E146" s="160">
        <v>0.16666666666666666</v>
      </c>
      <c r="F146" s="160">
        <v>1</v>
      </c>
      <c r="G146" s="160">
        <v>0.75</v>
      </c>
      <c r="H146" s="160">
        <v>0</v>
      </c>
      <c r="I146" s="159">
        <v>1</v>
      </c>
      <c r="J146" s="160">
        <v>1</v>
      </c>
      <c r="K146" s="159">
        <v>1</v>
      </c>
      <c r="L146" s="210">
        <f t="shared" si="4"/>
        <v>0.6128392857142857</v>
      </c>
      <c r="M146" s="210">
        <f t="shared" si="5"/>
        <v>0.6128392857142857</v>
      </c>
    </row>
    <row r="147" spans="1:13" x14ac:dyDescent="0.25">
      <c r="A147" s="158">
        <v>634</v>
      </c>
      <c r="B147" s="158">
        <v>6</v>
      </c>
      <c r="C147" s="181" t="s">
        <v>367</v>
      </c>
      <c r="D147" s="159">
        <v>1</v>
      </c>
      <c r="E147" s="160">
        <v>1</v>
      </c>
      <c r="F147" s="160">
        <v>1</v>
      </c>
      <c r="G147" s="160">
        <v>0.75</v>
      </c>
      <c r="H147" s="160">
        <v>0</v>
      </c>
      <c r="I147" s="159">
        <v>1</v>
      </c>
      <c r="J147" s="160">
        <v>0.83333333333333337</v>
      </c>
      <c r="K147" s="159">
        <v>1</v>
      </c>
      <c r="L147" s="210">
        <f t="shared" si="4"/>
        <v>0.77350595238095232</v>
      </c>
      <c r="M147" s="210">
        <f t="shared" si="5"/>
        <v>0.77350595238095232</v>
      </c>
    </row>
    <row r="148" spans="1:13" x14ac:dyDescent="0.25">
      <c r="A148" s="158">
        <v>635</v>
      </c>
      <c r="B148" s="158">
        <v>7</v>
      </c>
      <c r="C148" s="181" t="s">
        <v>557</v>
      </c>
      <c r="D148" s="159">
        <v>1</v>
      </c>
      <c r="E148" s="160">
        <v>0.66666666666666663</v>
      </c>
      <c r="F148" s="160">
        <v>0.75</v>
      </c>
      <c r="G148" s="160">
        <v>0.25</v>
      </c>
      <c r="H148" s="160">
        <v>0</v>
      </c>
      <c r="I148" s="159">
        <v>0</v>
      </c>
      <c r="J148" s="160">
        <v>1</v>
      </c>
      <c r="K148" s="159">
        <v>1</v>
      </c>
      <c r="L148" s="210">
        <f t="shared" si="4"/>
        <v>0.54884226190476193</v>
      </c>
      <c r="M148" s="210">
        <f t="shared" si="5"/>
        <v>0.54884226190476193</v>
      </c>
    </row>
    <row r="149" spans="1:13" x14ac:dyDescent="0.25">
      <c r="A149" s="158">
        <v>636</v>
      </c>
      <c r="B149" s="158">
        <v>6</v>
      </c>
      <c r="C149" s="181" t="s">
        <v>558</v>
      </c>
      <c r="D149" s="159">
        <v>0</v>
      </c>
      <c r="E149" s="160">
        <v>0</v>
      </c>
      <c r="F149" s="160">
        <v>0</v>
      </c>
      <c r="G149" s="160">
        <v>0.5</v>
      </c>
      <c r="H149" s="160">
        <v>1</v>
      </c>
      <c r="I149" s="159">
        <v>0</v>
      </c>
      <c r="J149" s="160">
        <v>0</v>
      </c>
      <c r="K149" s="159">
        <v>0</v>
      </c>
      <c r="L149" s="210">
        <f t="shared" si="4"/>
        <v>0.24942857142857144</v>
      </c>
      <c r="M149" s="210">
        <f t="shared" si="5"/>
        <v>0.24942857142857144</v>
      </c>
    </row>
    <row r="150" spans="1:13" x14ac:dyDescent="0.25">
      <c r="A150" s="158">
        <v>637</v>
      </c>
      <c r="B150" s="158">
        <v>8</v>
      </c>
      <c r="C150" s="181" t="s">
        <v>559</v>
      </c>
      <c r="D150" s="159">
        <v>0.5</v>
      </c>
      <c r="E150" s="160">
        <v>0</v>
      </c>
      <c r="F150" s="160">
        <v>0</v>
      </c>
      <c r="G150" s="160">
        <v>0</v>
      </c>
      <c r="H150" s="160">
        <v>0</v>
      </c>
      <c r="I150" s="159">
        <v>0</v>
      </c>
      <c r="J150" s="160">
        <v>0</v>
      </c>
      <c r="K150" s="159">
        <v>1</v>
      </c>
      <c r="L150" s="210">
        <f t="shared" si="4"/>
        <v>0.19537500000000002</v>
      </c>
      <c r="M150" s="210">
        <f t="shared" si="5"/>
        <v>0.19537500000000002</v>
      </c>
    </row>
    <row r="151" spans="1:13" x14ac:dyDescent="0.25">
      <c r="A151" s="158">
        <v>638</v>
      </c>
      <c r="B151" s="158">
        <v>8</v>
      </c>
      <c r="C151" s="181" t="s">
        <v>560</v>
      </c>
      <c r="D151" s="159">
        <v>1</v>
      </c>
      <c r="E151" s="160">
        <v>1</v>
      </c>
      <c r="F151" s="160">
        <v>0.75</v>
      </c>
      <c r="G151" s="160">
        <v>0</v>
      </c>
      <c r="H151" s="160">
        <v>0</v>
      </c>
      <c r="I151" s="159">
        <v>0</v>
      </c>
      <c r="J151" s="160">
        <v>1</v>
      </c>
      <c r="K151" s="159">
        <v>1</v>
      </c>
      <c r="L151" s="210">
        <f t="shared" si="4"/>
        <v>0.53468749999999998</v>
      </c>
      <c r="M151" s="210">
        <f t="shared" si="5"/>
        <v>0.53468749999999998</v>
      </c>
    </row>
    <row r="152" spans="1:13" x14ac:dyDescent="0.25">
      <c r="A152" s="158">
        <v>639</v>
      </c>
      <c r="B152" s="158">
        <v>8</v>
      </c>
      <c r="C152" s="181" t="s">
        <v>561</v>
      </c>
      <c r="D152" s="159">
        <v>1</v>
      </c>
      <c r="E152" s="160">
        <v>0.66666666666666663</v>
      </c>
      <c r="F152" s="160">
        <v>0.75</v>
      </c>
      <c r="G152" s="160">
        <v>0.75</v>
      </c>
      <c r="H152" s="160">
        <v>0.5</v>
      </c>
      <c r="I152" s="159">
        <v>1</v>
      </c>
      <c r="J152" s="160">
        <v>0.66666666666666663</v>
      </c>
      <c r="K152" s="159">
        <v>0</v>
      </c>
      <c r="L152" s="210">
        <f t="shared" si="4"/>
        <v>0.67771130952380954</v>
      </c>
      <c r="M152" s="210">
        <f t="shared" si="5"/>
        <v>0.67771130952380954</v>
      </c>
    </row>
    <row r="153" spans="1:13" x14ac:dyDescent="0.25">
      <c r="A153" s="158">
        <v>694</v>
      </c>
      <c r="B153" s="158">
        <v>6</v>
      </c>
      <c r="C153" s="181" t="s">
        <v>368</v>
      </c>
      <c r="D153" s="159">
        <v>1</v>
      </c>
      <c r="E153" s="160">
        <v>0.83333333333333337</v>
      </c>
      <c r="F153" s="160">
        <v>1</v>
      </c>
      <c r="G153" s="160">
        <v>1</v>
      </c>
      <c r="H153" s="160">
        <v>0</v>
      </c>
      <c r="I153" s="159">
        <v>1</v>
      </c>
      <c r="J153" s="160">
        <v>1</v>
      </c>
      <c r="K153" s="159">
        <v>1</v>
      </c>
      <c r="L153" s="210">
        <f t="shared" si="4"/>
        <v>0.82007738095238081</v>
      </c>
      <c r="M153" s="210">
        <f t="shared" si="5"/>
        <v>0.82007738095238081</v>
      </c>
    </row>
    <row r="154" spans="1:13" x14ac:dyDescent="0.25">
      <c r="A154" s="158">
        <v>695</v>
      </c>
      <c r="B154" s="158">
        <v>9</v>
      </c>
      <c r="C154" s="181" t="s">
        <v>534</v>
      </c>
      <c r="D154" s="159">
        <v>0.33333333333333331</v>
      </c>
      <c r="E154" s="160">
        <v>0</v>
      </c>
      <c r="F154" s="160">
        <v>0</v>
      </c>
      <c r="G154" s="160">
        <v>0</v>
      </c>
      <c r="H154" s="160">
        <v>0</v>
      </c>
      <c r="I154" s="159">
        <v>0</v>
      </c>
      <c r="J154" s="160">
        <v>0</v>
      </c>
      <c r="K154" s="159">
        <v>0</v>
      </c>
      <c r="L154" s="210">
        <f t="shared" si="4"/>
        <v>5.541666666666667E-2</v>
      </c>
      <c r="M154" s="210">
        <f t="shared" si="5"/>
        <v>5.541666666666667E-2</v>
      </c>
    </row>
    <row r="155" spans="1:13" x14ac:dyDescent="0.25">
      <c r="A155" s="158">
        <v>696</v>
      </c>
      <c r="B155" s="158">
        <v>5</v>
      </c>
      <c r="C155" s="181" t="s">
        <v>347</v>
      </c>
      <c r="D155" s="159">
        <v>0.66666666666666663</v>
      </c>
      <c r="E155" s="160">
        <v>0</v>
      </c>
      <c r="F155" s="160">
        <v>0.5</v>
      </c>
      <c r="G155" s="160">
        <v>0</v>
      </c>
      <c r="H155" s="160">
        <v>0.25</v>
      </c>
      <c r="I155" s="159">
        <v>0</v>
      </c>
      <c r="J155" s="160">
        <v>1</v>
      </c>
      <c r="K155" s="159">
        <v>0.5</v>
      </c>
      <c r="L155" s="210">
        <f t="shared" si="4"/>
        <v>0.3619047619047619</v>
      </c>
      <c r="M155" s="210">
        <f t="shared" si="5"/>
        <v>0.3619047619047619</v>
      </c>
    </row>
    <row r="156" spans="1:13" x14ac:dyDescent="0.25">
      <c r="A156" s="158">
        <v>706</v>
      </c>
      <c r="B156" s="158">
        <v>6</v>
      </c>
      <c r="C156" s="181" t="s">
        <v>476</v>
      </c>
      <c r="D156" s="159">
        <v>0.33333333333333331</v>
      </c>
      <c r="E156" s="160">
        <v>0</v>
      </c>
      <c r="F156" s="160">
        <v>0.25</v>
      </c>
      <c r="G156" s="160">
        <v>0.5</v>
      </c>
      <c r="H156" s="160">
        <v>0</v>
      </c>
      <c r="I156" s="159">
        <v>0.5</v>
      </c>
      <c r="J156" s="160">
        <v>0</v>
      </c>
      <c r="K156" s="159">
        <v>1</v>
      </c>
      <c r="L156" s="210">
        <f t="shared" si="4"/>
        <v>0.32749702380952384</v>
      </c>
      <c r="M156" s="210">
        <f t="shared" si="5"/>
        <v>0.32749702380952384</v>
      </c>
    </row>
    <row r="157" spans="1:13" x14ac:dyDescent="0.25">
      <c r="A157" s="158">
        <v>709</v>
      </c>
      <c r="B157" s="158">
        <v>8</v>
      </c>
      <c r="C157" s="181" t="s">
        <v>477</v>
      </c>
      <c r="D157" s="159">
        <v>0.5</v>
      </c>
      <c r="E157" s="160">
        <v>0</v>
      </c>
      <c r="F157" s="160">
        <v>0</v>
      </c>
      <c r="G157" s="160">
        <v>0.5</v>
      </c>
      <c r="H157" s="160">
        <v>0.75</v>
      </c>
      <c r="I157" s="159">
        <v>0</v>
      </c>
      <c r="J157" s="160">
        <v>0</v>
      </c>
      <c r="K157" s="159">
        <v>1</v>
      </c>
      <c r="L157" s="210">
        <f t="shared" si="4"/>
        <v>0.40323214285714287</v>
      </c>
      <c r="M157" s="210">
        <f t="shared" si="5"/>
        <v>0.40323214285714287</v>
      </c>
    </row>
    <row r="158" spans="1:13" x14ac:dyDescent="0.25">
      <c r="A158" s="158">
        <v>710</v>
      </c>
      <c r="B158" s="158">
        <v>6</v>
      </c>
      <c r="C158" s="181" t="s">
        <v>370</v>
      </c>
      <c r="D158" s="159">
        <v>0</v>
      </c>
      <c r="E158" s="160">
        <v>0</v>
      </c>
      <c r="F158" s="160">
        <v>0</v>
      </c>
      <c r="G158" s="160">
        <v>0</v>
      </c>
      <c r="H158" s="160">
        <v>0.5</v>
      </c>
      <c r="I158" s="159">
        <v>0</v>
      </c>
      <c r="J158" s="160">
        <v>0</v>
      </c>
      <c r="K158" s="159">
        <v>0.5</v>
      </c>
      <c r="L158" s="210">
        <f t="shared" si="4"/>
        <v>0.13926785714285714</v>
      </c>
      <c r="M158" s="210">
        <f t="shared" si="5"/>
        <v>0.13926785714285714</v>
      </c>
    </row>
    <row r="159" spans="1:13" x14ac:dyDescent="0.25">
      <c r="A159" s="158">
        <v>711</v>
      </c>
      <c r="B159" s="158">
        <v>7</v>
      </c>
      <c r="C159" s="181" t="s">
        <v>443</v>
      </c>
      <c r="D159" s="159">
        <v>1</v>
      </c>
      <c r="E159" s="160">
        <v>1</v>
      </c>
      <c r="F159" s="160">
        <v>1</v>
      </c>
      <c r="G159" s="160">
        <v>1</v>
      </c>
      <c r="H159" s="160">
        <v>0.5</v>
      </c>
      <c r="I159" s="159">
        <v>0</v>
      </c>
      <c r="J159" s="160">
        <v>0.66666666666666663</v>
      </c>
      <c r="K159" s="159">
        <v>0.5</v>
      </c>
      <c r="L159" s="210">
        <f t="shared" si="4"/>
        <v>0.71113690476190472</v>
      </c>
      <c r="M159" s="210">
        <f t="shared" si="5"/>
        <v>0.71113690476190472</v>
      </c>
    </row>
    <row r="160" spans="1:13" x14ac:dyDescent="0.25">
      <c r="A160" s="158">
        <v>712</v>
      </c>
      <c r="B160" s="158">
        <v>7</v>
      </c>
      <c r="C160" s="181" t="s">
        <v>444</v>
      </c>
      <c r="D160" s="159">
        <v>1</v>
      </c>
      <c r="E160" s="160">
        <v>0.66666666666666663</v>
      </c>
      <c r="F160" s="160">
        <v>1</v>
      </c>
      <c r="G160" s="160">
        <v>1</v>
      </c>
      <c r="H160" s="160">
        <v>0.75</v>
      </c>
      <c r="I160" s="159">
        <v>0</v>
      </c>
      <c r="J160" s="160">
        <v>0.83333333333333337</v>
      </c>
      <c r="K160" s="159">
        <v>1</v>
      </c>
      <c r="L160" s="210">
        <f t="shared" si="4"/>
        <v>0.80012499999999998</v>
      </c>
      <c r="M160" s="210">
        <f t="shared" si="5"/>
        <v>0.80012499999999998</v>
      </c>
    </row>
    <row r="161" spans="1:13" x14ac:dyDescent="0.25">
      <c r="A161" s="158">
        <v>714</v>
      </c>
      <c r="B161" s="158">
        <v>8</v>
      </c>
      <c r="C161" s="181" t="s">
        <v>478</v>
      </c>
      <c r="D161" s="159">
        <v>0.33333333333333331</v>
      </c>
      <c r="E161" s="160">
        <v>0</v>
      </c>
      <c r="F161" s="160">
        <v>0.25</v>
      </c>
      <c r="G161" s="160">
        <v>0.75</v>
      </c>
      <c r="H161" s="160">
        <v>0.5</v>
      </c>
      <c r="I161" s="159">
        <v>0</v>
      </c>
      <c r="J161" s="160">
        <v>0</v>
      </c>
      <c r="K161" s="159">
        <v>1</v>
      </c>
      <c r="L161" s="210">
        <f t="shared" si="4"/>
        <v>0.39608630952380952</v>
      </c>
      <c r="M161" s="210">
        <f t="shared" si="5"/>
        <v>0.39608630952380952</v>
      </c>
    </row>
    <row r="162" spans="1:13" x14ac:dyDescent="0.25">
      <c r="A162" s="158">
        <v>718</v>
      </c>
      <c r="B162" s="158">
        <v>7</v>
      </c>
      <c r="C162" s="181" t="s">
        <v>445</v>
      </c>
      <c r="D162" s="159">
        <v>0</v>
      </c>
      <c r="E162" s="160">
        <v>0</v>
      </c>
      <c r="F162" s="160">
        <v>0</v>
      </c>
      <c r="G162" s="160">
        <v>0</v>
      </c>
      <c r="H162" s="160">
        <v>0</v>
      </c>
      <c r="I162" s="159">
        <v>0</v>
      </c>
      <c r="J162" s="160">
        <v>0</v>
      </c>
      <c r="K162" s="159">
        <v>1</v>
      </c>
      <c r="L162" s="210">
        <f t="shared" si="4"/>
        <v>0.11225</v>
      </c>
      <c r="M162" s="210">
        <f t="shared" si="5"/>
        <v>0.11225</v>
      </c>
    </row>
    <row r="163" spans="1:13" x14ac:dyDescent="0.25">
      <c r="A163" s="158">
        <v>731</v>
      </c>
      <c r="B163" s="158">
        <v>5</v>
      </c>
      <c r="C163" s="181" t="s">
        <v>348</v>
      </c>
      <c r="D163" s="159">
        <v>0.66666666666666663</v>
      </c>
      <c r="E163" s="160">
        <v>1</v>
      </c>
      <c r="F163" s="160">
        <v>0.5</v>
      </c>
      <c r="G163" s="160">
        <v>0.75</v>
      </c>
      <c r="H163" s="160">
        <v>0.5</v>
      </c>
      <c r="I163" s="159">
        <v>0.66666666666666663</v>
      </c>
      <c r="J163" s="160">
        <v>0.83333333333333337</v>
      </c>
      <c r="K163" s="159">
        <v>1</v>
      </c>
      <c r="L163" s="210">
        <f t="shared" si="4"/>
        <v>0.72269047619047611</v>
      </c>
      <c r="M163" s="210">
        <f t="shared" si="5"/>
        <v>0.72269047619047611</v>
      </c>
    </row>
    <row r="164" spans="1:13" x14ac:dyDescent="0.25">
      <c r="A164" s="158">
        <v>732</v>
      </c>
      <c r="B164" s="158">
        <v>5</v>
      </c>
      <c r="C164" s="181" t="s">
        <v>349</v>
      </c>
      <c r="D164" s="159">
        <v>0.66666666666666663</v>
      </c>
      <c r="E164" s="160">
        <v>0.33333333333333331</v>
      </c>
      <c r="F164" s="160">
        <v>0.25</v>
      </c>
      <c r="G164" s="160">
        <v>0.25</v>
      </c>
      <c r="H164" s="160">
        <v>0.5</v>
      </c>
      <c r="I164" s="159">
        <v>0.75</v>
      </c>
      <c r="J164" s="160">
        <v>0.33333333333333331</v>
      </c>
      <c r="K164" s="159">
        <v>0.5</v>
      </c>
      <c r="L164" s="210">
        <f t="shared" si="4"/>
        <v>0.46125595238095241</v>
      </c>
      <c r="M164" s="210">
        <f t="shared" si="5"/>
        <v>0.46125595238095241</v>
      </c>
    </row>
    <row r="165" spans="1:13" x14ac:dyDescent="0.25">
      <c r="A165" s="158">
        <v>736</v>
      </c>
      <c r="B165" s="158">
        <v>7</v>
      </c>
      <c r="C165" s="181" t="s">
        <v>446</v>
      </c>
      <c r="D165" s="159">
        <v>0.16666666666666666</v>
      </c>
      <c r="E165" s="160">
        <v>0.66666666666666663</v>
      </c>
      <c r="F165" s="160">
        <v>0</v>
      </c>
      <c r="G165" s="160">
        <v>0</v>
      </c>
      <c r="H165" s="160">
        <v>0.75</v>
      </c>
      <c r="I165" s="159">
        <v>0.25</v>
      </c>
      <c r="J165" s="160">
        <v>0.83333333333333337</v>
      </c>
      <c r="K165" s="159">
        <v>1</v>
      </c>
      <c r="L165" s="210">
        <f t="shared" si="4"/>
        <v>0.4411101190476191</v>
      </c>
      <c r="M165" s="210">
        <f t="shared" si="5"/>
        <v>0.4411101190476191</v>
      </c>
    </row>
    <row r="166" spans="1:13" x14ac:dyDescent="0.25">
      <c r="A166" s="158">
        <v>743</v>
      </c>
      <c r="B166" s="158">
        <v>6</v>
      </c>
      <c r="C166" s="181" t="s">
        <v>371</v>
      </c>
      <c r="D166" s="159">
        <v>1</v>
      </c>
      <c r="E166" s="160">
        <v>1</v>
      </c>
      <c r="F166" s="160">
        <v>0.625</v>
      </c>
      <c r="G166" s="160">
        <v>1</v>
      </c>
      <c r="H166" s="160">
        <v>0</v>
      </c>
      <c r="I166" s="159">
        <v>0</v>
      </c>
      <c r="J166" s="160">
        <v>0.83333333333333337</v>
      </c>
      <c r="K166" s="159">
        <v>1</v>
      </c>
      <c r="L166" s="210">
        <f t="shared" si="4"/>
        <v>0.67198363095238089</v>
      </c>
      <c r="M166" s="210">
        <f t="shared" si="5"/>
        <v>0.67198363095238089</v>
      </c>
    </row>
    <row r="167" spans="1:13" x14ac:dyDescent="0.25">
      <c r="A167" s="158">
        <v>747</v>
      </c>
      <c r="B167" s="158">
        <v>6</v>
      </c>
      <c r="C167" s="181" t="s">
        <v>372</v>
      </c>
      <c r="D167" s="159">
        <v>0.66666666666666663</v>
      </c>
      <c r="E167" s="160">
        <v>0</v>
      </c>
      <c r="F167" s="160">
        <v>0</v>
      </c>
      <c r="G167" s="160">
        <v>0.5</v>
      </c>
      <c r="H167" s="160">
        <v>0</v>
      </c>
      <c r="I167" s="159">
        <v>0</v>
      </c>
      <c r="J167" s="160">
        <v>0</v>
      </c>
      <c r="K167" s="159">
        <v>1</v>
      </c>
      <c r="L167" s="210">
        <f t="shared" si="4"/>
        <v>0.30622619047619049</v>
      </c>
      <c r="M167" s="210">
        <f t="shared" si="5"/>
        <v>0.30622619047619049</v>
      </c>
    </row>
    <row r="168" spans="1:13" x14ac:dyDescent="0.25">
      <c r="A168" s="158">
        <v>749</v>
      </c>
      <c r="B168" s="158">
        <v>8</v>
      </c>
      <c r="C168" s="181" t="s">
        <v>479</v>
      </c>
      <c r="D168" s="159">
        <v>0.66666666666666663</v>
      </c>
      <c r="E168" s="160">
        <v>0</v>
      </c>
      <c r="F168" s="160">
        <v>0</v>
      </c>
      <c r="G168" s="160">
        <v>0</v>
      </c>
      <c r="H168" s="160">
        <v>1</v>
      </c>
      <c r="I168" s="159">
        <v>0</v>
      </c>
      <c r="J168" s="160">
        <v>0</v>
      </c>
      <c r="K168" s="159">
        <v>0.5</v>
      </c>
      <c r="L168" s="210">
        <f t="shared" si="4"/>
        <v>0.33324404761904758</v>
      </c>
      <c r="M168" s="210">
        <f t="shared" si="5"/>
        <v>0.33324404761904758</v>
      </c>
    </row>
    <row r="169" spans="1:13" x14ac:dyDescent="0.25">
      <c r="A169" s="158">
        <v>754</v>
      </c>
      <c r="B169" s="158">
        <v>5</v>
      </c>
      <c r="C169" s="181" t="s">
        <v>350</v>
      </c>
      <c r="D169" s="159">
        <v>0</v>
      </c>
      <c r="E169" s="160">
        <v>0</v>
      </c>
      <c r="F169" s="160">
        <v>0</v>
      </c>
      <c r="G169" s="160">
        <v>0.5</v>
      </c>
      <c r="H169" s="160">
        <v>0.5</v>
      </c>
      <c r="I169" s="159">
        <v>0</v>
      </c>
      <c r="J169" s="160">
        <v>0</v>
      </c>
      <c r="K169" s="159">
        <v>0.5</v>
      </c>
      <c r="L169" s="210">
        <f t="shared" si="4"/>
        <v>0.22241071428571429</v>
      </c>
      <c r="M169" s="210">
        <f t="shared" si="5"/>
        <v>0.22241071428571429</v>
      </c>
    </row>
    <row r="170" spans="1:13" x14ac:dyDescent="0.25">
      <c r="A170" s="158">
        <v>757</v>
      </c>
      <c r="B170" s="158">
        <v>7</v>
      </c>
      <c r="C170" s="181" t="s">
        <v>447</v>
      </c>
      <c r="D170" s="159">
        <v>1</v>
      </c>
      <c r="E170" s="160">
        <v>1</v>
      </c>
      <c r="F170" s="160">
        <v>1</v>
      </c>
      <c r="G170" s="160">
        <v>0.5</v>
      </c>
      <c r="H170" s="160">
        <v>0.5</v>
      </c>
      <c r="I170" s="159">
        <v>1</v>
      </c>
      <c r="J170" s="160">
        <v>1</v>
      </c>
      <c r="K170" s="159">
        <v>1</v>
      </c>
      <c r="L170" s="210">
        <f t="shared" si="4"/>
        <v>0.83378571428571413</v>
      </c>
      <c r="M170" s="210">
        <f t="shared" si="5"/>
        <v>0.83378571428571413</v>
      </c>
    </row>
    <row r="171" spans="1:13" x14ac:dyDescent="0.25">
      <c r="A171" s="158">
        <v>758</v>
      </c>
      <c r="B171" s="158">
        <v>6</v>
      </c>
      <c r="C171" s="181" t="s">
        <v>373</v>
      </c>
      <c r="D171" s="159">
        <v>1</v>
      </c>
      <c r="E171" s="160">
        <v>0.83333333333333337</v>
      </c>
      <c r="F171" s="160">
        <v>0.875</v>
      </c>
      <c r="G171" s="160">
        <v>0.25</v>
      </c>
      <c r="H171" s="160">
        <v>0</v>
      </c>
      <c r="I171" s="159">
        <v>1</v>
      </c>
      <c r="J171" s="160">
        <v>1</v>
      </c>
      <c r="K171" s="159">
        <v>1</v>
      </c>
      <c r="L171" s="210">
        <f t="shared" si="4"/>
        <v>0.68508184523809523</v>
      </c>
      <c r="M171" s="210">
        <f t="shared" si="5"/>
        <v>0.68508184523809523</v>
      </c>
    </row>
    <row r="172" spans="1:13" x14ac:dyDescent="0.25">
      <c r="A172" s="158">
        <v>760</v>
      </c>
      <c r="B172" s="158">
        <v>4</v>
      </c>
      <c r="C172" s="181" t="s">
        <v>331</v>
      </c>
      <c r="D172" s="159">
        <v>1</v>
      </c>
      <c r="E172" s="160">
        <v>1</v>
      </c>
      <c r="F172" s="160">
        <v>1</v>
      </c>
      <c r="G172" s="160">
        <v>1</v>
      </c>
      <c r="H172" s="160">
        <v>1</v>
      </c>
      <c r="I172" s="159">
        <v>1</v>
      </c>
      <c r="J172" s="160">
        <v>1</v>
      </c>
      <c r="K172" s="159">
        <v>1</v>
      </c>
      <c r="L172" s="210">
        <f t="shared" si="4"/>
        <v>1.0000714285714285</v>
      </c>
      <c r="M172" s="210">
        <f t="shared" si="5"/>
        <v>1</v>
      </c>
    </row>
    <row r="173" spans="1:13" x14ac:dyDescent="0.25">
      <c r="A173" s="158">
        <v>764</v>
      </c>
      <c r="B173" s="158">
        <v>8</v>
      </c>
      <c r="C173" s="181" t="s">
        <v>480</v>
      </c>
      <c r="D173" s="159">
        <v>0</v>
      </c>
      <c r="E173" s="160">
        <v>0.33333333333333331</v>
      </c>
      <c r="F173" s="160">
        <v>0</v>
      </c>
      <c r="G173" s="160">
        <v>0</v>
      </c>
      <c r="H173" s="160">
        <v>1</v>
      </c>
      <c r="I173" s="159">
        <v>0</v>
      </c>
      <c r="J173" s="160">
        <v>0</v>
      </c>
      <c r="K173" s="159">
        <v>0.5</v>
      </c>
      <c r="L173" s="210">
        <f t="shared" si="4"/>
        <v>0.24982738095238097</v>
      </c>
      <c r="M173" s="210">
        <f t="shared" si="5"/>
        <v>0.24982738095238097</v>
      </c>
    </row>
    <row r="174" spans="1:13" x14ac:dyDescent="0.25">
      <c r="A174" s="158">
        <v>765</v>
      </c>
      <c r="B174" s="158">
        <v>6</v>
      </c>
      <c r="C174" s="181" t="s">
        <v>374</v>
      </c>
      <c r="D174" s="159">
        <v>0.66666666666666663</v>
      </c>
      <c r="E174" s="160">
        <v>0</v>
      </c>
      <c r="F174" s="160">
        <v>0</v>
      </c>
      <c r="G174" s="160">
        <v>0.25</v>
      </c>
      <c r="H174" s="160">
        <v>0</v>
      </c>
      <c r="I174" s="159">
        <v>0</v>
      </c>
      <c r="J174" s="160">
        <v>0</v>
      </c>
      <c r="K174" s="159">
        <v>1</v>
      </c>
      <c r="L174" s="210">
        <f t="shared" si="4"/>
        <v>0.26465476190476189</v>
      </c>
      <c r="M174" s="210">
        <f t="shared" si="5"/>
        <v>0.26465476190476189</v>
      </c>
    </row>
    <row r="175" spans="1:13" x14ac:dyDescent="0.25">
      <c r="A175" s="158">
        <v>770</v>
      </c>
      <c r="B175" s="158">
        <v>6</v>
      </c>
      <c r="C175" s="181" t="s">
        <v>375</v>
      </c>
      <c r="D175" s="159">
        <v>0.66666666666666663</v>
      </c>
      <c r="E175" s="160">
        <v>0</v>
      </c>
      <c r="F175" s="160">
        <v>0</v>
      </c>
      <c r="G175" s="160">
        <v>0.5</v>
      </c>
      <c r="H175" s="160">
        <v>0</v>
      </c>
      <c r="I175" s="159">
        <v>0</v>
      </c>
      <c r="J175" s="160">
        <v>0</v>
      </c>
      <c r="K175" s="159">
        <v>1</v>
      </c>
      <c r="L175" s="210">
        <f t="shared" si="4"/>
        <v>0.30622619047619049</v>
      </c>
      <c r="M175" s="210">
        <f t="shared" si="5"/>
        <v>0.30622619047619049</v>
      </c>
    </row>
    <row r="176" spans="1:13" x14ac:dyDescent="0.25">
      <c r="A176" s="158">
        <v>771</v>
      </c>
      <c r="B176" s="158">
        <v>9</v>
      </c>
      <c r="C176" s="181" t="s">
        <v>535</v>
      </c>
      <c r="D176" s="159">
        <v>0</v>
      </c>
      <c r="E176" s="160">
        <v>0</v>
      </c>
      <c r="F176" s="160">
        <v>0.25</v>
      </c>
      <c r="G176" s="160">
        <v>0.75</v>
      </c>
      <c r="H176" s="160">
        <v>0.75</v>
      </c>
      <c r="I176" s="159">
        <v>0</v>
      </c>
      <c r="J176" s="160">
        <v>0.16666666666666666</v>
      </c>
      <c r="K176" s="159">
        <v>1</v>
      </c>
      <c r="L176" s="210">
        <f t="shared" si="4"/>
        <v>0.40094940476190483</v>
      </c>
      <c r="M176" s="210">
        <f t="shared" si="5"/>
        <v>0.40094940476190483</v>
      </c>
    </row>
    <row r="177" spans="1:13" x14ac:dyDescent="0.25">
      <c r="A177" s="158">
        <v>774</v>
      </c>
      <c r="B177" s="158">
        <v>6</v>
      </c>
      <c r="C177" s="181" t="s">
        <v>376</v>
      </c>
      <c r="D177" s="159">
        <v>1</v>
      </c>
      <c r="E177" s="160">
        <v>0.66666666666666663</v>
      </c>
      <c r="F177" s="160">
        <v>0.625</v>
      </c>
      <c r="G177" s="160">
        <v>0.5</v>
      </c>
      <c r="H177" s="160">
        <v>0.5</v>
      </c>
      <c r="I177" s="159">
        <v>1</v>
      </c>
      <c r="J177" s="160">
        <v>0.83333333333333337</v>
      </c>
      <c r="K177" s="159">
        <v>1</v>
      </c>
      <c r="L177" s="210">
        <f t="shared" si="4"/>
        <v>0.75681696428571421</v>
      </c>
      <c r="M177" s="210">
        <f t="shared" si="5"/>
        <v>0.75681696428571421</v>
      </c>
    </row>
    <row r="178" spans="1:13" x14ac:dyDescent="0.25">
      <c r="A178" s="158">
        <v>775</v>
      </c>
      <c r="B178" s="158">
        <v>8</v>
      </c>
      <c r="C178" s="181" t="s">
        <v>481</v>
      </c>
      <c r="D178" s="159">
        <v>0.66666666666666663</v>
      </c>
      <c r="E178" s="160">
        <v>1</v>
      </c>
      <c r="F178" s="160">
        <v>0.75</v>
      </c>
      <c r="G178" s="160">
        <v>0</v>
      </c>
      <c r="H178" s="160">
        <v>1</v>
      </c>
      <c r="I178" s="159">
        <v>1</v>
      </c>
      <c r="J178" s="160">
        <v>0.83333333333333337</v>
      </c>
      <c r="K178" s="159">
        <v>0.5</v>
      </c>
      <c r="L178" s="210">
        <f t="shared" si="4"/>
        <v>0.68297321428571423</v>
      </c>
      <c r="M178" s="210">
        <f t="shared" si="5"/>
        <v>0.68297321428571423</v>
      </c>
    </row>
    <row r="179" spans="1:13" x14ac:dyDescent="0.25">
      <c r="A179" s="158">
        <v>786</v>
      </c>
      <c r="B179" s="158">
        <v>7</v>
      </c>
      <c r="C179" s="181" t="s">
        <v>448</v>
      </c>
      <c r="D179" s="159">
        <v>1</v>
      </c>
      <c r="E179" s="160">
        <v>1</v>
      </c>
      <c r="F179" s="160">
        <v>1</v>
      </c>
      <c r="G179" s="160">
        <v>0.5</v>
      </c>
      <c r="H179" s="160">
        <v>0.5</v>
      </c>
      <c r="I179" s="159">
        <v>1</v>
      </c>
      <c r="J179" s="160">
        <v>1</v>
      </c>
      <c r="K179" s="159">
        <v>1</v>
      </c>
      <c r="L179" s="210">
        <f t="shared" si="4"/>
        <v>0.83378571428571413</v>
      </c>
      <c r="M179" s="210">
        <f t="shared" si="5"/>
        <v>0.83378571428571413</v>
      </c>
    </row>
    <row r="180" spans="1:13" x14ac:dyDescent="0.25">
      <c r="A180" s="158">
        <v>790</v>
      </c>
      <c r="B180" s="158">
        <v>8</v>
      </c>
      <c r="C180" s="181" t="s">
        <v>482</v>
      </c>
      <c r="D180" s="159">
        <v>0</v>
      </c>
      <c r="E180" s="160">
        <v>0.33333333333333331</v>
      </c>
      <c r="F180" s="160">
        <v>0</v>
      </c>
      <c r="G180" s="160">
        <v>0</v>
      </c>
      <c r="H180" s="160">
        <v>1</v>
      </c>
      <c r="I180" s="159">
        <v>0</v>
      </c>
      <c r="J180" s="160">
        <v>0</v>
      </c>
      <c r="K180" s="159">
        <v>0.5</v>
      </c>
      <c r="L180" s="210">
        <f t="shared" si="4"/>
        <v>0.24982738095238097</v>
      </c>
      <c r="M180" s="210">
        <f t="shared" si="5"/>
        <v>0.24982738095238097</v>
      </c>
    </row>
    <row r="181" spans="1:13" x14ac:dyDescent="0.25">
      <c r="A181" s="158">
        <v>794</v>
      </c>
      <c r="B181" s="158">
        <v>6</v>
      </c>
      <c r="C181" s="181" t="s">
        <v>377</v>
      </c>
      <c r="D181" s="159">
        <v>0.33333333333333331</v>
      </c>
      <c r="E181" s="160">
        <v>1</v>
      </c>
      <c r="F181" s="160">
        <v>0.875</v>
      </c>
      <c r="G181" s="160">
        <v>1</v>
      </c>
      <c r="H181" s="160">
        <v>0</v>
      </c>
      <c r="I181" s="159">
        <v>1</v>
      </c>
      <c r="J181" s="160">
        <v>0.66666666666666663</v>
      </c>
      <c r="K181" s="159">
        <v>0.5</v>
      </c>
      <c r="L181" s="210">
        <f t="shared" si="4"/>
        <v>0.61912946428571425</v>
      </c>
      <c r="M181" s="210">
        <f t="shared" si="5"/>
        <v>0.61912946428571425</v>
      </c>
    </row>
    <row r="182" spans="1:13" x14ac:dyDescent="0.25">
      <c r="A182" s="158">
        <v>795</v>
      </c>
      <c r="B182" s="158">
        <v>8</v>
      </c>
      <c r="C182" s="181" t="s">
        <v>562</v>
      </c>
      <c r="D182" s="159">
        <v>0</v>
      </c>
      <c r="E182" s="160">
        <v>1</v>
      </c>
      <c r="F182" s="160">
        <v>1</v>
      </c>
      <c r="G182" s="160">
        <v>0.5</v>
      </c>
      <c r="H182" s="160">
        <v>0.75</v>
      </c>
      <c r="I182" s="159">
        <v>0.75</v>
      </c>
      <c r="J182" s="160">
        <v>1</v>
      </c>
      <c r="K182" s="159">
        <v>1</v>
      </c>
      <c r="L182" s="210">
        <f t="shared" si="4"/>
        <v>0.68104464285714283</v>
      </c>
      <c r="M182" s="210">
        <f t="shared" si="5"/>
        <v>0.68104464285714283</v>
      </c>
    </row>
    <row r="183" spans="1:13" x14ac:dyDescent="0.25">
      <c r="A183" s="158">
        <v>796</v>
      </c>
      <c r="B183" s="158">
        <v>8</v>
      </c>
      <c r="C183" s="181" t="s">
        <v>483</v>
      </c>
      <c r="D183" s="159">
        <v>0.5</v>
      </c>
      <c r="E183" s="160">
        <v>0</v>
      </c>
      <c r="F183" s="160">
        <v>0</v>
      </c>
      <c r="G183" s="160">
        <v>0.5</v>
      </c>
      <c r="H183" s="160">
        <v>0.5</v>
      </c>
      <c r="I183" s="159">
        <v>0</v>
      </c>
      <c r="J183" s="160">
        <v>0</v>
      </c>
      <c r="K183" s="159">
        <v>0.5</v>
      </c>
      <c r="L183" s="210">
        <f t="shared" si="4"/>
        <v>0.30553571428571424</v>
      </c>
      <c r="M183" s="210">
        <f t="shared" si="5"/>
        <v>0.30553571428571424</v>
      </c>
    </row>
    <row r="184" spans="1:13" x14ac:dyDescent="0.25">
      <c r="A184" s="158">
        <v>797</v>
      </c>
      <c r="B184" s="158">
        <v>8</v>
      </c>
      <c r="C184" s="181" t="s">
        <v>484</v>
      </c>
      <c r="D184" s="159">
        <v>0</v>
      </c>
      <c r="E184" s="160">
        <v>0</v>
      </c>
      <c r="F184" s="160">
        <v>0</v>
      </c>
      <c r="G184" s="160">
        <v>0.5</v>
      </c>
      <c r="H184" s="160">
        <v>0</v>
      </c>
      <c r="I184" s="159">
        <v>0</v>
      </c>
      <c r="J184" s="160">
        <v>0</v>
      </c>
      <c r="K184" s="159">
        <v>0.5</v>
      </c>
      <c r="L184" s="210">
        <f t="shared" si="4"/>
        <v>0.13926785714285714</v>
      </c>
      <c r="M184" s="210">
        <f t="shared" si="5"/>
        <v>0.13926785714285714</v>
      </c>
    </row>
    <row r="185" spans="1:13" x14ac:dyDescent="0.25">
      <c r="A185" s="158">
        <v>801</v>
      </c>
      <c r="B185" s="158">
        <v>8</v>
      </c>
      <c r="C185" s="181" t="s">
        <v>485</v>
      </c>
      <c r="D185" s="159">
        <v>0.66666666666666663</v>
      </c>
      <c r="E185" s="160">
        <v>1</v>
      </c>
      <c r="F185" s="160">
        <v>0.25</v>
      </c>
      <c r="G185" s="160">
        <v>0.75</v>
      </c>
      <c r="H185" s="160">
        <v>0.5</v>
      </c>
      <c r="I185" s="159">
        <v>0.5</v>
      </c>
      <c r="J185" s="160">
        <v>0.83333333333333337</v>
      </c>
      <c r="K185" s="159">
        <v>0.5</v>
      </c>
      <c r="L185" s="210">
        <f t="shared" si="4"/>
        <v>0.62729464285714287</v>
      </c>
      <c r="M185" s="210">
        <f t="shared" si="5"/>
        <v>0.62729464285714287</v>
      </c>
    </row>
    <row r="186" spans="1:13" x14ac:dyDescent="0.25">
      <c r="A186" s="158">
        <v>806</v>
      </c>
      <c r="B186" s="158">
        <v>6</v>
      </c>
      <c r="C186" s="181" t="s">
        <v>378</v>
      </c>
      <c r="D186" s="159">
        <v>0.16666666666666666</v>
      </c>
      <c r="E186" s="160">
        <v>0</v>
      </c>
      <c r="F186" s="160">
        <v>0</v>
      </c>
      <c r="G186" s="160">
        <v>0.5</v>
      </c>
      <c r="H186" s="160">
        <v>0</v>
      </c>
      <c r="I186" s="159">
        <v>0</v>
      </c>
      <c r="J186" s="160">
        <v>0</v>
      </c>
      <c r="K186" s="159">
        <v>1</v>
      </c>
      <c r="L186" s="210">
        <f t="shared" si="4"/>
        <v>0.22310119047619048</v>
      </c>
      <c r="M186" s="210">
        <f t="shared" si="5"/>
        <v>0.22310119047619048</v>
      </c>
    </row>
    <row r="187" spans="1:13" x14ac:dyDescent="0.25">
      <c r="A187" s="158">
        <v>809</v>
      </c>
      <c r="B187" s="158">
        <v>6</v>
      </c>
      <c r="C187" s="181" t="s">
        <v>563</v>
      </c>
      <c r="D187" s="159">
        <v>1</v>
      </c>
      <c r="E187" s="160">
        <v>0.66666666666666663</v>
      </c>
      <c r="F187" s="160">
        <v>0.5</v>
      </c>
      <c r="G187" s="160">
        <v>0.5</v>
      </c>
      <c r="H187" s="160">
        <v>0</v>
      </c>
      <c r="I187" s="159">
        <v>0.75</v>
      </c>
      <c r="J187" s="160">
        <v>0.83333333333333337</v>
      </c>
      <c r="K187" s="159">
        <v>0.5</v>
      </c>
      <c r="L187" s="210">
        <f t="shared" si="4"/>
        <v>0.57920535714285715</v>
      </c>
      <c r="M187" s="210">
        <f t="shared" si="5"/>
        <v>0.57920535714285715</v>
      </c>
    </row>
    <row r="188" spans="1:13" x14ac:dyDescent="0.25">
      <c r="A188" s="158">
        <v>810</v>
      </c>
      <c r="B188" s="158">
        <v>8</v>
      </c>
      <c r="C188" s="180" t="s">
        <v>486</v>
      </c>
      <c r="D188" s="159">
        <v>1</v>
      </c>
      <c r="E188" s="160">
        <v>0.83333333333333337</v>
      </c>
      <c r="F188" s="160">
        <v>0.75</v>
      </c>
      <c r="G188" s="160">
        <v>0.75</v>
      </c>
      <c r="H188" s="160">
        <v>0.25</v>
      </c>
      <c r="I188" s="159">
        <v>0</v>
      </c>
      <c r="J188" s="160">
        <v>0.83333333333333337</v>
      </c>
      <c r="K188" s="159">
        <v>0.5</v>
      </c>
      <c r="L188" s="210">
        <f t="shared" si="4"/>
        <v>0.61243154761904761</v>
      </c>
      <c r="M188" s="210">
        <f t="shared" si="5"/>
        <v>0.61243154761904761</v>
      </c>
    </row>
    <row r="189" spans="1:13" x14ac:dyDescent="0.25">
      <c r="A189" s="158">
        <v>811</v>
      </c>
      <c r="B189" s="158">
        <v>6</v>
      </c>
      <c r="C189" s="181" t="s">
        <v>379</v>
      </c>
      <c r="D189" s="159">
        <v>0</v>
      </c>
      <c r="E189" s="160">
        <v>1</v>
      </c>
      <c r="F189" s="160">
        <v>1</v>
      </c>
      <c r="G189" s="160">
        <v>0.5</v>
      </c>
      <c r="H189" s="160">
        <v>0.5</v>
      </c>
      <c r="I189" s="159">
        <v>1</v>
      </c>
      <c r="J189" s="160">
        <v>0.83333333333333337</v>
      </c>
      <c r="K189" s="159">
        <v>0.5</v>
      </c>
      <c r="L189" s="210">
        <f t="shared" si="4"/>
        <v>0.59270238095238093</v>
      </c>
      <c r="M189" s="210">
        <f t="shared" si="5"/>
        <v>0.59270238095238093</v>
      </c>
    </row>
    <row r="190" spans="1:13" x14ac:dyDescent="0.25">
      <c r="A190" s="158">
        <v>812</v>
      </c>
      <c r="B190" s="158">
        <v>8</v>
      </c>
      <c r="C190" s="181" t="s">
        <v>487</v>
      </c>
      <c r="D190" s="159">
        <v>1</v>
      </c>
      <c r="E190" s="160">
        <v>0</v>
      </c>
      <c r="F190" s="160">
        <v>0.25</v>
      </c>
      <c r="G190" s="160">
        <v>0.75</v>
      </c>
      <c r="H190" s="160">
        <v>0</v>
      </c>
      <c r="I190" s="159">
        <v>1</v>
      </c>
      <c r="J190" s="160">
        <v>0.83333333333333337</v>
      </c>
      <c r="K190" s="159">
        <v>0.5</v>
      </c>
      <c r="L190" s="210">
        <f t="shared" si="4"/>
        <v>0.5734434523809524</v>
      </c>
      <c r="M190" s="210">
        <f t="shared" si="5"/>
        <v>0.5734434523809524</v>
      </c>
    </row>
    <row r="191" spans="1:13" x14ac:dyDescent="0.25">
      <c r="A191" s="158">
        <v>818</v>
      </c>
      <c r="B191" s="158">
        <v>8</v>
      </c>
      <c r="C191" s="181" t="s">
        <v>488</v>
      </c>
      <c r="D191" s="159">
        <v>0</v>
      </c>
      <c r="E191" s="160">
        <v>0</v>
      </c>
      <c r="F191" s="160">
        <v>0</v>
      </c>
      <c r="G191" s="160">
        <v>0</v>
      </c>
      <c r="H191" s="160">
        <v>1</v>
      </c>
      <c r="I191" s="159">
        <v>0</v>
      </c>
      <c r="J191" s="160">
        <v>0</v>
      </c>
      <c r="K191" s="159">
        <v>0.5</v>
      </c>
      <c r="L191" s="210">
        <f t="shared" si="4"/>
        <v>0.22241071428571429</v>
      </c>
      <c r="M191" s="210">
        <f t="shared" si="5"/>
        <v>0.22241071428571429</v>
      </c>
    </row>
    <row r="192" spans="1:13" x14ac:dyDescent="0.25">
      <c r="A192" s="158">
        <v>824</v>
      </c>
      <c r="B192" s="158">
        <v>6</v>
      </c>
      <c r="C192" s="181" t="s">
        <v>380</v>
      </c>
      <c r="D192" s="159">
        <v>0.5</v>
      </c>
      <c r="E192" s="160">
        <v>0</v>
      </c>
      <c r="F192" s="160">
        <v>0</v>
      </c>
      <c r="G192" s="160">
        <v>0.5</v>
      </c>
      <c r="H192" s="160">
        <v>0</v>
      </c>
      <c r="I192" s="159">
        <v>0</v>
      </c>
      <c r="J192" s="160">
        <v>0</v>
      </c>
      <c r="K192" s="159">
        <v>1</v>
      </c>
      <c r="L192" s="210">
        <f t="shared" si="4"/>
        <v>0.27851785714285715</v>
      </c>
      <c r="M192" s="210">
        <f t="shared" si="5"/>
        <v>0.27851785714285715</v>
      </c>
    </row>
    <row r="193" spans="1:13" x14ac:dyDescent="0.25">
      <c r="A193" s="158">
        <v>826</v>
      </c>
      <c r="B193" s="158">
        <v>6</v>
      </c>
      <c r="C193" s="181" t="s">
        <v>381</v>
      </c>
      <c r="D193" s="159">
        <v>0.66666666666666663</v>
      </c>
      <c r="E193" s="160">
        <v>1</v>
      </c>
      <c r="F193" s="160">
        <v>0.375</v>
      </c>
      <c r="G193" s="160">
        <v>1</v>
      </c>
      <c r="H193" s="160">
        <v>0.25</v>
      </c>
      <c r="I193" s="159">
        <v>0</v>
      </c>
      <c r="J193" s="160">
        <v>0</v>
      </c>
      <c r="K193" s="159">
        <v>1</v>
      </c>
      <c r="L193" s="210">
        <f t="shared" si="4"/>
        <v>0.54403422619047614</v>
      </c>
      <c r="M193" s="210">
        <f t="shared" si="5"/>
        <v>0.54403422619047614</v>
      </c>
    </row>
    <row r="194" spans="1:13" x14ac:dyDescent="0.25">
      <c r="A194" s="158">
        <v>830</v>
      </c>
      <c r="B194" s="158">
        <v>9</v>
      </c>
      <c r="C194" s="181" t="s">
        <v>536</v>
      </c>
      <c r="D194" s="159">
        <v>0</v>
      </c>
      <c r="E194" s="160">
        <v>0</v>
      </c>
      <c r="F194" s="160">
        <v>0.25</v>
      </c>
      <c r="G194" s="160">
        <v>0.5</v>
      </c>
      <c r="H194" s="160">
        <v>0</v>
      </c>
      <c r="I194" s="159">
        <v>0</v>
      </c>
      <c r="J194" s="160">
        <v>0</v>
      </c>
      <c r="K194" s="159">
        <v>0.5</v>
      </c>
      <c r="L194" s="210">
        <f t="shared" si="4"/>
        <v>0.15983035714285715</v>
      </c>
      <c r="M194" s="210">
        <f t="shared" si="5"/>
        <v>0.15983035714285715</v>
      </c>
    </row>
    <row r="195" spans="1:13" x14ac:dyDescent="0.25">
      <c r="A195" s="158">
        <v>833</v>
      </c>
      <c r="B195" s="158">
        <v>8</v>
      </c>
      <c r="C195" s="181" t="s">
        <v>489</v>
      </c>
      <c r="D195" s="159">
        <v>0.66666666666666663</v>
      </c>
      <c r="E195" s="160">
        <v>0</v>
      </c>
      <c r="F195" s="160">
        <v>0</v>
      </c>
      <c r="G195" s="160">
        <v>0</v>
      </c>
      <c r="H195" s="160">
        <v>0.5</v>
      </c>
      <c r="I195" s="159">
        <v>0</v>
      </c>
      <c r="J195" s="160">
        <v>0</v>
      </c>
      <c r="K195" s="159">
        <v>0.5</v>
      </c>
      <c r="L195" s="210">
        <f t="shared" si="4"/>
        <v>0.25010119047619045</v>
      </c>
      <c r="M195" s="210">
        <f t="shared" si="5"/>
        <v>0.25010119047619045</v>
      </c>
    </row>
    <row r="196" spans="1:13" x14ac:dyDescent="0.25">
      <c r="A196" s="158">
        <v>834</v>
      </c>
      <c r="B196" s="158">
        <v>8</v>
      </c>
      <c r="C196" s="181" t="s">
        <v>490</v>
      </c>
      <c r="D196" s="159">
        <v>1</v>
      </c>
      <c r="E196" s="160">
        <v>1</v>
      </c>
      <c r="F196" s="160">
        <v>0.25</v>
      </c>
      <c r="G196" s="160">
        <v>0.75</v>
      </c>
      <c r="H196" s="160">
        <v>0.75</v>
      </c>
      <c r="I196" s="159">
        <v>0</v>
      </c>
      <c r="J196" s="160">
        <v>0.83333333333333337</v>
      </c>
      <c r="K196" s="159">
        <v>0.5</v>
      </c>
      <c r="L196" s="210">
        <f t="shared" si="4"/>
        <v>0.66815773809523804</v>
      </c>
      <c r="M196" s="210">
        <f t="shared" si="5"/>
        <v>0.66815773809523804</v>
      </c>
    </row>
    <row r="197" spans="1:13" x14ac:dyDescent="0.25">
      <c r="A197" s="158">
        <v>837</v>
      </c>
      <c r="B197" s="158">
        <v>8</v>
      </c>
      <c r="C197" s="181" t="s">
        <v>491</v>
      </c>
      <c r="D197" s="159">
        <v>1</v>
      </c>
      <c r="E197" s="160">
        <v>0</v>
      </c>
      <c r="F197" s="160">
        <v>0.25</v>
      </c>
      <c r="G197" s="160">
        <v>0.75</v>
      </c>
      <c r="H197" s="160">
        <v>0.75</v>
      </c>
      <c r="I197" s="159">
        <v>0</v>
      </c>
      <c r="J197" s="160">
        <v>0.83333333333333337</v>
      </c>
      <c r="K197" s="159">
        <v>0.5</v>
      </c>
      <c r="L197" s="210">
        <f t="shared" ref="L197:L252" si="6">D197*D$2+E197*E$2+F197*F$2+G197*G$2+H197*H$2+I197*I$2+J197*J$2+K197*K$2</f>
        <v>0.58590773809523811</v>
      </c>
      <c r="M197" s="210">
        <f t="shared" ref="M197:M252" si="7">IF(L197&gt;1,1,L197)</f>
        <v>0.58590773809523811</v>
      </c>
    </row>
    <row r="198" spans="1:13" x14ac:dyDescent="0.25">
      <c r="A198" s="158">
        <v>840</v>
      </c>
      <c r="B198" s="158">
        <v>6</v>
      </c>
      <c r="C198" s="181" t="s">
        <v>382</v>
      </c>
      <c r="D198" s="159">
        <v>0.83333333333333337</v>
      </c>
      <c r="E198" s="160">
        <v>1</v>
      </c>
      <c r="F198" s="160">
        <v>0</v>
      </c>
      <c r="G198" s="160">
        <v>0.5</v>
      </c>
      <c r="H198" s="160">
        <v>0.5</v>
      </c>
      <c r="I198" s="159">
        <v>0</v>
      </c>
      <c r="J198" s="160">
        <v>0.33333333333333331</v>
      </c>
      <c r="K198" s="159">
        <v>0.5</v>
      </c>
      <c r="L198" s="210">
        <f t="shared" si="6"/>
        <v>0.48061904761904756</v>
      </c>
      <c r="M198" s="210">
        <f t="shared" si="7"/>
        <v>0.48061904761904756</v>
      </c>
    </row>
    <row r="199" spans="1:13" x14ac:dyDescent="0.25">
      <c r="A199" s="158">
        <v>843</v>
      </c>
      <c r="B199" s="158">
        <v>6</v>
      </c>
      <c r="C199" s="181" t="s">
        <v>383</v>
      </c>
      <c r="D199" s="159">
        <v>0.5</v>
      </c>
      <c r="E199" s="160">
        <v>0</v>
      </c>
      <c r="F199" s="160">
        <v>0</v>
      </c>
      <c r="G199" s="160">
        <v>0</v>
      </c>
      <c r="H199" s="160">
        <v>0</v>
      </c>
      <c r="I199" s="159">
        <v>0</v>
      </c>
      <c r="J199" s="160">
        <v>0</v>
      </c>
      <c r="K199" s="159">
        <v>1</v>
      </c>
      <c r="L199" s="210">
        <f t="shared" si="6"/>
        <v>0.19537500000000002</v>
      </c>
      <c r="M199" s="210">
        <f t="shared" si="7"/>
        <v>0.19537500000000002</v>
      </c>
    </row>
    <row r="200" spans="1:13" x14ac:dyDescent="0.25">
      <c r="A200" s="158">
        <v>845</v>
      </c>
      <c r="B200" s="158">
        <v>8</v>
      </c>
      <c r="C200" s="181" t="s">
        <v>564</v>
      </c>
      <c r="D200" s="159">
        <v>0.5</v>
      </c>
      <c r="E200" s="160">
        <v>1</v>
      </c>
      <c r="F200" s="160">
        <v>0</v>
      </c>
      <c r="G200" s="160">
        <v>0</v>
      </c>
      <c r="H200" s="160">
        <v>0</v>
      </c>
      <c r="I200" s="159">
        <v>0.5</v>
      </c>
      <c r="J200" s="160">
        <v>0</v>
      </c>
      <c r="K200" s="159">
        <v>0</v>
      </c>
      <c r="L200" s="210">
        <f t="shared" si="6"/>
        <v>0.2215</v>
      </c>
      <c r="M200" s="210">
        <f t="shared" si="7"/>
        <v>0.2215</v>
      </c>
    </row>
    <row r="201" spans="1:13" x14ac:dyDescent="0.25">
      <c r="A201" s="158">
        <v>846</v>
      </c>
      <c r="B201" s="158">
        <v>6</v>
      </c>
      <c r="C201" s="181" t="s">
        <v>384</v>
      </c>
      <c r="D201" s="159">
        <v>0.5</v>
      </c>
      <c r="E201" s="160">
        <v>0</v>
      </c>
      <c r="F201" s="160">
        <v>0</v>
      </c>
      <c r="G201" s="160">
        <v>0.25</v>
      </c>
      <c r="H201" s="160">
        <v>0</v>
      </c>
      <c r="I201" s="159">
        <v>0</v>
      </c>
      <c r="J201" s="160">
        <v>0</v>
      </c>
      <c r="K201" s="159">
        <v>1</v>
      </c>
      <c r="L201" s="210">
        <f t="shared" si="6"/>
        <v>0.23694642857142856</v>
      </c>
      <c r="M201" s="210">
        <f t="shared" si="7"/>
        <v>0.23694642857142856</v>
      </c>
    </row>
    <row r="202" spans="1:13" x14ac:dyDescent="0.25">
      <c r="A202" s="158">
        <v>847</v>
      </c>
      <c r="B202" s="158">
        <v>8</v>
      </c>
      <c r="C202" s="181" t="s">
        <v>492</v>
      </c>
      <c r="D202" s="159">
        <v>0.66666666666666663</v>
      </c>
      <c r="E202" s="160">
        <v>0</v>
      </c>
      <c r="F202" s="160">
        <v>0</v>
      </c>
      <c r="G202" s="160">
        <v>0.75</v>
      </c>
      <c r="H202" s="160">
        <v>0</v>
      </c>
      <c r="I202" s="159">
        <v>0</v>
      </c>
      <c r="J202" s="160">
        <v>0.33333333333333331</v>
      </c>
      <c r="K202" s="159">
        <v>0.5</v>
      </c>
      <c r="L202" s="210">
        <f t="shared" si="6"/>
        <v>0.3290892857142857</v>
      </c>
      <c r="M202" s="210">
        <f t="shared" si="7"/>
        <v>0.3290892857142857</v>
      </c>
    </row>
    <row r="203" spans="1:13" x14ac:dyDescent="0.25">
      <c r="A203" s="158">
        <v>854</v>
      </c>
      <c r="B203" s="158">
        <v>7</v>
      </c>
      <c r="C203" s="181" t="s">
        <v>449</v>
      </c>
      <c r="D203" s="159">
        <v>1</v>
      </c>
      <c r="E203" s="160">
        <v>0.66666666666666663</v>
      </c>
      <c r="F203" s="160">
        <v>0.875</v>
      </c>
      <c r="G203" s="160">
        <v>0.5</v>
      </c>
      <c r="H203" s="160">
        <v>0.5</v>
      </c>
      <c r="I203" s="159">
        <v>0.66666666666666663</v>
      </c>
      <c r="J203" s="160">
        <v>0.83333333333333337</v>
      </c>
      <c r="K203" s="159">
        <v>1</v>
      </c>
      <c r="L203" s="210">
        <f t="shared" si="6"/>
        <v>0.73996279761904749</v>
      </c>
      <c r="M203" s="210">
        <f t="shared" si="7"/>
        <v>0.73996279761904749</v>
      </c>
    </row>
    <row r="204" spans="1:13" x14ac:dyDescent="0.25">
      <c r="A204" s="158">
        <v>855</v>
      </c>
      <c r="B204" s="158">
        <v>7</v>
      </c>
      <c r="C204" s="181" t="s">
        <v>450</v>
      </c>
      <c r="D204" s="159">
        <v>0.66666666666666663</v>
      </c>
      <c r="E204" s="160">
        <v>0.66666666666666663</v>
      </c>
      <c r="F204" s="160">
        <v>0.875</v>
      </c>
      <c r="G204" s="160">
        <v>0.25</v>
      </c>
      <c r="H204" s="160">
        <v>0.25</v>
      </c>
      <c r="I204" s="159">
        <v>0.5</v>
      </c>
      <c r="J204" s="160">
        <v>0.83333333333333337</v>
      </c>
      <c r="K204" s="159">
        <v>1</v>
      </c>
      <c r="L204" s="210">
        <f t="shared" si="6"/>
        <v>0.58269494047619053</v>
      </c>
      <c r="M204" s="210">
        <f t="shared" si="7"/>
        <v>0.58269494047619053</v>
      </c>
    </row>
    <row r="205" spans="1:13" x14ac:dyDescent="0.25">
      <c r="A205" s="158">
        <v>862</v>
      </c>
      <c r="B205" s="158">
        <v>7</v>
      </c>
      <c r="C205" s="181" t="s">
        <v>451</v>
      </c>
      <c r="D205" s="159">
        <v>0.33333333333333331</v>
      </c>
      <c r="E205" s="160">
        <v>0</v>
      </c>
      <c r="F205" s="160">
        <v>0</v>
      </c>
      <c r="G205" s="160">
        <v>0</v>
      </c>
      <c r="H205" s="160">
        <v>1</v>
      </c>
      <c r="I205" s="159">
        <v>0</v>
      </c>
      <c r="J205" s="160">
        <v>0</v>
      </c>
      <c r="K205" s="159">
        <v>1</v>
      </c>
      <c r="L205" s="210">
        <f t="shared" si="6"/>
        <v>0.33395238095238095</v>
      </c>
      <c r="M205" s="210">
        <f t="shared" si="7"/>
        <v>0.33395238095238095</v>
      </c>
    </row>
    <row r="206" spans="1:13" x14ac:dyDescent="0.25">
      <c r="A206" s="158">
        <v>866</v>
      </c>
      <c r="B206" s="158">
        <v>8</v>
      </c>
      <c r="C206" s="181" t="s">
        <v>493</v>
      </c>
      <c r="D206" s="159">
        <v>1</v>
      </c>
      <c r="E206" s="160">
        <v>0.5</v>
      </c>
      <c r="F206" s="160">
        <v>0.5</v>
      </c>
      <c r="G206" s="160">
        <v>0.75</v>
      </c>
      <c r="H206" s="160">
        <v>1</v>
      </c>
      <c r="I206" s="159">
        <v>0</v>
      </c>
      <c r="J206" s="160">
        <v>0.83333333333333337</v>
      </c>
      <c r="K206" s="159">
        <v>0.5</v>
      </c>
      <c r="L206" s="210">
        <f t="shared" si="6"/>
        <v>0.68916666666666659</v>
      </c>
      <c r="M206" s="210">
        <f t="shared" si="7"/>
        <v>0.68916666666666659</v>
      </c>
    </row>
    <row r="207" spans="1:13" x14ac:dyDescent="0.25">
      <c r="A207" s="158">
        <v>871</v>
      </c>
      <c r="B207" s="158">
        <v>8</v>
      </c>
      <c r="C207" s="181" t="s">
        <v>494</v>
      </c>
      <c r="D207" s="159">
        <v>0</v>
      </c>
      <c r="E207" s="160">
        <v>0.33333333333333331</v>
      </c>
      <c r="F207" s="160">
        <v>0</v>
      </c>
      <c r="G207" s="160">
        <v>0</v>
      </c>
      <c r="H207" s="160">
        <v>0.5</v>
      </c>
      <c r="I207" s="159">
        <v>0</v>
      </c>
      <c r="J207" s="160">
        <v>0.5</v>
      </c>
      <c r="K207" s="159">
        <v>0.5</v>
      </c>
      <c r="L207" s="210">
        <f t="shared" si="6"/>
        <v>0.22280952380952382</v>
      </c>
      <c r="M207" s="210">
        <f t="shared" si="7"/>
        <v>0.22280952380952382</v>
      </c>
    </row>
    <row r="208" spans="1:13" x14ac:dyDescent="0.25">
      <c r="A208" s="158">
        <v>873</v>
      </c>
      <c r="B208" s="158">
        <v>8</v>
      </c>
      <c r="C208" s="181" t="s">
        <v>495</v>
      </c>
      <c r="D208" s="159">
        <v>0.83333333333333337</v>
      </c>
      <c r="E208" s="160">
        <v>0</v>
      </c>
      <c r="F208" s="160">
        <v>0.5</v>
      </c>
      <c r="G208" s="160">
        <v>0</v>
      </c>
      <c r="H208" s="160">
        <v>1</v>
      </c>
      <c r="I208" s="159">
        <v>0.16500000000000001</v>
      </c>
      <c r="J208" s="160">
        <v>0.5</v>
      </c>
      <c r="K208" s="159">
        <v>0.5</v>
      </c>
      <c r="L208" s="210">
        <f t="shared" si="6"/>
        <v>0.47672363095238091</v>
      </c>
      <c r="M208" s="210">
        <f t="shared" si="7"/>
        <v>0.47672363095238091</v>
      </c>
    </row>
    <row r="209" spans="1:13" x14ac:dyDescent="0.25">
      <c r="A209" s="158">
        <v>878</v>
      </c>
      <c r="B209" s="158">
        <v>4</v>
      </c>
      <c r="C209" s="181" t="s">
        <v>332</v>
      </c>
      <c r="D209" s="159">
        <v>1</v>
      </c>
      <c r="E209" s="160">
        <v>1</v>
      </c>
      <c r="F209" s="160">
        <v>0.875</v>
      </c>
      <c r="G209" s="160">
        <v>0.5</v>
      </c>
      <c r="H209" s="160">
        <v>1</v>
      </c>
      <c r="I209" s="159">
        <v>1</v>
      </c>
      <c r="J209" s="160">
        <v>1</v>
      </c>
      <c r="K209" s="159">
        <v>1</v>
      </c>
      <c r="L209" s="210">
        <f t="shared" si="6"/>
        <v>0.9066473214285713</v>
      </c>
      <c r="M209" s="210">
        <f t="shared" si="7"/>
        <v>0.9066473214285713</v>
      </c>
    </row>
    <row r="210" spans="1:13" x14ac:dyDescent="0.25">
      <c r="A210" s="158">
        <v>885</v>
      </c>
      <c r="B210" s="158">
        <v>5</v>
      </c>
      <c r="C210" s="181" t="s">
        <v>351</v>
      </c>
      <c r="D210" s="159">
        <v>0.83333333333333337</v>
      </c>
      <c r="E210" s="160">
        <v>0</v>
      </c>
      <c r="F210" s="160">
        <v>0</v>
      </c>
      <c r="G210" s="160">
        <v>0.5</v>
      </c>
      <c r="H210" s="160">
        <v>0.75</v>
      </c>
      <c r="I210" s="159">
        <v>0</v>
      </c>
      <c r="J210" s="160">
        <v>0.33333333333333331</v>
      </c>
      <c r="K210" s="159">
        <v>1</v>
      </c>
      <c r="L210" s="210">
        <f t="shared" si="6"/>
        <v>0.4960654761904762</v>
      </c>
      <c r="M210" s="210">
        <f t="shared" si="7"/>
        <v>0.4960654761904762</v>
      </c>
    </row>
    <row r="211" spans="1:13" x14ac:dyDescent="0.25">
      <c r="A211" s="158">
        <v>888</v>
      </c>
      <c r="B211" s="158">
        <v>6</v>
      </c>
      <c r="C211" s="181" t="s">
        <v>385</v>
      </c>
      <c r="D211" s="159">
        <v>1</v>
      </c>
      <c r="E211" s="160">
        <v>0</v>
      </c>
      <c r="F211" s="160">
        <v>0.375</v>
      </c>
      <c r="G211" s="160">
        <v>0.25</v>
      </c>
      <c r="H211" s="160">
        <v>0.75</v>
      </c>
      <c r="I211" s="159">
        <v>0</v>
      </c>
      <c r="J211" s="160">
        <v>0.66666666666666663</v>
      </c>
      <c r="K211" s="159">
        <v>0.5</v>
      </c>
      <c r="L211" s="210">
        <f t="shared" si="6"/>
        <v>0.49433779761904761</v>
      </c>
      <c r="M211" s="210">
        <f t="shared" si="7"/>
        <v>0.49433779761904761</v>
      </c>
    </row>
    <row r="212" spans="1:13" x14ac:dyDescent="0.25">
      <c r="A212" s="158">
        <v>889</v>
      </c>
      <c r="B212" s="158">
        <v>6</v>
      </c>
      <c r="C212" s="181" t="s">
        <v>386</v>
      </c>
      <c r="D212" s="159">
        <v>1</v>
      </c>
      <c r="E212" s="160">
        <v>0.83333333333333337</v>
      </c>
      <c r="F212" s="160">
        <v>0.5</v>
      </c>
      <c r="G212" s="160">
        <v>0</v>
      </c>
      <c r="H212" s="160">
        <v>0</v>
      </c>
      <c r="I212" s="159">
        <v>0.625</v>
      </c>
      <c r="J212" s="160">
        <v>0.83333333333333337</v>
      </c>
      <c r="K212" s="159">
        <v>0.5</v>
      </c>
      <c r="L212" s="210">
        <f t="shared" si="6"/>
        <v>0.4957395833333334</v>
      </c>
      <c r="M212" s="210">
        <f t="shared" si="7"/>
        <v>0.4957395833333334</v>
      </c>
    </row>
    <row r="213" spans="1:13" x14ac:dyDescent="0.25">
      <c r="A213" s="158">
        <v>891</v>
      </c>
      <c r="B213" s="158">
        <v>6</v>
      </c>
      <c r="C213" s="181" t="s">
        <v>387</v>
      </c>
      <c r="D213" s="159">
        <v>0.16666666666666666</v>
      </c>
      <c r="E213" s="160">
        <v>0</v>
      </c>
      <c r="F213" s="160">
        <v>0</v>
      </c>
      <c r="G213" s="160">
        <v>1</v>
      </c>
      <c r="H213" s="160">
        <v>1</v>
      </c>
      <c r="I213" s="159">
        <v>0</v>
      </c>
      <c r="J213" s="160">
        <v>0</v>
      </c>
      <c r="K213" s="159">
        <v>1</v>
      </c>
      <c r="L213" s="210">
        <f t="shared" si="6"/>
        <v>0.47252976190476192</v>
      </c>
      <c r="M213" s="210">
        <f t="shared" si="7"/>
        <v>0.47252976190476192</v>
      </c>
    </row>
    <row r="214" spans="1:13" x14ac:dyDescent="0.25">
      <c r="A214" s="158">
        <v>895</v>
      </c>
      <c r="B214" s="158">
        <v>8</v>
      </c>
      <c r="C214" s="181" t="s">
        <v>496</v>
      </c>
      <c r="D214" s="159">
        <v>0</v>
      </c>
      <c r="E214" s="160">
        <v>0</v>
      </c>
      <c r="F214" s="160">
        <v>0</v>
      </c>
      <c r="G214" s="160">
        <v>0</v>
      </c>
      <c r="H214" s="160">
        <v>1</v>
      </c>
      <c r="I214" s="159">
        <v>0</v>
      </c>
      <c r="J214" s="160">
        <v>0</v>
      </c>
      <c r="K214" s="159">
        <v>0</v>
      </c>
      <c r="L214" s="210">
        <f t="shared" si="6"/>
        <v>0.16628571428571429</v>
      </c>
      <c r="M214" s="210">
        <f t="shared" si="7"/>
        <v>0.16628571428571429</v>
      </c>
    </row>
    <row r="215" spans="1:13" x14ac:dyDescent="0.25">
      <c r="A215" s="158">
        <v>897</v>
      </c>
      <c r="B215" s="158">
        <v>6</v>
      </c>
      <c r="C215" s="181" t="s">
        <v>497</v>
      </c>
      <c r="D215" s="159">
        <v>1</v>
      </c>
      <c r="E215" s="160">
        <v>0.66666666666666663</v>
      </c>
      <c r="F215" s="160">
        <v>0.5</v>
      </c>
      <c r="G215" s="160">
        <v>0</v>
      </c>
      <c r="H215" s="160">
        <v>0</v>
      </c>
      <c r="I215" s="159">
        <v>1</v>
      </c>
      <c r="J215" s="160">
        <v>0</v>
      </c>
      <c r="K215" s="159">
        <v>1</v>
      </c>
      <c r="L215" s="210">
        <f t="shared" si="6"/>
        <v>0.48670833333333341</v>
      </c>
      <c r="M215" s="210">
        <f t="shared" si="7"/>
        <v>0.48670833333333341</v>
      </c>
    </row>
    <row r="216" spans="1:13" x14ac:dyDescent="0.25">
      <c r="A216" s="158">
        <v>904</v>
      </c>
      <c r="B216" s="158">
        <v>6</v>
      </c>
      <c r="C216" s="181" t="s">
        <v>388</v>
      </c>
      <c r="D216" s="159">
        <v>0</v>
      </c>
      <c r="E216" s="160">
        <v>0</v>
      </c>
      <c r="F216" s="160">
        <v>0.125</v>
      </c>
      <c r="G216" s="160">
        <v>0</v>
      </c>
      <c r="H216" s="160">
        <v>0.5</v>
      </c>
      <c r="I216" s="159">
        <v>0</v>
      </c>
      <c r="J216" s="160">
        <v>0</v>
      </c>
      <c r="K216" s="159">
        <v>0</v>
      </c>
      <c r="L216" s="210">
        <f t="shared" si="6"/>
        <v>9.3424107142857149E-2</v>
      </c>
      <c r="M216" s="210">
        <f t="shared" si="7"/>
        <v>9.3424107142857149E-2</v>
      </c>
    </row>
    <row r="217" spans="1:13" x14ac:dyDescent="0.25">
      <c r="A217" s="158">
        <v>905</v>
      </c>
      <c r="B217" s="158">
        <v>8</v>
      </c>
      <c r="C217" s="181" t="s">
        <v>498</v>
      </c>
      <c r="D217" s="159">
        <v>0.33333333333333331</v>
      </c>
      <c r="E217" s="160">
        <v>0</v>
      </c>
      <c r="F217" s="160">
        <v>0</v>
      </c>
      <c r="G217" s="160">
        <v>0</v>
      </c>
      <c r="H217" s="160">
        <v>0.75</v>
      </c>
      <c r="I217" s="159">
        <v>0</v>
      </c>
      <c r="J217" s="160">
        <v>0</v>
      </c>
      <c r="K217" s="159">
        <v>0.5</v>
      </c>
      <c r="L217" s="210">
        <f t="shared" si="6"/>
        <v>0.2362559523809524</v>
      </c>
      <c r="M217" s="210">
        <f t="shared" si="7"/>
        <v>0.2362559523809524</v>
      </c>
    </row>
    <row r="218" spans="1:13" x14ac:dyDescent="0.25">
      <c r="A218" s="158">
        <v>906</v>
      </c>
      <c r="B218" s="158">
        <v>6</v>
      </c>
      <c r="C218" s="181" t="s">
        <v>565</v>
      </c>
      <c r="D218" s="159">
        <v>1</v>
      </c>
      <c r="E218" s="160">
        <v>1</v>
      </c>
      <c r="F218" s="160">
        <v>1</v>
      </c>
      <c r="G218" s="160">
        <v>0</v>
      </c>
      <c r="H218" s="160">
        <v>0</v>
      </c>
      <c r="I218" s="159">
        <v>1</v>
      </c>
      <c r="J218" s="160">
        <v>1</v>
      </c>
      <c r="K218" s="159">
        <v>1</v>
      </c>
      <c r="L218" s="210">
        <f t="shared" si="6"/>
        <v>0.66749999999999998</v>
      </c>
      <c r="M218" s="210">
        <f t="shared" si="7"/>
        <v>0.66749999999999998</v>
      </c>
    </row>
    <row r="219" spans="1:13" x14ac:dyDescent="0.25">
      <c r="A219" s="158">
        <v>907</v>
      </c>
      <c r="B219" s="158">
        <v>8</v>
      </c>
      <c r="C219" s="181" t="s">
        <v>499</v>
      </c>
      <c r="D219" s="159">
        <v>0</v>
      </c>
      <c r="E219" s="160">
        <v>0</v>
      </c>
      <c r="F219" s="160">
        <v>0</v>
      </c>
      <c r="G219" s="160">
        <v>0</v>
      </c>
      <c r="H219" s="160">
        <v>0</v>
      </c>
      <c r="I219" s="159">
        <v>1</v>
      </c>
      <c r="J219" s="160">
        <v>0</v>
      </c>
      <c r="K219" s="159">
        <v>0.5</v>
      </c>
      <c r="L219" s="210">
        <f t="shared" si="6"/>
        <v>0.168375</v>
      </c>
      <c r="M219" s="210">
        <f t="shared" si="7"/>
        <v>0.168375</v>
      </c>
    </row>
    <row r="220" spans="1:13" x14ac:dyDescent="0.25">
      <c r="A220" s="158">
        <v>909</v>
      </c>
      <c r="B220" s="158">
        <v>5</v>
      </c>
      <c r="C220" s="181" t="s">
        <v>352</v>
      </c>
      <c r="D220" s="159">
        <v>1</v>
      </c>
      <c r="E220" s="160">
        <v>0.83333333333333337</v>
      </c>
      <c r="F220" s="160">
        <v>1</v>
      </c>
      <c r="G220" s="160">
        <v>0.25</v>
      </c>
      <c r="H220" s="160">
        <v>0.5</v>
      </c>
      <c r="I220" s="159">
        <v>1</v>
      </c>
      <c r="J220" s="160">
        <v>0.83333333333333337</v>
      </c>
      <c r="K220" s="159">
        <v>0.5</v>
      </c>
      <c r="L220" s="210">
        <f t="shared" si="6"/>
        <v>0.70367261904761902</v>
      </c>
      <c r="M220" s="210">
        <f t="shared" si="7"/>
        <v>0.70367261904761902</v>
      </c>
    </row>
    <row r="221" spans="1:13" x14ac:dyDescent="0.25">
      <c r="A221" s="158">
        <v>917</v>
      </c>
      <c r="B221" s="158">
        <v>6</v>
      </c>
      <c r="C221" s="181" t="s">
        <v>390</v>
      </c>
      <c r="D221" s="159">
        <v>0</v>
      </c>
      <c r="E221" s="160">
        <v>0.33333333333333331</v>
      </c>
      <c r="F221" s="160">
        <v>0.5</v>
      </c>
      <c r="G221" s="160">
        <v>1</v>
      </c>
      <c r="H221" s="160">
        <v>0.5</v>
      </c>
      <c r="I221" s="159">
        <v>0</v>
      </c>
      <c r="J221" s="160">
        <v>0</v>
      </c>
      <c r="K221" s="159">
        <v>0.5</v>
      </c>
      <c r="L221" s="210">
        <f t="shared" si="6"/>
        <v>0.37409523809523809</v>
      </c>
      <c r="M221" s="210">
        <f t="shared" si="7"/>
        <v>0.37409523809523809</v>
      </c>
    </row>
    <row r="222" spans="1:13" x14ac:dyDescent="0.25">
      <c r="A222" s="158">
        <v>918</v>
      </c>
      <c r="B222" s="158">
        <v>8</v>
      </c>
      <c r="C222" s="181" t="s">
        <v>500</v>
      </c>
      <c r="D222" s="159">
        <v>0.66666666666666663</v>
      </c>
      <c r="E222" s="160">
        <v>0</v>
      </c>
      <c r="F222" s="160">
        <v>0.5</v>
      </c>
      <c r="G222" s="160">
        <v>0.25</v>
      </c>
      <c r="H222" s="160">
        <v>0.5</v>
      </c>
      <c r="I222" s="159">
        <v>0.25</v>
      </c>
      <c r="J222" s="160">
        <v>0.66666666666666663</v>
      </c>
      <c r="K222" s="159">
        <v>0.5</v>
      </c>
      <c r="L222" s="210">
        <f t="shared" si="6"/>
        <v>0.43569345238095236</v>
      </c>
      <c r="M222" s="210">
        <f t="shared" si="7"/>
        <v>0.43569345238095236</v>
      </c>
    </row>
    <row r="223" spans="1:13" x14ac:dyDescent="0.25">
      <c r="A223" s="158">
        <v>922</v>
      </c>
      <c r="B223" s="158">
        <v>8</v>
      </c>
      <c r="C223" s="181" t="s">
        <v>501</v>
      </c>
      <c r="D223" s="159">
        <v>0.83333333333333337</v>
      </c>
      <c r="E223" s="160">
        <v>0.33333333333333331</v>
      </c>
      <c r="F223" s="160">
        <v>0.25</v>
      </c>
      <c r="G223" s="160">
        <v>0.75</v>
      </c>
      <c r="H223" s="160">
        <v>0.5</v>
      </c>
      <c r="I223" s="159">
        <v>0</v>
      </c>
      <c r="J223" s="160">
        <v>0.16666666666666666</v>
      </c>
      <c r="K223" s="159">
        <v>0</v>
      </c>
      <c r="L223" s="210">
        <f t="shared" si="6"/>
        <v>0.41308630952380954</v>
      </c>
      <c r="M223" s="210">
        <f t="shared" si="7"/>
        <v>0.41308630952380954</v>
      </c>
    </row>
    <row r="224" spans="1:13" x14ac:dyDescent="0.25">
      <c r="A224" s="158">
        <v>923</v>
      </c>
      <c r="B224" s="158">
        <v>5</v>
      </c>
      <c r="C224" s="181" t="s">
        <v>353</v>
      </c>
      <c r="D224" s="159">
        <v>0.66666666666666663</v>
      </c>
      <c r="E224" s="160">
        <v>0.66666666666666663</v>
      </c>
      <c r="F224" s="160">
        <v>0</v>
      </c>
      <c r="G224" s="160">
        <v>0.5</v>
      </c>
      <c r="H224" s="160">
        <v>0</v>
      </c>
      <c r="I224" s="159">
        <v>0</v>
      </c>
      <c r="J224" s="160">
        <v>0.66666666666666663</v>
      </c>
      <c r="K224" s="159">
        <v>0.5</v>
      </c>
      <c r="L224" s="210">
        <f t="shared" si="6"/>
        <v>0.3797678571428571</v>
      </c>
      <c r="M224" s="210">
        <f t="shared" si="7"/>
        <v>0.3797678571428571</v>
      </c>
    </row>
    <row r="225" spans="1:13" x14ac:dyDescent="0.25">
      <c r="A225" s="158">
        <v>924</v>
      </c>
      <c r="B225" s="158">
        <v>8</v>
      </c>
      <c r="C225" s="181" t="s">
        <v>502</v>
      </c>
      <c r="D225" s="159">
        <v>0</v>
      </c>
      <c r="E225" s="160">
        <v>0</v>
      </c>
      <c r="F225" s="160">
        <v>0.5</v>
      </c>
      <c r="G225" s="160">
        <v>0.25</v>
      </c>
      <c r="H225" s="160">
        <v>0.75</v>
      </c>
      <c r="I225" s="159">
        <v>0</v>
      </c>
      <c r="J225" s="160">
        <v>0.33333333333333331</v>
      </c>
      <c r="K225" s="159">
        <v>0.5</v>
      </c>
      <c r="L225" s="210">
        <f t="shared" si="6"/>
        <v>0.30095238095238092</v>
      </c>
      <c r="M225" s="210">
        <f t="shared" si="7"/>
        <v>0.30095238095238092</v>
      </c>
    </row>
    <row r="226" spans="1:13" x14ac:dyDescent="0.25">
      <c r="A226" s="158">
        <v>929</v>
      </c>
      <c r="B226" s="158">
        <v>8</v>
      </c>
      <c r="C226" s="181" t="s">
        <v>503</v>
      </c>
      <c r="D226" s="159">
        <v>0.66666666666666663</v>
      </c>
      <c r="E226" s="160">
        <v>0</v>
      </c>
      <c r="F226" s="160">
        <v>0</v>
      </c>
      <c r="G226" s="160">
        <v>0</v>
      </c>
      <c r="H226" s="160">
        <v>0.5</v>
      </c>
      <c r="I226" s="159">
        <v>0</v>
      </c>
      <c r="J226" s="160">
        <v>0.66666666666666663</v>
      </c>
      <c r="K226" s="159">
        <v>1</v>
      </c>
      <c r="L226" s="210">
        <f t="shared" si="6"/>
        <v>0.38105952380952385</v>
      </c>
      <c r="M226" s="210">
        <f t="shared" si="7"/>
        <v>0.38105952380952385</v>
      </c>
    </row>
    <row r="227" spans="1:13" x14ac:dyDescent="0.25">
      <c r="A227" s="158">
        <v>936</v>
      </c>
      <c r="B227" s="158">
        <v>9</v>
      </c>
      <c r="C227" s="181" t="s">
        <v>537</v>
      </c>
      <c r="D227" s="159">
        <v>0</v>
      </c>
      <c r="E227" s="160">
        <v>0</v>
      </c>
      <c r="F227" s="160">
        <v>0.5</v>
      </c>
      <c r="G227" s="160">
        <v>0.5</v>
      </c>
      <c r="H227" s="160">
        <v>0</v>
      </c>
      <c r="I227" s="159">
        <v>1</v>
      </c>
      <c r="J227" s="160">
        <v>0.83333333333333337</v>
      </c>
      <c r="K227" s="159">
        <v>1</v>
      </c>
      <c r="L227" s="210">
        <f t="shared" si="6"/>
        <v>0.44230952380952387</v>
      </c>
      <c r="M227" s="210">
        <f t="shared" si="7"/>
        <v>0.44230952380952387</v>
      </c>
    </row>
    <row r="228" spans="1:13" x14ac:dyDescent="0.25">
      <c r="A228" s="158">
        <v>952</v>
      </c>
      <c r="B228" s="158">
        <v>9</v>
      </c>
      <c r="C228" s="181" t="s">
        <v>538</v>
      </c>
      <c r="D228" s="159">
        <v>0.33333333333333331</v>
      </c>
      <c r="E228" s="160">
        <v>0.66666666666666663</v>
      </c>
      <c r="F228" s="160">
        <v>0.75</v>
      </c>
      <c r="G228" s="160">
        <v>0.75</v>
      </c>
      <c r="H228" s="160">
        <v>0</v>
      </c>
      <c r="I228" s="159">
        <v>1</v>
      </c>
      <c r="J228" s="160">
        <v>0.33333333333333331</v>
      </c>
      <c r="K228" s="159">
        <v>1</v>
      </c>
      <c r="L228" s="210">
        <f t="shared" si="6"/>
        <v>0.55856845238095243</v>
      </c>
      <c r="M228" s="210">
        <f t="shared" si="7"/>
        <v>0.55856845238095243</v>
      </c>
    </row>
    <row r="229" spans="1:13" x14ac:dyDescent="0.25">
      <c r="A229" s="158">
        <v>955</v>
      </c>
      <c r="B229" s="158">
        <v>8</v>
      </c>
      <c r="C229" s="181" t="s">
        <v>504</v>
      </c>
      <c r="D229" s="159">
        <v>0</v>
      </c>
      <c r="E229" s="160">
        <v>0</v>
      </c>
      <c r="F229" s="160">
        <v>0</v>
      </c>
      <c r="G229" s="160">
        <v>0</v>
      </c>
      <c r="H229" s="160">
        <v>1</v>
      </c>
      <c r="I229" s="159">
        <v>0</v>
      </c>
      <c r="J229" s="160">
        <v>0</v>
      </c>
      <c r="K229" s="159">
        <v>0</v>
      </c>
      <c r="L229" s="210">
        <f t="shared" si="6"/>
        <v>0.16628571428571429</v>
      </c>
      <c r="M229" s="210">
        <f t="shared" si="7"/>
        <v>0.16628571428571429</v>
      </c>
    </row>
    <row r="230" spans="1:13" x14ac:dyDescent="0.25">
      <c r="A230" s="158">
        <v>957</v>
      </c>
      <c r="B230" s="158">
        <v>6</v>
      </c>
      <c r="C230" s="181" t="s">
        <v>391</v>
      </c>
      <c r="D230" s="159">
        <v>0</v>
      </c>
      <c r="E230" s="160">
        <v>0</v>
      </c>
      <c r="F230" s="160">
        <v>0.375</v>
      </c>
      <c r="G230" s="160">
        <v>1</v>
      </c>
      <c r="H230" s="160">
        <v>1</v>
      </c>
      <c r="I230" s="159">
        <v>0</v>
      </c>
      <c r="J230" s="160">
        <v>0.83333333333333337</v>
      </c>
      <c r="K230" s="159">
        <v>0.5</v>
      </c>
      <c r="L230" s="210">
        <f t="shared" si="6"/>
        <v>0.5130818452380953</v>
      </c>
      <c r="M230" s="210">
        <f t="shared" si="7"/>
        <v>0.5130818452380953</v>
      </c>
    </row>
    <row r="231" spans="1:13" x14ac:dyDescent="0.25">
      <c r="A231" s="158">
        <v>958</v>
      </c>
      <c r="B231" s="158">
        <v>7</v>
      </c>
      <c r="C231" s="181" t="s">
        <v>452</v>
      </c>
      <c r="D231" s="159">
        <v>0.66666666666666663</v>
      </c>
      <c r="E231" s="160">
        <v>1</v>
      </c>
      <c r="F231" s="160">
        <v>0.5</v>
      </c>
      <c r="G231" s="160">
        <v>1</v>
      </c>
      <c r="H231" s="160">
        <v>0.75</v>
      </c>
      <c r="I231" s="159">
        <v>1</v>
      </c>
      <c r="J231" s="160">
        <v>0.66666666666666663</v>
      </c>
      <c r="K231" s="159">
        <v>1</v>
      </c>
      <c r="L231" s="210">
        <f t="shared" si="6"/>
        <v>0.82454166666666651</v>
      </c>
      <c r="M231" s="210">
        <f t="shared" si="7"/>
        <v>0.82454166666666651</v>
      </c>
    </row>
    <row r="232" spans="1:13" x14ac:dyDescent="0.25">
      <c r="A232" s="158">
        <v>959</v>
      </c>
      <c r="B232" s="158">
        <v>6</v>
      </c>
      <c r="C232" s="181" t="s">
        <v>392</v>
      </c>
      <c r="D232" s="159">
        <v>1</v>
      </c>
      <c r="E232" s="160">
        <v>0.83333333333333337</v>
      </c>
      <c r="F232" s="160">
        <v>0</v>
      </c>
      <c r="G232" s="160">
        <v>0.75</v>
      </c>
      <c r="H232" s="160">
        <v>1</v>
      </c>
      <c r="I232" s="159">
        <v>0.75</v>
      </c>
      <c r="J232" s="160">
        <v>0.66666666666666663</v>
      </c>
      <c r="K232" s="159">
        <v>1</v>
      </c>
      <c r="L232" s="210">
        <f t="shared" si="6"/>
        <v>0.7970624999999999</v>
      </c>
      <c r="M232" s="210">
        <f t="shared" si="7"/>
        <v>0.7970624999999999</v>
      </c>
    </row>
    <row r="233" spans="1:13" x14ac:dyDescent="0.25">
      <c r="A233" s="158">
        <v>967</v>
      </c>
      <c r="B233" s="158">
        <v>7</v>
      </c>
      <c r="C233" s="181" t="s">
        <v>453</v>
      </c>
      <c r="D233" s="159">
        <v>0</v>
      </c>
      <c r="E233" s="160">
        <v>0</v>
      </c>
      <c r="F233" s="160">
        <v>0.5</v>
      </c>
      <c r="G233" s="160">
        <v>1</v>
      </c>
      <c r="H233" s="160">
        <v>0.5</v>
      </c>
      <c r="I233" s="159">
        <v>0</v>
      </c>
      <c r="J233" s="160">
        <v>0</v>
      </c>
      <c r="K233" s="159">
        <v>0.5</v>
      </c>
      <c r="L233" s="210">
        <f t="shared" si="6"/>
        <v>0.34667857142857139</v>
      </c>
      <c r="M233" s="210">
        <f t="shared" si="7"/>
        <v>0.34667857142857139</v>
      </c>
    </row>
    <row r="234" spans="1:13" x14ac:dyDescent="0.25">
      <c r="A234" s="158">
        <v>969</v>
      </c>
      <c r="B234" s="158">
        <v>6</v>
      </c>
      <c r="C234" s="181" t="s">
        <v>393</v>
      </c>
      <c r="D234" s="159">
        <v>0</v>
      </c>
      <c r="E234" s="160">
        <v>1</v>
      </c>
      <c r="F234" s="160">
        <v>0.5</v>
      </c>
      <c r="G234" s="160">
        <v>0.5</v>
      </c>
      <c r="H234" s="160">
        <v>0</v>
      </c>
      <c r="I234" s="159">
        <v>1</v>
      </c>
      <c r="J234" s="160">
        <v>0</v>
      </c>
      <c r="K234" s="159">
        <v>1</v>
      </c>
      <c r="L234" s="210">
        <f t="shared" si="6"/>
        <v>0.43101785714285717</v>
      </c>
      <c r="M234" s="210">
        <f t="shared" si="7"/>
        <v>0.43101785714285717</v>
      </c>
    </row>
    <row r="235" spans="1:13" x14ac:dyDescent="0.25">
      <c r="A235" s="158">
        <v>970</v>
      </c>
      <c r="B235" s="158">
        <v>6</v>
      </c>
      <c r="C235" s="181" t="s">
        <v>394</v>
      </c>
      <c r="D235" s="159">
        <v>0.66666666666666663</v>
      </c>
      <c r="E235" s="160">
        <v>0</v>
      </c>
      <c r="F235" s="160">
        <v>0</v>
      </c>
      <c r="G235" s="160">
        <v>0.25</v>
      </c>
      <c r="H235" s="160">
        <v>0.75</v>
      </c>
      <c r="I235" s="159">
        <v>0</v>
      </c>
      <c r="J235" s="160">
        <v>0</v>
      </c>
      <c r="K235" s="159">
        <v>1</v>
      </c>
      <c r="L235" s="210">
        <f t="shared" si="6"/>
        <v>0.38936904761904761</v>
      </c>
      <c r="M235" s="210">
        <f t="shared" si="7"/>
        <v>0.38936904761904761</v>
      </c>
    </row>
    <row r="236" spans="1:13" x14ac:dyDescent="0.25">
      <c r="A236" s="158">
        <v>971</v>
      </c>
      <c r="B236" s="158">
        <v>7</v>
      </c>
      <c r="C236" s="181" t="s">
        <v>454</v>
      </c>
      <c r="D236" s="159">
        <v>1</v>
      </c>
      <c r="E236" s="160">
        <v>0.5</v>
      </c>
      <c r="F236" s="160">
        <v>0.25</v>
      </c>
      <c r="G236" s="160">
        <v>0.25</v>
      </c>
      <c r="H236" s="160">
        <v>0.5</v>
      </c>
      <c r="I236" s="159">
        <v>0</v>
      </c>
      <c r="J236" s="160">
        <v>0.83333333333333337</v>
      </c>
      <c r="K236" s="159">
        <v>1</v>
      </c>
      <c r="L236" s="210">
        <f t="shared" si="6"/>
        <v>0.55844345238095239</v>
      </c>
      <c r="M236" s="210">
        <f t="shared" si="7"/>
        <v>0.55844345238095239</v>
      </c>
    </row>
    <row r="237" spans="1:13" x14ac:dyDescent="0.25">
      <c r="A237" s="158">
        <v>973</v>
      </c>
      <c r="B237" s="158">
        <v>8</v>
      </c>
      <c r="C237" s="181" t="s">
        <v>505</v>
      </c>
      <c r="D237" s="159">
        <v>0</v>
      </c>
      <c r="E237" s="160">
        <v>0</v>
      </c>
      <c r="F237" s="160">
        <v>0</v>
      </c>
      <c r="G237" s="160">
        <v>0</v>
      </c>
      <c r="H237" s="160">
        <v>0</v>
      </c>
      <c r="I237" s="159">
        <v>0.5</v>
      </c>
      <c r="J237" s="160">
        <v>0</v>
      </c>
      <c r="K237" s="159">
        <v>0.5</v>
      </c>
      <c r="L237" s="210">
        <f t="shared" si="6"/>
        <v>0.11225</v>
      </c>
      <c r="M237" s="210">
        <f t="shared" si="7"/>
        <v>0.11225</v>
      </c>
    </row>
    <row r="238" spans="1:13" x14ac:dyDescent="0.25">
      <c r="A238" s="158">
        <v>974</v>
      </c>
      <c r="B238" s="158">
        <v>8</v>
      </c>
      <c r="C238" s="181" t="s">
        <v>506</v>
      </c>
      <c r="D238" s="159">
        <v>0.66666666666666663</v>
      </c>
      <c r="E238" s="160">
        <v>0</v>
      </c>
      <c r="F238" s="160">
        <v>0</v>
      </c>
      <c r="G238" s="160">
        <v>0</v>
      </c>
      <c r="H238" s="160">
        <v>0.5</v>
      </c>
      <c r="I238" s="159">
        <v>0</v>
      </c>
      <c r="J238" s="160">
        <v>0.83333333333333337</v>
      </c>
      <c r="K238" s="159">
        <v>0</v>
      </c>
      <c r="L238" s="210">
        <f t="shared" si="6"/>
        <v>0.28751785714285716</v>
      </c>
      <c r="M238" s="210">
        <f t="shared" si="7"/>
        <v>0.28751785714285716</v>
      </c>
    </row>
    <row r="239" spans="1:13" x14ac:dyDescent="0.25">
      <c r="A239" s="158">
        <v>975</v>
      </c>
      <c r="B239" s="158">
        <v>7</v>
      </c>
      <c r="C239" s="181" t="s">
        <v>455</v>
      </c>
      <c r="D239" s="159">
        <v>0.33333333333333331</v>
      </c>
      <c r="E239" s="160">
        <v>0</v>
      </c>
      <c r="F239" s="160">
        <v>0</v>
      </c>
      <c r="G239" s="160">
        <v>0</v>
      </c>
      <c r="H239" s="160">
        <v>0</v>
      </c>
      <c r="I239" s="159">
        <v>0</v>
      </c>
      <c r="J239" s="160">
        <v>0.33333333333333331</v>
      </c>
      <c r="K239" s="159">
        <v>1</v>
      </c>
      <c r="L239" s="210">
        <f t="shared" si="6"/>
        <v>0.20508333333333334</v>
      </c>
      <c r="M239" s="210">
        <f t="shared" si="7"/>
        <v>0.20508333333333334</v>
      </c>
    </row>
    <row r="240" spans="1:13" x14ac:dyDescent="0.25">
      <c r="A240" s="158">
        <v>976</v>
      </c>
      <c r="B240" s="158">
        <v>7</v>
      </c>
      <c r="C240" s="181" t="s">
        <v>456</v>
      </c>
      <c r="D240" s="159">
        <v>0</v>
      </c>
      <c r="E240" s="160">
        <v>1</v>
      </c>
      <c r="F240" s="160">
        <v>0</v>
      </c>
      <c r="G240" s="160">
        <v>0</v>
      </c>
      <c r="H240" s="160">
        <v>0</v>
      </c>
      <c r="I240" s="159">
        <v>1</v>
      </c>
      <c r="J240" s="160">
        <v>0.16666666666666666</v>
      </c>
      <c r="K240" s="159">
        <v>1</v>
      </c>
      <c r="L240" s="210">
        <f t="shared" si="6"/>
        <v>0.32545833333333335</v>
      </c>
      <c r="M240" s="210">
        <f t="shared" si="7"/>
        <v>0.32545833333333335</v>
      </c>
    </row>
    <row r="241" spans="1:13" x14ac:dyDescent="0.25">
      <c r="A241" s="158">
        <v>977</v>
      </c>
      <c r="B241" s="158">
        <v>7</v>
      </c>
      <c r="C241" s="181" t="s">
        <v>457</v>
      </c>
      <c r="D241" s="159">
        <v>0.66666666666666663</v>
      </c>
      <c r="E241" s="160">
        <v>0.33333333333333331</v>
      </c>
      <c r="F241" s="160">
        <v>0</v>
      </c>
      <c r="G241" s="160">
        <v>1</v>
      </c>
      <c r="H241" s="160">
        <v>0</v>
      </c>
      <c r="I241" s="159">
        <v>0</v>
      </c>
      <c r="J241" s="160">
        <v>0</v>
      </c>
      <c r="K241" s="159">
        <v>0.5</v>
      </c>
      <c r="L241" s="210">
        <f t="shared" si="6"/>
        <v>0.36066071428571428</v>
      </c>
      <c r="M241" s="210">
        <f t="shared" si="7"/>
        <v>0.36066071428571428</v>
      </c>
    </row>
    <row r="242" spans="1:13" x14ac:dyDescent="0.25">
      <c r="A242" s="158">
        <v>978</v>
      </c>
      <c r="B242" s="158">
        <v>6</v>
      </c>
      <c r="C242" s="181" t="s">
        <v>507</v>
      </c>
      <c r="D242" s="159">
        <v>0.16666666666666666</v>
      </c>
      <c r="E242" s="160">
        <v>0</v>
      </c>
      <c r="F242" s="160">
        <v>0</v>
      </c>
      <c r="G242" s="160">
        <v>0</v>
      </c>
      <c r="H242" s="160">
        <v>0.5</v>
      </c>
      <c r="I242" s="159">
        <v>0</v>
      </c>
      <c r="J242" s="160">
        <v>0</v>
      </c>
      <c r="K242" s="159">
        <v>1</v>
      </c>
      <c r="L242" s="210">
        <f t="shared" si="6"/>
        <v>0.22310119047619048</v>
      </c>
      <c r="M242" s="210">
        <f t="shared" si="7"/>
        <v>0.22310119047619048</v>
      </c>
    </row>
    <row r="243" spans="1:13" x14ac:dyDescent="0.25">
      <c r="A243" s="158">
        <v>979</v>
      </c>
      <c r="B243" s="158">
        <v>7</v>
      </c>
      <c r="C243" s="181" t="s">
        <v>546</v>
      </c>
      <c r="D243" s="159">
        <v>1</v>
      </c>
      <c r="E243" s="160">
        <v>1</v>
      </c>
      <c r="F243" s="160">
        <v>1</v>
      </c>
      <c r="G243" s="160">
        <v>1</v>
      </c>
      <c r="H243" s="160">
        <v>0</v>
      </c>
      <c r="I243" s="159">
        <v>1</v>
      </c>
      <c r="J243" s="160">
        <v>1</v>
      </c>
      <c r="K243" s="159">
        <v>0.5</v>
      </c>
      <c r="L243" s="210">
        <f t="shared" si="6"/>
        <v>0.77766071428571415</v>
      </c>
      <c r="M243" s="210">
        <f t="shared" si="7"/>
        <v>0.77766071428571415</v>
      </c>
    </row>
    <row r="244" spans="1:13" x14ac:dyDescent="0.25">
      <c r="A244" s="158">
        <v>980</v>
      </c>
      <c r="B244" s="158">
        <v>6</v>
      </c>
      <c r="C244" s="181" t="s">
        <v>395</v>
      </c>
      <c r="D244" s="159">
        <v>0</v>
      </c>
      <c r="E244" s="160">
        <v>0.33333333333333331</v>
      </c>
      <c r="F244" s="160">
        <v>0.25</v>
      </c>
      <c r="G244" s="160">
        <v>1</v>
      </c>
      <c r="H244" s="160">
        <v>0</v>
      </c>
      <c r="I244" s="159">
        <v>0</v>
      </c>
      <c r="J244" s="160">
        <v>0.66666666666666663</v>
      </c>
      <c r="K244" s="159">
        <v>1</v>
      </c>
      <c r="L244" s="210">
        <f t="shared" si="6"/>
        <v>0.40134821428571427</v>
      </c>
      <c r="M244" s="210">
        <f t="shared" si="7"/>
        <v>0.40134821428571427</v>
      </c>
    </row>
    <row r="245" spans="1:13" x14ac:dyDescent="0.25">
      <c r="A245" s="158">
        <v>982</v>
      </c>
      <c r="B245" s="158">
        <v>9</v>
      </c>
      <c r="C245" s="181" t="s">
        <v>539</v>
      </c>
      <c r="D245" s="159">
        <v>0</v>
      </c>
      <c r="E245" s="160">
        <v>0</v>
      </c>
      <c r="F245" s="160">
        <v>0</v>
      </c>
      <c r="G245" s="160">
        <v>0</v>
      </c>
      <c r="H245" s="160">
        <v>0</v>
      </c>
      <c r="I245" s="159">
        <v>0.5</v>
      </c>
      <c r="J245" s="160">
        <v>0</v>
      </c>
      <c r="K245" s="159">
        <v>0</v>
      </c>
      <c r="L245" s="210">
        <f t="shared" si="6"/>
        <v>5.6125000000000001E-2</v>
      </c>
      <c r="M245" s="210">
        <f t="shared" si="7"/>
        <v>5.6125000000000001E-2</v>
      </c>
    </row>
    <row r="246" spans="1:13" x14ac:dyDescent="0.25">
      <c r="A246" s="158">
        <v>983</v>
      </c>
      <c r="B246" s="158">
        <v>7</v>
      </c>
      <c r="C246" s="181" t="s">
        <v>459</v>
      </c>
      <c r="D246" s="159">
        <v>0.33333333333333331</v>
      </c>
      <c r="E246" s="160">
        <v>0</v>
      </c>
      <c r="F246" s="160">
        <v>0</v>
      </c>
      <c r="G246" s="160">
        <v>0.5</v>
      </c>
      <c r="H246" s="160">
        <v>0.75</v>
      </c>
      <c r="I246" s="159">
        <v>0</v>
      </c>
      <c r="J246" s="160">
        <v>0</v>
      </c>
      <c r="K246" s="159">
        <v>1</v>
      </c>
      <c r="L246" s="210">
        <f t="shared" si="6"/>
        <v>0.37552380952380954</v>
      </c>
      <c r="M246" s="210">
        <f t="shared" si="7"/>
        <v>0.37552380952380954</v>
      </c>
    </row>
    <row r="247" spans="1:13" x14ac:dyDescent="0.25">
      <c r="A247" s="158">
        <v>985</v>
      </c>
      <c r="B247" s="158">
        <v>8</v>
      </c>
      <c r="C247" s="181" t="s">
        <v>508</v>
      </c>
      <c r="D247" s="159">
        <v>0.33333333333333331</v>
      </c>
      <c r="E247" s="160">
        <v>0.33333333333333331</v>
      </c>
      <c r="F247" s="160">
        <v>0</v>
      </c>
      <c r="G247" s="160">
        <v>0</v>
      </c>
      <c r="H247" s="160">
        <v>0</v>
      </c>
      <c r="I247" s="159">
        <v>0.5</v>
      </c>
      <c r="J247" s="160">
        <v>0.33333333333333331</v>
      </c>
      <c r="K247" s="159">
        <v>1</v>
      </c>
      <c r="L247" s="210">
        <f t="shared" si="6"/>
        <v>0.28862500000000002</v>
      </c>
      <c r="M247" s="210">
        <f t="shared" si="7"/>
        <v>0.28862500000000002</v>
      </c>
    </row>
    <row r="248" spans="1:13" x14ac:dyDescent="0.25">
      <c r="A248" s="158">
        <v>986</v>
      </c>
      <c r="B248" s="158">
        <v>6</v>
      </c>
      <c r="C248" s="181" t="s">
        <v>396</v>
      </c>
      <c r="D248" s="159">
        <v>0</v>
      </c>
      <c r="E248" s="160">
        <v>0</v>
      </c>
      <c r="F248" s="160">
        <v>0.25</v>
      </c>
      <c r="G248" s="160">
        <v>0</v>
      </c>
      <c r="H248" s="160">
        <v>0</v>
      </c>
      <c r="I248" s="159">
        <v>0</v>
      </c>
      <c r="J248" s="160">
        <v>0.83333333333333337</v>
      </c>
      <c r="K248" s="159">
        <v>1</v>
      </c>
      <c r="L248" s="210">
        <f t="shared" si="6"/>
        <v>0.22635416666666669</v>
      </c>
      <c r="M248" s="210">
        <f t="shared" si="7"/>
        <v>0.22635416666666669</v>
      </c>
    </row>
    <row r="249" spans="1:13" x14ac:dyDescent="0.25">
      <c r="A249" s="158">
        <v>987</v>
      </c>
      <c r="B249" s="158">
        <v>9</v>
      </c>
      <c r="C249" s="181" t="s">
        <v>540</v>
      </c>
      <c r="D249" s="159">
        <v>1</v>
      </c>
      <c r="E249" s="160">
        <v>0</v>
      </c>
      <c r="F249" s="160">
        <v>0.75</v>
      </c>
      <c r="G249" s="160">
        <v>0</v>
      </c>
      <c r="H249" s="160">
        <v>0.75</v>
      </c>
      <c r="I249" s="159">
        <v>0</v>
      </c>
      <c r="J249" s="160">
        <v>0</v>
      </c>
      <c r="K249" s="159">
        <v>1</v>
      </c>
      <c r="L249" s="210">
        <f t="shared" si="6"/>
        <v>0.46490178571428575</v>
      </c>
      <c r="M249" s="210">
        <f t="shared" si="7"/>
        <v>0.46490178571428575</v>
      </c>
    </row>
    <row r="250" spans="1:13" x14ac:dyDescent="0.25">
      <c r="A250" s="158">
        <v>988</v>
      </c>
      <c r="B250" s="158">
        <v>6</v>
      </c>
      <c r="C250" s="181" t="s">
        <v>397</v>
      </c>
      <c r="D250" s="159">
        <v>0.66666666666666663</v>
      </c>
      <c r="E250" s="160">
        <v>1</v>
      </c>
      <c r="F250" s="160">
        <v>1</v>
      </c>
      <c r="G250" s="160">
        <v>0.5</v>
      </c>
      <c r="H250" s="160">
        <v>0.5</v>
      </c>
      <c r="I250" s="159">
        <v>1</v>
      </c>
      <c r="J250" s="160">
        <v>1</v>
      </c>
      <c r="K250" s="159">
        <v>1</v>
      </c>
      <c r="L250" s="210">
        <f t="shared" si="6"/>
        <v>0.77836904761904746</v>
      </c>
      <c r="M250" s="210">
        <f t="shared" si="7"/>
        <v>0.77836904761904746</v>
      </c>
    </row>
    <row r="251" spans="1:13" x14ac:dyDescent="0.25">
      <c r="A251" s="158">
        <v>989</v>
      </c>
      <c r="B251" s="158">
        <v>6</v>
      </c>
      <c r="C251" s="181" t="s">
        <v>398</v>
      </c>
      <c r="D251" s="159">
        <v>0</v>
      </c>
      <c r="E251" s="160">
        <v>1</v>
      </c>
      <c r="F251" s="160">
        <v>0.5</v>
      </c>
      <c r="G251" s="160">
        <v>1</v>
      </c>
      <c r="H251" s="160">
        <v>0.75</v>
      </c>
      <c r="I251" s="159">
        <v>1</v>
      </c>
      <c r="J251" s="160">
        <v>1</v>
      </c>
      <c r="K251" s="159">
        <v>0.5</v>
      </c>
      <c r="L251" s="210">
        <f t="shared" si="6"/>
        <v>0.69499999999999995</v>
      </c>
      <c r="M251" s="210">
        <f t="shared" si="7"/>
        <v>0.69499999999999995</v>
      </c>
    </row>
    <row r="252" spans="1:13" x14ac:dyDescent="0.25">
      <c r="A252" s="158">
        <v>998</v>
      </c>
      <c r="B252" s="158">
        <v>9</v>
      </c>
      <c r="C252" s="181" t="s">
        <v>545</v>
      </c>
      <c r="D252" s="159">
        <v>1</v>
      </c>
      <c r="E252" s="160">
        <v>1</v>
      </c>
      <c r="F252" s="160">
        <v>0.75</v>
      </c>
      <c r="G252" s="160">
        <v>0.75</v>
      </c>
      <c r="H252" s="160">
        <v>0</v>
      </c>
      <c r="I252" s="159">
        <v>1</v>
      </c>
      <c r="J252" s="160">
        <v>0.66666666666666663</v>
      </c>
      <c r="K252" s="159">
        <v>0.5</v>
      </c>
      <c r="L252" s="210">
        <f t="shared" si="6"/>
        <v>0.67811011904761898</v>
      </c>
      <c r="M252" s="210">
        <f t="shared" si="7"/>
        <v>0.67811011904761898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FBEA-ACAB-4312-B805-486515686B68}">
  <sheetPr codeName="Sheet7">
    <tabColor rgb="FFFFCCFF"/>
  </sheetPr>
  <dimension ref="B1:AO270"/>
  <sheetViews>
    <sheetView workbookViewId="0"/>
  </sheetViews>
  <sheetFormatPr defaultRowHeight="15" x14ac:dyDescent="0.25"/>
  <cols>
    <col min="1" max="1" width="5.7109375" customWidth="1"/>
    <col min="2" max="2" width="11.42578125" style="1" customWidth="1"/>
    <col min="3" max="3" width="13.85546875" style="1" customWidth="1"/>
    <col min="4" max="4" width="47.140625" customWidth="1"/>
    <col min="5" max="7" width="16.28515625" customWidth="1"/>
    <col min="8" max="24" width="14.7109375" customWidth="1"/>
    <col min="25" max="25" width="17.42578125" customWidth="1"/>
    <col min="26" max="26" width="20.7109375" customWidth="1"/>
    <col min="27" max="27" width="22.85546875" customWidth="1"/>
    <col min="28" max="28" width="5.7109375" style="28" customWidth="1"/>
    <col min="29" max="30" width="19.5703125" style="17" customWidth="1"/>
    <col min="31" max="31" width="5.7109375" style="28" customWidth="1"/>
    <col min="32" max="32" width="19.5703125" style="17" customWidth="1"/>
    <col min="33" max="33" width="4.7109375" customWidth="1"/>
    <col min="34" max="36" width="12.7109375" customWidth="1"/>
  </cols>
  <sheetData>
    <row r="1" spans="2:31" ht="58.5" customHeight="1" thickBot="1" x14ac:dyDescent="0.3">
      <c r="D1" s="51"/>
      <c r="M1" s="17"/>
      <c r="Y1" s="28"/>
      <c r="Z1" s="17"/>
      <c r="AA1" s="17"/>
      <c r="AB1"/>
      <c r="AC1"/>
      <c r="AD1"/>
      <c r="AE1" s="17"/>
    </row>
    <row r="2" spans="2:31" ht="45.75" thickBot="1" x14ac:dyDescent="0.3">
      <c r="B2" s="220" t="s">
        <v>582</v>
      </c>
      <c r="C2" s="221"/>
      <c r="D2" s="221"/>
      <c r="E2" s="221"/>
      <c r="F2" s="221"/>
      <c r="G2" s="221"/>
      <c r="H2" s="221"/>
      <c r="I2" s="221"/>
      <c r="J2" s="221"/>
      <c r="K2" s="222"/>
      <c r="L2" s="146"/>
      <c r="M2" s="146"/>
      <c r="N2" s="53"/>
      <c r="O2" s="53"/>
      <c r="P2" s="53"/>
      <c r="R2" s="54" t="s">
        <v>24</v>
      </c>
      <c r="S2" s="14">
        <v>0.9</v>
      </c>
      <c r="T2" s="125" t="s">
        <v>25</v>
      </c>
      <c r="U2" s="125" t="s">
        <v>26</v>
      </c>
      <c r="V2" s="125" t="s">
        <v>27</v>
      </c>
      <c r="W2" s="52"/>
      <c r="Y2" s="28"/>
      <c r="Z2" s="17"/>
      <c r="AA2" s="17"/>
      <c r="AB2"/>
      <c r="AC2"/>
      <c r="AD2"/>
      <c r="AE2" s="17"/>
    </row>
    <row r="3" spans="2:31" ht="15.75" thickBot="1" x14ac:dyDescent="0.3">
      <c r="B3" s="22"/>
      <c r="N3" s="53"/>
      <c r="O3" s="53"/>
      <c r="P3" s="53"/>
      <c r="S3" s="55">
        <v>1</v>
      </c>
      <c r="T3" s="170">
        <f t="shared" ref="T3:T11" si="0">SUMPRODUCT(--($C$26:$C$298=$S3),$F$26:$F$298)</f>
        <v>370429.71</v>
      </c>
      <c r="U3" s="56">
        <f>INDEX('Revised 2019 MFAM Cost Bands'!M$6:M$246,MATCH(S3,'Revised 2019 MFAM Cost Bands'!C$6:C$246,0))</f>
        <v>310.09213402456299</v>
      </c>
      <c r="V3" s="109">
        <f>INDEX('Revised 2019 MFAM Cost Bands'!R$6:R$246,MATCH(S3,'Revised 2019 MFAM Cost Bands'!C$6:C$246,0))</f>
        <v>420.34146015380429</v>
      </c>
      <c r="W3" s="141"/>
      <c r="Y3" s="28"/>
      <c r="Z3" s="17"/>
      <c r="AA3" s="17"/>
      <c r="AB3"/>
      <c r="AC3"/>
      <c r="AD3"/>
      <c r="AE3" s="17"/>
    </row>
    <row r="4" spans="2:31" x14ac:dyDescent="0.25">
      <c r="D4" s="233" t="s">
        <v>583</v>
      </c>
      <c r="E4" s="234"/>
      <c r="F4" s="234"/>
      <c r="G4" s="234"/>
      <c r="H4" s="234"/>
      <c r="I4" s="234"/>
      <c r="J4" s="234"/>
      <c r="K4" s="235"/>
      <c r="L4" s="116"/>
      <c r="M4" s="116"/>
      <c r="N4" s="53"/>
      <c r="O4" s="53"/>
      <c r="P4" s="53"/>
      <c r="S4" s="62">
        <v>2</v>
      </c>
      <c r="T4" s="162">
        <f t="shared" si="0"/>
        <v>223811.84</v>
      </c>
      <c r="U4" s="63">
        <f>INDEX('Revised 2019 MFAM Cost Bands'!M$6:M$246,MATCH(S4,'Revised 2019 MFAM Cost Bands'!C$6:C$246,0))</f>
        <v>182.19940004067703</v>
      </c>
      <c r="V4" s="126">
        <f>INDEX('Revised 2019 MFAM Cost Bands'!R$6:R$246,MATCH(S4,'Revised 2019 MFAM Cost Bands'!C$6:C$246,0))</f>
        <v>269.03475307959195</v>
      </c>
      <c r="W4" s="141"/>
      <c r="Y4" s="28"/>
      <c r="Z4" s="17"/>
      <c r="AA4" s="17"/>
      <c r="AB4"/>
      <c r="AC4"/>
      <c r="AD4"/>
      <c r="AE4" s="17"/>
    </row>
    <row r="5" spans="2:31" x14ac:dyDescent="0.25">
      <c r="D5" s="64"/>
      <c r="E5" s="65"/>
      <c r="F5" s="65"/>
      <c r="G5" s="65"/>
      <c r="H5" s="65"/>
      <c r="I5" s="65"/>
      <c r="J5" s="65"/>
      <c r="K5" s="66"/>
      <c r="L5" s="65"/>
      <c r="M5" s="65"/>
      <c r="N5" s="67"/>
      <c r="O5" s="67"/>
      <c r="P5" s="67"/>
      <c r="Q5" s="68"/>
      <c r="S5" s="62">
        <v>3</v>
      </c>
      <c r="T5" s="162">
        <f t="shared" si="0"/>
        <v>49538.31</v>
      </c>
      <c r="U5" s="63">
        <f>INDEX('Revised 2019 MFAM Cost Bands'!M$6:M$246,MATCH(S5,'Revised 2019 MFAM Cost Bands'!C$6:C$246,0))</f>
        <v>257.21583840869823</v>
      </c>
      <c r="V5" s="126">
        <f>INDEX('Revised 2019 MFAM Cost Bands'!R$6:R$246,MATCH(S5,'Revised 2019 MFAM Cost Bands'!C$6:C$246,0))</f>
        <v>457.93005156171677</v>
      </c>
      <c r="W5" s="141"/>
      <c r="Y5" s="28"/>
      <c r="Z5" s="17"/>
      <c r="AA5" s="17"/>
      <c r="AB5"/>
      <c r="AC5"/>
      <c r="AD5"/>
      <c r="AE5" s="17"/>
    </row>
    <row r="6" spans="2:31" x14ac:dyDescent="0.25">
      <c r="D6" s="70" t="s">
        <v>31</v>
      </c>
      <c r="E6" s="172">
        <v>126371649.66</v>
      </c>
      <c r="F6" s="172"/>
      <c r="G6" s="172"/>
      <c r="H6" s="52"/>
      <c r="I6" s="52"/>
      <c r="J6" s="52"/>
      <c r="K6" s="58"/>
      <c r="L6" s="52"/>
      <c r="M6" s="52"/>
      <c r="N6" s="67"/>
      <c r="O6" s="67"/>
      <c r="P6" s="67"/>
      <c r="Q6" s="68"/>
      <c r="S6" s="62">
        <v>4</v>
      </c>
      <c r="T6" s="162">
        <f t="shared" si="0"/>
        <v>99558.488399999987</v>
      </c>
      <c r="U6" s="63">
        <f>INDEX('Revised 2019 MFAM Cost Bands'!M$6:M$246,MATCH(S6,'Revised 2019 MFAM Cost Bands'!C$6:C$246,0))</f>
        <v>352.71236570924077</v>
      </c>
      <c r="V6" s="126">
        <f>INDEX('Revised 2019 MFAM Cost Bands'!R$6:R$246,MATCH(S6,'Revised 2019 MFAM Cost Bands'!C$6:C$246,0))</f>
        <v>520.85502016276303</v>
      </c>
      <c r="W6" s="141"/>
      <c r="Y6" s="28"/>
      <c r="Z6" s="17"/>
      <c r="AA6" s="17"/>
      <c r="AB6"/>
      <c r="AC6"/>
      <c r="AD6"/>
      <c r="AE6" s="17"/>
    </row>
    <row r="7" spans="2:31" x14ac:dyDescent="0.25">
      <c r="D7" s="70"/>
      <c r="E7" s="52"/>
      <c r="F7" s="52"/>
      <c r="G7" s="52"/>
      <c r="H7" s="52"/>
      <c r="I7" s="52"/>
      <c r="J7" s="52"/>
      <c r="K7" s="58"/>
      <c r="L7" s="52"/>
      <c r="M7" s="52"/>
      <c r="N7" s="67"/>
      <c r="O7" s="67"/>
      <c r="P7" s="67"/>
      <c r="Q7" s="68"/>
      <c r="S7" s="62">
        <v>5</v>
      </c>
      <c r="T7" s="162">
        <f t="shared" si="0"/>
        <v>19259.960127845592</v>
      </c>
      <c r="U7" s="63">
        <f>INDEX('Revised 2019 MFAM Cost Bands'!M$6:M$246,MATCH(S7,'Revised 2019 MFAM Cost Bands'!C$6:C$246,0))</f>
        <v>257.43063833406859</v>
      </c>
      <c r="V7" s="126">
        <f>INDEX('Revised 2019 MFAM Cost Bands'!R$6:R$246,MATCH(S7,'Revised 2019 MFAM Cost Bands'!C$6:C$246,0))</f>
        <v>415.74694552381976</v>
      </c>
      <c r="W7" s="141"/>
      <c r="Y7" s="28"/>
      <c r="Z7" s="17"/>
      <c r="AA7" s="17"/>
      <c r="AB7"/>
      <c r="AC7"/>
      <c r="AD7"/>
      <c r="AE7" s="17"/>
    </row>
    <row r="8" spans="2:31" ht="15.75" thickBot="1" x14ac:dyDescent="0.3">
      <c r="D8" s="70" t="s">
        <v>34</v>
      </c>
      <c r="E8" s="201">
        <v>-5112007.16</v>
      </c>
      <c r="F8" s="173"/>
      <c r="G8" s="236" t="s">
        <v>601</v>
      </c>
      <c r="H8" s="236"/>
      <c r="I8" s="215">
        <v>-4895789</v>
      </c>
      <c r="J8" s="71"/>
      <c r="K8" s="58"/>
      <c r="L8" s="52"/>
      <c r="M8" s="52"/>
      <c r="N8" s="67"/>
      <c r="O8" s="67"/>
      <c r="P8" s="67"/>
      <c r="Q8" s="68"/>
      <c r="S8" s="62">
        <v>6</v>
      </c>
      <c r="T8" s="162">
        <f t="shared" si="0"/>
        <v>9982.4368793417107</v>
      </c>
      <c r="U8" s="63">
        <f>INDEX('Revised 2019 MFAM Cost Bands'!M$6:M$246,MATCH(S8,'Revised 2019 MFAM Cost Bands'!C$6:C$246,0))</f>
        <v>636.92431485920736</v>
      </c>
      <c r="V8" s="126">
        <f>INDEX('Revised 2019 MFAM Cost Bands'!R$6:R$246,MATCH(S8,'Revised 2019 MFAM Cost Bands'!C$6:C$246,0))</f>
        <v>1038.446782766368</v>
      </c>
      <c r="W8" s="141"/>
      <c r="Y8" s="28"/>
      <c r="Z8" s="17"/>
      <c r="AA8" s="17"/>
      <c r="AB8"/>
      <c r="AC8"/>
      <c r="AD8"/>
      <c r="AE8" s="17"/>
    </row>
    <row r="9" spans="2:31" ht="15.75" thickTop="1" x14ac:dyDescent="0.25">
      <c r="D9" s="73" t="s">
        <v>36</v>
      </c>
      <c r="E9" s="71">
        <v>0</v>
      </c>
      <c r="F9" s="71"/>
      <c r="G9" s="237" t="s">
        <v>602</v>
      </c>
      <c r="H9" s="237"/>
      <c r="I9" s="52">
        <f>I8-E8</f>
        <v>216218.16000000015</v>
      </c>
      <c r="J9" s="19"/>
      <c r="K9" s="74"/>
      <c r="L9" s="18"/>
      <c r="M9" s="18"/>
      <c r="N9" s="67"/>
      <c r="O9" s="67"/>
      <c r="P9" s="67"/>
      <c r="Q9" s="68"/>
      <c r="S9" s="62">
        <v>7</v>
      </c>
      <c r="T9" s="162">
        <f t="shared" si="0"/>
        <v>37096.826068977622</v>
      </c>
      <c r="U9" s="63">
        <f>INDEX('Revised 2019 MFAM Cost Bands'!M$6:M$246,MATCH(S9,'Revised 2019 MFAM Cost Bands'!C$6:C$246,0))</f>
        <v>433.76681471562551</v>
      </c>
      <c r="V9" s="126">
        <f>INDEX('Revised 2019 MFAM Cost Bands'!R$6:R$246,MATCH(S9,'Revised 2019 MFAM Cost Bands'!C$6:C$246,0))</f>
        <v>604.05882709731861</v>
      </c>
      <c r="W9" s="141"/>
      <c r="Y9" s="28"/>
      <c r="Z9" s="17"/>
      <c r="AA9" s="17"/>
      <c r="AB9"/>
      <c r="AC9"/>
      <c r="AD9"/>
      <c r="AE9" s="17"/>
    </row>
    <row r="10" spans="2:31" ht="15.75" thickBot="1" x14ac:dyDescent="0.3">
      <c r="D10" s="70" t="s">
        <v>585</v>
      </c>
      <c r="E10" s="152">
        <f>E6+E8+E9</f>
        <v>121259642.5</v>
      </c>
      <c r="F10" s="52"/>
      <c r="G10" s="52"/>
      <c r="H10" s="52"/>
      <c r="I10" s="52"/>
      <c r="J10" s="52"/>
      <c r="K10" s="58"/>
      <c r="L10" s="52"/>
      <c r="M10" s="52"/>
      <c r="N10" s="67"/>
      <c r="O10" s="67"/>
      <c r="P10" s="67"/>
      <c r="Q10" s="68"/>
      <c r="S10" s="62">
        <v>8</v>
      </c>
      <c r="T10" s="162">
        <f t="shared" si="0"/>
        <v>4580.6889588609674</v>
      </c>
      <c r="U10" s="63">
        <f>INDEX('Revised 2019 MFAM Cost Bands'!M$6:M$246,MATCH(S10,'Revised 2019 MFAM Cost Bands'!C$6:C$246,0))</f>
        <v>800.14056464366138</v>
      </c>
      <c r="V10" s="126">
        <f>INDEX('Revised 2019 MFAM Cost Bands'!R$6:R$246,MATCH(S10,'Revised 2019 MFAM Cost Bands'!C$6:C$246,0))</f>
        <v>1747.012700944284</v>
      </c>
      <c r="W10" s="142"/>
      <c r="Y10" s="28"/>
      <c r="Z10" s="17"/>
      <c r="AA10" s="17"/>
      <c r="AB10"/>
      <c r="AC10"/>
      <c r="AD10"/>
      <c r="AE10" s="17"/>
    </row>
    <row r="11" spans="2:31" ht="16.5" thickTop="1" thickBot="1" x14ac:dyDescent="0.3">
      <c r="D11" s="70" t="s">
        <v>38</v>
      </c>
      <c r="E11" s="52">
        <f>E10-E9</f>
        <v>121259642.5</v>
      </c>
      <c r="F11" s="52"/>
      <c r="G11" s="52"/>
      <c r="H11" s="79"/>
      <c r="I11" s="79"/>
      <c r="J11" s="79"/>
      <c r="K11" s="58"/>
      <c r="L11" s="52"/>
      <c r="M11" s="52"/>
      <c r="N11" s="67"/>
      <c r="O11" s="67"/>
      <c r="P11" s="67"/>
      <c r="Q11" s="68"/>
      <c r="S11" s="80">
        <v>9</v>
      </c>
      <c r="T11" s="171">
        <f t="shared" si="0"/>
        <v>8574.8498907087178</v>
      </c>
      <c r="U11" s="82">
        <f>INDEX('Revised 2019 MFAM Cost Bands'!M$6:M$246,MATCH(S11,'Revised 2019 MFAM Cost Bands'!C$6:C$246,0))</f>
        <v>526.52057791612788</v>
      </c>
      <c r="V11" s="127">
        <f>INDEX('Revised 2019 MFAM Cost Bands'!R$6:R$246,MATCH(S11,'Revised 2019 MFAM Cost Bands'!C$6:C$246,0))</f>
        <v>1006.5321510108211</v>
      </c>
      <c r="W11" s="142"/>
      <c r="Y11" s="28"/>
      <c r="Z11" s="17"/>
      <c r="AA11" s="17"/>
      <c r="AB11"/>
      <c r="AC11"/>
      <c r="AD11"/>
      <c r="AE11" s="17"/>
    </row>
    <row r="12" spans="2:31" x14ac:dyDescent="0.25">
      <c r="D12" s="57"/>
      <c r="E12" s="52"/>
      <c r="F12" s="52"/>
      <c r="G12" s="52"/>
      <c r="H12" s="19"/>
      <c r="I12" s="19"/>
      <c r="J12" s="19"/>
      <c r="K12" s="74"/>
      <c r="L12" s="18"/>
      <c r="M12" s="18"/>
      <c r="N12" s="68"/>
      <c r="O12" s="68"/>
      <c r="P12" s="68"/>
      <c r="Q12" s="68"/>
      <c r="R12" s="68"/>
      <c r="S12" s="53"/>
      <c r="T12" s="53"/>
      <c r="W12" s="78"/>
      <c r="X12" s="78"/>
      <c r="Y12" s="83"/>
      <c r="Z12" s="78"/>
    </row>
    <row r="13" spans="2:31" x14ac:dyDescent="0.25">
      <c r="D13" s="230" t="s">
        <v>584</v>
      </c>
      <c r="E13" s="231"/>
      <c r="F13" s="231"/>
      <c r="G13" s="231"/>
      <c r="H13" s="231"/>
      <c r="I13" s="231"/>
      <c r="J13" s="231"/>
      <c r="K13" s="232"/>
      <c r="L13" s="65"/>
      <c r="M13" s="65"/>
      <c r="N13" s="67"/>
      <c r="O13" s="67"/>
      <c r="P13" s="67"/>
      <c r="Q13" s="68"/>
      <c r="R13" s="84"/>
      <c r="S13" s="53"/>
      <c r="T13" s="110"/>
      <c r="U13" s="53"/>
      <c r="W13" s="78"/>
      <c r="X13" s="78"/>
      <c r="Y13" s="78"/>
      <c r="Z13" s="78"/>
    </row>
    <row r="14" spans="2:31" x14ac:dyDescent="0.25">
      <c r="D14" s="70" t="s">
        <v>51</v>
      </c>
      <c r="E14" s="52">
        <f>$E$11*K14</f>
        <v>60629821.25</v>
      </c>
      <c r="F14" s="52"/>
      <c r="G14" s="52"/>
      <c r="H14" s="16"/>
      <c r="I14" s="16"/>
      <c r="J14" s="16"/>
      <c r="K14" s="85">
        <v>0.5</v>
      </c>
      <c r="L14" s="118"/>
      <c r="M14" s="118"/>
      <c r="N14" s="53"/>
      <c r="O14" s="53"/>
      <c r="P14" s="53"/>
      <c r="Q14" s="53"/>
      <c r="R14" s="53"/>
      <c r="S14" s="53"/>
      <c r="W14" s="78"/>
      <c r="X14" s="78"/>
      <c r="Y14" s="78"/>
      <c r="Z14" s="78"/>
    </row>
    <row r="15" spans="2:31" x14ac:dyDescent="0.25">
      <c r="D15" s="70" t="s">
        <v>50</v>
      </c>
      <c r="E15" s="52">
        <f>$E$11*K15</f>
        <v>42440874.875</v>
      </c>
      <c r="F15" s="52"/>
      <c r="G15" s="52"/>
      <c r="H15" s="86">
        <f>E15/E19</f>
        <v>51.578958530483746</v>
      </c>
      <c r="I15" s="86"/>
      <c r="J15" s="86"/>
      <c r="K15" s="85">
        <v>0.35</v>
      </c>
      <c r="L15" s="118"/>
      <c r="M15" s="118"/>
      <c r="N15" s="53"/>
      <c r="O15" s="53"/>
      <c r="P15" s="53"/>
      <c r="Q15" s="53"/>
      <c r="R15" s="53"/>
      <c r="S15" s="53"/>
      <c r="T15" s="149" t="s">
        <v>296</v>
      </c>
    </row>
    <row r="16" spans="2:31" x14ac:dyDescent="0.25">
      <c r="D16" s="70" t="s">
        <v>49</v>
      </c>
      <c r="E16" s="154">
        <f>$E$11*K16</f>
        <v>18188946.375</v>
      </c>
      <c r="F16" s="52"/>
      <c r="G16" s="52"/>
      <c r="H16" s="16"/>
      <c r="I16" s="16"/>
      <c r="J16" s="16"/>
      <c r="K16" s="85">
        <v>0.15</v>
      </c>
      <c r="L16" s="118"/>
      <c r="M16" s="118"/>
      <c r="N16" s="53"/>
      <c r="O16" s="53"/>
      <c r="P16" s="53"/>
      <c r="Q16" s="53"/>
      <c r="R16" s="53"/>
      <c r="S16" s="53"/>
      <c r="T16" s="88"/>
    </row>
    <row r="17" spans="2:32" ht="15.75" thickBot="1" x14ac:dyDescent="0.3">
      <c r="D17" s="70" t="s">
        <v>586</v>
      </c>
      <c r="E17" s="155">
        <f>E14+E15+E16</f>
        <v>121259642.5</v>
      </c>
      <c r="F17" s="52"/>
      <c r="G17" s="52"/>
      <c r="H17" s="16"/>
      <c r="I17" s="16"/>
      <c r="J17" s="16"/>
      <c r="K17" s="90"/>
      <c r="L17" s="16"/>
      <c r="M17" s="16"/>
      <c r="N17" s="53"/>
      <c r="O17" s="53"/>
      <c r="P17" s="53"/>
      <c r="Q17" s="53"/>
      <c r="R17" s="53"/>
      <c r="S17" s="53"/>
      <c r="U17" s="14">
        <v>0.5</v>
      </c>
      <c r="V17" s="14">
        <v>0.35</v>
      </c>
      <c r="W17" s="14">
        <v>0.15</v>
      </c>
      <c r="X17" s="14"/>
    </row>
    <row r="18" spans="2:32" ht="16.5" thickTop="1" thickBot="1" x14ac:dyDescent="0.3">
      <c r="D18" s="57"/>
      <c r="E18" s="16"/>
      <c r="F18" s="16"/>
      <c r="G18" s="16"/>
      <c r="H18" s="16"/>
      <c r="I18" s="16"/>
      <c r="J18" s="16"/>
      <c r="K18" s="90"/>
      <c r="L18" s="16"/>
      <c r="M18" s="16"/>
      <c r="N18" s="52"/>
      <c r="O18" s="52"/>
      <c r="P18" s="52"/>
      <c r="T18" s="53"/>
      <c r="U18" s="227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8"/>
      <c r="W18" s="228"/>
      <c r="X18" s="228"/>
      <c r="Y18" s="228"/>
      <c r="Z18" s="228"/>
      <c r="AA18" s="229"/>
      <c r="AB18" s="91"/>
      <c r="AE18" s="91"/>
    </row>
    <row r="19" spans="2:32" ht="15.75" thickBot="1" x14ac:dyDescent="0.3">
      <c r="D19" s="92" t="s">
        <v>39</v>
      </c>
      <c r="E19" s="171">
        <f>F24</f>
        <v>822833.11032573413</v>
      </c>
      <c r="F19" s="81"/>
      <c r="G19" s="81"/>
      <c r="H19" s="81"/>
      <c r="I19" s="81"/>
      <c r="J19" s="81"/>
      <c r="K19" s="93"/>
      <c r="L19" s="19"/>
      <c r="M19" s="19"/>
      <c r="N19" s="52"/>
      <c r="O19" s="52"/>
      <c r="P19" s="52"/>
      <c r="T19" s="53"/>
      <c r="U19" s="130"/>
      <c r="V19" s="131"/>
      <c r="W19" s="131"/>
      <c r="X19" s="131"/>
      <c r="Y19" s="131"/>
      <c r="Z19" s="132">
        <f>75%</f>
        <v>0.75</v>
      </c>
      <c r="AA19" s="137">
        <f>SUMPRODUCT(--(Z$26:Z$298&lt;Z$19-0.5%),Y$26:Y$298)</f>
        <v>114659336.92044745</v>
      </c>
      <c r="AB19" s="94"/>
      <c r="AE19" s="94"/>
    </row>
    <row r="20" spans="2:32" x14ac:dyDescent="0.25">
      <c r="N20" s="52"/>
      <c r="O20" s="52"/>
      <c r="P20" s="52"/>
      <c r="U20" s="134"/>
      <c r="V20" s="133"/>
      <c r="W20" s="133"/>
      <c r="X20" s="133"/>
      <c r="Y20" s="133"/>
      <c r="Z20" s="135"/>
      <c r="AA20" s="137"/>
      <c r="AB20" s="95"/>
      <c r="AE20" s="95"/>
    </row>
    <row r="21" spans="2:32" x14ac:dyDescent="0.25">
      <c r="N21" s="52"/>
      <c r="O21" s="52"/>
      <c r="P21" s="52"/>
      <c r="U21" s="134"/>
      <c r="V21" s="133"/>
      <c r="W21" s="133"/>
      <c r="X21" s="133"/>
      <c r="Y21" s="133"/>
      <c r="Z21" s="133"/>
      <c r="AA21" s="137"/>
      <c r="AB21" s="94"/>
      <c r="AE21" s="94"/>
    </row>
    <row r="22" spans="2:32" x14ac:dyDescent="0.25">
      <c r="K22" s="98"/>
      <c r="M22" t="s">
        <v>577</v>
      </c>
      <c r="N22" s="52">
        <f>N24-N23</f>
        <v>0</v>
      </c>
      <c r="O22" s="52">
        <f>O24-O23</f>
        <v>0</v>
      </c>
      <c r="P22" s="52"/>
      <c r="Q22" s="97">
        <f>SMALL(Q26:Q267,5)</f>
        <v>139.52485499088255</v>
      </c>
      <c r="U22" s="134"/>
      <c r="V22" s="133"/>
      <c r="W22" s="136"/>
      <c r="X22" s="136"/>
      <c r="Y22" s="136"/>
      <c r="Z22" s="133" cm="1">
        <f t="array" ref="Z22">SUMPRODUCT(--($Z$26:$Z$270&lt;Z19),Y26:Y270)</f>
        <v>114659336.92044745</v>
      </c>
      <c r="AA22" s="137">
        <f>SUMPRODUCT(--(Z$26:Z$298&gt;Z$19),Y$26:Y$298)-SUMPRODUCT(--(Z$26:Z$298&gt;Z$19),$S$26:$S$298)*Z$19</f>
        <v>288320.21205259021</v>
      </c>
      <c r="AB22" s="94"/>
      <c r="AC22" s="52">
        <f>AC24-AC23</f>
        <v>0</v>
      </c>
      <c r="AE22" s="94"/>
      <c r="AF22" s="52"/>
    </row>
    <row r="23" spans="2:32" ht="15.75" thickBot="1" x14ac:dyDescent="0.3"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6">
        <f>H24-K24</f>
        <v>243214857.03999996</v>
      </c>
      <c r="O23" s="16">
        <f>'2017 Lockdown Update'!G3</f>
        <v>239090832.80999985</v>
      </c>
      <c r="P23" s="16"/>
      <c r="Q23" s="97">
        <f>LARGE(Q26:Q267,5)</f>
        <v>2485.142851972143</v>
      </c>
      <c r="S23" s="96">
        <v>244990724.68231803</v>
      </c>
      <c r="U23" s="134"/>
      <c r="V23" s="133"/>
      <c r="W23" s="133">
        <f>E16-W24</f>
        <v>3522766.4519476406</v>
      </c>
      <c r="X23" s="136"/>
      <c r="Y23" s="136"/>
      <c r="Z23" s="133" cm="1">
        <f t="array" ref="Z23">SUMPRODUCT(--($Z$26:$Z$270&gt;$Z$19),$Y$26:$Y$270)-$Z$19*SUMPRODUCT(--($Z$26:$Z$270&gt;$Z$19),$S$26:$S$270)</f>
        <v>288320.21205259021</v>
      </c>
      <c r="AA23" s="137">
        <f>SUM(AA26:AA298)</f>
        <v>121259642.50000015</v>
      </c>
      <c r="AB23" s="94"/>
      <c r="AC23" s="104">
        <f>E17</f>
        <v>121259642.5</v>
      </c>
      <c r="AE23" s="94"/>
      <c r="AF23" s="104"/>
    </row>
    <row r="24" spans="2:32" ht="15.75" thickBot="1" x14ac:dyDescent="0.3">
      <c r="E24" s="162">
        <f t="shared" ref="E24:P24" si="1">SUM(E26:E298)</f>
        <v>822979.37035411026</v>
      </c>
      <c r="F24" s="162">
        <f>SUM(F26:F298)</f>
        <v>822833.11032573413</v>
      </c>
      <c r="G24" s="162">
        <f t="shared" si="1"/>
        <v>-146.26002837576524</v>
      </c>
      <c r="H24" s="16">
        <f t="shared" si="1"/>
        <v>355059623.55999994</v>
      </c>
      <c r="I24" s="16">
        <f t="shared" si="1"/>
        <v>351426496.13999999</v>
      </c>
      <c r="J24" s="16">
        <f t="shared" si="1"/>
        <v>-3633127.4200000074</v>
      </c>
      <c r="K24" s="16">
        <f t="shared" si="1"/>
        <v>111844766.52</v>
      </c>
      <c r="L24" s="16">
        <f t="shared" si="1"/>
        <v>112335663.32999998</v>
      </c>
      <c r="M24" s="16">
        <f t="shared" si="1"/>
        <v>490896.81000000285</v>
      </c>
      <c r="N24" s="16">
        <f t="shared" si="1"/>
        <v>243214857.03999981</v>
      </c>
      <c r="O24" s="16">
        <f t="shared" si="1"/>
        <v>239090832.80999985</v>
      </c>
      <c r="P24" s="16">
        <f t="shared" si="1"/>
        <v>-4124024.230000006</v>
      </c>
      <c r="Q24" s="16"/>
      <c r="R24" t="s">
        <v>12</v>
      </c>
      <c r="S24" s="16">
        <f>SUM(S26:S298)</f>
        <v>235517646.1066291</v>
      </c>
      <c r="T24" s="98"/>
      <c r="U24" s="99">
        <f>SUM(U26:U298)</f>
        <v>60629821.250000075</v>
      </c>
      <c r="V24" s="100">
        <f>SUM(V26:V298)</f>
        <v>42440874.875000075</v>
      </c>
      <c r="W24" s="100">
        <f>IFERROR(SUM(W26:W298),0)</f>
        <v>14666179.923052359</v>
      </c>
      <c r="X24" s="100">
        <f>SUM(X26:X298)</f>
        <v>3522766.4519476434</v>
      </c>
      <c r="Y24" s="100">
        <f>SUM(Y26:Y298)</f>
        <v>121259642.50000003</v>
      </c>
      <c r="Z24" s="225" t="str">
        <f xml:space="preserve"> "Limit: "&amp;TEXT(Z19,"#,##0.0%")&amp;" of Filtered Net Cost"</f>
        <v>Limit: 75.0% of Filtered Net Cost</v>
      </c>
      <c r="AA24" s="226"/>
      <c r="AB24" s="91"/>
      <c r="AC24" s="104">
        <f>SUM(AC26:AC270)</f>
        <v>121259642.49999994</v>
      </c>
      <c r="AD24" s="24"/>
      <c r="AE24" s="91"/>
      <c r="AF24" s="104">
        <f>SUM(AF26:AF270)</f>
        <v>216218.16000000015</v>
      </c>
    </row>
    <row r="25" spans="2:32" s="161" customFormat="1" ht="60.75" thickBot="1" x14ac:dyDescent="0.3">
      <c r="B25" s="113" t="s">
        <v>11</v>
      </c>
      <c r="C25" s="113" t="s">
        <v>10</v>
      </c>
      <c r="D25" s="113" t="s">
        <v>9</v>
      </c>
      <c r="E25" s="139" t="s">
        <v>609</v>
      </c>
      <c r="F25" s="119" t="s">
        <v>578</v>
      </c>
      <c r="G25" s="120" t="s">
        <v>55</v>
      </c>
      <c r="H25" s="139" t="s">
        <v>608</v>
      </c>
      <c r="I25" s="119" t="s">
        <v>579</v>
      </c>
      <c r="J25" s="120" t="s">
        <v>55</v>
      </c>
      <c r="K25" s="139" t="s">
        <v>610</v>
      </c>
      <c r="L25" s="119" t="s">
        <v>580</v>
      </c>
      <c r="M25" s="120" t="s">
        <v>55</v>
      </c>
      <c r="N25" s="114" t="s">
        <v>611</v>
      </c>
      <c r="O25" s="119" t="s">
        <v>581</v>
      </c>
      <c r="P25" s="120" t="s">
        <v>55</v>
      </c>
      <c r="Q25" s="114" t="s">
        <v>8</v>
      </c>
      <c r="R25" s="114" t="s">
        <v>1</v>
      </c>
      <c r="S25" s="114" t="str">
        <f>"Adjusted Net Cost"&amp;CHAR(10)&amp;TEXT(SUM(S26:S298),"$#,##0")</f>
        <v>Adjusted Net Cost
$235,517,646</v>
      </c>
      <c r="T25" s="139" t="s">
        <v>40</v>
      </c>
      <c r="U25" s="114" t="s">
        <v>41</v>
      </c>
      <c r="V25" s="114" t="s">
        <v>42</v>
      </c>
      <c r="W25" s="156" t="s">
        <v>43</v>
      </c>
      <c r="X25" s="114" t="s">
        <v>44</v>
      </c>
      <c r="Y25" s="114" t="str">
        <f>"Subtotal Funding Net of CIF"&amp;CHAR(10)&amp;TEXT(SUM(Y26:Y298),"$#,##0")</f>
        <v>Subtotal Funding Net of CIF
$121,259,643</v>
      </c>
      <c r="Z25" s="156" t="s">
        <v>45</v>
      </c>
      <c r="AA25" s="114" t="str">
        <f>"Total 2017 Adjusted Payment"&amp;CHAR(10)&amp;TEXT(SUM($AA$26:$AA$298),"$#,##0;(-$#,##0)")</f>
        <v>Total 2017 Adjusted Payment
$121,259,643</v>
      </c>
      <c r="AB25" s="102"/>
      <c r="AC25" s="121" t="s">
        <v>590</v>
      </c>
      <c r="AD25" s="121" t="s">
        <v>551</v>
      </c>
      <c r="AE25" s="102"/>
      <c r="AF25" s="121" t="s">
        <v>603</v>
      </c>
    </row>
    <row r="26" spans="2:32" x14ac:dyDescent="0.25">
      <c r="B26">
        <v>1</v>
      </c>
      <c r="C26" s="27">
        <v>1</v>
      </c>
      <c r="D26" s="39" t="s">
        <v>299</v>
      </c>
      <c r="E26" s="162">
        <v>43741.089999999989</v>
      </c>
      <c r="F26" s="162">
        <f>INDEX('2017 Lockdown Update'!H$5:H$249,MATCH(B26,'2017 Lockdown Update'!B$5:B$249,0))</f>
        <v>43741.089999999989</v>
      </c>
      <c r="G26" s="162">
        <f>F26-E26</f>
        <v>0</v>
      </c>
      <c r="H26" s="5">
        <v>9441139.5399999991</v>
      </c>
      <c r="I26" s="5">
        <f>INDEX('2017 Lockdown Update'!E$5:E$249,MATCH(B26,'2017 Lockdown Update'!B$5:B$249,0))</f>
        <v>9441139.5399999991</v>
      </c>
      <c r="J26" s="5">
        <f>I26-H26</f>
        <v>0</v>
      </c>
      <c r="K26" s="5">
        <v>1552688.8099999998</v>
      </c>
      <c r="L26" s="5">
        <f>INDEX('2017 Lockdown Update'!F$5:F$249,MATCH(B26,'2017 Lockdown Update'!B$5:B$249,0))</f>
        <v>1552688.8099999998</v>
      </c>
      <c r="M26" s="5">
        <f>L26-K26</f>
        <v>0</v>
      </c>
      <c r="N26" s="5">
        <v>7888450.7299999995</v>
      </c>
      <c r="O26" s="105">
        <f>I26-L26</f>
        <v>7888450.7299999995</v>
      </c>
      <c r="P26" s="105">
        <f>O26-N26</f>
        <v>0</v>
      </c>
      <c r="Q26" s="103">
        <f>IFERROR(O26/F26,"n.a.")</f>
        <v>180.34417363627659</v>
      </c>
      <c r="R26" s="6">
        <f>MIN(Q26,INDEX($V$3:$V$11,MATCH(C26,$S$3:$S$11,0)))</f>
        <v>180.34417363627659</v>
      </c>
      <c r="S26" s="5">
        <f>F26*R26</f>
        <v>7888450.7299999995</v>
      </c>
      <c r="T26" s="140">
        <v>1</v>
      </c>
      <c r="U26" s="105">
        <f>$E$14*(S26/$S$24)</f>
        <v>2030741.0744195189</v>
      </c>
      <c r="V26" s="105">
        <f>$E$15*(F26/$F$24)</f>
        <v>2256119.867188157</v>
      </c>
      <c r="W26" s="105">
        <f t="shared" ref="W26:W89" si="2">IFERROR(T26*$E$16*(S26/$S$24),0)</f>
        <v>609222.32232585573</v>
      </c>
      <c r="X26" s="105">
        <f t="shared" ref="X26:X89" si="3">($W$23+$E$9)*(S26/$S$24)</f>
        <v>117991.8789478072</v>
      </c>
      <c r="Y26" s="105">
        <f t="shared" ref="Y26:Y89" si="4">U26+V26+W26+X26</f>
        <v>5014075.1428813394</v>
      </c>
      <c r="Z26" s="112">
        <f>IFERROR((Y26/S26),0)</f>
        <v>0.63562229321058838</v>
      </c>
      <c r="AA26" s="104">
        <f>IF(Z26&gt;$Z$19,$Z$19*S26,Y26+($Z$23*Y26/$Z$22))</f>
        <v>5026683.4419285087</v>
      </c>
      <c r="AB26" s="105"/>
      <c r="AC26" s="104">
        <v>4979053.7281457568</v>
      </c>
      <c r="AD26" s="5">
        <f>AA26-AC26</f>
        <v>47629.713782751933</v>
      </c>
      <c r="AE26" s="105"/>
      <c r="AF26" s="104">
        <f>(AA26/E$17)*I$9</f>
        <v>8963.083036602633</v>
      </c>
    </row>
    <row r="27" spans="2:32" x14ac:dyDescent="0.25">
      <c r="B27">
        <v>20</v>
      </c>
      <c r="C27" s="27">
        <v>1</v>
      </c>
      <c r="D27" s="39" t="s">
        <v>300</v>
      </c>
      <c r="E27" s="162">
        <v>120692.16</v>
      </c>
      <c r="F27" s="162">
        <f>INDEX('2017 Lockdown Update'!H$5:H$249,MATCH(B27,'2017 Lockdown Update'!B$5:B$249,0))</f>
        <v>120692.16</v>
      </c>
      <c r="G27" s="162">
        <f t="shared" ref="G27:G90" si="5">F27-E27</f>
        <v>0</v>
      </c>
      <c r="H27" s="5">
        <v>73137078.730000004</v>
      </c>
      <c r="I27" s="5">
        <f>INDEX('2017 Lockdown Update'!E$5:E$249,MATCH(B27,'2017 Lockdown Update'!B$5:B$249,0))</f>
        <v>69057219.019999996</v>
      </c>
      <c r="J27" s="5">
        <f t="shared" ref="J27:J90" si="6">I27-H27</f>
        <v>-4079859.7100000083</v>
      </c>
      <c r="K27" s="5">
        <v>19269125.249999996</v>
      </c>
      <c r="L27" s="5">
        <f>INDEX('2017 Lockdown Update'!F$5:F$249,MATCH(B27,'2017 Lockdown Update'!B$5:B$249,0))</f>
        <v>19755178.539999999</v>
      </c>
      <c r="M27" s="5">
        <f t="shared" ref="M27:M90" si="7">L27-K27</f>
        <v>486053.29000000283</v>
      </c>
      <c r="N27" s="5">
        <v>53867953.480000004</v>
      </c>
      <c r="O27" s="105">
        <f t="shared" ref="O27:O90" si="8">I27-L27</f>
        <v>49302040.479999997</v>
      </c>
      <c r="P27" s="105">
        <f t="shared" ref="P27:P90" si="9">O27-N27</f>
        <v>-4565913.0000000075</v>
      </c>
      <c r="Q27" s="103">
        <f t="shared" ref="Q27:Q90" si="10">IFERROR(O27/F27,"n.a.")</f>
        <v>408.4941431158411</v>
      </c>
      <c r="R27" s="6">
        <f t="shared" ref="R27:R90" si="11">MIN(Q27,INDEX($V$3:$V$11,MATCH(C27,$S$3:$S$11,0)))</f>
        <v>408.4941431158411</v>
      </c>
      <c r="S27" s="5">
        <f t="shared" ref="S27:S90" si="12">F27*R27</f>
        <v>49302040.479999997</v>
      </c>
      <c r="T27" s="140">
        <v>0.83899999999999997</v>
      </c>
      <c r="U27" s="105">
        <f t="shared" ref="U27:U89" si="13">$E$14*(S27/$S$24)</f>
        <v>12691931.79779546</v>
      </c>
      <c r="V27" s="105">
        <f>$E$15*(F27/$F$24)</f>
        <v>6225175.9155945089</v>
      </c>
      <c r="W27" s="105">
        <f t="shared" si="2"/>
        <v>3194559.2335051168</v>
      </c>
      <c r="X27" s="105">
        <f t="shared" si="3"/>
        <v>737437.62765392207</v>
      </c>
      <c r="Y27" s="105">
        <f t="shared" si="4"/>
        <v>22849104.574549008</v>
      </c>
      <c r="Z27" s="112">
        <f t="shared" ref="Z27:Z90" si="14">IFERROR((Y27/S27),0)</f>
        <v>0.46345149920961265</v>
      </c>
      <c r="AA27" s="104">
        <f t="shared" ref="AA27:AA90" si="15">IF(Z27&gt;$Z$19,$Z$19*S27,Y27+($Z$23*Y27/$Z$22))</f>
        <v>22906560.503155299</v>
      </c>
      <c r="AB27" s="105"/>
      <c r="AC27" s="104">
        <v>24119080.349526484</v>
      </c>
      <c r="AD27" s="5">
        <f t="shared" ref="AD27:AD90" si="16">AA27-AC27</f>
        <v>-1212519.846371185</v>
      </c>
      <c r="AE27" s="105"/>
      <c r="AF27" s="104">
        <f t="shared" ref="AF27:AF90" si="17">(AA27/E$17)*I$9</f>
        <v>40844.705310102792</v>
      </c>
    </row>
    <row r="28" spans="2:32" x14ac:dyDescent="0.25">
      <c r="B28">
        <v>50</v>
      </c>
      <c r="C28" s="27">
        <v>1</v>
      </c>
      <c r="D28" s="39" t="s">
        <v>301</v>
      </c>
      <c r="E28" s="162">
        <v>22747.62</v>
      </c>
      <c r="F28" s="162">
        <f>INDEX('2017 Lockdown Update'!H$5:H$249,MATCH(B28,'2017 Lockdown Update'!B$5:B$249,0))</f>
        <v>22747.62</v>
      </c>
      <c r="G28" s="162">
        <f t="shared" si="5"/>
        <v>0</v>
      </c>
      <c r="H28" s="5">
        <v>9780998.0399999991</v>
      </c>
      <c r="I28" s="5">
        <f>INDEX('2017 Lockdown Update'!E$5:E$249,MATCH(B28,'2017 Lockdown Update'!B$5:B$249,0))</f>
        <v>9780998.0399999991</v>
      </c>
      <c r="J28" s="5">
        <f t="shared" si="6"/>
        <v>0</v>
      </c>
      <c r="K28" s="5">
        <v>3906984.9000000004</v>
      </c>
      <c r="L28" s="5">
        <f>INDEX('2017 Lockdown Update'!F$5:F$249,MATCH(B28,'2017 Lockdown Update'!B$5:B$249,0))</f>
        <v>3906984.9000000004</v>
      </c>
      <c r="M28" s="5">
        <f t="shared" si="7"/>
        <v>0</v>
      </c>
      <c r="N28" s="5">
        <v>5874013.1399999987</v>
      </c>
      <c r="O28" s="105">
        <f t="shared" si="8"/>
        <v>5874013.1399999987</v>
      </c>
      <c r="P28" s="105">
        <f t="shared" si="9"/>
        <v>0</v>
      </c>
      <c r="Q28" s="103">
        <f t="shared" si="10"/>
        <v>258.22539412914404</v>
      </c>
      <c r="R28" s="6">
        <f t="shared" si="11"/>
        <v>258.22539412914404</v>
      </c>
      <c r="S28" s="5">
        <f t="shared" si="12"/>
        <v>5874013.1399999987</v>
      </c>
      <c r="T28" s="140">
        <v>0.88075000000000003</v>
      </c>
      <c r="U28" s="105">
        <f t="shared" si="13"/>
        <v>1512160.0125754946</v>
      </c>
      <c r="V28" s="105">
        <f t="shared" ref="V28:V89" si="18">$E$15*(F28/$F$24)</f>
        <v>1173298.5486472026</v>
      </c>
      <c r="W28" s="105">
        <f t="shared" si="2"/>
        <v>399550.47932276007</v>
      </c>
      <c r="X28" s="105">
        <f t="shared" si="3"/>
        <v>87860.83238333273</v>
      </c>
      <c r="Y28" s="105">
        <f t="shared" si="4"/>
        <v>3172869.8729287898</v>
      </c>
      <c r="Z28" s="112">
        <f t="shared" si="14"/>
        <v>0.54015369004244185</v>
      </c>
      <c r="AA28" s="104">
        <f t="shared" si="15"/>
        <v>3180848.3118344047</v>
      </c>
      <c r="AB28" s="105"/>
      <c r="AC28" s="104">
        <v>3144085.1611459795</v>
      </c>
      <c r="AD28" s="5">
        <f t="shared" si="16"/>
        <v>36763.150688425172</v>
      </c>
      <c r="AE28" s="105"/>
      <c r="AF28" s="104">
        <f t="shared" si="17"/>
        <v>5671.7730239386256</v>
      </c>
    </row>
    <row r="29" spans="2:32" x14ac:dyDescent="0.25">
      <c r="B29">
        <v>97</v>
      </c>
      <c r="C29" s="27">
        <v>1</v>
      </c>
      <c r="D29" s="39" t="s">
        <v>302</v>
      </c>
      <c r="E29" s="162">
        <v>65618.490000000005</v>
      </c>
      <c r="F29" s="162">
        <f>INDEX('2017 Lockdown Update'!H$5:H$249,MATCH(B29,'2017 Lockdown Update'!B$5:B$249,0))</f>
        <v>65618.490000000005</v>
      </c>
      <c r="G29" s="162">
        <f t="shared" si="5"/>
        <v>0</v>
      </c>
      <c r="H29" s="5">
        <v>25692503.82</v>
      </c>
      <c r="I29" s="5">
        <f>INDEX('2017 Lockdown Update'!E$5:E$249,MATCH(B29,'2017 Lockdown Update'!B$5:B$249,0))</f>
        <v>25692503.82</v>
      </c>
      <c r="J29" s="5">
        <f t="shared" si="6"/>
        <v>0</v>
      </c>
      <c r="K29" s="5">
        <v>9202443.370000001</v>
      </c>
      <c r="L29" s="5">
        <f>INDEX('2017 Lockdown Update'!F$5:F$249,MATCH(B29,'2017 Lockdown Update'!B$5:B$249,0))</f>
        <v>9202443.370000001</v>
      </c>
      <c r="M29" s="5">
        <f t="shared" si="7"/>
        <v>0</v>
      </c>
      <c r="N29" s="5">
        <v>16490060.449999999</v>
      </c>
      <c r="O29" s="105">
        <f t="shared" si="8"/>
        <v>16490060.449999999</v>
      </c>
      <c r="P29" s="105">
        <f t="shared" si="9"/>
        <v>0</v>
      </c>
      <c r="Q29" s="103">
        <f t="shared" si="10"/>
        <v>251.3020407814931</v>
      </c>
      <c r="R29" s="6">
        <f t="shared" si="11"/>
        <v>251.3020407814931</v>
      </c>
      <c r="S29" s="5">
        <f t="shared" si="12"/>
        <v>16490060.449999999</v>
      </c>
      <c r="T29" s="140">
        <v>0.88075000000000003</v>
      </c>
      <c r="U29" s="105">
        <f t="shared" si="13"/>
        <v>4245072.2228794107</v>
      </c>
      <c r="V29" s="105">
        <f t="shared" si="18"/>
        <v>3384533.3745429628</v>
      </c>
      <c r="W29" s="105">
        <f t="shared" si="2"/>
        <v>1121654.2080903125</v>
      </c>
      <c r="X29" s="105">
        <f t="shared" si="3"/>
        <v>246650.86758530379</v>
      </c>
      <c r="Y29" s="105">
        <f t="shared" si="4"/>
        <v>8997910.6730979886</v>
      </c>
      <c r="Z29" s="112">
        <f t="shared" si="14"/>
        <v>0.54565662147696914</v>
      </c>
      <c r="AA29" s="104">
        <f t="shared" si="15"/>
        <v>9020536.6500395592</v>
      </c>
      <c r="AB29" s="105"/>
      <c r="AC29" s="104">
        <v>8917275.6060505789</v>
      </c>
      <c r="AD29" s="5">
        <f t="shared" si="16"/>
        <v>103261.04398898035</v>
      </c>
      <c r="AE29" s="105"/>
      <c r="AF29" s="104">
        <f t="shared" si="17"/>
        <v>16084.525704288786</v>
      </c>
    </row>
    <row r="30" spans="2:32" x14ac:dyDescent="0.25">
      <c r="B30">
        <v>172</v>
      </c>
      <c r="C30" s="27">
        <v>1</v>
      </c>
      <c r="D30" s="39" t="s">
        <v>303</v>
      </c>
      <c r="E30" s="162">
        <v>35538.149999999994</v>
      </c>
      <c r="F30" s="162">
        <f>INDEX('2017 Lockdown Update'!H$5:H$249,MATCH(B30,'2017 Lockdown Update'!B$5:B$249,0))</f>
        <v>35538.149999999994</v>
      </c>
      <c r="G30" s="162">
        <f t="shared" si="5"/>
        <v>0</v>
      </c>
      <c r="H30" s="5">
        <v>14723683.560000001</v>
      </c>
      <c r="I30" s="5">
        <f>INDEX('2017 Lockdown Update'!E$5:E$249,MATCH(B30,'2017 Lockdown Update'!B$5:B$249,0))</f>
        <v>14723683.560000001</v>
      </c>
      <c r="J30" s="5">
        <f t="shared" si="6"/>
        <v>0</v>
      </c>
      <c r="K30" s="5">
        <v>5464143.8599999994</v>
      </c>
      <c r="L30" s="5">
        <f>INDEX('2017 Lockdown Update'!F$5:F$249,MATCH(B30,'2017 Lockdown Update'!B$5:B$249,0))</f>
        <v>5464143.8599999994</v>
      </c>
      <c r="M30" s="5">
        <f t="shared" si="7"/>
        <v>0</v>
      </c>
      <c r="N30" s="5">
        <v>9259539.7000000011</v>
      </c>
      <c r="O30" s="105">
        <f t="shared" si="8"/>
        <v>9259539.7000000011</v>
      </c>
      <c r="P30" s="105">
        <f t="shared" si="9"/>
        <v>0</v>
      </c>
      <c r="Q30" s="103">
        <f t="shared" si="10"/>
        <v>260.55210245890692</v>
      </c>
      <c r="R30" s="6">
        <f t="shared" si="11"/>
        <v>260.55210245890692</v>
      </c>
      <c r="S30" s="5">
        <f t="shared" si="12"/>
        <v>9259539.7000000011</v>
      </c>
      <c r="T30" s="140">
        <v>0.92249999999999999</v>
      </c>
      <c r="U30" s="105">
        <f t="shared" si="13"/>
        <v>2383703.4980135057</v>
      </c>
      <c r="V30" s="105">
        <f t="shared" si="18"/>
        <v>1833020.7651001108</v>
      </c>
      <c r="W30" s="105">
        <f t="shared" si="2"/>
        <v>659689.94307523768</v>
      </c>
      <c r="X30" s="105">
        <f t="shared" si="3"/>
        <v>138500.00776956303</v>
      </c>
      <c r="Y30" s="105">
        <f t="shared" si="4"/>
        <v>5014914.2139584171</v>
      </c>
      <c r="Z30" s="112">
        <f t="shared" si="14"/>
        <v>0.54159433151503378</v>
      </c>
      <c r="AA30" s="104">
        <f t="shared" si="15"/>
        <v>5027524.6229179353</v>
      </c>
      <c r="AB30" s="105"/>
      <c r="AC30" s="104">
        <v>4968995.3089303644</v>
      </c>
      <c r="AD30" s="5">
        <f t="shared" si="16"/>
        <v>58529.313987570815</v>
      </c>
      <c r="AE30" s="105"/>
      <c r="AF30" s="104">
        <f t="shared" si="17"/>
        <v>8964.5829470593289</v>
      </c>
    </row>
    <row r="31" spans="2:32" x14ac:dyDescent="0.25">
      <c r="B31">
        <v>270</v>
      </c>
      <c r="C31" s="27">
        <v>1</v>
      </c>
      <c r="D31" s="39" t="s">
        <v>304</v>
      </c>
      <c r="E31" s="162">
        <v>82092.200000000026</v>
      </c>
      <c r="F31" s="162">
        <f>INDEX('2017 Lockdown Update'!H$5:H$249,MATCH(B31,'2017 Lockdown Update'!B$5:B$249,0))</f>
        <v>82092.200000000026</v>
      </c>
      <c r="G31" s="162">
        <f t="shared" si="5"/>
        <v>0</v>
      </c>
      <c r="H31" s="5">
        <v>36784021.890000001</v>
      </c>
      <c r="I31" s="5">
        <f>INDEX('2017 Lockdown Update'!E$5:E$249,MATCH(B31,'2017 Lockdown Update'!B$5:B$249,0))</f>
        <v>37087418.170000002</v>
      </c>
      <c r="J31" s="5">
        <f t="shared" si="6"/>
        <v>303396.28000000119</v>
      </c>
      <c r="K31" s="5">
        <v>11034183.389999999</v>
      </c>
      <c r="L31" s="5">
        <f>INDEX('2017 Lockdown Update'!F$5:F$249,MATCH(B31,'2017 Lockdown Update'!B$5:B$249,0))</f>
        <v>11034183.389999999</v>
      </c>
      <c r="M31" s="5">
        <f t="shared" si="7"/>
        <v>0</v>
      </c>
      <c r="N31" s="5">
        <v>25749838.5</v>
      </c>
      <c r="O31" s="105">
        <f t="shared" si="8"/>
        <v>26053234.780000001</v>
      </c>
      <c r="P31" s="105">
        <f t="shared" si="9"/>
        <v>303396.28000000119</v>
      </c>
      <c r="Q31" s="103">
        <f t="shared" si="10"/>
        <v>317.36553265718294</v>
      </c>
      <c r="R31" s="6">
        <f t="shared" si="11"/>
        <v>317.36553265718294</v>
      </c>
      <c r="S31" s="5">
        <f t="shared" si="12"/>
        <v>26053234.780000001</v>
      </c>
      <c r="T31" s="140">
        <v>0.83899999999999997</v>
      </c>
      <c r="U31" s="105">
        <f t="shared" si="13"/>
        <v>6706941.0458549168</v>
      </c>
      <c r="V31" s="105">
        <f t="shared" si="18"/>
        <v>4234230.1794761792</v>
      </c>
      <c r="W31" s="105">
        <f t="shared" si="2"/>
        <v>1688137.0612416824</v>
      </c>
      <c r="X31" s="105">
        <f t="shared" si="3"/>
        <v>389692.50485013303</v>
      </c>
      <c r="Y31" s="105">
        <f t="shared" si="4"/>
        <v>13019000.791422911</v>
      </c>
      <c r="Z31" s="112">
        <f t="shared" si="14"/>
        <v>0.49970765247995474</v>
      </c>
      <c r="AA31" s="104">
        <f t="shared" si="15"/>
        <v>13051738.12594544</v>
      </c>
      <c r="AB31" s="105"/>
      <c r="AC31" s="104">
        <v>12790219.381773422</v>
      </c>
      <c r="AD31" s="5">
        <f t="shared" si="16"/>
        <v>261518.74417201802</v>
      </c>
      <c r="AE31" s="105"/>
      <c r="AF31" s="104">
        <f t="shared" si="17"/>
        <v>23272.564096449263</v>
      </c>
    </row>
    <row r="32" spans="2:32" x14ac:dyDescent="0.25">
      <c r="B32">
        <v>6</v>
      </c>
      <c r="C32" s="27">
        <v>2</v>
      </c>
      <c r="D32" s="39" t="s">
        <v>305</v>
      </c>
      <c r="E32" s="162">
        <v>43507.199999999997</v>
      </c>
      <c r="F32" s="162">
        <f>INDEX('2017 Lockdown Update'!H$5:H$249,MATCH(B32,'2017 Lockdown Update'!B$5:B$249,0))</f>
        <v>43390.189999999995</v>
      </c>
      <c r="G32" s="162">
        <f t="shared" si="5"/>
        <v>-117.01000000000204</v>
      </c>
      <c r="H32" s="5">
        <v>18925384.940000001</v>
      </c>
      <c r="I32" s="5">
        <f>INDEX('2017 Lockdown Update'!E$5:E$249,MATCH(B32,'2017 Lockdown Update'!B$5:B$249,0))</f>
        <v>18925384.940000001</v>
      </c>
      <c r="J32" s="5">
        <f t="shared" si="6"/>
        <v>0</v>
      </c>
      <c r="K32" s="5">
        <v>6221539.9700000007</v>
      </c>
      <c r="L32" s="5">
        <f>INDEX('2017 Lockdown Update'!F$5:F$249,MATCH(B32,'2017 Lockdown Update'!B$5:B$249,0))</f>
        <v>6221539.9700000007</v>
      </c>
      <c r="M32" s="5">
        <f t="shared" si="7"/>
        <v>0</v>
      </c>
      <c r="N32" s="5">
        <v>12703844.970000001</v>
      </c>
      <c r="O32" s="105">
        <f t="shared" si="8"/>
        <v>12703844.970000001</v>
      </c>
      <c r="P32" s="105">
        <f t="shared" si="9"/>
        <v>0</v>
      </c>
      <c r="Q32" s="103">
        <f t="shared" si="10"/>
        <v>292.78150130248338</v>
      </c>
      <c r="R32" s="6">
        <f t="shared" si="11"/>
        <v>269.03475307959195</v>
      </c>
      <c r="S32" s="5">
        <f t="shared" si="12"/>
        <v>11673469.052726578</v>
      </c>
      <c r="T32" s="140">
        <v>0.78341666666666676</v>
      </c>
      <c r="U32" s="105">
        <f t="shared" si="13"/>
        <v>3005126.5955408933</v>
      </c>
      <c r="V32" s="105">
        <f t="shared" si="18"/>
        <v>2238020.8106398103</v>
      </c>
      <c r="W32" s="105">
        <f t="shared" si="2"/>
        <v>706279.87811699847</v>
      </c>
      <c r="X32" s="105">
        <f t="shared" si="3"/>
        <v>174606.47147507605</v>
      </c>
      <c r="Y32" s="105">
        <f t="shared" si="4"/>
        <v>6124033.7557727788</v>
      </c>
      <c r="Z32" s="112">
        <f t="shared" si="14"/>
        <v>0.52461129833058362</v>
      </c>
      <c r="AA32" s="104">
        <f t="shared" si="15"/>
        <v>6139433.135871293</v>
      </c>
      <c r="AB32" s="105"/>
      <c r="AC32" s="104">
        <v>6078335.5598914931</v>
      </c>
      <c r="AD32" s="5">
        <f t="shared" si="16"/>
        <v>61097.575979799964</v>
      </c>
      <c r="AE32" s="105"/>
      <c r="AF32" s="104">
        <f t="shared" si="17"/>
        <v>10947.227855146628</v>
      </c>
    </row>
    <row r="33" spans="2:32" x14ac:dyDescent="0.25">
      <c r="B33">
        <v>18</v>
      </c>
      <c r="C33" s="27">
        <v>2</v>
      </c>
      <c r="D33" s="39" t="s">
        <v>306</v>
      </c>
      <c r="E33" s="162">
        <v>23534.330000000005</v>
      </c>
      <c r="F33" s="162">
        <f>INDEX('2017 Lockdown Update'!H$5:H$249,MATCH(B33,'2017 Lockdown Update'!B$5:B$249,0))</f>
        <v>23534.330000000005</v>
      </c>
      <c r="G33" s="162">
        <f t="shared" si="5"/>
        <v>0</v>
      </c>
      <c r="H33" s="5">
        <v>7710688.1500000004</v>
      </c>
      <c r="I33" s="5">
        <f>INDEX('2017 Lockdown Update'!E$5:E$249,MATCH(B33,'2017 Lockdown Update'!B$5:B$249,0))</f>
        <v>7710688.1500000004</v>
      </c>
      <c r="J33" s="5">
        <f t="shared" si="6"/>
        <v>0</v>
      </c>
      <c r="K33" s="5">
        <v>4165073.71</v>
      </c>
      <c r="L33" s="5">
        <f>INDEX('2017 Lockdown Update'!F$5:F$249,MATCH(B33,'2017 Lockdown Update'!B$5:B$249,0))</f>
        <v>4165073.71</v>
      </c>
      <c r="M33" s="5">
        <f t="shared" si="7"/>
        <v>0</v>
      </c>
      <c r="N33" s="5">
        <v>3545614.4400000004</v>
      </c>
      <c r="O33" s="105">
        <f t="shared" si="8"/>
        <v>3545614.4400000004</v>
      </c>
      <c r="P33" s="105">
        <f t="shared" si="9"/>
        <v>0</v>
      </c>
      <c r="Q33" s="103">
        <f t="shared" si="10"/>
        <v>150.65712259494958</v>
      </c>
      <c r="R33" s="6">
        <f t="shared" si="11"/>
        <v>150.65712259494958</v>
      </c>
      <c r="S33" s="5">
        <f t="shared" si="12"/>
        <v>3545614.4400000009</v>
      </c>
      <c r="T33" s="140">
        <v>0.79725000000000001</v>
      </c>
      <c r="U33" s="105">
        <f t="shared" si="13"/>
        <v>912755.25750326423</v>
      </c>
      <c r="V33" s="105">
        <f t="shared" si="18"/>
        <v>1213876.23111272</v>
      </c>
      <c r="W33" s="105">
        <f t="shared" si="2"/>
        <v>218308.23871334325</v>
      </c>
      <c r="X33" s="105">
        <f t="shared" si="3"/>
        <v>53033.697505273929</v>
      </c>
      <c r="Y33" s="105">
        <f t="shared" si="4"/>
        <v>2397973.4248346011</v>
      </c>
      <c r="Z33" s="112">
        <f t="shared" si="14"/>
        <v>0.67632097776389932</v>
      </c>
      <c r="AA33" s="104">
        <f t="shared" si="15"/>
        <v>2404003.3237064607</v>
      </c>
      <c r="AB33" s="105"/>
      <c r="AC33" s="104">
        <v>2381949.5924442606</v>
      </c>
      <c r="AD33" s="5">
        <f t="shared" si="16"/>
        <v>22053.731262200046</v>
      </c>
      <c r="AE33" s="105"/>
      <c r="AF33" s="104">
        <f t="shared" si="17"/>
        <v>4286.5801396841134</v>
      </c>
    </row>
    <row r="34" spans="2:32" x14ac:dyDescent="0.25">
      <c r="B34">
        <v>53</v>
      </c>
      <c r="C34" s="27">
        <v>2</v>
      </c>
      <c r="D34" s="39" t="s">
        <v>307</v>
      </c>
      <c r="E34" s="162">
        <v>36088.47</v>
      </c>
      <c r="F34" s="162">
        <f>INDEX('2017 Lockdown Update'!H$5:H$249,MATCH(B34,'2017 Lockdown Update'!B$5:B$249,0))</f>
        <v>36088.47</v>
      </c>
      <c r="G34" s="162">
        <f t="shared" si="5"/>
        <v>0</v>
      </c>
      <c r="H34" s="5">
        <v>11731139.85</v>
      </c>
      <c r="I34" s="5">
        <f>INDEX('2017 Lockdown Update'!E$5:E$249,MATCH(B34,'2017 Lockdown Update'!B$5:B$249,0))</f>
        <v>11731139.85</v>
      </c>
      <c r="J34" s="5">
        <f t="shared" si="6"/>
        <v>0</v>
      </c>
      <c r="K34" s="5">
        <v>5054300.95</v>
      </c>
      <c r="L34" s="5">
        <f>INDEX('2017 Lockdown Update'!F$5:F$249,MATCH(B34,'2017 Lockdown Update'!B$5:B$249,0))</f>
        <v>5054300.95</v>
      </c>
      <c r="M34" s="5">
        <f t="shared" si="7"/>
        <v>0</v>
      </c>
      <c r="N34" s="5">
        <v>6676838.8999999994</v>
      </c>
      <c r="O34" s="105">
        <f t="shared" si="8"/>
        <v>6676838.8999999994</v>
      </c>
      <c r="P34" s="105">
        <f t="shared" si="9"/>
        <v>0</v>
      </c>
      <c r="Q34" s="103">
        <f t="shared" si="10"/>
        <v>185.01307758405937</v>
      </c>
      <c r="R34" s="6">
        <f t="shared" si="11"/>
        <v>185.01307758405937</v>
      </c>
      <c r="S34" s="5">
        <f t="shared" si="12"/>
        <v>6676838.8999999994</v>
      </c>
      <c r="T34" s="140">
        <v>0.79725000000000001</v>
      </c>
      <c r="U34" s="105">
        <f t="shared" si="13"/>
        <v>1718833.1987606948</v>
      </c>
      <c r="V34" s="105">
        <f t="shared" si="18"/>
        <v>1861405.697558607</v>
      </c>
      <c r="W34" s="105">
        <f t="shared" si="2"/>
        <v>411101.93031358923</v>
      </c>
      <c r="X34" s="105">
        <f t="shared" si="3"/>
        <v>99869.137072345009</v>
      </c>
      <c r="Y34" s="105">
        <f t="shared" si="4"/>
        <v>4091209.9637052361</v>
      </c>
      <c r="Z34" s="112">
        <f t="shared" si="14"/>
        <v>0.61274654443216181</v>
      </c>
      <c r="AA34" s="104">
        <f t="shared" si="15"/>
        <v>4101497.6433305386</v>
      </c>
      <c r="AB34" s="105"/>
      <c r="AC34" s="104">
        <v>4060230.6030549412</v>
      </c>
      <c r="AD34" s="5">
        <f t="shared" si="16"/>
        <v>41267.040275597479</v>
      </c>
      <c r="AE34" s="105"/>
      <c r="AF34" s="104">
        <f t="shared" si="17"/>
        <v>7313.3835413152065</v>
      </c>
    </row>
    <row r="35" spans="2:32" x14ac:dyDescent="0.25">
      <c r="B35">
        <v>335</v>
      </c>
      <c r="C35" s="27">
        <v>2</v>
      </c>
      <c r="D35" s="39" t="s">
        <v>308</v>
      </c>
      <c r="E35" s="162">
        <v>24460.199999999997</v>
      </c>
      <c r="F35" s="162">
        <f>INDEX('2017 Lockdown Update'!H$5:H$249,MATCH(B35,'2017 Lockdown Update'!B$5:B$249,0))</f>
        <v>24460.199999999997</v>
      </c>
      <c r="G35" s="162">
        <f t="shared" si="5"/>
        <v>0</v>
      </c>
      <c r="H35" s="5">
        <v>9859566.0800000001</v>
      </c>
      <c r="I35" s="5">
        <f>INDEX('2017 Lockdown Update'!E$5:E$249,MATCH(B35,'2017 Lockdown Update'!B$5:B$249,0))</f>
        <v>9859566.0800000001</v>
      </c>
      <c r="J35" s="5">
        <f t="shared" si="6"/>
        <v>0</v>
      </c>
      <c r="K35" s="5">
        <v>4583108.9400000004</v>
      </c>
      <c r="L35" s="5">
        <f>INDEX('2017 Lockdown Update'!F$5:F$249,MATCH(B35,'2017 Lockdown Update'!B$5:B$249,0))</f>
        <v>4583108.9400000004</v>
      </c>
      <c r="M35" s="5">
        <f t="shared" si="7"/>
        <v>0</v>
      </c>
      <c r="N35" s="5">
        <v>5276457.1399999997</v>
      </c>
      <c r="O35" s="105">
        <f t="shared" si="8"/>
        <v>5276457.1399999997</v>
      </c>
      <c r="P35" s="105">
        <f t="shared" si="9"/>
        <v>0</v>
      </c>
      <c r="Q35" s="103">
        <f t="shared" si="10"/>
        <v>215.71602603412893</v>
      </c>
      <c r="R35" s="6">
        <f t="shared" si="11"/>
        <v>215.71602603412893</v>
      </c>
      <c r="S35" s="5">
        <f t="shared" si="12"/>
        <v>5276457.1399999997</v>
      </c>
      <c r="T35" s="140">
        <v>0.92249999999999999</v>
      </c>
      <c r="U35" s="105">
        <f t="shared" si="13"/>
        <v>1358329.8683558034</v>
      </c>
      <c r="V35" s="105">
        <f t="shared" si="18"/>
        <v>1261631.6414473385</v>
      </c>
      <c r="W35" s="105">
        <f t="shared" si="2"/>
        <v>375917.79106746858</v>
      </c>
      <c r="X35" s="105">
        <f t="shared" si="3"/>
        <v>78922.859943649906</v>
      </c>
      <c r="Y35" s="105">
        <f t="shared" si="4"/>
        <v>3074802.1608142601</v>
      </c>
      <c r="Z35" s="112">
        <f t="shared" si="14"/>
        <v>0.58273991036611739</v>
      </c>
      <c r="AA35" s="104">
        <f t="shared" si="15"/>
        <v>3082534.0004954962</v>
      </c>
      <c r="AB35" s="105"/>
      <c r="AC35" s="104">
        <v>3049047.178748331</v>
      </c>
      <c r="AD35" s="5">
        <f t="shared" si="16"/>
        <v>33486.821747165173</v>
      </c>
      <c r="AE35" s="105"/>
      <c r="AF35" s="104">
        <f t="shared" si="17"/>
        <v>5496.4687012381364</v>
      </c>
    </row>
    <row r="36" spans="2:32" x14ac:dyDescent="0.25">
      <c r="B36">
        <v>357</v>
      </c>
      <c r="C36" s="27">
        <v>2</v>
      </c>
      <c r="D36" s="39" t="s">
        <v>309</v>
      </c>
      <c r="E36" s="162">
        <v>36671.049999999996</v>
      </c>
      <c r="F36" s="162">
        <f>INDEX('2017 Lockdown Update'!H$5:H$249,MATCH(B36,'2017 Lockdown Update'!B$5:B$249,0))</f>
        <v>36671.049999999996</v>
      </c>
      <c r="G36" s="162">
        <f t="shared" si="5"/>
        <v>0</v>
      </c>
      <c r="H36" s="5">
        <v>12281303.27</v>
      </c>
      <c r="I36" s="5">
        <f>INDEX('2017 Lockdown Update'!E$5:E$249,MATCH(B36,'2017 Lockdown Update'!B$5:B$249,0))</f>
        <v>12281303.27</v>
      </c>
      <c r="J36" s="5">
        <f t="shared" si="6"/>
        <v>0</v>
      </c>
      <c r="K36" s="5">
        <v>6866116.8200000012</v>
      </c>
      <c r="L36" s="5">
        <f>INDEX('2017 Lockdown Update'!F$5:F$249,MATCH(B36,'2017 Lockdown Update'!B$5:B$249,0))</f>
        <v>6866116.8200000003</v>
      </c>
      <c r="M36" s="5">
        <f t="shared" si="7"/>
        <v>0</v>
      </c>
      <c r="N36" s="5">
        <v>5415186.4499999983</v>
      </c>
      <c r="O36" s="105">
        <f t="shared" si="8"/>
        <v>5415186.4499999993</v>
      </c>
      <c r="P36" s="105">
        <f t="shared" si="9"/>
        <v>0</v>
      </c>
      <c r="Q36" s="103">
        <f t="shared" si="10"/>
        <v>147.66924999420525</v>
      </c>
      <c r="R36" s="6">
        <f t="shared" si="11"/>
        <v>147.66924999420525</v>
      </c>
      <c r="S36" s="5">
        <f t="shared" si="12"/>
        <v>5415186.4499999993</v>
      </c>
      <c r="T36" s="140">
        <v>0.92249999999999999</v>
      </c>
      <c r="U36" s="105">
        <f t="shared" si="13"/>
        <v>1394043.2571675603</v>
      </c>
      <c r="V36" s="105">
        <f t="shared" si="18"/>
        <v>1891454.5672192958</v>
      </c>
      <c r="W36" s="105">
        <f t="shared" si="2"/>
        <v>385801.47142112232</v>
      </c>
      <c r="X36" s="105">
        <f t="shared" si="3"/>
        <v>80997.910230746376</v>
      </c>
      <c r="Y36" s="105">
        <f t="shared" si="4"/>
        <v>3752297.2060387246</v>
      </c>
      <c r="Z36" s="112">
        <f t="shared" si="14"/>
        <v>0.69292114697892349</v>
      </c>
      <c r="AA36" s="104">
        <f t="shared" si="15"/>
        <v>3761732.6620180318</v>
      </c>
      <c r="AB36" s="105"/>
      <c r="AC36" s="104">
        <v>3726995.8413030533</v>
      </c>
      <c r="AD36" s="5">
        <f t="shared" si="16"/>
        <v>34736.820714978501</v>
      </c>
      <c r="AE36" s="105"/>
      <c r="AF36" s="104">
        <f t="shared" si="17"/>
        <v>6707.5483468742805</v>
      </c>
    </row>
    <row r="37" spans="2:32" x14ac:dyDescent="0.25">
      <c r="B37">
        <v>441</v>
      </c>
      <c r="C37" s="27">
        <v>2</v>
      </c>
      <c r="D37" s="39" t="s">
        <v>310</v>
      </c>
      <c r="E37" s="162">
        <v>59667.6</v>
      </c>
      <c r="F37" s="162">
        <f>INDEX('2017 Lockdown Update'!H$5:H$249,MATCH(B37,'2017 Lockdown Update'!B$5:B$249,0))</f>
        <v>59667.6</v>
      </c>
      <c r="G37" s="162">
        <f t="shared" si="5"/>
        <v>0</v>
      </c>
      <c r="H37" s="5">
        <v>18938888.59</v>
      </c>
      <c r="I37" s="5">
        <f>INDEX('2017 Lockdown Update'!E$5:E$249,MATCH(B37,'2017 Lockdown Update'!B$5:B$249,0))</f>
        <v>18938888.59</v>
      </c>
      <c r="J37" s="5">
        <f t="shared" si="6"/>
        <v>0</v>
      </c>
      <c r="K37" s="5">
        <v>11778447.52</v>
      </c>
      <c r="L37" s="5">
        <f>INDEX('2017 Lockdown Update'!F$5:F$249,MATCH(B37,'2017 Lockdown Update'!B$5:B$249,0))</f>
        <v>11778447.52</v>
      </c>
      <c r="M37" s="5">
        <f t="shared" si="7"/>
        <v>0</v>
      </c>
      <c r="N37" s="5">
        <v>7160441.0700000003</v>
      </c>
      <c r="O37" s="105">
        <f t="shared" si="8"/>
        <v>7160441.0700000003</v>
      </c>
      <c r="P37" s="105">
        <f t="shared" si="9"/>
        <v>0</v>
      </c>
      <c r="Q37" s="103">
        <f t="shared" si="10"/>
        <v>120.00551505339583</v>
      </c>
      <c r="R37" s="6">
        <f t="shared" si="11"/>
        <v>120.00551505339583</v>
      </c>
      <c r="S37" s="5">
        <f t="shared" si="12"/>
        <v>7160441.0700000003</v>
      </c>
      <c r="T37" s="140">
        <v>0.83899999999999997</v>
      </c>
      <c r="U37" s="105">
        <f t="shared" si="13"/>
        <v>1843327.9600149638</v>
      </c>
      <c r="V37" s="105">
        <f t="shared" si="18"/>
        <v>3077592.6660134918</v>
      </c>
      <c r="W37" s="105">
        <f t="shared" si="2"/>
        <v>463965.6475357663</v>
      </c>
      <c r="X37" s="105">
        <f t="shared" si="3"/>
        <v>107102.63965156909</v>
      </c>
      <c r="Y37" s="105">
        <f t="shared" si="4"/>
        <v>5491988.9132157918</v>
      </c>
      <c r="Z37" s="112">
        <f t="shared" si="14"/>
        <v>0.76699030960892911</v>
      </c>
      <c r="AA37" s="104">
        <f t="shared" si="15"/>
        <v>5370330.8025000002</v>
      </c>
      <c r="AB37" s="105"/>
      <c r="AC37" s="104">
        <v>5370330.8025000002</v>
      </c>
      <c r="AD37" s="5">
        <f t="shared" si="16"/>
        <v>0</v>
      </c>
      <c r="AE37" s="105"/>
      <c r="AF37" s="104">
        <f t="shared" si="17"/>
        <v>9575.8409044284799</v>
      </c>
    </row>
    <row r="38" spans="2:32" x14ac:dyDescent="0.25">
      <c r="B38">
        <v>14</v>
      </c>
      <c r="C38" s="27">
        <v>3</v>
      </c>
      <c r="D38" s="39" t="s">
        <v>311</v>
      </c>
      <c r="E38" s="162">
        <v>11944.66</v>
      </c>
      <c r="F38" s="162">
        <f>INDEX('2017 Lockdown Update'!H$5:H$249,MATCH(B38,'2017 Lockdown Update'!B$5:B$249,0))</f>
        <v>11944.66</v>
      </c>
      <c r="G38" s="162">
        <f t="shared" si="5"/>
        <v>0</v>
      </c>
      <c r="H38" s="5">
        <v>2596232.91</v>
      </c>
      <c r="I38" s="5">
        <f>INDEX('2017 Lockdown Update'!E$5:E$249,MATCH(B38,'2017 Lockdown Update'!B$5:B$249,0))</f>
        <v>2611555.13</v>
      </c>
      <c r="J38" s="5">
        <f t="shared" si="6"/>
        <v>15322.219999999739</v>
      </c>
      <c r="K38" s="5">
        <v>371291.85</v>
      </c>
      <c r="L38" s="5">
        <f>INDEX('2017 Lockdown Update'!F$5:F$249,MATCH(B38,'2017 Lockdown Update'!B$5:B$249,0))</f>
        <v>371291.85</v>
      </c>
      <c r="M38" s="5">
        <f t="shared" si="7"/>
        <v>0</v>
      </c>
      <c r="N38" s="5">
        <v>2224941.06</v>
      </c>
      <c r="O38" s="105">
        <f t="shared" si="8"/>
        <v>2240263.2799999998</v>
      </c>
      <c r="P38" s="105">
        <f t="shared" si="9"/>
        <v>15322.219999999739</v>
      </c>
      <c r="Q38" s="103">
        <f t="shared" si="10"/>
        <v>187.55354108028189</v>
      </c>
      <c r="R38" s="6">
        <f t="shared" si="11"/>
        <v>187.55354108028189</v>
      </c>
      <c r="S38" s="5">
        <f t="shared" si="12"/>
        <v>2240263.2799999998</v>
      </c>
      <c r="T38" s="140">
        <v>0.88075000000000003</v>
      </c>
      <c r="U38" s="105">
        <f t="shared" si="13"/>
        <v>576715.86169744574</v>
      </c>
      <c r="V38" s="105">
        <f t="shared" si="18"/>
        <v>616093.12280072796</v>
      </c>
      <c r="W38" s="105">
        <f t="shared" si="2"/>
        <v>152382.74855700761</v>
      </c>
      <c r="X38" s="105">
        <f t="shared" si="3"/>
        <v>33508.845119576159</v>
      </c>
      <c r="Y38" s="105">
        <f t="shared" si="4"/>
        <v>1378700.5781747575</v>
      </c>
      <c r="Z38" s="112">
        <f t="shared" si="14"/>
        <v>0.61541899583104254</v>
      </c>
      <c r="AA38" s="104">
        <f t="shared" si="15"/>
        <v>1382167.4327173769</v>
      </c>
      <c r="AB38" s="105"/>
      <c r="AC38" s="104">
        <v>1362907.1150312424</v>
      </c>
      <c r="AD38" s="5">
        <f t="shared" si="16"/>
        <v>19260.317686134484</v>
      </c>
      <c r="AE38" s="105"/>
      <c r="AF38" s="104">
        <f t="shared" si="17"/>
        <v>2464.5437917572226</v>
      </c>
    </row>
    <row r="39" spans="2:32" x14ac:dyDescent="0.25">
      <c r="B39">
        <v>36</v>
      </c>
      <c r="C39" s="27">
        <v>3</v>
      </c>
      <c r="D39" s="39" t="s">
        <v>312</v>
      </c>
      <c r="E39" s="162">
        <v>8403.0400000000009</v>
      </c>
      <c r="F39" s="162">
        <f>INDEX('2017 Lockdown Update'!H$5:H$249,MATCH(B39,'2017 Lockdown Update'!B$5:B$249,0))</f>
        <v>8403.0400000000009</v>
      </c>
      <c r="G39" s="162">
        <f t="shared" si="5"/>
        <v>0</v>
      </c>
      <c r="H39" s="5">
        <v>6199296.2199999997</v>
      </c>
      <c r="I39" s="5">
        <f>INDEX('2017 Lockdown Update'!E$5:E$249,MATCH(B39,'2017 Lockdown Update'!B$5:B$249,0))</f>
        <v>6199296.2199999997</v>
      </c>
      <c r="J39" s="5">
        <f t="shared" si="6"/>
        <v>0</v>
      </c>
      <c r="K39" s="5">
        <v>1477647.7100000002</v>
      </c>
      <c r="L39" s="5">
        <f>INDEX('2017 Lockdown Update'!F$5:F$249,MATCH(B39,'2017 Lockdown Update'!B$5:B$249,0))</f>
        <v>1477647.7100000002</v>
      </c>
      <c r="M39" s="5">
        <f t="shared" si="7"/>
        <v>0</v>
      </c>
      <c r="N39" s="5">
        <v>4721648.51</v>
      </c>
      <c r="O39" s="105">
        <f t="shared" si="8"/>
        <v>4721648.51</v>
      </c>
      <c r="P39" s="105">
        <f t="shared" si="9"/>
        <v>0</v>
      </c>
      <c r="Q39" s="103">
        <f t="shared" si="10"/>
        <v>561.8976596565052</v>
      </c>
      <c r="R39" s="6">
        <f t="shared" si="11"/>
        <v>457.93005156171677</v>
      </c>
      <c r="S39" s="5">
        <f t="shared" si="12"/>
        <v>3848004.5404751687</v>
      </c>
      <c r="T39" s="140">
        <v>0.72766666666666668</v>
      </c>
      <c r="U39" s="105">
        <f t="shared" si="13"/>
        <v>990600.20051563799</v>
      </c>
      <c r="V39" s="105">
        <f t="shared" si="18"/>
        <v>433420.05168999621</v>
      </c>
      <c r="W39" s="105">
        <f t="shared" si="2"/>
        <v>216248.02377256376</v>
      </c>
      <c r="X39" s="105">
        <f t="shared" si="3"/>
        <v>57556.711890670391</v>
      </c>
      <c r="Y39" s="105">
        <f t="shared" si="4"/>
        <v>1697824.9878688685</v>
      </c>
      <c r="Z39" s="112">
        <f t="shared" si="14"/>
        <v>0.44122218932184876</v>
      </c>
      <c r="AA39" s="104">
        <f t="shared" si="15"/>
        <v>1702094.3066498605</v>
      </c>
      <c r="AB39" s="105"/>
      <c r="AC39" s="104">
        <v>1678687.5162228728</v>
      </c>
      <c r="AD39" s="5">
        <f t="shared" si="16"/>
        <v>23406.790426987689</v>
      </c>
      <c r="AE39" s="105"/>
      <c r="AF39" s="104">
        <f t="shared" si="17"/>
        <v>3035.0056419662365</v>
      </c>
    </row>
    <row r="40" spans="2:32" x14ac:dyDescent="0.25">
      <c r="B40">
        <v>55</v>
      </c>
      <c r="C40" s="27">
        <v>3</v>
      </c>
      <c r="D40" s="39" t="s">
        <v>313</v>
      </c>
      <c r="E40" s="162">
        <v>4130.9700000000012</v>
      </c>
      <c r="F40" s="162">
        <f>INDEX('2017 Lockdown Update'!H$5:H$249,MATCH(B40,'2017 Lockdown Update'!B$5:B$249,0))</f>
        <v>4130.9700000000012</v>
      </c>
      <c r="G40" s="162">
        <f t="shared" si="5"/>
        <v>0</v>
      </c>
      <c r="H40" s="5">
        <v>1452092.17</v>
      </c>
      <c r="I40" s="5">
        <f>INDEX('2017 Lockdown Update'!E$5:E$249,MATCH(B40,'2017 Lockdown Update'!B$5:B$249,0))</f>
        <v>1452092.17</v>
      </c>
      <c r="J40" s="5">
        <f t="shared" si="6"/>
        <v>0</v>
      </c>
      <c r="K40" s="5">
        <v>244179.87</v>
      </c>
      <c r="L40" s="5">
        <f>INDEX('2017 Lockdown Update'!F$5:F$249,MATCH(B40,'2017 Lockdown Update'!B$5:B$249,0))</f>
        <v>244179.87</v>
      </c>
      <c r="M40" s="5">
        <f t="shared" si="7"/>
        <v>0</v>
      </c>
      <c r="N40" s="5">
        <v>1207912.2999999998</v>
      </c>
      <c r="O40" s="105">
        <f t="shared" si="8"/>
        <v>1207912.2999999998</v>
      </c>
      <c r="P40" s="105">
        <f t="shared" si="9"/>
        <v>0</v>
      </c>
      <c r="Q40" s="103">
        <f t="shared" si="10"/>
        <v>292.40403585598528</v>
      </c>
      <c r="R40" s="6">
        <f t="shared" si="11"/>
        <v>292.40403585598528</v>
      </c>
      <c r="S40" s="5">
        <f t="shared" si="12"/>
        <v>1207912.2999999998</v>
      </c>
      <c r="T40" s="140">
        <v>0.42658333333333331</v>
      </c>
      <c r="U40" s="105">
        <f t="shared" si="13"/>
        <v>310955.49758305354</v>
      </c>
      <c r="V40" s="105">
        <f t="shared" si="18"/>
        <v>213071.13032067253</v>
      </c>
      <c r="W40" s="105">
        <f t="shared" si="2"/>
        <v>39794.529803191268</v>
      </c>
      <c r="X40" s="105">
        <f t="shared" si="3"/>
        <v>18067.405978609357</v>
      </c>
      <c r="Y40" s="105">
        <f t="shared" si="4"/>
        <v>581888.56368552672</v>
      </c>
      <c r="Z40" s="112">
        <f t="shared" si="14"/>
        <v>0.48173080420286041</v>
      </c>
      <c r="AA40" s="104">
        <f t="shared" si="15"/>
        <v>583351.76972333237</v>
      </c>
      <c r="AB40" s="105"/>
      <c r="AC40" s="104">
        <v>576602.6370695167</v>
      </c>
      <c r="AD40" s="5">
        <f t="shared" si="16"/>
        <v>6749.1326538156718</v>
      </c>
      <c r="AE40" s="105"/>
      <c r="AF40" s="104">
        <f t="shared" si="17"/>
        <v>1040.1749805779175</v>
      </c>
    </row>
    <row r="41" spans="2:32" x14ac:dyDescent="0.25">
      <c r="B41">
        <v>103</v>
      </c>
      <c r="C41" s="27">
        <v>3</v>
      </c>
      <c r="D41" s="39" t="s">
        <v>314</v>
      </c>
      <c r="E41" s="162">
        <v>4390.58</v>
      </c>
      <c r="F41" s="162">
        <f>INDEX('2017 Lockdown Update'!H$5:H$249,MATCH(B41,'2017 Lockdown Update'!B$5:B$249,0))</f>
        <v>4390.6400000000003</v>
      </c>
      <c r="G41" s="162">
        <f t="shared" si="5"/>
        <v>6.0000000000400178E-2</v>
      </c>
      <c r="H41" s="5">
        <v>1476632.51</v>
      </c>
      <c r="I41" s="5">
        <f>INDEX('2017 Lockdown Update'!E$5:E$249,MATCH(B41,'2017 Lockdown Update'!B$5:B$249,0))</f>
        <v>1477231.12</v>
      </c>
      <c r="J41" s="5">
        <f t="shared" si="6"/>
        <v>598.61000000010245</v>
      </c>
      <c r="K41" s="5">
        <v>386923.81000000006</v>
      </c>
      <c r="L41" s="5">
        <f>INDEX('2017 Lockdown Update'!F$5:F$249,MATCH(B41,'2017 Lockdown Update'!B$5:B$249,0))</f>
        <v>390505.4200000001</v>
      </c>
      <c r="M41" s="5">
        <f t="shared" si="7"/>
        <v>3581.6100000000442</v>
      </c>
      <c r="N41" s="5">
        <v>1089708.7</v>
      </c>
      <c r="O41" s="105">
        <f t="shared" si="8"/>
        <v>1086725.7</v>
      </c>
      <c r="P41" s="105">
        <f t="shared" si="9"/>
        <v>-2983</v>
      </c>
      <c r="Q41" s="103">
        <f t="shared" si="10"/>
        <v>247.50963413078728</v>
      </c>
      <c r="R41" s="6">
        <f t="shared" si="11"/>
        <v>247.50963413078728</v>
      </c>
      <c r="S41" s="5">
        <f t="shared" si="12"/>
        <v>1086725.7</v>
      </c>
      <c r="T41" s="140">
        <v>0.41808333333333336</v>
      </c>
      <c r="U41" s="105">
        <f t="shared" si="13"/>
        <v>279758.16686343221</v>
      </c>
      <c r="V41" s="105">
        <f t="shared" si="18"/>
        <v>226464.63848228316</v>
      </c>
      <c r="W41" s="105">
        <f t="shared" si="2"/>
        <v>35088.668078845985</v>
      </c>
      <c r="X41" s="105">
        <f t="shared" si="3"/>
        <v>16254.751615070432</v>
      </c>
      <c r="Y41" s="105">
        <f t="shared" si="4"/>
        <v>557566.22503963171</v>
      </c>
      <c r="Z41" s="112">
        <f t="shared" si="14"/>
        <v>0.51306988050400548</v>
      </c>
      <c r="AA41" s="104">
        <f t="shared" si="15"/>
        <v>558968.2705821445</v>
      </c>
      <c r="AB41" s="105"/>
      <c r="AC41" s="104">
        <v>553908.01922707609</v>
      </c>
      <c r="AD41" s="5">
        <f t="shared" si="16"/>
        <v>5060.2513550684089</v>
      </c>
      <c r="AE41" s="105"/>
      <c r="AF41" s="104">
        <f t="shared" si="17"/>
        <v>996.69674486838016</v>
      </c>
    </row>
    <row r="42" spans="2:32" x14ac:dyDescent="0.25">
      <c r="B42">
        <v>123</v>
      </c>
      <c r="C42" s="27">
        <v>3</v>
      </c>
      <c r="D42" s="39" t="s">
        <v>315</v>
      </c>
      <c r="E42" s="162">
        <v>6452.95</v>
      </c>
      <c r="F42" s="162">
        <f>INDEX('2017 Lockdown Update'!H$5:H$249,MATCH(B42,'2017 Lockdown Update'!B$5:B$249,0))</f>
        <v>6452.95</v>
      </c>
      <c r="G42" s="162">
        <f t="shared" si="5"/>
        <v>0</v>
      </c>
      <c r="H42" s="5">
        <v>1268101.1000000001</v>
      </c>
      <c r="I42" s="5">
        <f>INDEX('2017 Lockdown Update'!E$5:E$249,MATCH(B42,'2017 Lockdown Update'!B$5:B$249,0))</f>
        <v>1280665.4099999999</v>
      </c>
      <c r="J42" s="5">
        <f t="shared" si="6"/>
        <v>12564.309999999823</v>
      </c>
      <c r="K42" s="5">
        <v>0</v>
      </c>
      <c r="L42" s="5">
        <f>INDEX('2017 Lockdown Update'!F$5:F$249,MATCH(B42,'2017 Lockdown Update'!B$5:B$249,0))</f>
        <v>0</v>
      </c>
      <c r="M42" s="5">
        <f t="shared" si="7"/>
        <v>0</v>
      </c>
      <c r="N42" s="5">
        <v>1268101.1000000001</v>
      </c>
      <c r="O42" s="105">
        <f t="shared" si="8"/>
        <v>1280665.4099999999</v>
      </c>
      <c r="P42" s="105">
        <f t="shared" si="9"/>
        <v>12564.309999999823</v>
      </c>
      <c r="Q42" s="103">
        <f t="shared" si="10"/>
        <v>198.46200729898729</v>
      </c>
      <c r="R42" s="6">
        <f t="shared" si="11"/>
        <v>198.46200729898729</v>
      </c>
      <c r="S42" s="5">
        <f t="shared" si="12"/>
        <v>1280665.4099999999</v>
      </c>
      <c r="T42" s="140">
        <v>0.77650000000000008</v>
      </c>
      <c r="U42" s="105">
        <f t="shared" si="13"/>
        <v>329684.48934906558</v>
      </c>
      <c r="V42" s="105">
        <f t="shared" si="18"/>
        <v>332836.44044928509</v>
      </c>
      <c r="W42" s="105">
        <f t="shared" si="2"/>
        <v>76800.001793864823</v>
      </c>
      <c r="X42" s="105">
        <f t="shared" si="3"/>
        <v>19155.614099825132</v>
      </c>
      <c r="Y42" s="105">
        <f t="shared" si="4"/>
        <v>758476.5456920407</v>
      </c>
      <c r="Z42" s="112">
        <f t="shared" si="14"/>
        <v>0.59225191823681778</v>
      </c>
      <c r="AA42" s="104">
        <f t="shared" si="15"/>
        <v>760383.79654804885</v>
      </c>
      <c r="AB42" s="105"/>
      <c r="AC42" s="104">
        <v>748400.5691890961</v>
      </c>
      <c r="AD42" s="5">
        <f t="shared" si="16"/>
        <v>11983.227358952747</v>
      </c>
      <c r="AE42" s="105"/>
      <c r="AF42" s="104">
        <f t="shared" si="17"/>
        <v>1355.8409211327964</v>
      </c>
    </row>
    <row r="43" spans="2:32" x14ac:dyDescent="0.25">
      <c r="B43">
        <v>179</v>
      </c>
      <c r="C43" s="27">
        <v>3</v>
      </c>
      <c r="D43" s="39" t="s">
        <v>316</v>
      </c>
      <c r="E43" s="162">
        <v>6470.7699999999995</v>
      </c>
      <c r="F43" s="162">
        <f>INDEX('2017 Lockdown Update'!H$5:H$249,MATCH(B43,'2017 Lockdown Update'!B$5:B$249,0))</f>
        <v>6470.7699999999995</v>
      </c>
      <c r="G43" s="162">
        <f t="shared" si="5"/>
        <v>0</v>
      </c>
      <c r="H43" s="5">
        <v>2375493.86</v>
      </c>
      <c r="I43" s="5">
        <f>INDEX('2017 Lockdown Update'!E$5:E$249,MATCH(B43,'2017 Lockdown Update'!B$5:B$249,0))</f>
        <v>2375493.86</v>
      </c>
      <c r="J43" s="5">
        <f t="shared" si="6"/>
        <v>0</v>
      </c>
      <c r="K43" s="5">
        <v>1060798.6800000002</v>
      </c>
      <c r="L43" s="5">
        <f>INDEX('2017 Lockdown Update'!F$5:F$249,MATCH(B43,'2017 Lockdown Update'!B$5:B$249,0))</f>
        <v>1060798.6800000002</v>
      </c>
      <c r="M43" s="5">
        <f t="shared" si="7"/>
        <v>0</v>
      </c>
      <c r="N43" s="5">
        <v>1314695.1799999997</v>
      </c>
      <c r="O43" s="105">
        <f t="shared" si="8"/>
        <v>1314695.1799999997</v>
      </c>
      <c r="P43" s="105">
        <f t="shared" si="9"/>
        <v>0</v>
      </c>
      <c r="Q43" s="103">
        <f t="shared" si="10"/>
        <v>203.17445682662185</v>
      </c>
      <c r="R43" s="6">
        <f t="shared" si="11"/>
        <v>203.17445682662185</v>
      </c>
      <c r="S43" s="5">
        <f t="shared" si="12"/>
        <v>1314695.1799999997</v>
      </c>
      <c r="T43" s="140">
        <v>0.79041666666666666</v>
      </c>
      <c r="U43" s="105">
        <f t="shared" si="13"/>
        <v>338444.84725169378</v>
      </c>
      <c r="V43" s="105">
        <f t="shared" si="18"/>
        <v>333755.57749029831</v>
      </c>
      <c r="W43" s="105">
        <f t="shared" si="2"/>
        <v>80253.734404557879</v>
      </c>
      <c r="X43" s="105">
        <f t="shared" si="3"/>
        <v>19664.616011593644</v>
      </c>
      <c r="Y43" s="105">
        <f t="shared" si="4"/>
        <v>772118.77515814349</v>
      </c>
      <c r="Z43" s="112">
        <f t="shared" si="14"/>
        <v>0.58729870383958027</v>
      </c>
      <c r="AA43" s="104">
        <f t="shared" si="15"/>
        <v>774060.33050777751</v>
      </c>
      <c r="AB43" s="105"/>
      <c r="AC43" s="104">
        <v>765956.16842499725</v>
      </c>
      <c r="AD43" s="5">
        <f t="shared" si="16"/>
        <v>8104.162082780269</v>
      </c>
      <c r="AE43" s="105"/>
      <c r="AF43" s="104">
        <f t="shared" si="17"/>
        <v>1380.2275591517073</v>
      </c>
    </row>
    <row r="44" spans="2:32" x14ac:dyDescent="0.25">
      <c r="B44">
        <v>293</v>
      </c>
      <c r="C44" s="27">
        <v>3</v>
      </c>
      <c r="D44" s="39" t="s">
        <v>317</v>
      </c>
      <c r="E44" s="162">
        <v>7745.28</v>
      </c>
      <c r="F44" s="162">
        <f>INDEX('2017 Lockdown Update'!H$5:H$249,MATCH(B44,'2017 Lockdown Update'!B$5:B$249,0))</f>
        <v>7745.28</v>
      </c>
      <c r="G44" s="162">
        <f t="shared" si="5"/>
        <v>0</v>
      </c>
      <c r="H44" s="5">
        <v>2246062.3199999998</v>
      </c>
      <c r="I44" s="5">
        <f>INDEX('2017 Lockdown Update'!E$5:E$249,MATCH(B44,'2017 Lockdown Update'!B$5:B$249,0))</f>
        <v>2246062.3199999998</v>
      </c>
      <c r="J44" s="5">
        <f t="shared" si="6"/>
        <v>0</v>
      </c>
      <c r="K44" s="5">
        <v>1355934.76</v>
      </c>
      <c r="L44" s="5">
        <f>INDEX('2017 Lockdown Update'!F$5:F$249,MATCH(B44,'2017 Lockdown Update'!B$5:B$249,0))</f>
        <v>1355934.76</v>
      </c>
      <c r="M44" s="5">
        <f t="shared" si="7"/>
        <v>0</v>
      </c>
      <c r="N44" s="5">
        <v>890127.55999999982</v>
      </c>
      <c r="O44" s="105">
        <f t="shared" si="8"/>
        <v>890127.55999999982</v>
      </c>
      <c r="P44" s="105">
        <f t="shared" si="9"/>
        <v>0</v>
      </c>
      <c r="Q44" s="103">
        <f t="shared" si="10"/>
        <v>114.92516216327878</v>
      </c>
      <c r="R44" s="6">
        <f t="shared" si="11"/>
        <v>114.92516216327878</v>
      </c>
      <c r="S44" s="5">
        <f t="shared" si="12"/>
        <v>890127.55999999982</v>
      </c>
      <c r="T44" s="140">
        <v>0.96424999999999994</v>
      </c>
      <c r="U44" s="105">
        <f t="shared" si="13"/>
        <v>229147.47894544111</v>
      </c>
      <c r="V44" s="105">
        <f t="shared" si="18"/>
        <v>399493.47592698521</v>
      </c>
      <c r="W44" s="105">
        <f t="shared" si="2"/>
        <v>66286.636971942484</v>
      </c>
      <c r="X44" s="105">
        <f t="shared" si="3"/>
        <v>13314.125536488833</v>
      </c>
      <c r="Y44" s="105">
        <f t="shared" si="4"/>
        <v>708241.71738085768</v>
      </c>
      <c r="Z44" s="112">
        <f t="shared" si="14"/>
        <v>0.7956631714457395</v>
      </c>
      <c r="AA44" s="104">
        <f t="shared" si="15"/>
        <v>667595.66999999993</v>
      </c>
      <c r="AB44" s="105"/>
      <c r="AC44" s="104">
        <v>667595.66999999993</v>
      </c>
      <c r="AD44" s="5">
        <f t="shared" si="16"/>
        <v>0</v>
      </c>
      <c r="AE44" s="105"/>
      <c r="AF44" s="104">
        <f t="shared" si="17"/>
        <v>1190.3903427009302</v>
      </c>
    </row>
    <row r="45" spans="2:32" x14ac:dyDescent="0.25">
      <c r="B45">
        <v>12</v>
      </c>
      <c r="C45" s="27">
        <v>4</v>
      </c>
      <c r="D45" s="39" t="s">
        <v>318</v>
      </c>
      <c r="E45" s="162">
        <v>6061.0499999999993</v>
      </c>
      <c r="F45" s="162">
        <f>INDEX('2017 Lockdown Update'!H$5:H$249,MATCH(B45,'2017 Lockdown Update'!B$5:B$249,0))</f>
        <v>6061.0499999999993</v>
      </c>
      <c r="G45" s="162">
        <f t="shared" si="5"/>
        <v>0</v>
      </c>
      <c r="H45" s="5">
        <v>3099070.13</v>
      </c>
      <c r="I45" s="5">
        <f>INDEX('2017 Lockdown Update'!E$5:E$249,MATCH(B45,'2017 Lockdown Update'!B$5:B$249,0))</f>
        <v>3099070.13</v>
      </c>
      <c r="J45" s="5">
        <f t="shared" si="6"/>
        <v>0</v>
      </c>
      <c r="K45" s="5">
        <v>783502.69</v>
      </c>
      <c r="L45" s="5">
        <f>INDEX('2017 Lockdown Update'!F$5:F$249,MATCH(B45,'2017 Lockdown Update'!B$5:B$249,0))</f>
        <v>783502.69</v>
      </c>
      <c r="M45" s="5">
        <f t="shared" si="7"/>
        <v>0</v>
      </c>
      <c r="N45" s="5">
        <v>2315567.44</v>
      </c>
      <c r="O45" s="105">
        <f t="shared" si="8"/>
        <v>2315567.44</v>
      </c>
      <c r="P45" s="105">
        <f t="shared" si="9"/>
        <v>0</v>
      </c>
      <c r="Q45" s="103">
        <f t="shared" si="10"/>
        <v>382.04064312289131</v>
      </c>
      <c r="R45" s="6">
        <f t="shared" si="11"/>
        <v>382.04064312289131</v>
      </c>
      <c r="S45" s="5">
        <f t="shared" si="12"/>
        <v>2315567.44</v>
      </c>
      <c r="T45" s="140">
        <v>0.82516666666666671</v>
      </c>
      <c r="U45" s="105">
        <f t="shared" si="13"/>
        <v>596101.57582824316</v>
      </c>
      <c r="V45" s="105">
        <f t="shared" si="18"/>
        <v>312622.64660118852</v>
      </c>
      <c r="W45" s="105">
        <f t="shared" si="2"/>
        <v>147564.94509628159</v>
      </c>
      <c r="X45" s="105">
        <f t="shared" si="3"/>
        <v>34635.210693134897</v>
      </c>
      <c r="Y45" s="105">
        <f t="shared" si="4"/>
        <v>1090924.3782188483</v>
      </c>
      <c r="Z45" s="112">
        <f t="shared" si="14"/>
        <v>0.47112615222247567</v>
      </c>
      <c r="AA45" s="104">
        <f t="shared" si="15"/>
        <v>1093667.5961416906</v>
      </c>
      <c r="AB45" s="105"/>
      <c r="AC45" s="104">
        <v>1079449.2301937551</v>
      </c>
      <c r="AD45" s="5">
        <f t="shared" si="16"/>
        <v>14218.365947935497</v>
      </c>
      <c r="AE45" s="105"/>
      <c r="AF45" s="104">
        <f t="shared" si="17"/>
        <v>1950.119515562481</v>
      </c>
    </row>
    <row r="46" spans="2:32" x14ac:dyDescent="0.25">
      <c r="B46">
        <v>21</v>
      </c>
      <c r="C46" s="27">
        <v>4</v>
      </c>
      <c r="D46" s="39" t="s">
        <v>319</v>
      </c>
      <c r="E46" s="162">
        <v>5307.0800000000008</v>
      </c>
      <c r="F46" s="162">
        <f>INDEX('2017 Lockdown Update'!H$5:H$249,MATCH(B46,'2017 Lockdown Update'!B$5:B$249,0))</f>
        <v>5307.0800000000008</v>
      </c>
      <c r="G46" s="162">
        <f t="shared" si="5"/>
        <v>0</v>
      </c>
      <c r="H46" s="5">
        <v>2877654.83</v>
      </c>
      <c r="I46" s="5">
        <f>INDEX('2017 Lockdown Update'!E$5:E$249,MATCH(B46,'2017 Lockdown Update'!B$5:B$249,0))</f>
        <v>2877654.83</v>
      </c>
      <c r="J46" s="5">
        <f t="shared" si="6"/>
        <v>0</v>
      </c>
      <c r="K46" s="5">
        <v>827724.42999999982</v>
      </c>
      <c r="L46" s="5">
        <f>INDEX('2017 Lockdown Update'!F$5:F$249,MATCH(B46,'2017 Lockdown Update'!B$5:B$249,0))</f>
        <v>827724.42999999982</v>
      </c>
      <c r="M46" s="5">
        <f t="shared" si="7"/>
        <v>0</v>
      </c>
      <c r="N46" s="5">
        <v>2049930.4000000004</v>
      </c>
      <c r="O46" s="105">
        <f t="shared" si="8"/>
        <v>2049930.4000000004</v>
      </c>
      <c r="P46" s="105">
        <f t="shared" si="9"/>
        <v>0</v>
      </c>
      <c r="Q46" s="103">
        <f t="shared" si="10"/>
        <v>386.26333124806865</v>
      </c>
      <c r="R46" s="6">
        <f t="shared" si="11"/>
        <v>386.26333124806865</v>
      </c>
      <c r="S46" s="5">
        <f t="shared" si="12"/>
        <v>2049930.4000000006</v>
      </c>
      <c r="T46" s="140">
        <v>0.72766666666666668</v>
      </c>
      <c r="U46" s="105">
        <f t="shared" si="13"/>
        <v>527718.05332442455</v>
      </c>
      <c r="V46" s="105">
        <f t="shared" si="18"/>
        <v>273733.65923795971</v>
      </c>
      <c r="W46" s="105">
        <f t="shared" si="2"/>
        <v>115200.85104072187</v>
      </c>
      <c r="X46" s="105">
        <f t="shared" si="3"/>
        <v>30661.931966992212</v>
      </c>
      <c r="Y46" s="105">
        <f t="shared" si="4"/>
        <v>947314.4955700984</v>
      </c>
      <c r="Z46" s="112">
        <f t="shared" si="14"/>
        <v>0.46212032153389115</v>
      </c>
      <c r="AA46" s="104">
        <f t="shared" si="15"/>
        <v>949696.59478311555</v>
      </c>
      <c r="AB46" s="105"/>
      <c r="AC46" s="104">
        <v>937428.01986889972</v>
      </c>
      <c r="AD46" s="5">
        <f t="shared" si="16"/>
        <v>12268.574914215831</v>
      </c>
      <c r="AE46" s="105"/>
      <c r="AF46" s="104">
        <f t="shared" si="17"/>
        <v>1693.4047144520569</v>
      </c>
    </row>
    <row r="47" spans="2:32" x14ac:dyDescent="0.25">
      <c r="B47">
        <v>34</v>
      </c>
      <c r="C47" s="27">
        <v>4</v>
      </c>
      <c r="D47" s="39" t="s">
        <v>320</v>
      </c>
      <c r="E47" s="162">
        <v>4735.1400000000003</v>
      </c>
      <c r="F47" s="162">
        <f>INDEX('2017 Lockdown Update'!H$5:H$249,MATCH(B47,'2017 Lockdown Update'!B$5:B$249,0))</f>
        <v>4735.1400000000003</v>
      </c>
      <c r="G47" s="162">
        <f t="shared" si="5"/>
        <v>0</v>
      </c>
      <c r="H47" s="5">
        <v>2531654.36</v>
      </c>
      <c r="I47" s="5">
        <f>INDEX('2017 Lockdown Update'!E$5:E$249,MATCH(B47,'2017 Lockdown Update'!B$5:B$249,0))</f>
        <v>2531654.36</v>
      </c>
      <c r="J47" s="5">
        <f t="shared" si="6"/>
        <v>0</v>
      </c>
      <c r="K47" s="5">
        <v>716928.97</v>
      </c>
      <c r="L47" s="5">
        <f>INDEX('2017 Lockdown Update'!F$5:F$249,MATCH(B47,'2017 Lockdown Update'!B$5:B$249,0))</f>
        <v>716928.97</v>
      </c>
      <c r="M47" s="5">
        <f t="shared" si="7"/>
        <v>0</v>
      </c>
      <c r="N47" s="5">
        <v>1814725.39</v>
      </c>
      <c r="O47" s="105">
        <f t="shared" si="8"/>
        <v>1814725.39</v>
      </c>
      <c r="P47" s="105">
        <f t="shared" si="9"/>
        <v>0</v>
      </c>
      <c r="Q47" s="103">
        <f t="shared" si="10"/>
        <v>383.24640665323511</v>
      </c>
      <c r="R47" s="6">
        <f t="shared" si="11"/>
        <v>383.24640665323511</v>
      </c>
      <c r="S47" s="5">
        <f t="shared" si="12"/>
        <v>1814725.39</v>
      </c>
      <c r="T47" s="140">
        <v>0.69941666666666669</v>
      </c>
      <c r="U47" s="105">
        <f t="shared" si="13"/>
        <v>467168.71466914518</v>
      </c>
      <c r="V47" s="105">
        <f t="shared" si="18"/>
        <v>244233.58969603485</v>
      </c>
      <c r="W47" s="105">
        <f t="shared" si="2"/>
        <v>98023.675555453388</v>
      </c>
      <c r="X47" s="105">
        <f t="shared" si="3"/>
        <v>27143.841784556877</v>
      </c>
      <c r="Y47" s="105">
        <f t="shared" si="4"/>
        <v>836569.82170519023</v>
      </c>
      <c r="Z47" s="112">
        <f t="shared" si="14"/>
        <v>0.46098975983644019</v>
      </c>
      <c r="AA47" s="104">
        <f t="shared" si="15"/>
        <v>838673.44444424543</v>
      </c>
      <c r="AB47" s="105"/>
      <c r="AC47" s="104">
        <v>827946.69080818968</v>
      </c>
      <c r="AD47" s="5">
        <f t="shared" si="16"/>
        <v>10726.753636055742</v>
      </c>
      <c r="AE47" s="105"/>
      <c r="AF47" s="104">
        <f t="shared" si="17"/>
        <v>1495.4392513452865</v>
      </c>
    </row>
    <row r="48" spans="2:32" x14ac:dyDescent="0.25">
      <c r="B48">
        <v>87</v>
      </c>
      <c r="C48" s="27">
        <v>4</v>
      </c>
      <c r="D48" s="39" t="s">
        <v>321</v>
      </c>
      <c r="E48" s="162">
        <v>11432.019999999997</v>
      </c>
      <c r="F48" s="162">
        <f>INDEX('2017 Lockdown Update'!H$5:H$249,MATCH(B48,'2017 Lockdown Update'!B$5:B$249,0))</f>
        <v>11432.019999999997</v>
      </c>
      <c r="G48" s="162">
        <f t="shared" si="5"/>
        <v>0</v>
      </c>
      <c r="H48" s="5">
        <v>4885516.33</v>
      </c>
      <c r="I48" s="5">
        <f>INDEX('2017 Lockdown Update'!E$5:E$249,MATCH(B48,'2017 Lockdown Update'!B$5:B$249,0))</f>
        <v>4885516.33</v>
      </c>
      <c r="J48" s="5">
        <f t="shared" si="6"/>
        <v>0</v>
      </c>
      <c r="K48" s="5">
        <v>1799892.97</v>
      </c>
      <c r="L48" s="5">
        <f>INDEX('2017 Lockdown Update'!F$5:F$249,MATCH(B48,'2017 Lockdown Update'!B$5:B$249,0))</f>
        <v>1799892.97</v>
      </c>
      <c r="M48" s="5">
        <f t="shared" si="7"/>
        <v>0</v>
      </c>
      <c r="N48" s="5">
        <v>3085623.3600000003</v>
      </c>
      <c r="O48" s="105">
        <f t="shared" si="8"/>
        <v>3085623.3600000003</v>
      </c>
      <c r="P48" s="105">
        <f t="shared" si="9"/>
        <v>0</v>
      </c>
      <c r="Q48" s="103">
        <f t="shared" si="10"/>
        <v>269.91059847690968</v>
      </c>
      <c r="R48" s="6">
        <f t="shared" si="11"/>
        <v>269.91059847690968</v>
      </c>
      <c r="S48" s="5">
        <f t="shared" si="12"/>
        <v>3085623.3600000003</v>
      </c>
      <c r="T48" s="140">
        <v>0.88075000000000003</v>
      </c>
      <c r="U48" s="105">
        <f t="shared" si="13"/>
        <v>794338.7506383484</v>
      </c>
      <c r="V48" s="105">
        <f t="shared" si="18"/>
        <v>589651.68549966067</v>
      </c>
      <c r="W48" s="105">
        <f t="shared" si="2"/>
        <v>209884.15638741761</v>
      </c>
      <c r="X48" s="105">
        <f t="shared" si="3"/>
        <v>46153.358933592041</v>
      </c>
      <c r="Y48" s="105">
        <f t="shared" si="4"/>
        <v>1640027.9514590187</v>
      </c>
      <c r="Z48" s="112">
        <f t="shared" si="14"/>
        <v>0.53150620154075401</v>
      </c>
      <c r="AA48" s="104">
        <f t="shared" si="15"/>
        <v>1644151.9348993287</v>
      </c>
      <c r="AB48" s="105"/>
      <c r="AC48" s="104">
        <v>1624856.7522581134</v>
      </c>
      <c r="AD48" s="5">
        <f t="shared" si="16"/>
        <v>19295.18264121539</v>
      </c>
      <c r="AE48" s="105"/>
      <c r="AF48" s="104">
        <f t="shared" si="17"/>
        <v>2931.6885551957066</v>
      </c>
    </row>
    <row r="49" spans="2:32" x14ac:dyDescent="0.25">
      <c r="B49">
        <v>88</v>
      </c>
      <c r="C49" s="27">
        <v>4</v>
      </c>
      <c r="D49" s="39" t="s">
        <v>322</v>
      </c>
      <c r="E49" s="162">
        <v>5008.41</v>
      </c>
      <c r="F49" s="162">
        <f>INDEX('2017 Lockdown Update'!H$5:H$249,MATCH(B49,'2017 Lockdown Update'!B$5:B$249,0))</f>
        <v>5008.41</v>
      </c>
      <c r="G49" s="162">
        <f t="shared" si="5"/>
        <v>0</v>
      </c>
      <c r="H49" s="5">
        <v>2105518.15</v>
      </c>
      <c r="I49" s="5">
        <f>INDEX('2017 Lockdown Update'!E$5:E$249,MATCH(B49,'2017 Lockdown Update'!B$5:B$249,0))</f>
        <v>2105518.15</v>
      </c>
      <c r="J49" s="5">
        <f t="shared" si="6"/>
        <v>0</v>
      </c>
      <c r="K49" s="5">
        <v>782435.3</v>
      </c>
      <c r="L49" s="5">
        <f>INDEX('2017 Lockdown Update'!F$5:F$249,MATCH(B49,'2017 Lockdown Update'!B$5:B$249,0))</f>
        <v>782435.3</v>
      </c>
      <c r="M49" s="5">
        <f t="shared" si="7"/>
        <v>0</v>
      </c>
      <c r="N49" s="5">
        <v>1323082.8499999999</v>
      </c>
      <c r="O49" s="105">
        <f t="shared" si="8"/>
        <v>1323082.8499999999</v>
      </c>
      <c r="P49" s="105">
        <f t="shared" si="9"/>
        <v>0</v>
      </c>
      <c r="Q49" s="103">
        <f t="shared" si="10"/>
        <v>264.17223230526253</v>
      </c>
      <c r="R49" s="6">
        <f t="shared" si="11"/>
        <v>264.17223230526253</v>
      </c>
      <c r="S49" s="5">
        <f t="shared" si="12"/>
        <v>1323082.8499999999</v>
      </c>
      <c r="T49" s="140">
        <v>0.96424999999999994</v>
      </c>
      <c r="U49" s="105">
        <f t="shared" si="13"/>
        <v>340604.10343147808</v>
      </c>
      <c r="V49" s="105">
        <f t="shared" si="18"/>
        <v>258328.57169366008</v>
      </c>
      <c r="W49" s="105">
        <f t="shared" si="2"/>
        <v>98528.252020140819</v>
      </c>
      <c r="X49" s="105">
        <f t="shared" si="3"/>
        <v>19790.074986640593</v>
      </c>
      <c r="Y49" s="105">
        <f t="shared" si="4"/>
        <v>717251.00213191961</v>
      </c>
      <c r="Z49" s="112">
        <f t="shared" si="14"/>
        <v>0.54210588711955543</v>
      </c>
      <c r="AA49" s="104">
        <f t="shared" si="15"/>
        <v>719054.5880114811</v>
      </c>
      <c r="AB49" s="105"/>
      <c r="AC49" s="104">
        <v>710609.66163190396</v>
      </c>
      <c r="AD49" s="5">
        <f t="shared" si="16"/>
        <v>8444.9263795771403</v>
      </c>
      <c r="AE49" s="105"/>
      <c r="AF49" s="104">
        <f t="shared" si="17"/>
        <v>1282.1467782193124</v>
      </c>
    </row>
    <row r="50" spans="2:32" x14ac:dyDescent="0.25">
      <c r="B50">
        <v>89</v>
      </c>
      <c r="C50" s="27">
        <v>4</v>
      </c>
      <c r="D50" s="39" t="s">
        <v>323</v>
      </c>
      <c r="E50" s="162">
        <v>5649.21</v>
      </c>
      <c r="F50" s="162">
        <f>INDEX('2017 Lockdown Update'!H$5:H$249,MATCH(B50,'2017 Lockdown Update'!B$5:B$249,0))</f>
        <v>5649.21</v>
      </c>
      <c r="G50" s="162">
        <f t="shared" si="5"/>
        <v>0</v>
      </c>
      <c r="H50" s="5">
        <v>3518610.54</v>
      </c>
      <c r="I50" s="5">
        <f>INDEX('2017 Lockdown Update'!E$5:E$249,MATCH(B50,'2017 Lockdown Update'!B$5:B$249,0))</f>
        <v>3518610.54</v>
      </c>
      <c r="J50" s="5">
        <f t="shared" si="6"/>
        <v>0</v>
      </c>
      <c r="K50" s="5">
        <v>652661.15999999992</v>
      </c>
      <c r="L50" s="5">
        <f>INDEX('2017 Lockdown Update'!F$5:F$249,MATCH(B50,'2017 Lockdown Update'!B$5:B$249,0))</f>
        <v>652661.15999999992</v>
      </c>
      <c r="M50" s="5">
        <f t="shared" si="7"/>
        <v>0</v>
      </c>
      <c r="N50" s="5">
        <v>2865949.38</v>
      </c>
      <c r="O50" s="105">
        <f t="shared" si="8"/>
        <v>2865949.38</v>
      </c>
      <c r="P50" s="105">
        <f t="shared" si="9"/>
        <v>0</v>
      </c>
      <c r="Q50" s="103">
        <f t="shared" si="10"/>
        <v>507.318612690978</v>
      </c>
      <c r="R50" s="6">
        <f t="shared" si="11"/>
        <v>507.318612690978</v>
      </c>
      <c r="S50" s="5">
        <f t="shared" si="12"/>
        <v>2865949.38</v>
      </c>
      <c r="T50" s="140">
        <v>0.76175000000000004</v>
      </c>
      <c r="U50" s="105">
        <f t="shared" si="13"/>
        <v>737787.59890576813</v>
      </c>
      <c r="V50" s="105">
        <f t="shared" si="18"/>
        <v>291380.36831999407</v>
      </c>
      <c r="W50" s="105">
        <f t="shared" si="2"/>
        <v>168602.91103994066</v>
      </c>
      <c r="X50" s="105">
        <f t="shared" si="3"/>
        <v>42867.574874934035</v>
      </c>
      <c r="Y50" s="105">
        <f t="shared" si="4"/>
        <v>1240638.4531406369</v>
      </c>
      <c r="Z50" s="112">
        <f t="shared" si="14"/>
        <v>0.43288917166451729</v>
      </c>
      <c r="AA50" s="104">
        <f t="shared" si="15"/>
        <v>1243758.1392603838</v>
      </c>
      <c r="AB50" s="105"/>
      <c r="AC50" s="104">
        <v>1226667.9437732056</v>
      </c>
      <c r="AD50" s="5">
        <f t="shared" si="16"/>
        <v>17090.195487178164</v>
      </c>
      <c r="AE50" s="105"/>
      <c r="AF50" s="104">
        <f t="shared" si="17"/>
        <v>2217.7460762009432</v>
      </c>
    </row>
    <row r="51" spans="2:32" x14ac:dyDescent="0.25">
      <c r="B51">
        <v>143</v>
      </c>
      <c r="C51" s="27">
        <v>4</v>
      </c>
      <c r="D51" s="39" t="s">
        <v>324</v>
      </c>
      <c r="E51" s="162">
        <v>3054.17</v>
      </c>
      <c r="F51" s="162">
        <f>INDEX('2017 Lockdown Update'!H$5:H$249,MATCH(B51,'2017 Lockdown Update'!B$5:B$249,0))</f>
        <v>3054.17</v>
      </c>
      <c r="G51" s="162">
        <f t="shared" si="5"/>
        <v>0</v>
      </c>
      <c r="H51" s="5">
        <v>975888.65</v>
      </c>
      <c r="I51" s="5">
        <f>INDEX('2017 Lockdown Update'!E$5:E$249,MATCH(B51,'2017 Lockdown Update'!B$5:B$249,0))</f>
        <v>975888.65</v>
      </c>
      <c r="J51" s="5">
        <f t="shared" si="6"/>
        <v>0</v>
      </c>
      <c r="K51" s="5">
        <v>393302.16</v>
      </c>
      <c r="L51" s="5">
        <f>INDEX('2017 Lockdown Update'!F$5:F$249,MATCH(B51,'2017 Lockdown Update'!B$5:B$249,0))</f>
        <v>393302.16</v>
      </c>
      <c r="M51" s="5">
        <f t="shared" si="7"/>
        <v>0</v>
      </c>
      <c r="N51" s="5">
        <v>582586.49</v>
      </c>
      <c r="O51" s="105">
        <f t="shared" si="8"/>
        <v>582586.49</v>
      </c>
      <c r="P51" s="105">
        <f t="shared" si="9"/>
        <v>0</v>
      </c>
      <c r="Q51" s="103">
        <f t="shared" si="10"/>
        <v>190.75116643801752</v>
      </c>
      <c r="R51" s="6">
        <f t="shared" si="11"/>
        <v>190.75116643801752</v>
      </c>
      <c r="S51" s="5">
        <f t="shared" si="12"/>
        <v>582586.49</v>
      </c>
      <c r="T51" s="140">
        <v>0.8390833333333334</v>
      </c>
      <c r="U51" s="105">
        <f t="shared" si="13"/>
        <v>149976.51061514538</v>
      </c>
      <c r="V51" s="105">
        <f t="shared" si="18"/>
        <v>157530.90777504756</v>
      </c>
      <c r="W51" s="105">
        <f t="shared" si="2"/>
        <v>37752.837134597467</v>
      </c>
      <c r="X51" s="105">
        <f t="shared" si="3"/>
        <v>8714.065278152264</v>
      </c>
      <c r="Y51" s="105">
        <f t="shared" si="4"/>
        <v>353974.32080294262</v>
      </c>
      <c r="Z51" s="112">
        <f t="shared" si="14"/>
        <v>0.60759102189778313</v>
      </c>
      <c r="AA51" s="104">
        <f t="shared" si="15"/>
        <v>354864.41797231563</v>
      </c>
      <c r="AB51" s="105"/>
      <c r="AC51" s="104">
        <v>351225.95942922472</v>
      </c>
      <c r="AD51" s="5">
        <f t="shared" si="16"/>
        <v>3638.4585430909065</v>
      </c>
      <c r="AE51" s="105"/>
      <c r="AF51" s="104">
        <f t="shared" si="17"/>
        <v>632.75901133755247</v>
      </c>
    </row>
    <row r="52" spans="2:32" x14ac:dyDescent="0.25">
      <c r="B52">
        <v>183</v>
      </c>
      <c r="C52" s="27">
        <v>4</v>
      </c>
      <c r="D52" s="39" t="s">
        <v>325</v>
      </c>
      <c r="E52" s="162">
        <v>11921.288399999999</v>
      </c>
      <c r="F52" s="162">
        <f>INDEX('2017 Lockdown Update'!H$5:H$249,MATCH(B52,'2017 Lockdown Update'!B$5:B$249,0))</f>
        <v>11921.288399999999</v>
      </c>
      <c r="G52" s="162">
        <f t="shared" si="5"/>
        <v>0</v>
      </c>
      <c r="H52" s="5">
        <v>6998839.0599999996</v>
      </c>
      <c r="I52" s="5">
        <f>INDEX('2017 Lockdown Update'!E$5:E$249,MATCH(B52,'2017 Lockdown Update'!B$5:B$249,0))</f>
        <v>7022821.2999999998</v>
      </c>
      <c r="J52" s="5">
        <f t="shared" si="6"/>
        <v>23982.240000000224</v>
      </c>
      <c r="K52" s="5">
        <v>656113.0199999999</v>
      </c>
      <c r="L52" s="5">
        <f>INDEX('2017 Lockdown Update'!F$5:F$249,MATCH(B52,'2017 Lockdown Update'!B$5:B$249,0))</f>
        <v>656113.0199999999</v>
      </c>
      <c r="M52" s="5">
        <f t="shared" si="7"/>
        <v>0</v>
      </c>
      <c r="N52" s="5">
        <v>6342726.04</v>
      </c>
      <c r="O52" s="105">
        <f t="shared" si="8"/>
        <v>6366708.2800000003</v>
      </c>
      <c r="P52" s="105">
        <f t="shared" si="9"/>
        <v>23982.240000000224</v>
      </c>
      <c r="Q52" s="103">
        <f t="shared" si="10"/>
        <v>534.06209684516989</v>
      </c>
      <c r="R52" s="6">
        <f t="shared" si="11"/>
        <v>520.85502016276303</v>
      </c>
      <c r="S52" s="5">
        <f t="shared" si="12"/>
        <v>6209262.9099481124</v>
      </c>
      <c r="T52" s="140">
        <v>0.75550000000000006</v>
      </c>
      <c r="U52" s="105">
        <f t="shared" si="13"/>
        <v>1598464.0919600823</v>
      </c>
      <c r="V52" s="105">
        <f t="shared" si="18"/>
        <v>614887.6400135369</v>
      </c>
      <c r="W52" s="105">
        <f t="shared" si="2"/>
        <v>362291.88644275267</v>
      </c>
      <c r="X52" s="105">
        <f t="shared" si="3"/>
        <v>92875.346845920751</v>
      </c>
      <c r="Y52" s="105">
        <f t="shared" si="4"/>
        <v>2668518.9652622924</v>
      </c>
      <c r="Z52" s="112">
        <f t="shared" si="14"/>
        <v>0.42976420936967408</v>
      </c>
      <c r="AA52" s="104">
        <f t="shared" si="15"/>
        <v>2675229.1728615616</v>
      </c>
      <c r="AB52" s="105"/>
      <c r="AC52" s="104">
        <v>2634872.0413144832</v>
      </c>
      <c r="AD52" s="5">
        <f t="shared" si="16"/>
        <v>40357.13154707849</v>
      </c>
      <c r="AE52" s="105"/>
      <c r="AF52" s="104">
        <f t="shared" si="17"/>
        <v>4770.2031558805656</v>
      </c>
    </row>
    <row r="53" spans="2:32" x14ac:dyDescent="0.25">
      <c r="B53">
        <v>186</v>
      </c>
      <c r="C53" s="27">
        <v>4</v>
      </c>
      <c r="D53" s="39" t="s">
        <v>326</v>
      </c>
      <c r="E53" s="162">
        <v>11753.909999999998</v>
      </c>
      <c r="F53" s="162">
        <f>INDEX('2017 Lockdown Update'!H$5:H$249,MATCH(B53,'2017 Lockdown Update'!B$5:B$249,0))</f>
        <v>11753.909999999998</v>
      </c>
      <c r="G53" s="162">
        <f t="shared" si="5"/>
        <v>0</v>
      </c>
      <c r="H53" s="5">
        <v>7142685.9100000001</v>
      </c>
      <c r="I53" s="5">
        <f>INDEX('2017 Lockdown Update'!E$5:E$249,MATCH(B53,'2017 Lockdown Update'!B$5:B$249,0))</f>
        <v>7142685.9100000001</v>
      </c>
      <c r="J53" s="5">
        <f t="shared" si="6"/>
        <v>0</v>
      </c>
      <c r="K53" s="5">
        <v>1669583.4900000002</v>
      </c>
      <c r="L53" s="5">
        <f>INDEX('2017 Lockdown Update'!F$5:F$249,MATCH(B53,'2017 Lockdown Update'!B$5:B$249,0))</f>
        <v>1669583.4900000002</v>
      </c>
      <c r="M53" s="5">
        <f t="shared" si="7"/>
        <v>0</v>
      </c>
      <c r="N53" s="5">
        <v>5473102.4199999999</v>
      </c>
      <c r="O53" s="105">
        <f t="shared" si="8"/>
        <v>5473102.4199999999</v>
      </c>
      <c r="P53" s="105">
        <f t="shared" si="9"/>
        <v>0</v>
      </c>
      <c r="Q53" s="103">
        <f t="shared" si="10"/>
        <v>465.64100116471889</v>
      </c>
      <c r="R53" s="6">
        <f t="shared" si="11"/>
        <v>465.64100116471889</v>
      </c>
      <c r="S53" s="5">
        <f t="shared" si="12"/>
        <v>5473102.4199999999</v>
      </c>
      <c r="T53" s="140">
        <v>0.83899999999999997</v>
      </c>
      <c r="U53" s="105">
        <f t="shared" si="13"/>
        <v>1408952.6916267967</v>
      </c>
      <c r="V53" s="105">
        <f t="shared" si="18"/>
        <v>606254.43646103819</v>
      </c>
      <c r="W53" s="105">
        <f t="shared" si="2"/>
        <v>354633.39248246467</v>
      </c>
      <c r="X53" s="105">
        <f t="shared" si="3"/>
        <v>81864.191121035328</v>
      </c>
      <c r="Y53" s="105">
        <f t="shared" si="4"/>
        <v>2451704.7116913348</v>
      </c>
      <c r="Z53" s="112">
        <f t="shared" si="14"/>
        <v>0.44795520411462258</v>
      </c>
      <c r="AA53" s="104">
        <f t="shared" si="15"/>
        <v>2457869.7222465207</v>
      </c>
      <c r="AB53" s="105"/>
      <c r="AC53" s="104">
        <v>2424264.7149712606</v>
      </c>
      <c r="AD53" s="5">
        <f t="shared" si="16"/>
        <v>33605.007275260054</v>
      </c>
      <c r="AE53" s="105"/>
      <c r="AF53" s="104">
        <f t="shared" si="17"/>
        <v>4382.6293555488101</v>
      </c>
    </row>
    <row r="54" spans="2:32" x14ac:dyDescent="0.25">
      <c r="B54">
        <v>190</v>
      </c>
      <c r="C54" s="27">
        <v>4</v>
      </c>
      <c r="D54" s="39" t="s">
        <v>327</v>
      </c>
      <c r="E54" s="162">
        <v>3149.7200000000003</v>
      </c>
      <c r="F54" s="162">
        <f>INDEX('2017 Lockdown Update'!H$5:H$249,MATCH(B54,'2017 Lockdown Update'!B$5:B$249,0))</f>
        <v>3149.7200000000003</v>
      </c>
      <c r="G54" s="162">
        <f t="shared" si="5"/>
        <v>0</v>
      </c>
      <c r="H54" s="5">
        <v>1959680.03</v>
      </c>
      <c r="I54" s="5">
        <f>INDEX('2017 Lockdown Update'!E$5:E$249,MATCH(B54,'2017 Lockdown Update'!B$5:B$249,0))</f>
        <v>1959680.03</v>
      </c>
      <c r="J54" s="5">
        <f t="shared" si="6"/>
        <v>0</v>
      </c>
      <c r="K54" s="5">
        <v>576911.32999999996</v>
      </c>
      <c r="L54" s="5">
        <f>INDEX('2017 Lockdown Update'!F$5:F$249,MATCH(B54,'2017 Lockdown Update'!B$5:B$249,0))</f>
        <v>576911.32999999996</v>
      </c>
      <c r="M54" s="5">
        <f t="shared" si="7"/>
        <v>0</v>
      </c>
      <c r="N54" s="5">
        <v>1382768.7000000002</v>
      </c>
      <c r="O54" s="105">
        <f t="shared" si="8"/>
        <v>1382768.7000000002</v>
      </c>
      <c r="P54" s="105">
        <f t="shared" si="9"/>
        <v>0</v>
      </c>
      <c r="Q54" s="103">
        <f t="shared" si="10"/>
        <v>439.01321387297924</v>
      </c>
      <c r="R54" s="6">
        <f t="shared" si="11"/>
        <v>439.01321387297924</v>
      </c>
      <c r="S54" s="5">
        <f t="shared" si="12"/>
        <v>1382768.7000000002</v>
      </c>
      <c r="T54" s="140">
        <v>0.41783333333333339</v>
      </c>
      <c r="U54" s="105">
        <f t="shared" si="13"/>
        <v>355969.16195883777</v>
      </c>
      <c r="V54" s="105">
        <f t="shared" si="18"/>
        <v>162459.2772626353</v>
      </c>
      <c r="W54" s="105">
        <f t="shared" si="2"/>
        <v>44620.734451540317</v>
      </c>
      <c r="X54" s="105">
        <f t="shared" si="3"/>
        <v>20682.828941649073</v>
      </c>
      <c r="Y54" s="105">
        <f t="shared" si="4"/>
        <v>583732.0026146624</v>
      </c>
      <c r="Z54" s="112">
        <f t="shared" si="14"/>
        <v>0.4221472489322779</v>
      </c>
      <c r="AA54" s="104">
        <f t="shared" si="15"/>
        <v>585199.84412932699</v>
      </c>
      <c r="AB54" s="105"/>
      <c r="AC54" s="104">
        <v>577974.04956875707</v>
      </c>
      <c r="AD54" s="5">
        <f t="shared" si="16"/>
        <v>7225.7945605699206</v>
      </c>
      <c r="AE54" s="105"/>
      <c r="AF54" s="104">
        <f t="shared" si="17"/>
        <v>1043.4702834451286</v>
      </c>
    </row>
    <row r="55" spans="2:32" x14ac:dyDescent="0.25">
      <c r="B55">
        <v>324</v>
      </c>
      <c r="C55" s="27">
        <v>4</v>
      </c>
      <c r="D55" s="39" t="s">
        <v>328</v>
      </c>
      <c r="E55" s="162">
        <v>8276.9499999999971</v>
      </c>
      <c r="F55" s="162">
        <f>INDEX('2017 Lockdown Update'!H$5:H$249,MATCH(B55,'2017 Lockdown Update'!B$5:B$249,0))</f>
        <v>8276.9499999999971</v>
      </c>
      <c r="G55" s="162">
        <f t="shared" si="5"/>
        <v>0</v>
      </c>
      <c r="H55" s="5">
        <v>4083823.39</v>
      </c>
      <c r="I55" s="5">
        <f>INDEX('2017 Lockdown Update'!E$5:E$249,MATCH(B55,'2017 Lockdown Update'!B$5:B$249,0))</f>
        <v>4083823.39</v>
      </c>
      <c r="J55" s="5">
        <f t="shared" si="6"/>
        <v>0</v>
      </c>
      <c r="K55" s="5">
        <v>1467151.12</v>
      </c>
      <c r="L55" s="5">
        <f>INDEX('2017 Lockdown Update'!F$5:F$249,MATCH(B55,'2017 Lockdown Update'!B$5:B$249,0))</f>
        <v>1467151.12</v>
      </c>
      <c r="M55" s="5">
        <f t="shared" si="7"/>
        <v>0</v>
      </c>
      <c r="N55" s="5">
        <v>2616672.27</v>
      </c>
      <c r="O55" s="105">
        <f t="shared" si="8"/>
        <v>2616672.27</v>
      </c>
      <c r="P55" s="105">
        <f t="shared" si="9"/>
        <v>0</v>
      </c>
      <c r="Q55" s="103">
        <f t="shared" si="10"/>
        <v>316.13967343043038</v>
      </c>
      <c r="R55" s="6">
        <f t="shared" si="11"/>
        <v>316.13967343043038</v>
      </c>
      <c r="S55" s="5">
        <f t="shared" si="12"/>
        <v>2616672.27</v>
      </c>
      <c r="T55" s="140">
        <v>0.83899999999999997</v>
      </c>
      <c r="U55" s="105">
        <f t="shared" si="13"/>
        <v>673615.64885929902</v>
      </c>
      <c r="V55" s="105">
        <f t="shared" si="18"/>
        <v>426916.46080888732</v>
      </c>
      <c r="W55" s="105">
        <f t="shared" si="2"/>
        <v>169549.05881788555</v>
      </c>
      <c r="X55" s="105">
        <f t="shared" si="3"/>
        <v>39139.00058394912</v>
      </c>
      <c r="Y55" s="105">
        <f t="shared" si="4"/>
        <v>1309220.169070021</v>
      </c>
      <c r="Z55" s="112">
        <f t="shared" si="14"/>
        <v>0.50033784669182935</v>
      </c>
      <c r="AA55" s="104">
        <f t="shared" si="15"/>
        <v>1312512.3094827263</v>
      </c>
      <c r="AB55" s="105"/>
      <c r="AC55" s="104">
        <v>1296360.9676115396</v>
      </c>
      <c r="AD55" s="5">
        <f t="shared" si="16"/>
        <v>16151.341871186625</v>
      </c>
      <c r="AE55" s="105"/>
      <c r="AF55" s="104">
        <f t="shared" si="17"/>
        <v>2340.3416889811942</v>
      </c>
    </row>
    <row r="56" spans="2:32" x14ac:dyDescent="0.25">
      <c r="B56">
        <v>429</v>
      </c>
      <c r="C56" s="27">
        <v>4</v>
      </c>
      <c r="D56" s="39" t="s">
        <v>329</v>
      </c>
      <c r="E56" s="162">
        <v>4436.7299999999996</v>
      </c>
      <c r="F56" s="162">
        <f>INDEX('2017 Lockdown Update'!H$5:H$249,MATCH(B56,'2017 Lockdown Update'!B$5:B$249,0))</f>
        <v>4436.7299999999996</v>
      </c>
      <c r="G56" s="162">
        <f t="shared" si="5"/>
        <v>0</v>
      </c>
      <c r="H56" s="5">
        <v>1634027.55</v>
      </c>
      <c r="I56" s="5">
        <f>INDEX('2017 Lockdown Update'!E$5:E$249,MATCH(B56,'2017 Lockdown Update'!B$5:B$249,0))</f>
        <v>1634027.55</v>
      </c>
      <c r="J56" s="5">
        <f t="shared" si="6"/>
        <v>0</v>
      </c>
      <c r="K56" s="5">
        <v>574685.66</v>
      </c>
      <c r="L56" s="5">
        <f>INDEX('2017 Lockdown Update'!F$5:F$249,MATCH(B56,'2017 Lockdown Update'!B$5:B$249,0))</f>
        <v>574685.66</v>
      </c>
      <c r="M56" s="5">
        <f t="shared" si="7"/>
        <v>0</v>
      </c>
      <c r="N56" s="5">
        <v>1059341.8900000001</v>
      </c>
      <c r="O56" s="105">
        <f t="shared" si="8"/>
        <v>1059341.8900000001</v>
      </c>
      <c r="P56" s="105">
        <f t="shared" si="9"/>
        <v>0</v>
      </c>
      <c r="Q56" s="103">
        <f t="shared" si="10"/>
        <v>238.76636396625449</v>
      </c>
      <c r="R56" s="6">
        <f t="shared" si="11"/>
        <v>238.76636396625449</v>
      </c>
      <c r="S56" s="5">
        <f t="shared" si="12"/>
        <v>1059341.8900000001</v>
      </c>
      <c r="T56" s="140">
        <v>0.74075000000000002</v>
      </c>
      <c r="U56" s="105">
        <f t="shared" si="13"/>
        <v>272708.69293699757</v>
      </c>
      <c r="V56" s="105">
        <f t="shared" si="18"/>
        <v>228841.91268095316</v>
      </c>
      <c r="W56" s="105">
        <f t="shared" si="2"/>
        <v>60602.689287924281</v>
      </c>
      <c r="X56" s="105">
        <f t="shared" si="3"/>
        <v>15845.156967751171</v>
      </c>
      <c r="Y56" s="105">
        <f t="shared" si="4"/>
        <v>577998.45187362621</v>
      </c>
      <c r="Z56" s="112">
        <f t="shared" si="14"/>
        <v>0.54562031137428746</v>
      </c>
      <c r="AA56" s="104">
        <f t="shared" si="15"/>
        <v>579451.87590943673</v>
      </c>
      <c r="AB56" s="105"/>
      <c r="AC56" s="104">
        <v>573103.65962140507</v>
      </c>
      <c r="AD56" s="5">
        <f t="shared" si="16"/>
        <v>6348.216288031661</v>
      </c>
      <c r="AE56" s="105"/>
      <c r="AF56" s="104">
        <f t="shared" si="17"/>
        <v>1033.2210769769242</v>
      </c>
    </row>
    <row r="57" spans="2:32" x14ac:dyDescent="0.25">
      <c r="B57">
        <v>601</v>
      </c>
      <c r="C57" s="27">
        <v>4</v>
      </c>
      <c r="D57" s="39" t="s">
        <v>330</v>
      </c>
      <c r="E57" s="162">
        <v>5722.57</v>
      </c>
      <c r="F57" s="162">
        <f>INDEX('2017 Lockdown Update'!H$5:H$249,MATCH(B57,'2017 Lockdown Update'!B$5:B$249,0))</f>
        <v>5722.57</v>
      </c>
      <c r="G57" s="162">
        <f t="shared" si="5"/>
        <v>0</v>
      </c>
      <c r="H57" s="5">
        <v>2724212.74</v>
      </c>
      <c r="I57" s="5">
        <f>INDEX('2017 Lockdown Update'!E$5:E$249,MATCH(B57,'2017 Lockdown Update'!B$5:B$249,0))</f>
        <v>2724212.74</v>
      </c>
      <c r="J57" s="5">
        <f t="shared" si="6"/>
        <v>0</v>
      </c>
      <c r="K57" s="5">
        <v>460929.09000000008</v>
      </c>
      <c r="L57" s="5">
        <f>INDEX('2017 Lockdown Update'!F$5:F$249,MATCH(B57,'2017 Lockdown Update'!B$5:B$249,0))</f>
        <v>460929.09000000008</v>
      </c>
      <c r="M57" s="5">
        <f t="shared" si="7"/>
        <v>0</v>
      </c>
      <c r="N57" s="5">
        <v>2263283.6500000004</v>
      </c>
      <c r="O57" s="105">
        <f t="shared" si="8"/>
        <v>2263283.6500000004</v>
      </c>
      <c r="P57" s="105">
        <f t="shared" si="9"/>
        <v>0</v>
      </c>
      <c r="Q57" s="103">
        <f t="shared" si="10"/>
        <v>395.50126079715938</v>
      </c>
      <c r="R57" s="6">
        <f t="shared" si="11"/>
        <v>395.50126079715938</v>
      </c>
      <c r="S57" s="5">
        <f t="shared" si="12"/>
        <v>2263283.6500000004</v>
      </c>
      <c r="T57" s="140">
        <v>0.69408333333333327</v>
      </c>
      <c r="U57" s="105">
        <f t="shared" si="13"/>
        <v>582642.04574896686</v>
      </c>
      <c r="V57" s="105">
        <f t="shared" si="18"/>
        <v>295164.20071779034</v>
      </c>
      <c r="W57" s="105">
        <f t="shared" si="2"/>
        <v>121320.63997607862</v>
      </c>
      <c r="X57" s="105">
        <f t="shared" si="3"/>
        <v>33853.173404475492</v>
      </c>
      <c r="Y57" s="105">
        <f t="shared" si="4"/>
        <v>1032980.0598473113</v>
      </c>
      <c r="Z57" s="112">
        <f t="shared" si="14"/>
        <v>0.45640768882296801</v>
      </c>
      <c r="AA57" s="104">
        <f t="shared" si="15"/>
        <v>1035577.5720770211</v>
      </c>
      <c r="AB57" s="105"/>
      <c r="AC57" s="104">
        <v>1022342.9085913032</v>
      </c>
      <c r="AD57" s="5">
        <f t="shared" si="16"/>
        <v>13234.66348571796</v>
      </c>
      <c r="AE57" s="105"/>
      <c r="AF57" s="104">
        <f t="shared" si="17"/>
        <v>1846.5391498392469</v>
      </c>
    </row>
    <row r="58" spans="2:32" x14ac:dyDescent="0.25">
      <c r="B58">
        <v>760</v>
      </c>
      <c r="C58" s="27">
        <v>4</v>
      </c>
      <c r="D58" s="39" t="s">
        <v>331</v>
      </c>
      <c r="E58" s="162">
        <v>5279.67</v>
      </c>
      <c r="F58" s="162">
        <f>INDEX('2017 Lockdown Update'!H$5:H$249,MATCH(B58,'2017 Lockdown Update'!B$5:B$249,0))</f>
        <v>5279.67</v>
      </c>
      <c r="G58" s="162">
        <f t="shared" si="5"/>
        <v>0</v>
      </c>
      <c r="H58" s="5">
        <v>1383723.61</v>
      </c>
      <c r="I58" s="5">
        <f>INDEX('2017 Lockdown Update'!E$5:E$249,MATCH(B58,'2017 Lockdown Update'!B$5:B$249,0))</f>
        <v>1383723.61</v>
      </c>
      <c r="J58" s="5">
        <f t="shared" si="6"/>
        <v>0</v>
      </c>
      <c r="K58" s="5">
        <v>1018311.7500000002</v>
      </c>
      <c r="L58" s="5">
        <f>INDEX('2017 Lockdown Update'!F$5:F$249,MATCH(B58,'2017 Lockdown Update'!B$5:B$249,0))</f>
        <v>1018311.7500000002</v>
      </c>
      <c r="M58" s="5">
        <f t="shared" si="7"/>
        <v>0</v>
      </c>
      <c r="N58" s="5">
        <v>365411.85999999987</v>
      </c>
      <c r="O58" s="105">
        <f t="shared" si="8"/>
        <v>365411.85999999987</v>
      </c>
      <c r="P58" s="105">
        <f t="shared" si="9"/>
        <v>0</v>
      </c>
      <c r="Q58" s="103">
        <f>IFERROR(O58/F58,"n.a.")</f>
        <v>69.211117361501735</v>
      </c>
      <c r="R58" s="6">
        <f t="shared" si="11"/>
        <v>69.211117361501735</v>
      </c>
      <c r="S58" s="5">
        <f>F58*R58</f>
        <v>365411.85999999987</v>
      </c>
      <c r="T58" s="140">
        <v>1</v>
      </c>
      <c r="U58" s="105">
        <f t="shared" si="13"/>
        <v>94068.772003604128</v>
      </c>
      <c r="V58" s="105">
        <f t="shared" si="18"/>
        <v>272319.87998463912</v>
      </c>
      <c r="W58" s="105">
        <f t="shared" si="2"/>
        <v>28220.631601081241</v>
      </c>
      <c r="X58" s="105">
        <f t="shared" si="3"/>
        <v>5465.6653666154107</v>
      </c>
      <c r="Y58" s="105">
        <f t="shared" si="4"/>
        <v>400074.94895593985</v>
      </c>
      <c r="Z58" s="112">
        <f t="shared" si="14"/>
        <v>1.0948603281676188</v>
      </c>
      <c r="AA58" s="104">
        <f t="shared" si="15"/>
        <v>274058.8949999999</v>
      </c>
      <c r="AB58" s="105"/>
      <c r="AC58" s="104">
        <v>274058.8949999999</v>
      </c>
      <c r="AD58" s="5">
        <f t="shared" si="16"/>
        <v>0</v>
      </c>
      <c r="AE58" s="105"/>
      <c r="AF58" s="104">
        <f t="shared" si="17"/>
        <v>488.67462237927367</v>
      </c>
    </row>
    <row r="59" spans="2:32" x14ac:dyDescent="0.25">
      <c r="B59">
        <v>878</v>
      </c>
      <c r="C59" s="27">
        <v>4</v>
      </c>
      <c r="D59" s="39" t="s">
        <v>332</v>
      </c>
      <c r="E59" s="162">
        <v>7770.5699999999988</v>
      </c>
      <c r="F59" s="162">
        <f>INDEX('2017 Lockdown Update'!H$5:H$249,MATCH(B59,'2017 Lockdown Update'!B$5:B$249,0))</f>
        <v>7770.5700000000015</v>
      </c>
      <c r="G59" s="162">
        <f t="shared" si="5"/>
        <v>0</v>
      </c>
      <c r="H59" s="5">
        <v>2800060.09</v>
      </c>
      <c r="I59" s="5">
        <f>INDEX('2017 Lockdown Update'!E$5:E$249,MATCH(B59,'2017 Lockdown Update'!B$5:B$249,0))</f>
        <v>2784486.68</v>
      </c>
      <c r="J59" s="5">
        <f t="shared" si="6"/>
        <v>-15573.409999999683</v>
      </c>
      <c r="K59" s="5">
        <v>1233731.0899999999</v>
      </c>
      <c r="L59" s="5">
        <f>INDEX('2017 Lockdown Update'!F$5:F$249,MATCH(B59,'2017 Lockdown Update'!B$5:B$249,0))</f>
        <v>1233731.0899999999</v>
      </c>
      <c r="M59" s="5">
        <f t="shared" si="7"/>
        <v>0</v>
      </c>
      <c r="N59" s="5">
        <v>1566329</v>
      </c>
      <c r="O59" s="105">
        <f t="shared" si="8"/>
        <v>1550755.5900000003</v>
      </c>
      <c r="P59" s="105">
        <f t="shared" si="9"/>
        <v>-15573.409999999683</v>
      </c>
      <c r="Q59" s="103">
        <f t="shared" si="10"/>
        <v>199.56780390627713</v>
      </c>
      <c r="R59" s="6">
        <f t="shared" si="11"/>
        <v>199.56780390627713</v>
      </c>
      <c r="S59" s="5">
        <f t="shared" si="12"/>
        <v>1550755.5900000003</v>
      </c>
      <c r="T59" s="140">
        <v>0.90837500000000004</v>
      </c>
      <c r="U59" s="105">
        <f t="shared" si="13"/>
        <v>399214.39339441445</v>
      </c>
      <c r="V59" s="105">
        <f t="shared" si="18"/>
        <v>400797.90778822114</v>
      </c>
      <c r="W59" s="105">
        <f t="shared" si="2"/>
        <v>108790.91237989537</v>
      </c>
      <c r="X59" s="105">
        <f t="shared" si="3"/>
        <v>23195.500880426411</v>
      </c>
      <c r="Y59" s="105">
        <f t="shared" si="4"/>
        <v>931998.71444295731</v>
      </c>
      <c r="Z59" s="112">
        <f t="shared" si="14"/>
        <v>0.60099652095592782</v>
      </c>
      <c r="AA59" s="104">
        <f t="shared" si="15"/>
        <v>934342.30088081863</v>
      </c>
      <c r="AB59" s="105"/>
      <c r="AC59" s="104">
        <v>929791.76353176963</v>
      </c>
      <c r="AD59" s="5">
        <f t="shared" si="16"/>
        <v>4550.5373490490019</v>
      </c>
      <c r="AE59" s="105"/>
      <c r="AF59" s="104">
        <f t="shared" si="17"/>
        <v>1666.0264614141272</v>
      </c>
    </row>
    <row r="60" spans="2:32" x14ac:dyDescent="0.25">
      <c r="B60">
        <v>8</v>
      </c>
      <c r="C60" s="27">
        <v>5</v>
      </c>
      <c r="D60" s="39" t="s">
        <v>333</v>
      </c>
      <c r="E60" s="162">
        <v>2267.96</v>
      </c>
      <c r="F60" s="162">
        <f>INDEX('2017 Lockdown Update'!H$5:H$249,MATCH(B60,'2017 Lockdown Update'!B$5:B$249,0))</f>
        <v>2267.96</v>
      </c>
      <c r="G60" s="162">
        <f t="shared" si="5"/>
        <v>0</v>
      </c>
      <c r="H60" s="5">
        <v>612861.15</v>
      </c>
      <c r="I60" s="5">
        <f>INDEX('2017 Lockdown Update'!E$5:E$249,MATCH(B60,'2017 Lockdown Update'!B$5:B$249,0))</f>
        <v>612861.15</v>
      </c>
      <c r="J60" s="5">
        <f t="shared" si="6"/>
        <v>0</v>
      </c>
      <c r="K60" s="5">
        <v>115862.97</v>
      </c>
      <c r="L60" s="5">
        <f>INDEX('2017 Lockdown Update'!F$5:F$249,MATCH(B60,'2017 Lockdown Update'!B$5:B$249,0))</f>
        <v>115862.97</v>
      </c>
      <c r="M60" s="5">
        <f t="shared" si="7"/>
        <v>0</v>
      </c>
      <c r="N60" s="5">
        <v>496998.18000000005</v>
      </c>
      <c r="O60" s="105">
        <f t="shared" si="8"/>
        <v>496998.18000000005</v>
      </c>
      <c r="P60" s="105">
        <f t="shared" si="9"/>
        <v>0</v>
      </c>
      <c r="Q60" s="103">
        <f t="shared" si="10"/>
        <v>219.13886488297857</v>
      </c>
      <c r="R60" s="6">
        <f t="shared" si="11"/>
        <v>219.13886488297857</v>
      </c>
      <c r="S60" s="5">
        <f t="shared" si="12"/>
        <v>496998.18000000005</v>
      </c>
      <c r="T60" s="140">
        <v>0.6612083333333334</v>
      </c>
      <c r="U60" s="105">
        <f t="shared" si="13"/>
        <v>127943.32532235331</v>
      </c>
      <c r="V60" s="105">
        <f t="shared" si="18"/>
        <v>116979.01478879593</v>
      </c>
      <c r="W60" s="105">
        <f t="shared" si="2"/>
        <v>25379.157869255312</v>
      </c>
      <c r="X60" s="105">
        <f t="shared" si="3"/>
        <v>7433.8740392741847</v>
      </c>
      <c r="Y60" s="105">
        <f t="shared" si="4"/>
        <v>277735.3720196787</v>
      </c>
      <c r="Z60" s="112">
        <f t="shared" si="14"/>
        <v>0.55882573256038615</v>
      </c>
      <c r="AA60" s="104">
        <f t="shared" si="15"/>
        <v>278433.76016237988</v>
      </c>
      <c r="AB60" s="105"/>
      <c r="AC60" s="104">
        <v>275491.51337361964</v>
      </c>
      <c r="AD60" s="5">
        <f t="shared" si="16"/>
        <v>2942.2467887602397</v>
      </c>
      <c r="AE60" s="105"/>
      <c r="AF60" s="104">
        <f t="shared" si="17"/>
        <v>496.47544774998914</v>
      </c>
    </row>
    <row r="61" spans="2:32" x14ac:dyDescent="0.25">
      <c r="B61">
        <v>41</v>
      </c>
      <c r="C61" s="44">
        <v>5</v>
      </c>
      <c r="D61" s="39" t="s">
        <v>334</v>
      </c>
      <c r="E61" s="162">
        <v>1693.7200000000003</v>
      </c>
      <c r="F61" s="162">
        <f>INDEX('2017 Lockdown Update'!H$5:H$249,MATCH(B61,'2017 Lockdown Update'!B$5:B$249,0))</f>
        <v>1693.7200000000003</v>
      </c>
      <c r="G61" s="162">
        <f t="shared" si="5"/>
        <v>0</v>
      </c>
      <c r="H61" s="5">
        <v>622722.11</v>
      </c>
      <c r="I61" s="5">
        <f>INDEX('2017 Lockdown Update'!E$5:E$249,MATCH(B61,'2017 Lockdown Update'!B$5:B$249,0))</f>
        <v>622722.11</v>
      </c>
      <c r="J61" s="5">
        <f t="shared" si="6"/>
        <v>0</v>
      </c>
      <c r="K61" s="5">
        <v>293926.43000000005</v>
      </c>
      <c r="L61" s="5">
        <f>INDEX('2017 Lockdown Update'!F$5:F$249,MATCH(B61,'2017 Lockdown Update'!B$5:B$249,0))</f>
        <v>293926.43000000005</v>
      </c>
      <c r="M61" s="5">
        <f t="shared" si="7"/>
        <v>0</v>
      </c>
      <c r="N61" s="5">
        <v>328795.67999999993</v>
      </c>
      <c r="O61" s="105">
        <f t="shared" si="8"/>
        <v>328795.67999999993</v>
      </c>
      <c r="P61" s="105">
        <f t="shared" si="9"/>
        <v>0</v>
      </c>
      <c r="Q61" s="103">
        <f t="shared" si="10"/>
        <v>194.12634910138624</v>
      </c>
      <c r="R61" s="6">
        <f t="shared" si="11"/>
        <v>194.12634910138624</v>
      </c>
      <c r="S61" s="5">
        <f t="shared" si="12"/>
        <v>328795.67999999993</v>
      </c>
      <c r="T61" s="140">
        <v>0.42516666666666669</v>
      </c>
      <c r="U61" s="105">
        <f t="shared" si="13"/>
        <v>84642.58893427813</v>
      </c>
      <c r="V61" s="105">
        <f t="shared" si="18"/>
        <v>87360.313642250941</v>
      </c>
      <c r="W61" s="105">
        <f t="shared" si="2"/>
        <v>10796.162218567175</v>
      </c>
      <c r="X61" s="105">
        <f t="shared" si="3"/>
        <v>4917.9771036133407</v>
      </c>
      <c r="Y61" s="105">
        <f t="shared" si="4"/>
        <v>187717.04189870961</v>
      </c>
      <c r="Z61" s="112">
        <f t="shared" si="14"/>
        <v>0.57092307872995673</v>
      </c>
      <c r="AA61" s="104">
        <f t="shared" si="15"/>
        <v>188189.07164159633</v>
      </c>
      <c r="AB61" s="105"/>
      <c r="AC61" s="104">
        <v>186427.70977003881</v>
      </c>
      <c r="AD61" s="5">
        <f t="shared" si="16"/>
        <v>1761.361871557514</v>
      </c>
      <c r="AE61" s="105"/>
      <c r="AF61" s="104">
        <f t="shared" si="17"/>
        <v>335.56007558288957</v>
      </c>
    </row>
    <row r="62" spans="2:32" x14ac:dyDescent="0.25">
      <c r="B62">
        <v>56</v>
      </c>
      <c r="C62" s="44">
        <v>5</v>
      </c>
      <c r="D62" s="39" t="s">
        <v>335</v>
      </c>
      <c r="E62" s="162">
        <v>3045.59</v>
      </c>
      <c r="F62" s="162">
        <f>INDEX('2017 Lockdown Update'!H$5:H$249,MATCH(B62,'2017 Lockdown Update'!B$5:B$249,0))</f>
        <v>3045.59</v>
      </c>
      <c r="G62" s="162">
        <f t="shared" si="5"/>
        <v>0</v>
      </c>
      <c r="H62" s="5">
        <v>521383.94</v>
      </c>
      <c r="I62" s="5">
        <f>INDEX('2017 Lockdown Update'!E$5:E$249,MATCH(B62,'2017 Lockdown Update'!B$5:B$249,0))</f>
        <v>521383.94</v>
      </c>
      <c r="J62" s="5">
        <f t="shared" si="6"/>
        <v>0</v>
      </c>
      <c r="K62" s="5">
        <v>3002.24</v>
      </c>
      <c r="L62" s="5">
        <f>INDEX('2017 Lockdown Update'!F$5:F$249,MATCH(B62,'2017 Lockdown Update'!B$5:B$249,0))</f>
        <v>3002.24</v>
      </c>
      <c r="M62" s="5">
        <f t="shared" si="7"/>
        <v>0</v>
      </c>
      <c r="N62" s="5">
        <v>518381.7</v>
      </c>
      <c r="O62" s="105">
        <f t="shared" si="8"/>
        <v>518381.7</v>
      </c>
      <c r="P62" s="105">
        <f t="shared" si="9"/>
        <v>0</v>
      </c>
      <c r="Q62" s="103">
        <f t="shared" si="10"/>
        <v>170.20731615220697</v>
      </c>
      <c r="R62" s="6">
        <f t="shared" si="11"/>
        <v>170.20731615220697</v>
      </c>
      <c r="S62" s="5">
        <f t="shared" si="12"/>
        <v>518381.70000000007</v>
      </c>
      <c r="T62" s="140">
        <v>0.96424999999999994</v>
      </c>
      <c r="U62" s="105">
        <f t="shared" si="13"/>
        <v>133448.13150876039</v>
      </c>
      <c r="V62" s="105">
        <f t="shared" si="18"/>
        <v>157088.36031085602</v>
      </c>
      <c r="W62" s="105">
        <f t="shared" si="2"/>
        <v>38603.208242196662</v>
      </c>
      <c r="X62" s="105">
        <f t="shared" si="3"/>
        <v>7753.7190620392603</v>
      </c>
      <c r="Y62" s="105">
        <f t="shared" si="4"/>
        <v>336893.41912385233</v>
      </c>
      <c r="Z62" s="112">
        <f t="shared" si="14"/>
        <v>0.6498945065457602</v>
      </c>
      <c r="AA62" s="104">
        <f t="shared" si="15"/>
        <v>337740.56497912883</v>
      </c>
      <c r="AB62" s="105"/>
      <c r="AC62" s="104">
        <v>334397.24791209312</v>
      </c>
      <c r="AD62" s="5">
        <f t="shared" si="16"/>
        <v>3343.3170670357067</v>
      </c>
      <c r="AE62" s="105"/>
      <c r="AF62" s="104">
        <f t="shared" si="17"/>
        <v>602.22545614999422</v>
      </c>
    </row>
    <row r="63" spans="2:32" x14ac:dyDescent="0.25">
      <c r="B63">
        <v>67</v>
      </c>
      <c r="C63" s="27">
        <v>5</v>
      </c>
      <c r="D63" s="39" t="s">
        <v>336</v>
      </c>
      <c r="E63" s="162">
        <v>1344.9746487732793</v>
      </c>
      <c r="F63" s="162">
        <f>INDEX('2017 Lockdown Update'!H$5:H$249,MATCH(B63,'2017 Lockdown Update'!B$5:B$249,0))</f>
        <v>1517.5318405730366</v>
      </c>
      <c r="G63" s="162">
        <f t="shared" si="5"/>
        <v>172.55719179975722</v>
      </c>
      <c r="H63" s="5">
        <v>208551.34</v>
      </c>
      <c r="I63" s="5">
        <f>INDEX('2017 Lockdown Update'!E$5:E$249,MATCH(B63,'2017 Lockdown Update'!B$5:B$249,0))</f>
        <v>211733.41</v>
      </c>
      <c r="J63" s="5">
        <f t="shared" si="6"/>
        <v>3182.070000000007</v>
      </c>
      <c r="K63" s="5">
        <v>0</v>
      </c>
      <c r="L63" s="5">
        <f>INDEX('2017 Lockdown Update'!F$5:F$249,MATCH(B63,'2017 Lockdown Update'!B$5:B$249,0))</f>
        <v>0</v>
      </c>
      <c r="M63" s="5">
        <f t="shared" si="7"/>
        <v>0</v>
      </c>
      <c r="N63" s="5">
        <v>208551.34</v>
      </c>
      <c r="O63" s="105">
        <f t="shared" si="8"/>
        <v>211733.41</v>
      </c>
      <c r="P63" s="105">
        <f t="shared" si="9"/>
        <v>3182.070000000007</v>
      </c>
      <c r="Q63" s="103">
        <f t="shared" si="10"/>
        <v>139.52485499088255</v>
      </c>
      <c r="R63" s="6">
        <f t="shared" si="11"/>
        <v>139.52485499088255</v>
      </c>
      <c r="S63" s="5">
        <f t="shared" si="12"/>
        <v>211733.41</v>
      </c>
      <c r="T63" s="140">
        <v>0.55925000000000002</v>
      </c>
      <c r="U63" s="105">
        <f t="shared" si="13"/>
        <v>54506.99348082365</v>
      </c>
      <c r="V63" s="105">
        <f t="shared" si="18"/>
        <v>78272.711873605338</v>
      </c>
      <c r="W63" s="105">
        <f t="shared" si="2"/>
        <v>9144.9108312451881</v>
      </c>
      <c r="X63" s="105">
        <f t="shared" si="3"/>
        <v>3167.0126032372937</v>
      </c>
      <c r="Y63" s="105">
        <f t="shared" si="4"/>
        <v>145091.62878891148</v>
      </c>
      <c r="Z63" s="112">
        <f t="shared" si="14"/>
        <v>0.68525618507212194</v>
      </c>
      <c r="AA63" s="104">
        <f t="shared" si="15"/>
        <v>145456.47346971143</v>
      </c>
      <c r="AB63" s="105"/>
      <c r="AC63" s="104">
        <v>134328.99774495908</v>
      </c>
      <c r="AD63" s="5">
        <f t="shared" si="16"/>
        <v>11127.475724752352</v>
      </c>
      <c r="AE63" s="105"/>
      <c r="AF63" s="104">
        <f t="shared" si="17"/>
        <v>259.36354755218616</v>
      </c>
    </row>
    <row r="64" spans="2:32" x14ac:dyDescent="0.25">
      <c r="B64">
        <v>157</v>
      </c>
      <c r="C64" s="27">
        <v>5</v>
      </c>
      <c r="D64" s="39" t="s">
        <v>337</v>
      </c>
      <c r="E64" s="162">
        <v>458.49377410764129</v>
      </c>
      <c r="F64" s="162">
        <f>INDEX('2017 Lockdown Update'!H$5:H$249,MATCH(B64,'2017 Lockdown Update'!B$5:B$249,0))</f>
        <v>458.49377410764129</v>
      </c>
      <c r="G64" s="162">
        <f t="shared" si="5"/>
        <v>0</v>
      </c>
      <c r="H64" s="5">
        <v>145658.07999999999</v>
      </c>
      <c r="I64" s="5">
        <f>INDEX('2017 Lockdown Update'!E$5:E$249,MATCH(B64,'2017 Lockdown Update'!B$5:B$249,0))</f>
        <v>145658.07999999999</v>
      </c>
      <c r="J64" s="5">
        <f t="shared" si="6"/>
        <v>0</v>
      </c>
      <c r="K64" s="5">
        <v>150</v>
      </c>
      <c r="L64" s="5">
        <f>INDEX('2017 Lockdown Update'!F$5:F$249,MATCH(B64,'2017 Lockdown Update'!B$5:B$249,0))</f>
        <v>150</v>
      </c>
      <c r="M64" s="5">
        <f t="shared" si="7"/>
        <v>0</v>
      </c>
      <c r="N64" s="5">
        <v>145508.07999999999</v>
      </c>
      <c r="O64" s="105">
        <f t="shared" si="8"/>
        <v>145508.07999999999</v>
      </c>
      <c r="P64" s="105">
        <f t="shared" si="9"/>
        <v>0</v>
      </c>
      <c r="Q64" s="103">
        <f t="shared" si="10"/>
        <v>317.36108147422482</v>
      </c>
      <c r="R64" s="6">
        <f t="shared" si="11"/>
        <v>317.36108147422482</v>
      </c>
      <c r="S64" s="5">
        <f t="shared" si="12"/>
        <v>145508.07999999999</v>
      </c>
      <c r="T64" s="140">
        <v>0.55958333333333343</v>
      </c>
      <c r="U64" s="105">
        <f t="shared" si="13"/>
        <v>37458.462355880278</v>
      </c>
      <c r="V64" s="105">
        <f t="shared" si="18"/>
        <v>23648.631361183016</v>
      </c>
      <c r="W64" s="105">
        <f t="shared" si="2"/>
        <v>6288.3393679934024</v>
      </c>
      <c r="X64" s="105">
        <f t="shared" si="3"/>
        <v>2176.4440634704761</v>
      </c>
      <c r="Y64" s="105">
        <f t="shared" si="4"/>
        <v>69571.877148527186</v>
      </c>
      <c r="Z64" s="112">
        <f t="shared" si="14"/>
        <v>0.47813067939957143</v>
      </c>
      <c r="AA64" s="104">
        <f t="shared" si="15"/>
        <v>69746.821282263787</v>
      </c>
      <c r="AB64" s="105"/>
      <c r="AC64" s="104">
        <v>68922.507337570831</v>
      </c>
      <c r="AD64" s="5">
        <f t="shared" si="16"/>
        <v>824.31394469295628</v>
      </c>
      <c r="AE64" s="105"/>
      <c r="AF64" s="104">
        <f t="shared" si="17"/>
        <v>124.36560963388892</v>
      </c>
    </row>
    <row r="65" spans="2:32" x14ac:dyDescent="0.25">
      <c r="B65">
        <v>214</v>
      </c>
      <c r="C65" s="27">
        <v>5</v>
      </c>
      <c r="D65" s="39" t="s">
        <v>338</v>
      </c>
      <c r="E65" s="162">
        <v>3109.6</v>
      </c>
      <c r="F65" s="162">
        <f>INDEX('2017 Lockdown Update'!H$5:H$249,MATCH(B65,'2017 Lockdown Update'!B$5:B$249,0))</f>
        <v>3109.6</v>
      </c>
      <c r="G65" s="162">
        <f t="shared" si="5"/>
        <v>0</v>
      </c>
      <c r="H65" s="5">
        <v>1693525.15</v>
      </c>
      <c r="I65" s="5">
        <f>INDEX('2017 Lockdown Update'!E$5:E$249,MATCH(B65,'2017 Lockdown Update'!B$5:B$249,0))</f>
        <v>1693525.15</v>
      </c>
      <c r="J65" s="5">
        <f t="shared" si="6"/>
        <v>0</v>
      </c>
      <c r="K65" s="5">
        <v>371766.18000000005</v>
      </c>
      <c r="L65" s="5">
        <f>INDEX('2017 Lockdown Update'!F$5:F$249,MATCH(B65,'2017 Lockdown Update'!B$5:B$249,0))</f>
        <v>371766.18000000005</v>
      </c>
      <c r="M65" s="5">
        <f t="shared" si="7"/>
        <v>0</v>
      </c>
      <c r="N65" s="5">
        <v>1321758.9699999997</v>
      </c>
      <c r="O65" s="105">
        <f t="shared" si="8"/>
        <v>1321758.9699999997</v>
      </c>
      <c r="P65" s="105">
        <f t="shared" si="9"/>
        <v>0</v>
      </c>
      <c r="Q65" s="103">
        <f t="shared" si="10"/>
        <v>425.05755402624123</v>
      </c>
      <c r="R65" s="6">
        <f t="shared" si="11"/>
        <v>415.74694552381976</v>
      </c>
      <c r="S65" s="5">
        <f t="shared" si="12"/>
        <v>1292806.7018008698</v>
      </c>
      <c r="T65" s="140">
        <v>0.68600000000000005</v>
      </c>
      <c r="U65" s="105">
        <f t="shared" si="13"/>
        <v>332810.0485748807</v>
      </c>
      <c r="V65" s="105">
        <f t="shared" si="18"/>
        <v>160389.92944639226</v>
      </c>
      <c r="W65" s="105">
        <f t="shared" si="2"/>
        <v>68492.307996710457</v>
      </c>
      <c r="X65" s="105">
        <f t="shared" si="3"/>
        <v>19337.218052422584</v>
      </c>
      <c r="Y65" s="105">
        <f t="shared" si="4"/>
        <v>581029.50407040596</v>
      </c>
      <c r="Z65" s="112">
        <f t="shared" si="14"/>
        <v>0.44943262071664414</v>
      </c>
      <c r="AA65" s="104">
        <f t="shared" si="15"/>
        <v>582490.549933061</v>
      </c>
      <c r="AB65" s="105"/>
      <c r="AC65" s="104">
        <v>575439.89922011923</v>
      </c>
      <c r="AD65" s="5">
        <f t="shared" si="16"/>
        <v>7050.6507129417732</v>
      </c>
      <c r="AE65" s="105"/>
      <c r="AF65" s="104">
        <f t="shared" si="17"/>
        <v>1038.6393389203226</v>
      </c>
    </row>
    <row r="66" spans="2:32" x14ac:dyDescent="0.25">
      <c r="B66">
        <v>223</v>
      </c>
      <c r="C66" s="27">
        <v>5</v>
      </c>
      <c r="D66" s="39" t="s">
        <v>339</v>
      </c>
      <c r="E66" s="162">
        <v>333.74</v>
      </c>
      <c r="F66" s="162">
        <f>INDEX('2017 Lockdown Update'!H$5:H$249,MATCH(B66,'2017 Lockdown Update'!B$5:B$249,0))</f>
        <v>333.74</v>
      </c>
      <c r="G66" s="162">
        <f t="shared" si="5"/>
        <v>0</v>
      </c>
      <c r="H66" s="5">
        <v>205904.35</v>
      </c>
      <c r="I66" s="5">
        <f>INDEX('2017 Lockdown Update'!E$5:E$249,MATCH(B66,'2017 Lockdown Update'!B$5:B$249,0))</f>
        <v>205904.35</v>
      </c>
      <c r="J66" s="5">
        <f t="shared" si="6"/>
        <v>0</v>
      </c>
      <c r="K66" s="5">
        <v>3510.12</v>
      </c>
      <c r="L66" s="5">
        <f>INDEX('2017 Lockdown Update'!F$5:F$249,MATCH(B66,'2017 Lockdown Update'!B$5:B$249,0))</f>
        <v>3510.12</v>
      </c>
      <c r="M66" s="5">
        <f t="shared" si="7"/>
        <v>0</v>
      </c>
      <c r="N66" s="5">
        <v>202394.23</v>
      </c>
      <c r="O66" s="105">
        <f t="shared" si="8"/>
        <v>202394.23</v>
      </c>
      <c r="P66" s="105">
        <f t="shared" si="9"/>
        <v>0</v>
      </c>
      <c r="Q66" s="103">
        <f t="shared" si="10"/>
        <v>606.44282974770783</v>
      </c>
      <c r="R66" s="6">
        <f t="shared" si="11"/>
        <v>415.74694552381976</v>
      </c>
      <c r="S66" s="5">
        <f t="shared" si="12"/>
        <v>138751.38559911962</v>
      </c>
      <c r="T66" s="140">
        <v>0.51175000000000004</v>
      </c>
      <c r="U66" s="105">
        <f t="shared" si="13"/>
        <v>35719.071781380466</v>
      </c>
      <c r="V66" s="105">
        <f t="shared" si="18"/>
        <v>17213.961619963648</v>
      </c>
      <c r="W66" s="105">
        <f t="shared" si="2"/>
        <v>5483.7704952364365</v>
      </c>
      <c r="X66" s="105">
        <f t="shared" si="3"/>
        <v>2075.3804839257505</v>
      </c>
      <c r="Y66" s="105">
        <f t="shared" si="4"/>
        <v>60492.184380506304</v>
      </c>
      <c r="Z66" s="112">
        <f t="shared" si="14"/>
        <v>0.43597535346623689</v>
      </c>
      <c r="AA66" s="104">
        <f t="shared" si="15"/>
        <v>60644.296889583631</v>
      </c>
      <c r="AB66" s="105"/>
      <c r="AC66" s="104">
        <v>59924.730427148599</v>
      </c>
      <c r="AD66" s="5">
        <f t="shared" si="16"/>
        <v>719.56646243503201</v>
      </c>
      <c r="AE66" s="105"/>
      <c r="AF66" s="104">
        <f t="shared" si="17"/>
        <v>108.13489152385968</v>
      </c>
    </row>
    <row r="67" spans="2:32" x14ac:dyDescent="0.25">
      <c r="B67">
        <v>224</v>
      </c>
      <c r="C67" s="27">
        <v>5</v>
      </c>
      <c r="D67" s="39" t="s">
        <v>340</v>
      </c>
      <c r="E67" s="162">
        <v>274.49707003740264</v>
      </c>
      <c r="F67" s="162">
        <f>INDEX('2017 Lockdown Update'!H$5:H$249,MATCH(B67,'2017 Lockdown Update'!B$5:B$249,0))</f>
        <v>274.49707003740264</v>
      </c>
      <c r="G67" s="162">
        <f t="shared" si="5"/>
        <v>0</v>
      </c>
      <c r="H67" s="5">
        <v>77159.710000000006</v>
      </c>
      <c r="I67" s="5">
        <f>INDEX('2017 Lockdown Update'!E$5:E$249,MATCH(B67,'2017 Lockdown Update'!B$5:B$249,0))</f>
        <v>77159.710000000006</v>
      </c>
      <c r="J67" s="5">
        <f t="shared" si="6"/>
        <v>0</v>
      </c>
      <c r="K67" s="5">
        <v>180</v>
      </c>
      <c r="L67" s="5">
        <f>INDEX('2017 Lockdown Update'!F$5:F$249,MATCH(B67,'2017 Lockdown Update'!B$5:B$249,0))</f>
        <v>180</v>
      </c>
      <c r="M67" s="5">
        <f t="shared" si="7"/>
        <v>0</v>
      </c>
      <c r="N67" s="5">
        <v>76979.710000000006</v>
      </c>
      <c r="O67" s="105">
        <f t="shared" si="8"/>
        <v>76979.710000000006</v>
      </c>
      <c r="P67" s="105">
        <f t="shared" si="9"/>
        <v>0</v>
      </c>
      <c r="Q67" s="103">
        <f t="shared" si="10"/>
        <v>280.43909535905374</v>
      </c>
      <c r="R67" s="6">
        <f t="shared" si="11"/>
        <v>280.43909535905374</v>
      </c>
      <c r="S67" s="5">
        <f t="shared" si="12"/>
        <v>76979.710000000006</v>
      </c>
      <c r="T67" s="140">
        <v>0.47066666666666673</v>
      </c>
      <c r="U67" s="105">
        <f t="shared" si="13"/>
        <v>19817.054621307496</v>
      </c>
      <c r="V67" s="105">
        <f t="shared" si="18"/>
        <v>14158.272992198483</v>
      </c>
      <c r="W67" s="105">
        <f t="shared" si="2"/>
        <v>2798.1681125286186</v>
      </c>
      <c r="X67" s="105">
        <f t="shared" si="3"/>
        <v>1151.4276927932722</v>
      </c>
      <c r="Y67" s="105">
        <f t="shared" si="4"/>
        <v>37924.923418827872</v>
      </c>
      <c r="Z67" s="112">
        <f t="shared" si="14"/>
        <v>0.49266129242144285</v>
      </c>
      <c r="AA67" s="104">
        <f t="shared" si="15"/>
        <v>38020.288717946787</v>
      </c>
      <c r="AB67" s="105"/>
      <c r="AC67" s="104">
        <v>37598.123124895537</v>
      </c>
      <c r="AD67" s="5">
        <f t="shared" si="16"/>
        <v>422.16559305124974</v>
      </c>
      <c r="AE67" s="105"/>
      <c r="AF67" s="104">
        <f t="shared" si="17"/>
        <v>67.79400548919827</v>
      </c>
    </row>
    <row r="68" spans="2:32" x14ac:dyDescent="0.25">
      <c r="B68">
        <v>233</v>
      </c>
      <c r="C68" s="44">
        <v>5</v>
      </c>
      <c r="D68" s="39" t="s">
        <v>341</v>
      </c>
      <c r="E68" s="162">
        <v>2132.25</v>
      </c>
      <c r="F68" s="162">
        <f>INDEX('2017 Lockdown Update'!H$5:H$249,MATCH(B68,'2017 Lockdown Update'!B$5:B$249,0))</f>
        <v>2132.25</v>
      </c>
      <c r="G68" s="162">
        <f t="shared" si="5"/>
        <v>0</v>
      </c>
      <c r="H68" s="5">
        <v>629398.4</v>
      </c>
      <c r="I68" s="5">
        <f>INDEX('2017 Lockdown Update'!E$5:E$249,MATCH(B68,'2017 Lockdown Update'!B$5:B$249,0))</f>
        <v>629398.4</v>
      </c>
      <c r="J68" s="5">
        <f t="shared" si="6"/>
        <v>0</v>
      </c>
      <c r="K68" s="5">
        <v>324977.27999999997</v>
      </c>
      <c r="L68" s="5">
        <f>INDEX('2017 Lockdown Update'!F$5:F$249,MATCH(B68,'2017 Lockdown Update'!B$5:B$249,0))</f>
        <v>324977.27999999997</v>
      </c>
      <c r="M68" s="5">
        <f t="shared" si="7"/>
        <v>0</v>
      </c>
      <c r="N68" s="5">
        <v>304421.12000000005</v>
      </c>
      <c r="O68" s="105">
        <f t="shared" si="8"/>
        <v>304421.12000000005</v>
      </c>
      <c r="P68" s="105">
        <f t="shared" si="9"/>
        <v>0</v>
      </c>
      <c r="Q68" s="103">
        <f t="shared" si="10"/>
        <v>142.76990034001645</v>
      </c>
      <c r="R68" s="6">
        <f t="shared" si="11"/>
        <v>142.76990034001645</v>
      </c>
      <c r="S68" s="5">
        <f t="shared" si="12"/>
        <v>304421.12000000005</v>
      </c>
      <c r="T68" s="140">
        <v>0.58924999999999994</v>
      </c>
      <c r="U68" s="105">
        <f t="shared" si="13"/>
        <v>78367.79279786328</v>
      </c>
      <c r="V68" s="105">
        <f t="shared" si="18"/>
        <v>109979.23432662398</v>
      </c>
      <c r="W68" s="105">
        <f t="shared" si="2"/>
        <v>13853.46657184228</v>
      </c>
      <c r="X68" s="105">
        <f t="shared" si="3"/>
        <v>4553.3934570439906</v>
      </c>
      <c r="Y68" s="105">
        <f t="shared" si="4"/>
        <v>206753.88715337357</v>
      </c>
      <c r="Z68" s="112">
        <f t="shared" si="14"/>
        <v>0.67917064083258594</v>
      </c>
      <c r="AA68" s="104">
        <f t="shared" si="15"/>
        <v>207273.78658928358</v>
      </c>
      <c r="AB68" s="105"/>
      <c r="AC68" s="104">
        <v>205455.65175701363</v>
      </c>
      <c r="AD68" s="5">
        <f t="shared" si="16"/>
        <v>1818.1348322699487</v>
      </c>
      <c r="AE68" s="105"/>
      <c r="AF68" s="104">
        <f t="shared" si="17"/>
        <v>369.59004520046813</v>
      </c>
    </row>
    <row r="69" spans="2:32" x14ac:dyDescent="0.25">
      <c r="B69">
        <v>272</v>
      </c>
      <c r="C69" s="27">
        <v>5</v>
      </c>
      <c r="D69" s="39" t="s">
        <v>342</v>
      </c>
      <c r="E69" s="162">
        <v>386.38981858925848</v>
      </c>
      <c r="F69" s="162">
        <f>INDEX('2017 Lockdown Update'!H$5:H$249,MATCH(B69,'2017 Lockdown Update'!B$5:B$249,0))</f>
        <v>386.38981858925848</v>
      </c>
      <c r="G69" s="162">
        <f t="shared" si="5"/>
        <v>0</v>
      </c>
      <c r="H69" s="5">
        <v>101161.37</v>
      </c>
      <c r="I69" s="5">
        <f>INDEX('2017 Lockdown Update'!E$5:E$249,MATCH(B69,'2017 Lockdown Update'!B$5:B$249,0))</f>
        <v>101161.37</v>
      </c>
      <c r="J69" s="5">
        <f t="shared" si="6"/>
        <v>0</v>
      </c>
      <c r="K69" s="5">
        <v>0</v>
      </c>
      <c r="L69" s="5">
        <f>INDEX('2017 Lockdown Update'!F$5:F$249,MATCH(B69,'2017 Lockdown Update'!B$5:B$249,0))</f>
        <v>0</v>
      </c>
      <c r="M69" s="5">
        <f t="shared" si="7"/>
        <v>0</v>
      </c>
      <c r="N69" s="5">
        <v>101161.37</v>
      </c>
      <c r="O69" s="105">
        <f t="shared" si="8"/>
        <v>101161.37</v>
      </c>
      <c r="P69" s="105">
        <f t="shared" si="9"/>
        <v>0</v>
      </c>
      <c r="Q69" s="103">
        <f t="shared" si="10"/>
        <v>261.81168636727699</v>
      </c>
      <c r="R69" s="6">
        <f t="shared" si="11"/>
        <v>261.81168636727699</v>
      </c>
      <c r="S69" s="5">
        <f t="shared" si="12"/>
        <v>101161.37</v>
      </c>
      <c r="T69" s="140">
        <v>0.67258333333333331</v>
      </c>
      <c r="U69" s="105">
        <f t="shared" si="13"/>
        <v>26042.192090049408</v>
      </c>
      <c r="V69" s="105">
        <f t="shared" si="18"/>
        <v>19929.584429616501</v>
      </c>
      <c r="W69" s="105">
        <f t="shared" si="2"/>
        <v>5254.6633089697198</v>
      </c>
      <c r="X69" s="105">
        <f t="shared" si="3"/>
        <v>1513.1260283899032</v>
      </c>
      <c r="Y69" s="105">
        <f t="shared" si="4"/>
        <v>52739.565857025533</v>
      </c>
      <c r="Z69" s="112">
        <f t="shared" si="14"/>
        <v>0.52134096105089855</v>
      </c>
      <c r="AA69" s="104">
        <f t="shared" si="15"/>
        <v>52872.183777378668</v>
      </c>
      <c r="AB69" s="105"/>
      <c r="AC69" s="104">
        <v>52284.57057341007</v>
      </c>
      <c r="AD69" s="5">
        <f t="shared" si="16"/>
        <v>587.6132039685981</v>
      </c>
      <c r="AE69" s="105"/>
      <c r="AF69" s="104">
        <f t="shared" si="17"/>
        <v>94.276430771488322</v>
      </c>
    </row>
    <row r="70" spans="2:32" x14ac:dyDescent="0.25">
      <c r="B70">
        <v>427</v>
      </c>
      <c r="C70" s="27">
        <v>5</v>
      </c>
      <c r="D70" s="39" t="s">
        <v>343</v>
      </c>
      <c r="E70" s="162">
        <v>452.62</v>
      </c>
      <c r="F70" s="162">
        <f>INDEX('2017 Lockdown Update'!H$5:H$249,MATCH(B70,'2017 Lockdown Update'!B$5:B$249,0))</f>
        <v>452.62</v>
      </c>
      <c r="G70" s="162">
        <f t="shared" si="5"/>
        <v>0</v>
      </c>
      <c r="H70" s="5">
        <v>190983.95</v>
      </c>
      <c r="I70" s="5">
        <f>INDEX('2017 Lockdown Update'!E$5:E$249,MATCH(B70,'2017 Lockdown Update'!B$5:B$249,0))</f>
        <v>190983.95</v>
      </c>
      <c r="J70" s="5">
        <f t="shared" si="6"/>
        <v>0</v>
      </c>
      <c r="K70" s="5">
        <v>69834.559999999998</v>
      </c>
      <c r="L70" s="5">
        <f>INDEX('2017 Lockdown Update'!F$5:F$249,MATCH(B70,'2017 Lockdown Update'!B$5:B$249,0))</f>
        <v>69834.559999999998</v>
      </c>
      <c r="M70" s="5">
        <f t="shared" si="7"/>
        <v>0</v>
      </c>
      <c r="N70" s="5">
        <v>121149.39000000001</v>
      </c>
      <c r="O70" s="105">
        <f t="shared" si="8"/>
        <v>121149.39000000001</v>
      </c>
      <c r="P70" s="105">
        <f t="shared" si="9"/>
        <v>0</v>
      </c>
      <c r="Q70" s="103">
        <f t="shared" si="10"/>
        <v>267.66247624939245</v>
      </c>
      <c r="R70" s="6">
        <f t="shared" si="11"/>
        <v>267.66247624939245</v>
      </c>
      <c r="S70" s="5">
        <f t="shared" si="12"/>
        <v>121149.39000000001</v>
      </c>
      <c r="T70" s="140">
        <v>0.49337500000000001</v>
      </c>
      <c r="U70" s="105">
        <f t="shared" si="13"/>
        <v>31187.751668174435</v>
      </c>
      <c r="V70" s="105">
        <f t="shared" si="18"/>
        <v>23345.668210067557</v>
      </c>
      <c r="W70" s="105">
        <f t="shared" si="2"/>
        <v>4616.1770937856681</v>
      </c>
      <c r="X70" s="105">
        <f t="shared" si="3"/>
        <v>1812.0977931848836</v>
      </c>
      <c r="Y70" s="105">
        <f t="shared" si="4"/>
        <v>60961.694765212545</v>
      </c>
      <c r="Z70" s="112">
        <f t="shared" si="14"/>
        <v>0.50319440126947845</v>
      </c>
      <c r="AA70" s="104">
        <f t="shared" si="15"/>
        <v>61114.987896272483</v>
      </c>
      <c r="AB70" s="105"/>
      <c r="AC70" s="104">
        <v>60439.555235502768</v>
      </c>
      <c r="AD70" s="5">
        <f t="shared" si="16"/>
        <v>675.43266076971486</v>
      </c>
      <c r="AE70" s="105"/>
      <c r="AF70" s="104">
        <f t="shared" si="17"/>
        <v>108.97418101289814</v>
      </c>
    </row>
    <row r="71" spans="2:32" x14ac:dyDescent="0.25">
      <c r="B71">
        <v>524</v>
      </c>
      <c r="C71" s="27">
        <v>5</v>
      </c>
      <c r="D71" s="39" t="s">
        <v>344</v>
      </c>
      <c r="E71" s="162">
        <v>529.66425187151924</v>
      </c>
      <c r="F71" s="162">
        <f>INDEX('2017 Lockdown Update'!H$5:H$249,MATCH(B71,'2017 Lockdown Update'!B$5:B$249,0))</f>
        <v>529.66425187151924</v>
      </c>
      <c r="G71" s="162">
        <f t="shared" si="5"/>
        <v>0</v>
      </c>
      <c r="H71" s="5">
        <v>245808.58</v>
      </c>
      <c r="I71" s="5">
        <f>INDEX('2017 Lockdown Update'!E$5:E$249,MATCH(B71,'2017 Lockdown Update'!B$5:B$249,0))</f>
        <v>245808.58</v>
      </c>
      <c r="J71" s="5">
        <f t="shared" si="6"/>
        <v>0</v>
      </c>
      <c r="K71" s="5">
        <v>450.32</v>
      </c>
      <c r="L71" s="5">
        <f>INDEX('2017 Lockdown Update'!F$5:F$249,MATCH(B71,'2017 Lockdown Update'!B$5:B$249,0))</f>
        <v>450.32</v>
      </c>
      <c r="M71" s="5">
        <f t="shared" si="7"/>
        <v>0</v>
      </c>
      <c r="N71" s="5">
        <v>245358.25999999998</v>
      </c>
      <c r="O71" s="105">
        <f t="shared" si="8"/>
        <v>245358.25999999998</v>
      </c>
      <c r="P71" s="105">
        <f t="shared" si="9"/>
        <v>0</v>
      </c>
      <c r="Q71" s="103">
        <f t="shared" si="10"/>
        <v>463.23356566551251</v>
      </c>
      <c r="R71" s="6">
        <f t="shared" si="11"/>
        <v>415.74694552381976</v>
      </c>
      <c r="S71" s="5">
        <f t="shared" si="12"/>
        <v>220206.29486874325</v>
      </c>
      <c r="T71" s="140">
        <v>0.71375</v>
      </c>
      <c r="U71" s="105">
        <f t="shared" si="13"/>
        <v>56688.186710103604</v>
      </c>
      <c r="V71" s="105">
        <f t="shared" si="18"/>
        <v>27319.530482360788</v>
      </c>
      <c r="W71" s="105">
        <f t="shared" si="2"/>
        <v>12138.357979300934</v>
      </c>
      <c r="X71" s="105">
        <f t="shared" si="3"/>
        <v>3293.7461837576679</v>
      </c>
      <c r="Y71" s="105">
        <f t="shared" si="4"/>
        <v>99439.821355522989</v>
      </c>
      <c r="Z71" s="112">
        <f t="shared" si="14"/>
        <v>0.45157574362165875</v>
      </c>
      <c r="AA71" s="104">
        <f t="shared" si="15"/>
        <v>99689.870859991934</v>
      </c>
      <c r="AB71" s="105"/>
      <c r="AC71" s="104">
        <v>98481.702773740384</v>
      </c>
      <c r="AD71" s="5">
        <f t="shared" si="16"/>
        <v>1208.1680862515495</v>
      </c>
      <c r="AE71" s="105"/>
      <c r="AF71" s="104">
        <f t="shared" si="17"/>
        <v>177.75708392002795</v>
      </c>
    </row>
    <row r="72" spans="2:32" x14ac:dyDescent="0.25">
      <c r="B72">
        <v>565</v>
      </c>
      <c r="C72" s="27">
        <v>5</v>
      </c>
      <c r="D72" s="39" t="s">
        <v>345</v>
      </c>
      <c r="E72" s="162">
        <v>445.33784061237589</v>
      </c>
      <c r="F72" s="162">
        <f>INDEX('2017 Lockdown Update'!H$5:H$249,MATCH(B72,'2017 Lockdown Update'!B$5:B$249,0))</f>
        <v>445.33784061237589</v>
      </c>
      <c r="G72" s="162">
        <f t="shared" si="5"/>
        <v>0</v>
      </c>
      <c r="H72" s="5">
        <v>183464.86</v>
      </c>
      <c r="I72" s="5">
        <f>INDEX('2017 Lockdown Update'!E$5:E$249,MATCH(B72,'2017 Lockdown Update'!B$5:B$249,0))</f>
        <v>183464.86</v>
      </c>
      <c r="J72" s="5">
        <f t="shared" si="6"/>
        <v>0</v>
      </c>
      <c r="K72" s="5">
        <v>760</v>
      </c>
      <c r="L72" s="5">
        <f>INDEX('2017 Lockdown Update'!F$5:F$249,MATCH(B72,'2017 Lockdown Update'!B$5:B$249,0))</f>
        <v>760</v>
      </c>
      <c r="M72" s="5">
        <f t="shared" si="7"/>
        <v>0</v>
      </c>
      <c r="N72" s="5">
        <v>182704.86</v>
      </c>
      <c r="O72" s="105">
        <f t="shared" si="8"/>
        <v>182704.86</v>
      </c>
      <c r="P72" s="105">
        <f t="shared" si="9"/>
        <v>0</v>
      </c>
      <c r="Q72" s="103">
        <f t="shared" si="10"/>
        <v>410.26125188186546</v>
      </c>
      <c r="R72" s="6">
        <f t="shared" si="11"/>
        <v>410.26125188186546</v>
      </c>
      <c r="S72" s="5">
        <f t="shared" si="12"/>
        <v>182704.86</v>
      </c>
      <c r="T72" s="140">
        <v>0.68591666666666673</v>
      </c>
      <c r="U72" s="105">
        <f t="shared" si="13"/>
        <v>47034.110549368641</v>
      </c>
      <c r="V72" s="105">
        <f t="shared" si="18"/>
        <v>22970.062013000919</v>
      </c>
      <c r="W72" s="105">
        <f t="shared" si="2"/>
        <v>9678.4440982963315</v>
      </c>
      <c r="X72" s="105">
        <f t="shared" si="3"/>
        <v>2732.8166787315486</v>
      </c>
      <c r="Y72" s="105">
        <f t="shared" si="4"/>
        <v>82415.433339397423</v>
      </c>
      <c r="Z72" s="112">
        <f t="shared" si="14"/>
        <v>0.45108506330591003</v>
      </c>
      <c r="AA72" s="104">
        <f t="shared" si="15"/>
        <v>82622.673637963846</v>
      </c>
      <c r="AB72" s="105"/>
      <c r="AC72" s="104">
        <v>81541.688368185001</v>
      </c>
      <c r="AD72" s="5">
        <f t="shared" si="16"/>
        <v>1080.9852697788447</v>
      </c>
      <c r="AE72" s="105"/>
      <c r="AF72" s="104">
        <f t="shared" si="17"/>
        <v>147.32455168075447</v>
      </c>
    </row>
    <row r="73" spans="2:32" x14ac:dyDescent="0.25">
      <c r="B73">
        <v>613</v>
      </c>
      <c r="C73" s="27">
        <v>5</v>
      </c>
      <c r="D73" s="39" t="s">
        <v>346</v>
      </c>
      <c r="E73" s="162">
        <v>94.470534067416096</v>
      </c>
      <c r="F73" s="162">
        <f>INDEX('2017 Lockdown Update'!H$5:H$249,MATCH(B73,'2017 Lockdown Update'!B$5:B$249,0))</f>
        <v>94.470534067416096</v>
      </c>
      <c r="G73" s="162">
        <f t="shared" si="5"/>
        <v>0</v>
      </c>
      <c r="H73" s="5">
        <v>62648.94</v>
      </c>
      <c r="I73" s="5">
        <f>INDEX('2017 Lockdown Update'!E$5:E$249,MATCH(B73,'2017 Lockdown Update'!B$5:B$249,0))</f>
        <v>62648.94</v>
      </c>
      <c r="J73" s="5">
        <f t="shared" si="6"/>
        <v>0</v>
      </c>
      <c r="K73" s="5">
        <v>0</v>
      </c>
      <c r="L73" s="5">
        <f>INDEX('2017 Lockdown Update'!F$5:F$249,MATCH(B73,'2017 Lockdown Update'!B$5:B$249,0))</f>
        <v>0</v>
      </c>
      <c r="M73" s="5">
        <f t="shared" si="7"/>
        <v>0</v>
      </c>
      <c r="N73" s="5">
        <v>62648.94</v>
      </c>
      <c r="O73" s="105">
        <f t="shared" si="8"/>
        <v>62648.94</v>
      </c>
      <c r="P73" s="105">
        <f t="shared" si="9"/>
        <v>0</v>
      </c>
      <c r="Q73" s="103">
        <f t="shared" si="10"/>
        <v>663.15852470244783</v>
      </c>
      <c r="R73" s="6">
        <f t="shared" si="11"/>
        <v>415.74694552381976</v>
      </c>
      <c r="S73" s="5">
        <f t="shared" si="12"/>
        <v>39275.835980532196</v>
      </c>
      <c r="T73" s="140">
        <v>0.34799999999999998</v>
      </c>
      <c r="U73" s="105">
        <f t="shared" si="13"/>
        <v>10110.864108525751</v>
      </c>
      <c r="V73" s="105">
        <f t="shared" si="18"/>
        <v>4872.6917590159073</v>
      </c>
      <c r="W73" s="105">
        <f t="shared" si="2"/>
        <v>1055.5742129300884</v>
      </c>
      <c r="X73" s="105">
        <f t="shared" si="3"/>
        <v>587.47019449139486</v>
      </c>
      <c r="Y73" s="105">
        <f t="shared" si="4"/>
        <v>16626.600274963141</v>
      </c>
      <c r="Z73" s="112">
        <f t="shared" si="14"/>
        <v>0.42332899758529458</v>
      </c>
      <c r="AA73" s="104">
        <f t="shared" si="15"/>
        <v>16668.409211293525</v>
      </c>
      <c r="AB73" s="105"/>
      <c r="AC73" s="104">
        <v>16484.859399142468</v>
      </c>
      <c r="AD73" s="5">
        <f t="shared" si="16"/>
        <v>183.54981215105727</v>
      </c>
      <c r="AE73" s="105"/>
      <c r="AF73" s="104">
        <f t="shared" si="17"/>
        <v>29.721453036552862</v>
      </c>
    </row>
    <row r="74" spans="2:32" x14ac:dyDescent="0.25">
      <c r="B74">
        <v>696</v>
      </c>
      <c r="C74" s="27">
        <v>5</v>
      </c>
      <c r="D74" s="39" t="s">
        <v>347</v>
      </c>
      <c r="E74" s="162">
        <v>317.03380077970206</v>
      </c>
      <c r="F74" s="162">
        <f>INDEX('2017 Lockdown Update'!H$5:H$249,MATCH(B74,'2017 Lockdown Update'!B$5:B$249,0))</f>
        <v>317.03380077970206</v>
      </c>
      <c r="G74" s="162">
        <f t="shared" si="5"/>
        <v>0</v>
      </c>
      <c r="H74" s="5">
        <v>124256.29</v>
      </c>
      <c r="I74" s="5">
        <f>INDEX('2017 Lockdown Update'!E$5:E$249,MATCH(B74,'2017 Lockdown Update'!B$5:B$249,0))</f>
        <v>124256.29</v>
      </c>
      <c r="J74" s="5">
        <f t="shared" si="6"/>
        <v>0</v>
      </c>
      <c r="K74" s="5">
        <v>136.29</v>
      </c>
      <c r="L74" s="5">
        <f>INDEX('2017 Lockdown Update'!F$5:F$249,MATCH(B74,'2017 Lockdown Update'!B$5:B$249,0))</f>
        <v>136.29</v>
      </c>
      <c r="M74" s="5">
        <f t="shared" si="7"/>
        <v>0</v>
      </c>
      <c r="N74" s="5">
        <v>124120</v>
      </c>
      <c r="O74" s="105">
        <f t="shared" si="8"/>
        <v>124120</v>
      </c>
      <c r="P74" s="105">
        <f t="shared" si="9"/>
        <v>0</v>
      </c>
      <c r="Q74" s="103">
        <f t="shared" si="10"/>
        <v>391.50399640272906</v>
      </c>
      <c r="R74" s="6">
        <f t="shared" si="11"/>
        <v>391.50399640272906</v>
      </c>
      <c r="S74" s="5">
        <f t="shared" si="12"/>
        <v>124120</v>
      </c>
      <c r="T74" s="140">
        <v>0.53841666666666665</v>
      </c>
      <c r="U74" s="105">
        <f t="shared" si="13"/>
        <v>31952.482278728858</v>
      </c>
      <c r="V74" s="105">
        <f t="shared" si="18"/>
        <v>16352.2732631779</v>
      </c>
      <c r="W74" s="105">
        <f t="shared" si="2"/>
        <v>5161.1247000716785</v>
      </c>
      <c r="X74" s="105">
        <f t="shared" si="3"/>
        <v>1856.5308342873848</v>
      </c>
      <c r="Y74" s="105">
        <f t="shared" si="4"/>
        <v>55322.411076265817</v>
      </c>
      <c r="Z74" s="112">
        <f t="shared" si="14"/>
        <v>0.44571713725641166</v>
      </c>
      <c r="AA74" s="104">
        <f t="shared" si="15"/>
        <v>55461.523770627864</v>
      </c>
      <c r="AB74" s="105"/>
      <c r="AC74" s="104">
        <v>54767.482943004827</v>
      </c>
      <c r="AD74" s="5">
        <f t="shared" si="16"/>
        <v>694.04082762303733</v>
      </c>
      <c r="AE74" s="105"/>
      <c r="AF74" s="104">
        <f t="shared" si="17"/>
        <v>98.893484866421474</v>
      </c>
    </row>
    <row r="75" spans="2:32" x14ac:dyDescent="0.25">
      <c r="B75">
        <v>731</v>
      </c>
      <c r="C75" s="27">
        <v>5</v>
      </c>
      <c r="D75" s="39" t="s">
        <v>348</v>
      </c>
      <c r="E75" s="162">
        <v>862.70999999999992</v>
      </c>
      <c r="F75" s="162">
        <f>INDEX('2017 Lockdown Update'!H$5:H$249,MATCH(B75,'2017 Lockdown Update'!B$5:B$249,0))</f>
        <v>862.70999999999992</v>
      </c>
      <c r="G75" s="162">
        <f t="shared" si="5"/>
        <v>0</v>
      </c>
      <c r="H75" s="5">
        <v>224685.08</v>
      </c>
      <c r="I75" s="5">
        <f>INDEX('2017 Lockdown Update'!E$5:E$249,MATCH(B75,'2017 Lockdown Update'!B$5:B$249,0))</f>
        <v>224685.08</v>
      </c>
      <c r="J75" s="5">
        <f t="shared" si="6"/>
        <v>0</v>
      </c>
      <c r="K75" s="5">
        <v>35649.1</v>
      </c>
      <c r="L75" s="5">
        <f>INDEX('2017 Lockdown Update'!F$5:F$249,MATCH(B75,'2017 Lockdown Update'!B$5:B$249,0))</f>
        <v>35649.1</v>
      </c>
      <c r="M75" s="5">
        <f t="shared" si="7"/>
        <v>0</v>
      </c>
      <c r="N75" s="5">
        <v>189035.97999999998</v>
      </c>
      <c r="O75" s="105">
        <f t="shared" si="8"/>
        <v>189035.97999999998</v>
      </c>
      <c r="P75" s="105">
        <f t="shared" si="9"/>
        <v>0</v>
      </c>
      <c r="Q75" s="103">
        <f t="shared" si="10"/>
        <v>219.11880006027519</v>
      </c>
      <c r="R75" s="6">
        <f t="shared" si="11"/>
        <v>219.11880006027519</v>
      </c>
      <c r="S75" s="5">
        <f t="shared" si="12"/>
        <v>189035.97999999998</v>
      </c>
      <c r="T75" s="140">
        <v>0.76891666666666669</v>
      </c>
      <c r="U75" s="105">
        <f t="shared" si="13"/>
        <v>48663.944577764596</v>
      </c>
      <c r="V75" s="105">
        <f t="shared" si="18"/>
        <v>44497.68331383363</v>
      </c>
      <c r="W75" s="105">
        <f t="shared" si="2"/>
        <v>11225.55541547585</v>
      </c>
      <c r="X75" s="105">
        <f t="shared" si="3"/>
        <v>2827.514708828016</v>
      </c>
      <c r="Y75" s="105">
        <f t="shared" si="4"/>
        <v>107214.69801590209</v>
      </c>
      <c r="Z75" s="112">
        <f t="shared" si="14"/>
        <v>0.56716556295739096</v>
      </c>
      <c r="AA75" s="104">
        <f t="shared" si="15"/>
        <v>107484.29807898763</v>
      </c>
      <c r="AB75" s="105"/>
      <c r="AC75" s="104">
        <v>106336.33495130295</v>
      </c>
      <c r="AD75" s="5">
        <f t="shared" si="16"/>
        <v>1147.9631276846776</v>
      </c>
      <c r="AE75" s="105"/>
      <c r="AF75" s="104">
        <f t="shared" si="17"/>
        <v>191.65533297304796</v>
      </c>
    </row>
    <row r="76" spans="2:32" x14ac:dyDescent="0.25">
      <c r="B76">
        <v>732</v>
      </c>
      <c r="C76" s="27">
        <v>5</v>
      </c>
      <c r="D76" s="39" t="s">
        <v>349</v>
      </c>
      <c r="E76" s="162">
        <v>222.6459090886845</v>
      </c>
      <c r="F76" s="162">
        <f>INDEX('2017 Lockdown Update'!H$5:H$249,MATCH(B76,'2017 Lockdown Update'!B$5:B$249,0))</f>
        <v>222.6459090886845</v>
      </c>
      <c r="G76" s="162">
        <f t="shared" si="5"/>
        <v>0</v>
      </c>
      <c r="H76" s="5">
        <v>69015.66</v>
      </c>
      <c r="I76" s="5">
        <f>INDEX('2017 Lockdown Update'!E$5:E$249,MATCH(B76,'2017 Lockdown Update'!B$5:B$249,0))</f>
        <v>69015.66</v>
      </c>
      <c r="J76" s="5">
        <f t="shared" si="6"/>
        <v>0</v>
      </c>
      <c r="K76" s="5">
        <v>0</v>
      </c>
      <c r="L76" s="5">
        <f>INDEX('2017 Lockdown Update'!F$5:F$249,MATCH(B76,'2017 Lockdown Update'!B$5:B$249,0))</f>
        <v>0</v>
      </c>
      <c r="M76" s="5">
        <f t="shared" si="7"/>
        <v>0</v>
      </c>
      <c r="N76" s="5">
        <v>69015.66</v>
      </c>
      <c r="O76" s="105">
        <f t="shared" si="8"/>
        <v>69015.66</v>
      </c>
      <c r="P76" s="105">
        <f t="shared" si="9"/>
        <v>0</v>
      </c>
      <c r="Q76" s="103">
        <f t="shared" si="10"/>
        <v>309.97946597127742</v>
      </c>
      <c r="R76" s="6">
        <f t="shared" si="11"/>
        <v>309.97946597127742</v>
      </c>
      <c r="S76" s="5">
        <f t="shared" si="12"/>
        <v>69015.66</v>
      </c>
      <c r="T76" s="140">
        <v>0.48533333333333334</v>
      </c>
      <c r="U76" s="105">
        <f t="shared" si="13"/>
        <v>17766.85186194631</v>
      </c>
      <c r="V76" s="105">
        <f t="shared" si="18"/>
        <v>11483.844111867113</v>
      </c>
      <c r="W76" s="105">
        <f t="shared" si="2"/>
        <v>2586.8536310993827</v>
      </c>
      <c r="X76" s="105">
        <f t="shared" si="3"/>
        <v>1032.3050341499718</v>
      </c>
      <c r="Y76" s="105">
        <f t="shared" si="4"/>
        <v>32869.854639062782</v>
      </c>
      <c r="Z76" s="112">
        <f t="shared" si="14"/>
        <v>0.47626661310002366</v>
      </c>
      <c r="AA76" s="104">
        <f t="shared" si="15"/>
        <v>32952.508557306246</v>
      </c>
      <c r="AB76" s="105"/>
      <c r="AC76" s="104">
        <v>32569.300238190845</v>
      </c>
      <c r="AD76" s="5">
        <f t="shared" si="16"/>
        <v>383.20831911540154</v>
      </c>
      <c r="AE76" s="105"/>
      <c r="AF76" s="104">
        <f t="shared" si="17"/>
        <v>58.757642862463626</v>
      </c>
    </row>
    <row r="77" spans="2:32" x14ac:dyDescent="0.25">
      <c r="B77">
        <v>754</v>
      </c>
      <c r="C77" s="27">
        <v>5</v>
      </c>
      <c r="D77" s="39" t="s">
        <v>350</v>
      </c>
      <c r="E77" s="162">
        <v>120.10207431826544</v>
      </c>
      <c r="F77" s="162">
        <f>INDEX('2017 Lockdown Update'!H$5:H$249,MATCH(B77,'2017 Lockdown Update'!B$5:B$249,0))</f>
        <v>120.10207431826544</v>
      </c>
      <c r="G77" s="162">
        <f t="shared" si="5"/>
        <v>0</v>
      </c>
      <c r="H77" s="5">
        <v>29707.96</v>
      </c>
      <c r="I77" s="5">
        <f>INDEX('2017 Lockdown Update'!E$5:E$249,MATCH(B77,'2017 Lockdown Update'!B$5:B$249,0))</f>
        <v>29707.96</v>
      </c>
      <c r="J77" s="5">
        <f t="shared" si="6"/>
        <v>0</v>
      </c>
      <c r="K77" s="5">
        <v>0</v>
      </c>
      <c r="L77" s="5">
        <f>INDEX('2017 Lockdown Update'!F$5:F$249,MATCH(B77,'2017 Lockdown Update'!B$5:B$249,0))</f>
        <v>0</v>
      </c>
      <c r="M77" s="5">
        <f t="shared" si="7"/>
        <v>0</v>
      </c>
      <c r="N77" s="5">
        <v>29707.96</v>
      </c>
      <c r="O77" s="105">
        <f t="shared" si="8"/>
        <v>29707.96</v>
      </c>
      <c r="P77" s="105">
        <f t="shared" si="9"/>
        <v>0</v>
      </c>
      <c r="Q77" s="103">
        <f t="shared" si="10"/>
        <v>247.35592760267534</v>
      </c>
      <c r="R77" s="6">
        <f t="shared" si="11"/>
        <v>247.35592760267534</v>
      </c>
      <c r="S77" s="5">
        <f t="shared" si="12"/>
        <v>29707.96</v>
      </c>
      <c r="T77" s="140">
        <v>0.2235</v>
      </c>
      <c r="U77" s="105">
        <f t="shared" si="13"/>
        <v>7647.7849294004645</v>
      </c>
      <c r="V77" s="105">
        <f t="shared" si="18"/>
        <v>6194.7399106868897</v>
      </c>
      <c r="W77" s="105">
        <f t="shared" si="2"/>
        <v>512.7839795163012</v>
      </c>
      <c r="X77" s="105">
        <f t="shared" si="3"/>
        <v>444.35823206394019</v>
      </c>
      <c r="Y77" s="105">
        <f t="shared" si="4"/>
        <v>14799.667051667595</v>
      </c>
      <c r="Z77" s="112">
        <f t="shared" si="14"/>
        <v>0.49817177119087258</v>
      </c>
      <c r="AA77" s="104">
        <f t="shared" si="15"/>
        <v>14836.882016076512</v>
      </c>
      <c r="AB77" s="105"/>
      <c r="AC77" s="104">
        <v>14687.614364570081</v>
      </c>
      <c r="AD77" s="5">
        <f t="shared" si="16"/>
        <v>149.26765150643041</v>
      </c>
      <c r="AE77" s="105"/>
      <c r="AF77" s="104">
        <f t="shared" si="17"/>
        <v>26.455655513359741</v>
      </c>
    </row>
    <row r="78" spans="2:32" x14ac:dyDescent="0.25">
      <c r="B78">
        <v>885</v>
      </c>
      <c r="C78" s="27">
        <v>5</v>
      </c>
      <c r="D78" s="39" t="s">
        <v>351</v>
      </c>
      <c r="E78" s="162">
        <v>413.50000000000006</v>
      </c>
      <c r="F78" s="162">
        <f>INDEX('2017 Lockdown Update'!H$5:H$249,MATCH(B78,'2017 Lockdown Update'!B$5:B$249,0))</f>
        <v>411.83000000000004</v>
      </c>
      <c r="G78" s="162">
        <f t="shared" si="5"/>
        <v>-1.6700000000000159</v>
      </c>
      <c r="H78" s="5">
        <v>153311.22</v>
      </c>
      <c r="I78" s="5">
        <f>INDEX('2017 Lockdown Update'!E$5:E$249,MATCH(B78,'2017 Lockdown Update'!B$5:B$249,0))</f>
        <v>134922.51999999999</v>
      </c>
      <c r="J78" s="5">
        <f t="shared" si="6"/>
        <v>-18388.700000000012</v>
      </c>
      <c r="K78" s="5">
        <v>72444.280000000013</v>
      </c>
      <c r="L78" s="5">
        <f>INDEX('2017 Lockdown Update'!F$5:F$249,MATCH(B78,'2017 Lockdown Update'!B$5:B$249,0))</f>
        <v>72127.05</v>
      </c>
      <c r="M78" s="5">
        <f t="shared" si="7"/>
        <v>-317.23000000001048</v>
      </c>
      <c r="N78" s="5">
        <v>80866.939999999988</v>
      </c>
      <c r="O78" s="105">
        <f t="shared" si="8"/>
        <v>62795.469999999987</v>
      </c>
      <c r="P78" s="105">
        <f t="shared" si="9"/>
        <v>-18071.47</v>
      </c>
      <c r="Q78" s="103">
        <f t="shared" si="10"/>
        <v>152.47910545613476</v>
      </c>
      <c r="R78" s="6">
        <f t="shared" si="11"/>
        <v>152.47910545613476</v>
      </c>
      <c r="S78" s="5">
        <f t="shared" si="12"/>
        <v>62795.469999999987</v>
      </c>
      <c r="T78" s="140">
        <v>0.5588333333333334</v>
      </c>
      <c r="U78" s="105">
        <f t="shared" si="13"/>
        <v>16165.574785364557</v>
      </c>
      <c r="V78" s="105">
        <f t="shared" si="18"/>
        <v>21241.762491609123</v>
      </c>
      <c r="W78" s="105">
        <f t="shared" si="2"/>
        <v>2710.1586127663686</v>
      </c>
      <c r="X78" s="105">
        <f t="shared" si="3"/>
        <v>939.26624483216574</v>
      </c>
      <c r="Y78" s="105">
        <f t="shared" si="4"/>
        <v>41056.762134572215</v>
      </c>
      <c r="Z78" s="112">
        <f t="shared" si="14"/>
        <v>0.65381725998025375</v>
      </c>
      <c r="AA78" s="104">
        <f t="shared" si="15"/>
        <v>41160.002696420619</v>
      </c>
      <c r="AB78" s="105"/>
      <c r="AC78" s="104">
        <v>46504.624706068375</v>
      </c>
      <c r="AD78" s="5">
        <f t="shared" si="16"/>
        <v>-5344.6220096477555</v>
      </c>
      <c r="AE78" s="105"/>
      <c r="AF78" s="104">
        <f t="shared" si="17"/>
        <v>73.392431852296696</v>
      </c>
    </row>
    <row r="79" spans="2:32" x14ac:dyDescent="0.25">
      <c r="B79">
        <v>909</v>
      </c>
      <c r="C79" s="27">
        <v>5</v>
      </c>
      <c r="D79" s="39" t="s">
        <v>352</v>
      </c>
      <c r="E79" s="162">
        <v>535.34</v>
      </c>
      <c r="F79" s="162">
        <f>INDEX('2017 Lockdown Update'!H$5:H$249,MATCH(B79,'2017 Lockdown Update'!B$5:B$249,0))</f>
        <v>535.34</v>
      </c>
      <c r="G79" s="162">
        <f t="shared" si="5"/>
        <v>0</v>
      </c>
      <c r="H79" s="5">
        <v>229582.5</v>
      </c>
      <c r="I79" s="5">
        <f>INDEX('2017 Lockdown Update'!E$5:E$249,MATCH(B79,'2017 Lockdown Update'!B$5:B$249,0))</f>
        <v>229582.5</v>
      </c>
      <c r="J79" s="5">
        <f t="shared" si="6"/>
        <v>0</v>
      </c>
      <c r="K79" s="5">
        <v>103857.59000000003</v>
      </c>
      <c r="L79" s="5">
        <f>INDEX('2017 Lockdown Update'!F$5:F$249,MATCH(B79,'2017 Lockdown Update'!B$5:B$249,0))</f>
        <v>97120.69</v>
      </c>
      <c r="M79" s="5">
        <f t="shared" si="7"/>
        <v>-6736.9000000000233</v>
      </c>
      <c r="N79" s="5">
        <v>125724.90999999997</v>
      </c>
      <c r="O79" s="105">
        <f t="shared" si="8"/>
        <v>132461.81</v>
      </c>
      <c r="P79" s="105">
        <f t="shared" si="9"/>
        <v>6736.9000000000233</v>
      </c>
      <c r="Q79" s="103">
        <f t="shared" si="10"/>
        <v>247.43491986401165</v>
      </c>
      <c r="R79" s="6">
        <f t="shared" si="11"/>
        <v>247.43491986401165</v>
      </c>
      <c r="S79" s="5">
        <f t="shared" si="12"/>
        <v>132461.81</v>
      </c>
      <c r="T79" s="140">
        <v>0.78249999999999997</v>
      </c>
      <c r="U79" s="105">
        <f t="shared" si="13"/>
        <v>34099.932618702449</v>
      </c>
      <c r="V79" s="105">
        <f t="shared" si="18"/>
        <v>27612.279659709169</v>
      </c>
      <c r="W79" s="105">
        <f t="shared" si="2"/>
        <v>8004.9591822403991</v>
      </c>
      <c r="X79" s="105">
        <f t="shared" si="3"/>
        <v>1981.303856191726</v>
      </c>
      <c r="Y79" s="105">
        <f t="shared" si="4"/>
        <v>71698.475316843746</v>
      </c>
      <c r="Z79" s="112">
        <f t="shared" si="14"/>
        <v>0.54127657863684442</v>
      </c>
      <c r="AA79" s="104">
        <f t="shared" si="15"/>
        <v>71878.766954336315</v>
      </c>
      <c r="AB79" s="105"/>
      <c r="AC79" s="104">
        <v>68869.260833874097</v>
      </c>
      <c r="AD79" s="5">
        <f t="shared" si="16"/>
        <v>3009.506120462218</v>
      </c>
      <c r="AE79" s="105"/>
      <c r="AF79" s="104">
        <f t="shared" si="17"/>
        <v>128.16708356974922</v>
      </c>
    </row>
    <row r="80" spans="2:32" x14ac:dyDescent="0.25">
      <c r="B80">
        <v>923</v>
      </c>
      <c r="C80" s="27">
        <v>5</v>
      </c>
      <c r="D80" s="39" t="s">
        <v>353</v>
      </c>
      <c r="E80" s="162">
        <v>48.43321380028214</v>
      </c>
      <c r="F80" s="162">
        <f>INDEX('2017 Lockdown Update'!H$5:H$249,MATCH(B80,'2017 Lockdown Update'!B$5:B$249,0))</f>
        <v>48.433213800282132</v>
      </c>
      <c r="G80" s="162">
        <f t="shared" si="5"/>
        <v>0</v>
      </c>
      <c r="H80" s="5">
        <v>31066.29</v>
      </c>
      <c r="I80" s="5">
        <f>INDEX('2017 Lockdown Update'!E$5:E$249,MATCH(B80,'2017 Lockdown Update'!B$5:B$249,0))</f>
        <v>31066.29</v>
      </c>
      <c r="J80" s="5">
        <f t="shared" si="6"/>
        <v>0</v>
      </c>
      <c r="K80" s="5">
        <v>93.24</v>
      </c>
      <c r="L80" s="5">
        <f>INDEX('2017 Lockdown Update'!F$5:F$249,MATCH(B80,'2017 Lockdown Update'!B$5:B$249,0))</f>
        <v>93.24</v>
      </c>
      <c r="M80" s="5">
        <f t="shared" si="7"/>
        <v>0</v>
      </c>
      <c r="N80" s="5">
        <v>30973.05</v>
      </c>
      <c r="O80" s="105">
        <f t="shared" si="8"/>
        <v>30973.05</v>
      </c>
      <c r="P80" s="105">
        <f t="shared" si="9"/>
        <v>0</v>
      </c>
      <c r="Q80" s="103">
        <f t="shared" si="10"/>
        <v>639.50020181852096</v>
      </c>
      <c r="R80" s="6">
        <f t="shared" si="11"/>
        <v>415.74694552381976</v>
      </c>
      <c r="S80" s="5">
        <f t="shared" si="12"/>
        <v>20135.960699369411</v>
      </c>
      <c r="T80" s="140">
        <v>0.32633333333333336</v>
      </c>
      <c r="U80" s="105">
        <f t="shared" si="13"/>
        <v>5183.6442749901853</v>
      </c>
      <c r="V80" s="105">
        <f t="shared" si="18"/>
        <v>2498.1347261028054</v>
      </c>
      <c r="W80" s="105">
        <f t="shared" si="2"/>
        <v>507.47877452153921</v>
      </c>
      <c r="X80" s="105">
        <f t="shared" si="3"/>
        <v>301.18459487897428</v>
      </c>
      <c r="Y80" s="105">
        <f t="shared" si="4"/>
        <v>8490.4423704935052</v>
      </c>
      <c r="Z80" s="112">
        <f t="shared" si="14"/>
        <v>0.42165568841020817</v>
      </c>
      <c r="AA80" s="104">
        <f t="shared" si="15"/>
        <v>8511.792277186054</v>
      </c>
      <c r="AB80" s="105"/>
      <c r="AC80" s="104">
        <v>8415.9662352510913</v>
      </c>
      <c r="AD80" s="5">
        <f t="shared" si="16"/>
        <v>95.826041934962632</v>
      </c>
      <c r="AE80" s="105"/>
      <c r="AF80" s="104">
        <f t="shared" si="17"/>
        <v>15.177383229340956</v>
      </c>
    </row>
    <row r="81" spans="2:32" x14ac:dyDescent="0.25">
      <c r="B81">
        <v>394</v>
      </c>
      <c r="C81" s="27">
        <v>6</v>
      </c>
      <c r="D81" s="39" t="s">
        <v>354</v>
      </c>
      <c r="E81" s="162">
        <v>703.72</v>
      </c>
      <c r="F81" s="162">
        <f>INDEX('2017 Lockdown Update'!H$5:H$249,MATCH(B81,'2017 Lockdown Update'!B$5:B$249,0))</f>
        <v>703.72</v>
      </c>
      <c r="G81" s="162">
        <f t="shared" si="5"/>
        <v>0</v>
      </c>
      <c r="H81" s="5">
        <v>403733.09</v>
      </c>
      <c r="I81" s="5">
        <f>INDEX('2017 Lockdown Update'!E$5:E$249,MATCH(B81,'2017 Lockdown Update'!B$5:B$249,0))</f>
        <v>403733.09</v>
      </c>
      <c r="J81" s="5">
        <f t="shared" si="6"/>
        <v>0</v>
      </c>
      <c r="K81" s="5">
        <v>74442.03</v>
      </c>
      <c r="L81" s="5">
        <f>INDEX('2017 Lockdown Update'!F$5:F$249,MATCH(B81,'2017 Lockdown Update'!B$5:B$249,0))</f>
        <v>74442.03</v>
      </c>
      <c r="M81" s="5">
        <f t="shared" si="7"/>
        <v>0</v>
      </c>
      <c r="N81" s="5">
        <v>329291.06000000006</v>
      </c>
      <c r="O81" s="105">
        <f t="shared" si="8"/>
        <v>329291.06000000006</v>
      </c>
      <c r="P81" s="105">
        <f t="shared" si="9"/>
        <v>0</v>
      </c>
      <c r="Q81" s="103">
        <f t="shared" si="10"/>
        <v>467.92909111578473</v>
      </c>
      <c r="R81" s="6">
        <f t="shared" si="11"/>
        <v>467.92909111578473</v>
      </c>
      <c r="S81" s="5">
        <f t="shared" si="12"/>
        <v>329291.06000000006</v>
      </c>
      <c r="T81" s="140">
        <v>0.82041666666666657</v>
      </c>
      <c r="U81" s="105">
        <f t="shared" si="13"/>
        <v>84770.115687994214</v>
      </c>
      <c r="V81" s="105">
        <f t="shared" si="18"/>
        <v>36297.144697072021</v>
      </c>
      <c r="W81" s="105">
        <f t="shared" si="2"/>
        <v>20864.044723707575</v>
      </c>
      <c r="X81" s="105">
        <f t="shared" si="3"/>
        <v>4925.3867736479006</v>
      </c>
      <c r="Y81" s="105">
        <f t="shared" si="4"/>
        <v>146856.69188242173</v>
      </c>
      <c r="Z81" s="112">
        <f t="shared" si="14"/>
        <v>0.44597837512631439</v>
      </c>
      <c r="AA81" s="104">
        <f t="shared" si="15"/>
        <v>147225.97495767847</v>
      </c>
      <c r="AB81" s="105"/>
      <c r="AC81" s="104">
        <v>145214.22597914733</v>
      </c>
      <c r="AD81" s="5">
        <f t="shared" si="16"/>
        <v>2011.7489785311336</v>
      </c>
      <c r="AE81" s="105"/>
      <c r="AF81" s="104">
        <f t="shared" si="17"/>
        <v>262.5187469899999</v>
      </c>
    </row>
    <row r="82" spans="2:32" x14ac:dyDescent="0.25">
      <c r="B82">
        <v>414</v>
      </c>
      <c r="C82" s="27">
        <v>6</v>
      </c>
      <c r="D82" s="39" t="s">
        <v>355</v>
      </c>
      <c r="E82" s="162">
        <v>239.14632293138175</v>
      </c>
      <c r="F82" s="162">
        <f>INDEX('2017 Lockdown Update'!H$5:H$249,MATCH(B82,'2017 Lockdown Update'!B$5:B$249,0))</f>
        <v>239.14632293138175</v>
      </c>
      <c r="G82" s="162">
        <f t="shared" si="5"/>
        <v>0</v>
      </c>
      <c r="H82" s="5">
        <v>229439.83</v>
      </c>
      <c r="I82" s="5">
        <f>INDEX('2017 Lockdown Update'!E$5:E$249,MATCH(B82,'2017 Lockdown Update'!B$5:B$249,0))</f>
        <v>229275.21</v>
      </c>
      <c r="J82" s="5">
        <f t="shared" si="6"/>
        <v>-164.61999999999534</v>
      </c>
      <c r="K82" s="5">
        <v>14423.09</v>
      </c>
      <c r="L82" s="5">
        <f>INDEX('2017 Lockdown Update'!F$5:F$249,MATCH(B82,'2017 Lockdown Update'!B$5:B$249,0))</f>
        <v>14423.09</v>
      </c>
      <c r="M82" s="5">
        <f t="shared" si="7"/>
        <v>0</v>
      </c>
      <c r="N82" s="5">
        <v>215016.74</v>
      </c>
      <c r="O82" s="105">
        <f t="shared" si="8"/>
        <v>214852.12</v>
      </c>
      <c r="P82" s="105">
        <f t="shared" si="9"/>
        <v>-164.61999999999534</v>
      </c>
      <c r="Q82" s="103">
        <f t="shared" si="10"/>
        <v>898.41281005875021</v>
      </c>
      <c r="R82" s="6">
        <f t="shared" si="11"/>
        <v>898.41281005875021</v>
      </c>
      <c r="S82" s="5">
        <f t="shared" si="12"/>
        <v>214852.12</v>
      </c>
      <c r="T82" s="140">
        <v>0.48424999999999996</v>
      </c>
      <c r="U82" s="105">
        <f t="shared" si="13"/>
        <v>55309.849797351955</v>
      </c>
      <c r="V82" s="105">
        <f t="shared" si="18"/>
        <v>12334.918273195415</v>
      </c>
      <c r="W82" s="105">
        <f t="shared" si="2"/>
        <v>8035.1384293103047</v>
      </c>
      <c r="X82" s="105">
        <f t="shared" si="3"/>
        <v>3213.6608571705874</v>
      </c>
      <c r="Y82" s="105">
        <f t="shared" si="4"/>
        <v>78893.567357028267</v>
      </c>
      <c r="Z82" s="112">
        <f t="shared" si="14"/>
        <v>0.36719938978041394</v>
      </c>
      <c r="AA82" s="104">
        <f t="shared" si="15"/>
        <v>79091.951637636361</v>
      </c>
      <c r="AB82" s="105"/>
      <c r="AC82" s="104">
        <v>77943.900548882943</v>
      </c>
      <c r="AD82" s="5">
        <f t="shared" si="16"/>
        <v>1148.0510887534183</v>
      </c>
      <c r="AE82" s="105"/>
      <c r="AF82" s="104">
        <f t="shared" si="17"/>
        <v>141.02891861897689</v>
      </c>
    </row>
    <row r="83" spans="2:32" x14ac:dyDescent="0.25">
      <c r="B83">
        <v>426</v>
      </c>
      <c r="C83" s="27">
        <v>6</v>
      </c>
      <c r="D83" s="39" t="s">
        <v>356</v>
      </c>
      <c r="E83" s="162">
        <v>354.4475851831736</v>
      </c>
      <c r="F83" s="162">
        <f>INDEX('2017 Lockdown Update'!H$5:H$249,MATCH(B83,'2017 Lockdown Update'!B$5:B$249,0))</f>
        <v>354.4475851831736</v>
      </c>
      <c r="G83" s="162">
        <f t="shared" si="5"/>
        <v>0</v>
      </c>
      <c r="H83" s="5">
        <v>142088.12</v>
      </c>
      <c r="I83" s="5">
        <f>INDEX('2017 Lockdown Update'!E$5:E$249,MATCH(B83,'2017 Lockdown Update'!B$5:B$249,0))</f>
        <v>142088.12</v>
      </c>
      <c r="J83" s="5">
        <f t="shared" si="6"/>
        <v>0</v>
      </c>
      <c r="K83" s="5">
        <v>0</v>
      </c>
      <c r="L83" s="5">
        <f>INDEX('2017 Lockdown Update'!F$5:F$249,MATCH(B83,'2017 Lockdown Update'!B$5:B$249,0))</f>
        <v>0</v>
      </c>
      <c r="M83" s="5">
        <f t="shared" si="7"/>
        <v>0</v>
      </c>
      <c r="N83" s="5">
        <v>142088.12</v>
      </c>
      <c r="O83" s="105">
        <f t="shared" si="8"/>
        <v>142088.12</v>
      </c>
      <c r="P83" s="105">
        <f t="shared" si="9"/>
        <v>0</v>
      </c>
      <c r="Q83" s="103">
        <f t="shared" si="10"/>
        <v>400.87202153336955</v>
      </c>
      <c r="R83" s="6">
        <f t="shared" si="11"/>
        <v>400.87202153336955</v>
      </c>
      <c r="S83" s="5">
        <f t="shared" si="12"/>
        <v>142088.12</v>
      </c>
      <c r="T83" s="140">
        <v>0.32991666666666669</v>
      </c>
      <c r="U83" s="105">
        <f t="shared" si="13"/>
        <v>36578.054594891219</v>
      </c>
      <c r="V83" s="105">
        <f t="shared" si="18"/>
        <v>18282.037297393017</v>
      </c>
      <c r="W83" s="105">
        <f t="shared" si="2"/>
        <v>3620.3129535293588</v>
      </c>
      <c r="X83" s="105">
        <f t="shared" si="3"/>
        <v>2125.2898482591527</v>
      </c>
      <c r="Y83" s="105">
        <f t="shared" si="4"/>
        <v>60605.69469407275</v>
      </c>
      <c r="Z83" s="112">
        <f t="shared" si="14"/>
        <v>0.42653597425367268</v>
      </c>
      <c r="AA83" s="104">
        <f t="shared" si="15"/>
        <v>60758.092634049615</v>
      </c>
      <c r="AB83" s="105"/>
      <c r="AC83" s="104">
        <v>60031.207475476236</v>
      </c>
      <c r="AD83" s="5">
        <f t="shared" si="16"/>
        <v>726.88515857337916</v>
      </c>
      <c r="AE83" s="105"/>
      <c r="AF83" s="104">
        <f t="shared" si="17"/>
        <v>108.33780080164568</v>
      </c>
    </row>
    <row r="84" spans="2:32" x14ac:dyDescent="0.25">
      <c r="B84">
        <v>430</v>
      </c>
      <c r="C84" s="27">
        <v>6</v>
      </c>
      <c r="D84" s="39" t="s">
        <v>357</v>
      </c>
      <c r="E84" s="162">
        <v>2825.6247831068954</v>
      </c>
      <c r="F84" s="162">
        <f>INDEX('2017 Lockdown Update'!H$5:H$249,MATCH(B84,'2017 Lockdown Update'!B$5:B$249,0))</f>
        <v>2825.6247831068954</v>
      </c>
      <c r="G84" s="162">
        <f t="shared" si="5"/>
        <v>0</v>
      </c>
      <c r="H84" s="5">
        <v>1647154.35</v>
      </c>
      <c r="I84" s="5">
        <f>INDEX('2017 Lockdown Update'!E$5:E$249,MATCH(B84,'2017 Lockdown Update'!B$5:B$249,0))</f>
        <v>1647154.35</v>
      </c>
      <c r="J84" s="5">
        <f t="shared" si="6"/>
        <v>0</v>
      </c>
      <c r="K84" s="5">
        <v>350</v>
      </c>
      <c r="L84" s="5">
        <f>INDEX('2017 Lockdown Update'!F$5:F$249,MATCH(B84,'2017 Lockdown Update'!B$5:B$249,0))</f>
        <v>350</v>
      </c>
      <c r="M84" s="5">
        <f t="shared" si="7"/>
        <v>0</v>
      </c>
      <c r="N84" s="5">
        <v>1646804.35</v>
      </c>
      <c r="O84" s="105">
        <f t="shared" si="8"/>
        <v>1646804.35</v>
      </c>
      <c r="P84" s="105">
        <f t="shared" si="9"/>
        <v>0</v>
      </c>
      <c r="Q84" s="103">
        <f t="shared" si="10"/>
        <v>582.81069724666986</v>
      </c>
      <c r="R84" s="6">
        <f t="shared" si="11"/>
        <v>582.81069724666986</v>
      </c>
      <c r="S84" s="5">
        <f t="shared" si="12"/>
        <v>1646804.35</v>
      </c>
      <c r="T84" s="140">
        <v>0.59416666666666673</v>
      </c>
      <c r="U84" s="105">
        <f t="shared" si="13"/>
        <v>423940.43514267314</v>
      </c>
      <c r="V84" s="105">
        <f t="shared" si="18"/>
        <v>145742.78351057769</v>
      </c>
      <c r="W84" s="105">
        <f t="shared" si="2"/>
        <v>75567.382564181491</v>
      </c>
      <c r="X84" s="105">
        <f t="shared" si="3"/>
        <v>24632.154800302887</v>
      </c>
      <c r="Y84" s="105">
        <f t="shared" si="4"/>
        <v>669882.75601773523</v>
      </c>
      <c r="Z84" s="112">
        <f t="shared" si="14"/>
        <v>0.40677737827067023</v>
      </c>
      <c r="AA84" s="104">
        <f t="shared" si="15"/>
        <v>671567.23059654259</v>
      </c>
      <c r="AB84" s="105"/>
      <c r="AC84" s="104">
        <v>662252.92874214705</v>
      </c>
      <c r="AD84" s="5">
        <f t="shared" si="16"/>
        <v>9314.3018543955404</v>
      </c>
      <c r="AE84" s="105"/>
      <c r="AF84" s="104">
        <f t="shared" si="17"/>
        <v>1197.472035396115</v>
      </c>
    </row>
    <row r="85" spans="2:32" x14ac:dyDescent="0.25">
      <c r="B85">
        <v>443</v>
      </c>
      <c r="C85" s="27">
        <v>6</v>
      </c>
      <c r="D85" s="39" t="s">
        <v>358</v>
      </c>
      <c r="E85" s="162">
        <v>14.58</v>
      </c>
      <c r="F85" s="162">
        <f>INDEX('2017 Lockdown Update'!H$5:H$249,MATCH(B85,'2017 Lockdown Update'!B$5:B$249,0))</f>
        <v>14.58</v>
      </c>
      <c r="G85" s="162">
        <f t="shared" si="5"/>
        <v>0</v>
      </c>
      <c r="H85" s="5">
        <v>15600.67</v>
      </c>
      <c r="I85" s="5">
        <f>INDEX('2017 Lockdown Update'!E$5:E$249,MATCH(B85,'2017 Lockdown Update'!B$5:B$249,0))</f>
        <v>15600.67</v>
      </c>
      <c r="J85" s="5">
        <f t="shared" si="6"/>
        <v>0</v>
      </c>
      <c r="K85" s="5">
        <v>0</v>
      </c>
      <c r="L85" s="5">
        <f>INDEX('2017 Lockdown Update'!F$5:F$249,MATCH(B85,'2017 Lockdown Update'!B$5:B$249,0))</f>
        <v>0</v>
      </c>
      <c r="M85" s="5">
        <f t="shared" si="7"/>
        <v>0</v>
      </c>
      <c r="N85" s="5">
        <v>15600.67</v>
      </c>
      <c r="O85" s="105">
        <f t="shared" si="8"/>
        <v>15600.67</v>
      </c>
      <c r="P85" s="105">
        <f t="shared" si="9"/>
        <v>0</v>
      </c>
      <c r="Q85" s="103">
        <f t="shared" si="10"/>
        <v>1070.0048010973937</v>
      </c>
      <c r="R85" s="6">
        <f t="shared" si="11"/>
        <v>1038.446782766368</v>
      </c>
      <c r="S85" s="5">
        <f t="shared" si="12"/>
        <v>15140.554092733644</v>
      </c>
      <c r="T85" s="140">
        <v>0.33566666666666667</v>
      </c>
      <c r="U85" s="105">
        <f t="shared" si="13"/>
        <v>3897.6658583484323</v>
      </c>
      <c r="V85" s="105">
        <f t="shared" si="18"/>
        <v>752.02121537445305</v>
      </c>
      <c r="W85" s="105">
        <f t="shared" si="2"/>
        <v>392.49495193568708</v>
      </c>
      <c r="X85" s="105">
        <f t="shared" si="3"/>
        <v>226.46556172539536</v>
      </c>
      <c r="Y85" s="105">
        <f t="shared" si="4"/>
        <v>5268.6475873839681</v>
      </c>
      <c r="Z85" s="112">
        <f t="shared" si="14"/>
        <v>0.34798248169216822</v>
      </c>
      <c r="AA85" s="104">
        <f t="shared" si="15"/>
        <v>5281.8960295119641</v>
      </c>
      <c r="AB85" s="105"/>
      <c r="AC85" s="104">
        <v>5181.0424195523728</v>
      </c>
      <c r="AD85" s="5">
        <f t="shared" si="16"/>
        <v>100.85360995959127</v>
      </c>
      <c r="AE85" s="105"/>
      <c r="AF85" s="104">
        <f t="shared" si="17"/>
        <v>9.4181527940129257</v>
      </c>
    </row>
    <row r="86" spans="2:32" x14ac:dyDescent="0.25">
      <c r="B86">
        <v>562</v>
      </c>
      <c r="C86" s="27">
        <v>6</v>
      </c>
      <c r="D86" s="39" t="s">
        <v>359</v>
      </c>
      <c r="E86" s="162">
        <v>52.103903515218583</v>
      </c>
      <c r="F86" s="162">
        <f>INDEX('2017 Lockdown Update'!H$5:H$249,MATCH(B86,'2017 Lockdown Update'!B$5:B$249,0))</f>
        <v>52.103903515218583</v>
      </c>
      <c r="G86" s="162">
        <f t="shared" si="5"/>
        <v>0</v>
      </c>
      <c r="H86" s="5">
        <v>43377.29</v>
      </c>
      <c r="I86" s="5">
        <f>INDEX('2017 Lockdown Update'!E$5:E$249,MATCH(B86,'2017 Lockdown Update'!B$5:B$249,0))</f>
        <v>43377.29</v>
      </c>
      <c r="J86" s="5">
        <f t="shared" si="6"/>
        <v>0</v>
      </c>
      <c r="K86" s="5">
        <v>0</v>
      </c>
      <c r="L86" s="5">
        <f>INDEX('2017 Lockdown Update'!F$5:F$249,MATCH(B86,'2017 Lockdown Update'!B$5:B$249,0))</f>
        <v>0</v>
      </c>
      <c r="M86" s="5">
        <f t="shared" si="7"/>
        <v>0</v>
      </c>
      <c r="N86" s="5">
        <v>43377.29</v>
      </c>
      <c r="O86" s="105">
        <f t="shared" si="8"/>
        <v>43377.29</v>
      </c>
      <c r="P86" s="105">
        <f t="shared" si="9"/>
        <v>0</v>
      </c>
      <c r="Q86" s="103">
        <f t="shared" si="10"/>
        <v>832.51516822209487</v>
      </c>
      <c r="R86" s="6">
        <f t="shared" si="11"/>
        <v>832.51516822209487</v>
      </c>
      <c r="S86" s="5">
        <f t="shared" si="12"/>
        <v>43377.29</v>
      </c>
      <c r="T86" s="140">
        <v>0.49741666666666667</v>
      </c>
      <c r="U86" s="105">
        <f t="shared" si="13"/>
        <v>11166.710361136662</v>
      </c>
      <c r="V86" s="105">
        <f t="shared" si="18"/>
        <v>2687.4650786877855</v>
      </c>
      <c r="W86" s="105">
        <f t="shared" si="2"/>
        <v>1666.3523536406185</v>
      </c>
      <c r="X86" s="105">
        <f t="shared" si="3"/>
        <v>648.81788908174212</v>
      </c>
      <c r="Y86" s="105">
        <f t="shared" si="4"/>
        <v>16169.345682546809</v>
      </c>
      <c r="Z86" s="112">
        <f t="shared" si="14"/>
        <v>0.37276062387822773</v>
      </c>
      <c r="AA86" s="104">
        <f t="shared" si="15"/>
        <v>16210.004815079366</v>
      </c>
      <c r="AB86" s="105"/>
      <c r="AC86" s="104">
        <v>15969.56178651564</v>
      </c>
      <c r="AD86" s="5">
        <f t="shared" si="16"/>
        <v>240.44302856372633</v>
      </c>
      <c r="AE86" s="105"/>
      <c r="AF86" s="104">
        <f t="shared" si="17"/>
        <v>28.904071811918822</v>
      </c>
    </row>
    <row r="87" spans="2:32" x14ac:dyDescent="0.25">
      <c r="B87">
        <v>603</v>
      </c>
      <c r="C87" s="27">
        <v>6</v>
      </c>
      <c r="D87" s="39" t="s">
        <v>360</v>
      </c>
      <c r="E87" s="162">
        <v>94.022299065256178</v>
      </c>
      <c r="F87" s="162">
        <f>INDEX('2017 Lockdown Update'!H$5:H$249,MATCH(B87,'2017 Lockdown Update'!B$5:B$249,0))</f>
        <v>94.022299065256178</v>
      </c>
      <c r="G87" s="162">
        <f t="shared" si="5"/>
        <v>0</v>
      </c>
      <c r="H87" s="5">
        <v>85468.56</v>
      </c>
      <c r="I87" s="5">
        <f>INDEX('2017 Lockdown Update'!E$5:E$249,MATCH(B87,'2017 Lockdown Update'!B$5:B$249,0))</f>
        <v>85468.56</v>
      </c>
      <c r="J87" s="5">
        <f t="shared" si="6"/>
        <v>0</v>
      </c>
      <c r="K87" s="5">
        <v>0</v>
      </c>
      <c r="L87" s="5">
        <f>INDEX('2017 Lockdown Update'!F$5:F$249,MATCH(B87,'2017 Lockdown Update'!B$5:B$249,0))</f>
        <v>0</v>
      </c>
      <c r="M87" s="5">
        <f t="shared" si="7"/>
        <v>0</v>
      </c>
      <c r="N87" s="5">
        <v>85468.56</v>
      </c>
      <c r="O87" s="105">
        <f t="shared" si="8"/>
        <v>85468.56</v>
      </c>
      <c r="P87" s="105">
        <f t="shared" si="9"/>
        <v>0</v>
      </c>
      <c r="Q87" s="103">
        <f t="shared" si="10"/>
        <v>909.02435751630094</v>
      </c>
      <c r="R87" s="6">
        <f t="shared" si="11"/>
        <v>909.02435751630094</v>
      </c>
      <c r="S87" s="5">
        <f t="shared" si="12"/>
        <v>85468.56</v>
      </c>
      <c r="T87" s="140">
        <v>0.35675000000000001</v>
      </c>
      <c r="U87" s="105">
        <f t="shared" si="13"/>
        <v>22002.35778914336</v>
      </c>
      <c r="V87" s="105">
        <f t="shared" si="18"/>
        <v>4849.5722644275893</v>
      </c>
      <c r="W87" s="105">
        <f t="shared" si="2"/>
        <v>2354.8023423830678</v>
      </c>
      <c r="X87" s="105">
        <f t="shared" si="3"/>
        <v>1278.4000725277263</v>
      </c>
      <c r="Y87" s="105">
        <f t="shared" si="4"/>
        <v>30485.132468481741</v>
      </c>
      <c r="Z87" s="112">
        <f t="shared" si="14"/>
        <v>0.35668241594899625</v>
      </c>
      <c r="AA87" s="104">
        <f t="shared" si="15"/>
        <v>30561.789809208054</v>
      </c>
      <c r="AB87" s="105"/>
      <c r="AC87" s="104">
        <v>30116.316662257403</v>
      </c>
      <c r="AD87" s="5">
        <f t="shared" si="16"/>
        <v>445.47314695065143</v>
      </c>
      <c r="AE87" s="105"/>
      <c r="AF87" s="104">
        <f t="shared" si="17"/>
        <v>54.494750459566305</v>
      </c>
    </row>
    <row r="88" spans="2:32" x14ac:dyDescent="0.25">
      <c r="B88">
        <v>618</v>
      </c>
      <c r="C88" s="27">
        <v>6</v>
      </c>
      <c r="D88" s="39" t="s">
        <v>361</v>
      </c>
      <c r="E88" s="162">
        <v>17.150356288495274</v>
      </c>
      <c r="F88" s="162">
        <f>INDEX('2017 Lockdown Update'!H$5:H$249,MATCH(B88,'2017 Lockdown Update'!B$5:B$249,0))</f>
        <v>17.150356288495274</v>
      </c>
      <c r="G88" s="162">
        <f t="shared" si="5"/>
        <v>0</v>
      </c>
      <c r="H88" s="5">
        <v>16015.47</v>
      </c>
      <c r="I88" s="5">
        <f>INDEX('2017 Lockdown Update'!E$5:E$249,MATCH(B88,'2017 Lockdown Update'!B$5:B$249,0))</f>
        <v>16015.47</v>
      </c>
      <c r="J88" s="5">
        <f t="shared" si="6"/>
        <v>0</v>
      </c>
      <c r="K88" s="5">
        <v>0</v>
      </c>
      <c r="L88" s="5">
        <f>INDEX('2017 Lockdown Update'!F$5:F$249,MATCH(B88,'2017 Lockdown Update'!B$5:B$249,0))</f>
        <v>0</v>
      </c>
      <c r="M88" s="5">
        <f t="shared" si="7"/>
        <v>0</v>
      </c>
      <c r="N88" s="5">
        <v>16015.47</v>
      </c>
      <c r="O88" s="105">
        <f t="shared" si="8"/>
        <v>16015.47</v>
      </c>
      <c r="P88" s="105">
        <f t="shared" si="9"/>
        <v>0</v>
      </c>
      <c r="Q88" s="103">
        <f t="shared" si="10"/>
        <v>933.82724711925812</v>
      </c>
      <c r="R88" s="6">
        <f t="shared" si="11"/>
        <v>933.82724711925812</v>
      </c>
      <c r="S88" s="5">
        <f t="shared" si="12"/>
        <v>16015.47</v>
      </c>
      <c r="T88" s="140">
        <v>0.19724999999999998</v>
      </c>
      <c r="U88" s="105">
        <f t="shared" si="13"/>
        <v>4122.897368357344</v>
      </c>
      <c r="V88" s="105">
        <f t="shared" si="18"/>
        <v>884.59751578731891</v>
      </c>
      <c r="W88" s="105">
        <f t="shared" si="2"/>
        <v>243.97245177254584</v>
      </c>
      <c r="X88" s="105">
        <f t="shared" si="3"/>
        <v>239.55215823883805</v>
      </c>
      <c r="Y88" s="105">
        <f t="shared" si="4"/>
        <v>5491.0194941560476</v>
      </c>
      <c r="Z88" s="112">
        <f t="shared" si="14"/>
        <v>0.34285721831179777</v>
      </c>
      <c r="AA88" s="104">
        <f t="shared" si="15"/>
        <v>5504.8271084983353</v>
      </c>
      <c r="AB88" s="105"/>
      <c r="AC88" s="104">
        <v>5427.4119155594326</v>
      </c>
      <c r="AD88" s="5">
        <f t="shared" si="16"/>
        <v>77.415192938902692</v>
      </c>
      <c r="AE88" s="105"/>
      <c r="AF88" s="104">
        <f t="shared" si="17"/>
        <v>9.8156613690959151</v>
      </c>
    </row>
    <row r="89" spans="2:32" x14ac:dyDescent="0.25">
      <c r="B89">
        <v>620</v>
      </c>
      <c r="C89" s="27">
        <v>6</v>
      </c>
      <c r="D89" s="39" t="s">
        <v>362</v>
      </c>
      <c r="E89" s="162">
        <v>236.62386999831702</v>
      </c>
      <c r="F89" s="162">
        <f>INDEX('2017 Lockdown Update'!H$5:H$249,MATCH(B89,'2017 Lockdown Update'!B$5:B$249,0))</f>
        <v>236.62386999831702</v>
      </c>
      <c r="G89" s="162">
        <f t="shared" si="5"/>
        <v>0</v>
      </c>
      <c r="H89" s="5">
        <v>117371.79</v>
      </c>
      <c r="I89" s="5">
        <f>INDEX('2017 Lockdown Update'!E$5:E$249,MATCH(B89,'2017 Lockdown Update'!B$5:B$249,0))</f>
        <v>117371.79</v>
      </c>
      <c r="J89" s="5">
        <f t="shared" si="6"/>
        <v>0</v>
      </c>
      <c r="K89" s="5">
        <v>0</v>
      </c>
      <c r="L89" s="5">
        <f>INDEX('2017 Lockdown Update'!F$5:F$249,MATCH(B89,'2017 Lockdown Update'!B$5:B$249,0))</f>
        <v>0</v>
      </c>
      <c r="M89" s="5">
        <f t="shared" si="7"/>
        <v>0</v>
      </c>
      <c r="N89" s="5">
        <v>117371.79</v>
      </c>
      <c r="O89" s="105">
        <f t="shared" si="8"/>
        <v>117371.79</v>
      </c>
      <c r="P89" s="105">
        <f t="shared" si="9"/>
        <v>0</v>
      </c>
      <c r="Q89" s="103">
        <f t="shared" si="10"/>
        <v>496.02683787073045</v>
      </c>
      <c r="R89" s="6">
        <f t="shared" si="11"/>
        <v>496.02683787073045</v>
      </c>
      <c r="S89" s="5">
        <f t="shared" si="12"/>
        <v>117371.79</v>
      </c>
      <c r="T89" s="140">
        <v>0.41491666666666666</v>
      </c>
      <c r="U89" s="105">
        <f t="shared" si="13"/>
        <v>30215.275862050308</v>
      </c>
      <c r="V89" s="105">
        <f t="shared" si="18"/>
        <v>12204.81277796577</v>
      </c>
      <c r="W89" s="105">
        <f t="shared" si="2"/>
        <v>3761.0464629287121</v>
      </c>
      <c r="X89" s="105">
        <f t="shared" si="3"/>
        <v>1755.594160574474</v>
      </c>
      <c r="Y89" s="105">
        <f t="shared" si="4"/>
        <v>47936.729263519264</v>
      </c>
      <c r="Z89" s="112">
        <f t="shared" si="14"/>
        <v>0.40841780860221411</v>
      </c>
      <c r="AA89" s="104">
        <f t="shared" si="15"/>
        <v>48057.270061308416</v>
      </c>
      <c r="AB89" s="105"/>
      <c r="AC89" s="104">
        <v>47430.091159842668</v>
      </c>
      <c r="AD89" s="5">
        <f t="shared" si="16"/>
        <v>627.17890146574791</v>
      </c>
      <c r="AE89" s="105"/>
      <c r="AF89" s="104">
        <f t="shared" si="17"/>
        <v>85.690954492787654</v>
      </c>
    </row>
    <row r="90" spans="2:32" x14ac:dyDescent="0.25">
      <c r="B90">
        <v>622</v>
      </c>
      <c r="C90" s="27">
        <v>6</v>
      </c>
      <c r="D90" s="39" t="s">
        <v>363</v>
      </c>
      <c r="E90" s="162">
        <v>117.57960527770567</v>
      </c>
      <c r="F90" s="162">
        <f>INDEX('2017 Lockdown Update'!H$5:H$249,MATCH(B90,'2017 Lockdown Update'!B$5:B$249,0))</f>
        <v>117.57960527770567</v>
      </c>
      <c r="G90" s="162">
        <f t="shared" si="5"/>
        <v>0</v>
      </c>
      <c r="H90" s="5">
        <v>78014.31</v>
      </c>
      <c r="I90" s="5">
        <f>INDEX('2017 Lockdown Update'!E$5:E$249,MATCH(B90,'2017 Lockdown Update'!B$5:B$249,0))</f>
        <v>78014.31</v>
      </c>
      <c r="J90" s="5">
        <f t="shared" si="6"/>
        <v>0</v>
      </c>
      <c r="K90" s="5">
        <v>228</v>
      </c>
      <c r="L90" s="5">
        <f>INDEX('2017 Lockdown Update'!F$5:F$249,MATCH(B90,'2017 Lockdown Update'!B$5:B$249,0))</f>
        <v>228</v>
      </c>
      <c r="M90" s="5">
        <f t="shared" si="7"/>
        <v>0</v>
      </c>
      <c r="N90" s="5">
        <v>77786.31</v>
      </c>
      <c r="O90" s="105">
        <f t="shared" si="8"/>
        <v>77786.31</v>
      </c>
      <c r="P90" s="105">
        <f t="shared" si="9"/>
        <v>0</v>
      </c>
      <c r="Q90" s="103">
        <f t="shared" si="10"/>
        <v>661.56294551491487</v>
      </c>
      <c r="R90" s="6">
        <f t="shared" si="11"/>
        <v>661.56294551491487</v>
      </c>
      <c r="S90" s="5">
        <f t="shared" si="12"/>
        <v>77786.31</v>
      </c>
      <c r="T90" s="140">
        <v>0.39216666666666666</v>
      </c>
      <c r="U90" s="105">
        <f t="shared" ref="U90:U154" si="19">$E$14*(S90/$S$24)</f>
        <v>20024.699418326691</v>
      </c>
      <c r="V90" s="105">
        <f t="shared" ref="V90:V154" si="20">$E$15*(F90/$F$24)</f>
        <v>6064.6335846494285</v>
      </c>
      <c r="W90" s="105">
        <f t="shared" ref="W90:W154" si="21">IFERROR(T90*$E$16*(S90/$S$24),0)</f>
        <v>2355.9058865661355</v>
      </c>
      <c r="X90" s="105">
        <f t="shared" ref="X90:X154" si="22">($W$23+$E$9)*(S90/$S$24)</f>
        <v>1163.4924508575341</v>
      </c>
      <c r="Y90" s="105">
        <f t="shared" ref="Y90:Y154" si="23">U90+V90+W90+X90</f>
        <v>29608.73134039979</v>
      </c>
      <c r="Z90" s="112">
        <f t="shared" si="14"/>
        <v>0.38064193224231607</v>
      </c>
      <c r="AA90" s="104">
        <f t="shared" si="15"/>
        <v>29683.184899333199</v>
      </c>
      <c r="AB90" s="105"/>
      <c r="AC90" s="104">
        <v>29268.851698398139</v>
      </c>
      <c r="AD90" s="5">
        <f t="shared" si="16"/>
        <v>414.33320093505972</v>
      </c>
      <c r="AE90" s="105"/>
      <c r="AF90" s="104">
        <f t="shared" si="17"/>
        <v>52.928109382094</v>
      </c>
    </row>
    <row r="91" spans="2:32" x14ac:dyDescent="0.25">
      <c r="B91">
        <v>623</v>
      </c>
      <c r="C91" s="27">
        <v>6</v>
      </c>
      <c r="D91" s="39" t="s">
        <v>364</v>
      </c>
      <c r="E91" s="162">
        <v>232.45591936140642</v>
      </c>
      <c r="F91" s="162">
        <f>INDEX('2017 Lockdown Update'!H$5:H$249,MATCH(B91,'2017 Lockdown Update'!B$5:B$249,0))</f>
        <v>232.45591936140642</v>
      </c>
      <c r="G91" s="162">
        <f t="shared" ref="G91:G154" si="24">F91-E91</f>
        <v>0</v>
      </c>
      <c r="H91" s="5">
        <v>84819.42</v>
      </c>
      <c r="I91" s="5">
        <f>INDEX('2017 Lockdown Update'!E$5:E$249,MATCH(B91,'2017 Lockdown Update'!B$5:B$249,0))</f>
        <v>84819.42</v>
      </c>
      <c r="J91" s="5">
        <f t="shared" ref="J91:J154" si="25">I91-H91</f>
        <v>0</v>
      </c>
      <c r="K91" s="5">
        <v>0</v>
      </c>
      <c r="L91" s="5">
        <f>INDEX('2017 Lockdown Update'!F$5:F$249,MATCH(B91,'2017 Lockdown Update'!B$5:B$249,0))</f>
        <v>0</v>
      </c>
      <c r="M91" s="5">
        <f t="shared" ref="M91:M154" si="26">L91-K91</f>
        <v>0</v>
      </c>
      <c r="N91" s="5">
        <v>84819.42</v>
      </c>
      <c r="O91" s="105">
        <f t="shared" ref="O91:O155" si="27">I91-L91</f>
        <v>84819.42</v>
      </c>
      <c r="P91" s="105">
        <f t="shared" ref="P91:P154" si="28">O91-N91</f>
        <v>0</v>
      </c>
      <c r="Q91" s="103">
        <f t="shared" ref="Q91:Q154" si="29">IFERROR(O91/F91,"n.a.")</f>
        <v>364.88388952629174</v>
      </c>
      <c r="R91" s="6">
        <f t="shared" ref="R91:R154" si="30">MIN(Q91,INDEX($V$3:$V$11,MATCH(C91,$S$3:$S$11,0)))</f>
        <v>364.88388952629174</v>
      </c>
      <c r="S91" s="5">
        <f t="shared" ref="S91:S154" si="31">F91*R91</f>
        <v>84819.42</v>
      </c>
      <c r="T91" s="140">
        <v>0.57233333333333336</v>
      </c>
      <c r="U91" s="105">
        <f t="shared" si="19"/>
        <v>21835.248263310183</v>
      </c>
      <c r="V91" s="105">
        <f t="shared" si="20"/>
        <v>11989.834224907456</v>
      </c>
      <c r="W91" s="105">
        <f t="shared" si="21"/>
        <v>3749.1121268103579</v>
      </c>
      <c r="X91" s="105">
        <f t="shared" si="22"/>
        <v>1268.6905299417667</v>
      </c>
      <c r="Y91" s="105">
        <f t="shared" si="23"/>
        <v>38842.885144969769</v>
      </c>
      <c r="Z91" s="112">
        <f t="shared" ref="Z91:Z154" si="32">IFERROR((Y91/S91),0)</f>
        <v>0.45794801644446248</v>
      </c>
      <c r="AA91" s="104">
        <f t="shared" ref="AA91:AA154" si="33">IF(Z91&gt;$Z$19,$Z$19*S91,Y91+($Z$23*Y91/$Z$22))</f>
        <v>38940.558733379774</v>
      </c>
      <c r="AB91" s="105"/>
      <c r="AC91" s="104">
        <v>38452.096780383567</v>
      </c>
      <c r="AD91" s="5">
        <f t="shared" ref="AD91:AD155" si="34">AA91-AC91</f>
        <v>488.4619529962074</v>
      </c>
      <c r="AE91" s="105"/>
      <c r="AF91" s="104">
        <f t="shared" ref="AF91:AF154" si="35">(AA91/E$17)*I$9</f>
        <v>69.434939647816549</v>
      </c>
    </row>
    <row r="92" spans="2:32" x14ac:dyDescent="0.25">
      <c r="B92">
        <v>626</v>
      </c>
      <c r="C92" s="27">
        <v>6</v>
      </c>
      <c r="D92" s="39" t="s">
        <v>365</v>
      </c>
      <c r="E92" s="162">
        <v>21.725781736434193</v>
      </c>
      <c r="F92" s="162">
        <f>INDEX('2017 Lockdown Update'!H$5:H$249,MATCH(B92,'2017 Lockdown Update'!B$5:B$249,0))</f>
        <v>21.725781736434193</v>
      </c>
      <c r="G92" s="162">
        <f t="shared" si="24"/>
        <v>0</v>
      </c>
      <c r="H92" s="5">
        <v>17580.990000000002</v>
      </c>
      <c r="I92" s="5">
        <f>INDEX('2017 Lockdown Update'!E$5:E$249,MATCH(B92,'2017 Lockdown Update'!B$5:B$249,0))</f>
        <v>17580.990000000002</v>
      </c>
      <c r="J92" s="5">
        <f t="shared" si="25"/>
        <v>0</v>
      </c>
      <c r="K92" s="5">
        <v>0</v>
      </c>
      <c r="L92" s="5">
        <f>INDEX('2017 Lockdown Update'!F$5:F$249,MATCH(B92,'2017 Lockdown Update'!B$5:B$249,0))</f>
        <v>0</v>
      </c>
      <c r="M92" s="5">
        <f t="shared" si="26"/>
        <v>0</v>
      </c>
      <c r="N92" s="5">
        <v>17580.990000000002</v>
      </c>
      <c r="O92" s="105">
        <f t="shared" si="27"/>
        <v>17580.990000000002</v>
      </c>
      <c r="P92" s="105">
        <f t="shared" si="28"/>
        <v>0</v>
      </c>
      <c r="Q92" s="103">
        <f t="shared" si="29"/>
        <v>809.22243504438029</v>
      </c>
      <c r="R92" s="6">
        <f t="shared" si="30"/>
        <v>809.22243504438029</v>
      </c>
      <c r="S92" s="5">
        <f t="shared" si="31"/>
        <v>17580.990000000002</v>
      </c>
      <c r="T92" s="140">
        <v>0.39083333333333337</v>
      </c>
      <c r="U92" s="105">
        <f t="shared" si="19"/>
        <v>4525.9125960160263</v>
      </c>
      <c r="V92" s="105">
        <f t="shared" si="20"/>
        <v>1120.5931952258804</v>
      </c>
      <c r="W92" s="105">
        <f t="shared" si="21"/>
        <v>530.66325188287919</v>
      </c>
      <c r="X92" s="105">
        <f t="shared" si="22"/>
        <v>262.96849848773905</v>
      </c>
      <c r="Y92" s="105">
        <f t="shared" si="23"/>
        <v>6440.1375416125256</v>
      </c>
      <c r="Z92" s="112">
        <f t="shared" si="32"/>
        <v>0.36631256497003439</v>
      </c>
      <c r="AA92" s="104">
        <f t="shared" si="33"/>
        <v>6456.3317903454817</v>
      </c>
      <c r="AB92" s="105"/>
      <c r="AC92" s="104">
        <v>6364.6554829585029</v>
      </c>
      <c r="AD92" s="5">
        <f t="shared" si="34"/>
        <v>91.676307386978806</v>
      </c>
      <c r="AE92" s="105"/>
      <c r="AF92" s="104">
        <f t="shared" si="35"/>
        <v>11.512290084955568</v>
      </c>
    </row>
    <row r="93" spans="2:32" x14ac:dyDescent="0.25">
      <c r="B93">
        <v>627</v>
      </c>
      <c r="C93" s="27">
        <v>6</v>
      </c>
      <c r="D93" s="39" t="s">
        <v>366</v>
      </c>
      <c r="E93" s="162">
        <v>163.57172000647836</v>
      </c>
      <c r="F93" s="162">
        <f>INDEX('2017 Lockdown Update'!H$5:H$249,MATCH(B93,'2017 Lockdown Update'!B$5:B$249,0))</f>
        <v>163.57172000647836</v>
      </c>
      <c r="G93" s="162">
        <f t="shared" si="24"/>
        <v>0</v>
      </c>
      <c r="H93" s="5">
        <v>80106.67</v>
      </c>
      <c r="I93" s="5">
        <f>INDEX('2017 Lockdown Update'!E$5:E$249,MATCH(B93,'2017 Lockdown Update'!B$5:B$249,0))</f>
        <v>80106.67</v>
      </c>
      <c r="J93" s="5">
        <f t="shared" si="25"/>
        <v>0</v>
      </c>
      <c r="K93" s="5">
        <v>21.24</v>
      </c>
      <c r="L93" s="5">
        <f>INDEX('2017 Lockdown Update'!F$5:F$249,MATCH(B93,'2017 Lockdown Update'!B$5:B$249,0))</f>
        <v>21.24</v>
      </c>
      <c r="M93" s="5">
        <f t="shared" si="26"/>
        <v>0</v>
      </c>
      <c r="N93" s="5">
        <v>80085.429999999993</v>
      </c>
      <c r="O93" s="105">
        <f t="shared" si="27"/>
        <v>80085.429999999993</v>
      </c>
      <c r="P93" s="105">
        <f t="shared" si="28"/>
        <v>0</v>
      </c>
      <c r="Q93" s="103">
        <f t="shared" si="29"/>
        <v>489.6043765806715</v>
      </c>
      <c r="R93" s="6">
        <f t="shared" si="30"/>
        <v>489.6043765806715</v>
      </c>
      <c r="S93" s="5">
        <f t="shared" si="31"/>
        <v>80085.429999999993</v>
      </c>
      <c r="T93" s="140">
        <v>0.26524999999999999</v>
      </c>
      <c r="U93" s="105">
        <f t="shared" si="19"/>
        <v>20616.566893807445</v>
      </c>
      <c r="V93" s="105">
        <f t="shared" si="20"/>
        <v>8436.8589629740454</v>
      </c>
      <c r="W93" s="105">
        <f t="shared" si="21"/>
        <v>1640.5633105747274</v>
      </c>
      <c r="X93" s="105">
        <f t="shared" si="22"/>
        <v>1197.8816481805022</v>
      </c>
      <c r="Y93" s="105">
        <f t="shared" si="23"/>
        <v>31891.870815536717</v>
      </c>
      <c r="Z93" s="112">
        <f t="shared" si="32"/>
        <v>0.39822313266641285</v>
      </c>
      <c r="AA93" s="104">
        <f t="shared" si="33"/>
        <v>31972.065514051927</v>
      </c>
      <c r="AB93" s="105"/>
      <c r="AC93" s="104">
        <v>31569.710986164253</v>
      </c>
      <c r="AD93" s="5">
        <f t="shared" si="34"/>
        <v>402.35452788767361</v>
      </c>
      <c r="AE93" s="105"/>
      <c r="AF93" s="104">
        <f t="shared" si="35"/>
        <v>57.009414132552521</v>
      </c>
    </row>
    <row r="94" spans="2:32" x14ac:dyDescent="0.25">
      <c r="B94">
        <v>634</v>
      </c>
      <c r="C94" s="27">
        <v>6</v>
      </c>
      <c r="D94" s="39" t="s">
        <v>367</v>
      </c>
      <c r="E94" s="162">
        <v>626.47952350471223</v>
      </c>
      <c r="F94" s="162">
        <f>INDEX('2017 Lockdown Update'!H$5:H$249,MATCH(B94,'2017 Lockdown Update'!B$5:B$249,0))</f>
        <v>626.47952350471223</v>
      </c>
      <c r="G94" s="162">
        <f t="shared" si="24"/>
        <v>0</v>
      </c>
      <c r="H94" s="5">
        <v>571666.62</v>
      </c>
      <c r="I94" s="5">
        <f>INDEX('2017 Lockdown Update'!E$5:E$249,MATCH(B94,'2017 Lockdown Update'!B$5:B$249,0))</f>
        <v>571666.62</v>
      </c>
      <c r="J94" s="5">
        <f t="shared" si="25"/>
        <v>0</v>
      </c>
      <c r="K94" s="5">
        <v>0</v>
      </c>
      <c r="L94" s="5">
        <f>INDEX('2017 Lockdown Update'!F$5:F$249,MATCH(B94,'2017 Lockdown Update'!B$5:B$249,0))</f>
        <v>0</v>
      </c>
      <c r="M94" s="5">
        <f t="shared" si="26"/>
        <v>0</v>
      </c>
      <c r="N94" s="5">
        <v>571666.62</v>
      </c>
      <c r="O94" s="105">
        <f t="shared" si="27"/>
        <v>571666.62</v>
      </c>
      <c r="P94" s="105">
        <f t="shared" si="28"/>
        <v>0</v>
      </c>
      <c r="Q94" s="103">
        <f t="shared" si="29"/>
        <v>912.50647236150257</v>
      </c>
      <c r="R94" s="6">
        <f t="shared" si="30"/>
        <v>912.50647236150257</v>
      </c>
      <c r="S94" s="5">
        <f t="shared" si="31"/>
        <v>571666.62</v>
      </c>
      <c r="T94" s="140">
        <v>0.7366666666666668</v>
      </c>
      <c r="U94" s="105">
        <f t="shared" si="19"/>
        <v>147165.38466718356</v>
      </c>
      <c r="V94" s="105">
        <f t="shared" si="20"/>
        <v>32313.161363046773</v>
      </c>
      <c r="W94" s="105">
        <f t="shared" si="21"/>
        <v>32523.550011447569</v>
      </c>
      <c r="X94" s="105">
        <f t="shared" si="22"/>
        <v>8550.7308005385876</v>
      </c>
      <c r="Y94" s="105">
        <f t="shared" si="23"/>
        <v>220552.82684221648</v>
      </c>
      <c r="Z94" s="112">
        <f t="shared" si="32"/>
        <v>0.38580672567906182</v>
      </c>
      <c r="AA94" s="104">
        <f t="shared" si="33"/>
        <v>221107.42483233102</v>
      </c>
      <c r="AB94" s="105"/>
      <c r="AC94" s="104">
        <v>217717.57122712641</v>
      </c>
      <c r="AD94" s="5">
        <f t="shared" si="34"/>
        <v>3389.8536052046111</v>
      </c>
      <c r="AE94" s="105"/>
      <c r="AF94" s="104">
        <f t="shared" si="35"/>
        <v>394.25681598545827</v>
      </c>
    </row>
    <row r="95" spans="2:32" x14ac:dyDescent="0.25">
      <c r="B95">
        <v>694</v>
      </c>
      <c r="C95" s="27">
        <v>6</v>
      </c>
      <c r="D95" s="39" t="s">
        <v>368</v>
      </c>
      <c r="E95" s="162">
        <v>14.249988124121606</v>
      </c>
      <c r="F95" s="162">
        <f>INDEX('2017 Lockdown Update'!H$5:H$249,MATCH(B95,'2017 Lockdown Update'!B$5:B$249,0))</f>
        <v>14.249988124121606</v>
      </c>
      <c r="G95" s="162">
        <f t="shared" si="24"/>
        <v>0</v>
      </c>
      <c r="H95" s="5">
        <v>48928.97</v>
      </c>
      <c r="I95" s="5">
        <f>INDEX('2017 Lockdown Update'!E$5:E$249,MATCH(B95,'2017 Lockdown Update'!B$5:B$249,0))</f>
        <v>48928.97</v>
      </c>
      <c r="J95" s="5">
        <f t="shared" si="25"/>
        <v>0</v>
      </c>
      <c r="K95" s="5">
        <v>0</v>
      </c>
      <c r="L95" s="5">
        <f>INDEX('2017 Lockdown Update'!F$5:F$249,MATCH(B95,'2017 Lockdown Update'!B$5:B$249,0))</f>
        <v>0</v>
      </c>
      <c r="M95" s="5">
        <f t="shared" si="26"/>
        <v>0</v>
      </c>
      <c r="N95" s="5">
        <v>48928.97</v>
      </c>
      <c r="O95" s="105">
        <f t="shared" si="27"/>
        <v>48928.97</v>
      </c>
      <c r="P95" s="105">
        <f t="shared" si="28"/>
        <v>0</v>
      </c>
      <c r="Q95" s="103">
        <f t="shared" si="29"/>
        <v>3433.614791381875</v>
      </c>
      <c r="R95" s="6">
        <f t="shared" si="30"/>
        <v>1038.446782766368</v>
      </c>
      <c r="S95" s="5">
        <f t="shared" si="31"/>
        <v>14797.854321953033</v>
      </c>
      <c r="T95" s="140">
        <v>0.63608333333333333</v>
      </c>
      <c r="U95" s="105">
        <f t="shared" si="19"/>
        <v>3809.4439090027022</v>
      </c>
      <c r="V95" s="105">
        <f t="shared" si="20"/>
        <v>734.99954651395421</v>
      </c>
      <c r="W95" s="105">
        <f t="shared" si="21"/>
        <v>726.93713393544067</v>
      </c>
      <c r="X95" s="105">
        <f t="shared" si="22"/>
        <v>221.33961351916406</v>
      </c>
      <c r="Y95" s="105">
        <f t="shared" si="23"/>
        <v>5492.7202029712616</v>
      </c>
      <c r="Z95" s="112">
        <f t="shared" si="32"/>
        <v>0.37118355698519456</v>
      </c>
      <c r="AA95" s="104">
        <f t="shared" si="33"/>
        <v>5506.5320938839486</v>
      </c>
      <c r="AB95" s="105"/>
      <c r="AC95" s="104">
        <v>5398.1292438879245</v>
      </c>
      <c r="AD95" s="5">
        <f t="shared" si="34"/>
        <v>108.40284999602409</v>
      </c>
      <c r="AE95" s="105"/>
      <c r="AF95" s="104">
        <f t="shared" si="35"/>
        <v>9.8187015298229614</v>
      </c>
    </row>
    <row r="96" spans="2:32" x14ac:dyDescent="0.25">
      <c r="B96">
        <v>697</v>
      </c>
      <c r="C96" s="27">
        <v>6</v>
      </c>
      <c r="D96" s="39" t="s">
        <v>369</v>
      </c>
      <c r="E96" s="162">
        <v>62.556960408059503</v>
      </c>
      <c r="F96" s="162">
        <f>INDEX('2017 Lockdown Update'!H$5:H$249,MATCH(B96,'2017 Lockdown Update'!B$5:B$249,0))</f>
        <v>62.556960408059503</v>
      </c>
      <c r="G96" s="162">
        <f t="shared" si="24"/>
        <v>0</v>
      </c>
      <c r="H96" s="5">
        <v>89356.54</v>
      </c>
      <c r="I96" s="5">
        <f>INDEX('2017 Lockdown Update'!E$5:E$249,MATCH(B96,'2017 Lockdown Update'!B$5:B$249,0))</f>
        <v>100771.09</v>
      </c>
      <c r="J96" s="5">
        <f t="shared" si="25"/>
        <v>11414.550000000003</v>
      </c>
      <c r="K96" s="5">
        <v>0</v>
      </c>
      <c r="L96" s="5">
        <f>INDEX('2017 Lockdown Update'!F$5:F$249,MATCH(B96,'2017 Lockdown Update'!B$5:B$249,0))</f>
        <v>0</v>
      </c>
      <c r="M96" s="5">
        <f t="shared" si="26"/>
        <v>0</v>
      </c>
      <c r="N96" s="5">
        <v>89356.54</v>
      </c>
      <c r="O96" s="105">
        <f t="shared" si="27"/>
        <v>100771.09</v>
      </c>
      <c r="P96" s="105">
        <f t="shared" si="28"/>
        <v>11414.550000000003</v>
      </c>
      <c r="Q96" s="103">
        <f t="shared" si="29"/>
        <v>1610.8693475940879</v>
      </c>
      <c r="R96" s="6">
        <f t="shared" si="30"/>
        <v>1038.446782766368</v>
      </c>
      <c r="S96" s="5">
        <f t="shared" si="31"/>
        <v>64962.07427539245</v>
      </c>
      <c r="T96" s="140">
        <v>3.1125E-2</v>
      </c>
      <c r="U96" s="105">
        <f t="shared" si="19"/>
        <v>16723.328448871613</v>
      </c>
      <c r="V96" s="105">
        <f t="shared" si="20"/>
        <v>3226.6228666804145</v>
      </c>
      <c r="W96" s="105">
        <f t="shared" si="21"/>
        <v>156.15407939133868</v>
      </c>
      <c r="X96" s="105">
        <f t="shared" si="22"/>
        <v>971.67333186862231</v>
      </c>
      <c r="Y96" s="105">
        <f t="shared" si="23"/>
        <v>21077.778726811986</v>
      </c>
      <c r="Z96" s="112">
        <f t="shared" si="32"/>
        <v>0.32446283407542331</v>
      </c>
      <c r="AA96" s="104">
        <f t="shared" si="33"/>
        <v>21130.780512757501</v>
      </c>
      <c r="AB96" s="105"/>
      <c r="AC96" s="104">
        <v>20744.899657330054</v>
      </c>
      <c r="AD96" s="5">
        <f t="shared" si="34"/>
        <v>385.88085542744739</v>
      </c>
      <c r="AE96" s="105"/>
      <c r="AF96" s="104">
        <f t="shared" si="35"/>
        <v>37.678310669869298</v>
      </c>
    </row>
    <row r="97" spans="2:32" s="17" customFormat="1" x14ac:dyDescent="0.25">
      <c r="B97" s="17">
        <v>710</v>
      </c>
      <c r="C97" s="27">
        <v>6</v>
      </c>
      <c r="D97" s="39" t="s">
        <v>370</v>
      </c>
      <c r="E97" s="162">
        <v>0</v>
      </c>
      <c r="F97" s="162">
        <f>INDEX('2017 Lockdown Update'!H$5:H$249,MATCH(B97,'2017 Lockdown Update'!B$5:B$249,0))</f>
        <v>43.94</v>
      </c>
      <c r="G97" s="162">
        <f t="shared" si="24"/>
        <v>43.94</v>
      </c>
      <c r="H97" s="5">
        <v>0</v>
      </c>
      <c r="I97" s="5">
        <f>INDEX('2017 Lockdown Update'!E$5:E$249,MATCH(B97,'2017 Lockdown Update'!B$5:B$249,0))</f>
        <v>46102.8</v>
      </c>
      <c r="J97" s="5">
        <f t="shared" si="25"/>
        <v>46102.8</v>
      </c>
      <c r="K97" s="5">
        <v>0</v>
      </c>
      <c r="L97" s="5">
        <f>INDEX('2017 Lockdown Update'!F$5:F$249,MATCH(B97,'2017 Lockdown Update'!B$5:B$249,0))</f>
        <v>0</v>
      </c>
      <c r="M97" s="5">
        <f t="shared" si="26"/>
        <v>0</v>
      </c>
      <c r="N97" s="5">
        <v>0</v>
      </c>
      <c r="O97" s="105">
        <f>I97-L97</f>
        <v>46102.8</v>
      </c>
      <c r="P97" s="105">
        <f t="shared" si="28"/>
        <v>46102.8</v>
      </c>
      <c r="Q97" s="103">
        <f t="shared" si="29"/>
        <v>1049.2216659080566</v>
      </c>
      <c r="R97" s="6">
        <f t="shared" si="30"/>
        <v>1038.446782766368</v>
      </c>
      <c r="S97" s="5">
        <f t="shared" si="31"/>
        <v>45629.351634754203</v>
      </c>
      <c r="T97" s="140">
        <v>0.16950000000000001</v>
      </c>
      <c r="U97" s="105">
        <f t="shared" si="19"/>
        <v>11746.463499028127</v>
      </c>
      <c r="V97" s="105">
        <f t="shared" si="20"/>
        <v>2266.379437829456</v>
      </c>
      <c r="W97" s="105">
        <f t="shared" si="21"/>
        <v>597.30766892558029</v>
      </c>
      <c r="X97" s="105">
        <f t="shared" si="22"/>
        <v>682.50320865664401</v>
      </c>
      <c r="Y97" s="105">
        <f t="shared" si="23"/>
        <v>15292.653814439806</v>
      </c>
      <c r="Z97" s="112">
        <f t="shared" si="32"/>
        <v>0.33514948748015855</v>
      </c>
      <c r="AA97" s="104">
        <f t="shared" si="33"/>
        <v>15331.10843409006</v>
      </c>
      <c r="AB97" s="105"/>
      <c r="AC97" s="104">
        <v>0</v>
      </c>
      <c r="AD97" s="5">
        <f t="shared" si="34"/>
        <v>15331.10843409006</v>
      </c>
      <c r="AE97" s="105"/>
      <c r="AF97" s="104">
        <f t="shared" si="35"/>
        <v>27.336911012082496</v>
      </c>
    </row>
    <row r="98" spans="2:32" x14ac:dyDescent="0.25">
      <c r="B98">
        <v>743</v>
      </c>
      <c r="C98" s="27">
        <v>6</v>
      </c>
      <c r="D98" s="39" t="s">
        <v>371</v>
      </c>
      <c r="E98" s="162">
        <v>87.262897628956765</v>
      </c>
      <c r="F98" s="162">
        <f>INDEX('2017 Lockdown Update'!H$5:H$249,MATCH(B98,'2017 Lockdown Update'!B$5:B$249,0))</f>
        <v>87.262897628956765</v>
      </c>
      <c r="G98" s="162">
        <f t="shared" si="24"/>
        <v>0</v>
      </c>
      <c r="H98" s="5">
        <v>135598.5</v>
      </c>
      <c r="I98" s="5">
        <f>INDEX('2017 Lockdown Update'!E$5:E$249,MATCH(B98,'2017 Lockdown Update'!B$5:B$249,0))</f>
        <v>135598.5</v>
      </c>
      <c r="J98" s="5">
        <f t="shared" si="25"/>
        <v>0</v>
      </c>
      <c r="K98" s="5">
        <v>0</v>
      </c>
      <c r="L98" s="5">
        <f>INDEX('2017 Lockdown Update'!F$5:F$249,MATCH(B98,'2017 Lockdown Update'!B$5:B$249,0))</f>
        <v>0</v>
      </c>
      <c r="M98" s="5">
        <f t="shared" si="26"/>
        <v>0</v>
      </c>
      <c r="N98" s="5">
        <v>135598.5</v>
      </c>
      <c r="O98" s="105">
        <f t="shared" si="27"/>
        <v>135598.5</v>
      </c>
      <c r="P98" s="105">
        <f t="shared" si="28"/>
        <v>0</v>
      </c>
      <c r="Q98" s="103">
        <f t="shared" si="29"/>
        <v>1553.9078312132951</v>
      </c>
      <c r="R98" s="6">
        <f t="shared" si="30"/>
        <v>1038.446782766368</v>
      </c>
      <c r="S98" s="5">
        <f t="shared" si="31"/>
        <v>90617.87529766107</v>
      </c>
      <c r="T98" s="140">
        <v>0.62016666666666675</v>
      </c>
      <c r="U98" s="105">
        <f t="shared" si="19"/>
        <v>23327.957255757141</v>
      </c>
      <c r="V98" s="105">
        <f t="shared" si="20"/>
        <v>4500.9293780538092</v>
      </c>
      <c r="W98" s="105">
        <f t="shared" si="21"/>
        <v>4340.1664474336167</v>
      </c>
      <c r="X98" s="105">
        <f t="shared" si="22"/>
        <v>1355.4212022858273</v>
      </c>
      <c r="Y98" s="105">
        <f t="shared" si="23"/>
        <v>33524.474283530399</v>
      </c>
      <c r="Z98" s="112">
        <f t="shared" si="32"/>
        <v>0.36995431832195802</v>
      </c>
      <c r="AA98" s="104">
        <f t="shared" si="33"/>
        <v>33608.774296019445</v>
      </c>
      <c r="AB98" s="105"/>
      <c r="AC98" s="104">
        <v>32945.511779579268</v>
      </c>
      <c r="AD98" s="5">
        <f t="shared" si="34"/>
        <v>663.26251644017611</v>
      </c>
      <c r="AE98" s="105"/>
      <c r="AF98" s="104">
        <f t="shared" si="35"/>
        <v>59.927830796141627</v>
      </c>
    </row>
    <row r="99" spans="2:32" x14ac:dyDescent="0.25">
      <c r="B99">
        <v>747</v>
      </c>
      <c r="C99" s="27">
        <v>6</v>
      </c>
      <c r="D99" s="39" t="s">
        <v>372</v>
      </c>
      <c r="E99" s="162">
        <v>33.619999999999997</v>
      </c>
      <c r="F99" s="162">
        <f>INDEX('2017 Lockdown Update'!H$5:H$249,MATCH(B99,'2017 Lockdown Update'!B$5:B$249,0))</f>
        <v>33.619999999999997</v>
      </c>
      <c r="G99" s="162">
        <f t="shared" si="24"/>
        <v>0</v>
      </c>
      <c r="H99" s="5">
        <v>57407.45</v>
      </c>
      <c r="I99" s="5">
        <f>INDEX('2017 Lockdown Update'!E$5:E$249,MATCH(B99,'2017 Lockdown Update'!B$5:B$249,0))</f>
        <v>57407.45</v>
      </c>
      <c r="J99" s="5">
        <f t="shared" si="25"/>
        <v>0</v>
      </c>
      <c r="K99" s="5">
        <v>0</v>
      </c>
      <c r="L99" s="5">
        <f>INDEX('2017 Lockdown Update'!F$5:F$249,MATCH(B99,'2017 Lockdown Update'!B$5:B$249,0))</f>
        <v>0</v>
      </c>
      <c r="M99" s="5">
        <f t="shared" si="26"/>
        <v>0</v>
      </c>
      <c r="N99" s="5">
        <v>57407.45</v>
      </c>
      <c r="O99" s="105">
        <f t="shared" si="27"/>
        <v>57407.45</v>
      </c>
      <c r="P99" s="105">
        <f t="shared" si="28"/>
        <v>0</v>
      </c>
      <c r="Q99" s="103">
        <f t="shared" si="29"/>
        <v>1707.5386674598453</v>
      </c>
      <c r="R99" s="6">
        <f t="shared" si="30"/>
        <v>1038.446782766368</v>
      </c>
      <c r="S99" s="5">
        <f t="shared" si="31"/>
        <v>34912.580836605288</v>
      </c>
      <c r="T99" s="140">
        <v>0.28000000000000003</v>
      </c>
      <c r="U99" s="105">
        <f t="shared" si="19"/>
        <v>8987.6218215140107</v>
      </c>
      <c r="V99" s="105">
        <f t="shared" si="20"/>
        <v>1734.0845857948636</v>
      </c>
      <c r="W99" s="105">
        <f t="shared" si="21"/>
        <v>754.96023300717695</v>
      </c>
      <c r="X99" s="105">
        <f t="shared" si="22"/>
        <v>522.20659706500624</v>
      </c>
      <c r="Y99" s="105">
        <f t="shared" si="23"/>
        <v>11998.873237381058</v>
      </c>
      <c r="Z99" s="112">
        <f t="shared" si="32"/>
        <v>0.34368336427309981</v>
      </c>
      <c r="AA99" s="104">
        <f t="shared" si="33"/>
        <v>12029.045378343239</v>
      </c>
      <c r="AB99" s="105"/>
      <c r="AC99" s="104">
        <v>11800.195186570199</v>
      </c>
      <c r="AD99" s="5">
        <f t="shared" si="34"/>
        <v>228.85019177303911</v>
      </c>
      <c r="AE99" s="105"/>
      <c r="AF99" s="104">
        <f t="shared" si="35"/>
        <v>21.448999886849251</v>
      </c>
    </row>
    <row r="100" spans="2:32" x14ac:dyDescent="0.25">
      <c r="B100">
        <v>758</v>
      </c>
      <c r="C100" s="27">
        <v>6</v>
      </c>
      <c r="D100" s="39" t="s">
        <v>373</v>
      </c>
      <c r="E100" s="162">
        <v>337.19826516058561</v>
      </c>
      <c r="F100" s="162">
        <f>INDEX('2017 Lockdown Update'!H$5:H$249,MATCH(B100,'2017 Lockdown Update'!B$5:B$249,0))</f>
        <v>337.19826516058561</v>
      </c>
      <c r="G100" s="162">
        <f t="shared" si="24"/>
        <v>0</v>
      </c>
      <c r="H100" s="5">
        <v>290135.25</v>
      </c>
      <c r="I100" s="5">
        <f>INDEX('2017 Lockdown Update'!E$5:E$249,MATCH(B100,'2017 Lockdown Update'!B$5:B$249,0))</f>
        <v>290135.25</v>
      </c>
      <c r="J100" s="5">
        <f t="shared" si="25"/>
        <v>0</v>
      </c>
      <c r="K100" s="5">
        <v>1630.1100000000001</v>
      </c>
      <c r="L100" s="5">
        <f>INDEX('2017 Lockdown Update'!F$5:F$249,MATCH(B100,'2017 Lockdown Update'!B$5:B$249,0))</f>
        <v>1630.1100000000001</v>
      </c>
      <c r="M100" s="5">
        <f t="shared" si="26"/>
        <v>0</v>
      </c>
      <c r="N100" s="5">
        <v>288505.14</v>
      </c>
      <c r="O100" s="105">
        <f t="shared" si="27"/>
        <v>288505.14</v>
      </c>
      <c r="P100" s="105">
        <f t="shared" si="28"/>
        <v>0</v>
      </c>
      <c r="Q100" s="103">
        <f t="shared" si="29"/>
        <v>855.5949712926423</v>
      </c>
      <c r="R100" s="6">
        <f t="shared" si="30"/>
        <v>855.5949712926423</v>
      </c>
      <c r="S100" s="5">
        <f t="shared" si="31"/>
        <v>288505.14</v>
      </c>
      <c r="T100" s="140">
        <v>0.69991666666666674</v>
      </c>
      <c r="U100" s="105">
        <f t="shared" si="19"/>
        <v>74270.507357171984</v>
      </c>
      <c r="V100" s="105">
        <f t="shared" si="20"/>
        <v>17392.335335268908</v>
      </c>
      <c r="W100" s="105">
        <f t="shared" si="21"/>
        <v>15594.94978232219</v>
      </c>
      <c r="X100" s="105">
        <f t="shared" si="22"/>
        <v>4315.3294252368578</v>
      </c>
      <c r="Y100" s="105">
        <f t="shared" si="23"/>
        <v>111573.12189999994</v>
      </c>
      <c r="Z100" s="112">
        <f t="shared" si="32"/>
        <v>0.38672836782041364</v>
      </c>
      <c r="AA100" s="104">
        <f t="shared" si="33"/>
        <v>111853.68157380912</v>
      </c>
      <c r="AB100" s="105"/>
      <c r="AC100" s="104">
        <v>110150.45027335866</v>
      </c>
      <c r="AD100" s="5">
        <f t="shared" si="34"/>
        <v>1703.2313004504686</v>
      </c>
      <c r="AE100" s="105"/>
      <c r="AF100" s="104">
        <f t="shared" si="35"/>
        <v>199.44638397820552</v>
      </c>
    </row>
    <row r="101" spans="2:32" x14ac:dyDescent="0.25">
      <c r="B101">
        <v>765</v>
      </c>
      <c r="C101" s="27">
        <v>6</v>
      </c>
      <c r="D101" s="39" t="s">
        <v>374</v>
      </c>
      <c r="E101" s="162">
        <v>80.350199999999987</v>
      </c>
      <c r="F101" s="162">
        <f>INDEX('2017 Lockdown Update'!H$5:H$249,MATCH(B101,'2017 Lockdown Update'!B$5:B$249,0))</f>
        <v>80.350199999999987</v>
      </c>
      <c r="G101" s="162">
        <f t="shared" si="24"/>
        <v>0</v>
      </c>
      <c r="H101" s="5">
        <v>86841.69</v>
      </c>
      <c r="I101" s="5">
        <f>INDEX('2017 Lockdown Update'!E$5:E$249,MATCH(B101,'2017 Lockdown Update'!B$5:B$249,0))</f>
        <v>86841.69</v>
      </c>
      <c r="J101" s="5">
        <f t="shared" si="25"/>
        <v>0</v>
      </c>
      <c r="K101" s="5">
        <v>0</v>
      </c>
      <c r="L101" s="5">
        <f>INDEX('2017 Lockdown Update'!F$5:F$249,MATCH(B101,'2017 Lockdown Update'!B$5:B$249,0))</f>
        <v>0</v>
      </c>
      <c r="M101" s="5">
        <f t="shared" si="26"/>
        <v>0</v>
      </c>
      <c r="N101" s="5">
        <v>86841.69</v>
      </c>
      <c r="O101" s="105">
        <f t="shared" si="27"/>
        <v>86841.69</v>
      </c>
      <c r="P101" s="105">
        <f t="shared" si="28"/>
        <v>0</v>
      </c>
      <c r="Q101" s="103">
        <f t="shared" si="29"/>
        <v>1080.7899669198086</v>
      </c>
      <c r="R101" s="6">
        <f t="shared" si="30"/>
        <v>1038.446782766368</v>
      </c>
      <c r="S101" s="5">
        <f t="shared" si="31"/>
        <v>83439.406684634203</v>
      </c>
      <c r="T101" s="140">
        <v>0.28000000000000003</v>
      </c>
      <c r="U101" s="105">
        <f t="shared" si="19"/>
        <v>21479.988426026623</v>
      </c>
      <c r="V101" s="105">
        <f t="shared" si="20"/>
        <v>4144.3796337160747</v>
      </c>
      <c r="W101" s="105">
        <f t="shared" si="21"/>
        <v>1804.3190277862363</v>
      </c>
      <c r="X101" s="105">
        <f t="shared" si="22"/>
        <v>1248.0489147975211</v>
      </c>
      <c r="Y101" s="105">
        <f t="shared" si="23"/>
        <v>28676.736002326455</v>
      </c>
      <c r="Z101" s="112">
        <f t="shared" si="32"/>
        <v>0.34368336427309981</v>
      </c>
      <c r="AA101" s="104">
        <f t="shared" si="33"/>
        <v>28748.84598331216</v>
      </c>
      <c r="AB101" s="105"/>
      <c r="AC101" s="104">
        <v>28201.904916119947</v>
      </c>
      <c r="AD101" s="5">
        <f t="shared" si="34"/>
        <v>546.94106719221236</v>
      </c>
      <c r="AE101" s="105"/>
      <c r="AF101" s="104">
        <f t="shared" si="35"/>
        <v>51.262088956225895</v>
      </c>
    </row>
    <row r="102" spans="2:32" x14ac:dyDescent="0.25">
      <c r="B102">
        <v>770</v>
      </c>
      <c r="C102" s="27">
        <v>6</v>
      </c>
      <c r="D102" s="39" t="s">
        <v>375</v>
      </c>
      <c r="E102" s="162">
        <v>25.493992436427366</v>
      </c>
      <c r="F102" s="162">
        <f>INDEX('2017 Lockdown Update'!H$5:H$249,MATCH(B102,'2017 Lockdown Update'!B$5:B$249,0))</f>
        <v>25.493992436427366</v>
      </c>
      <c r="G102" s="162">
        <f t="shared" si="24"/>
        <v>0</v>
      </c>
      <c r="H102" s="5">
        <v>24693.97</v>
      </c>
      <c r="I102" s="5">
        <f>INDEX('2017 Lockdown Update'!E$5:E$249,MATCH(B102,'2017 Lockdown Update'!B$5:B$249,0))</f>
        <v>24693.97</v>
      </c>
      <c r="J102" s="5">
        <f t="shared" si="25"/>
        <v>0</v>
      </c>
      <c r="K102" s="5">
        <v>0</v>
      </c>
      <c r="L102" s="5">
        <f>INDEX('2017 Lockdown Update'!F$5:F$249,MATCH(B102,'2017 Lockdown Update'!B$5:B$249,0))</f>
        <v>0</v>
      </c>
      <c r="M102" s="5">
        <f t="shared" si="26"/>
        <v>0</v>
      </c>
      <c r="N102" s="5">
        <v>24693.97</v>
      </c>
      <c r="O102" s="105">
        <f t="shared" si="27"/>
        <v>24693.97</v>
      </c>
      <c r="P102" s="105">
        <f t="shared" si="28"/>
        <v>0</v>
      </c>
      <c r="Q102" s="103">
        <f t="shared" si="29"/>
        <v>968.61917808980581</v>
      </c>
      <c r="R102" s="6">
        <f t="shared" si="30"/>
        <v>968.61917808980581</v>
      </c>
      <c r="S102" s="5">
        <f t="shared" si="31"/>
        <v>24693.97</v>
      </c>
      <c r="T102" s="140">
        <v>0.28000000000000003</v>
      </c>
      <c r="U102" s="105">
        <f t="shared" si="19"/>
        <v>6357.0225492786176</v>
      </c>
      <c r="V102" s="105">
        <f t="shared" si="20"/>
        <v>1314.9535786549534</v>
      </c>
      <c r="W102" s="105">
        <f t="shared" si="21"/>
        <v>533.98989413940387</v>
      </c>
      <c r="X102" s="105">
        <f t="shared" si="22"/>
        <v>369.36123691562722</v>
      </c>
      <c r="Y102" s="105">
        <f t="shared" si="23"/>
        <v>8575.3272589886019</v>
      </c>
      <c r="Z102" s="112">
        <f t="shared" si="32"/>
        <v>0.34726401866482393</v>
      </c>
      <c r="AA102" s="104">
        <f t="shared" si="33"/>
        <v>8596.8906156252051</v>
      </c>
      <c r="AB102" s="105"/>
      <c r="AC102" s="104">
        <v>8471.5076206825215</v>
      </c>
      <c r="AD102" s="5">
        <f t="shared" si="34"/>
        <v>125.38299494268358</v>
      </c>
      <c r="AE102" s="105"/>
      <c r="AF102" s="104">
        <f t="shared" si="35"/>
        <v>15.32912214079594</v>
      </c>
    </row>
    <row r="103" spans="2:32" x14ac:dyDescent="0.25">
      <c r="B103">
        <v>774</v>
      </c>
      <c r="C103" s="27">
        <v>6</v>
      </c>
      <c r="D103" s="39" t="s">
        <v>376</v>
      </c>
      <c r="E103" s="162">
        <v>421.00021926566802</v>
      </c>
      <c r="F103" s="162">
        <f>INDEX('2017 Lockdown Update'!H$5:H$249,MATCH(B103,'2017 Lockdown Update'!B$5:B$249,0))</f>
        <v>421.00021926566802</v>
      </c>
      <c r="G103" s="162">
        <f t="shared" si="24"/>
        <v>0</v>
      </c>
      <c r="H103" s="5">
        <v>279347.78000000003</v>
      </c>
      <c r="I103" s="5">
        <f>INDEX('2017 Lockdown Update'!E$5:E$249,MATCH(B103,'2017 Lockdown Update'!B$5:B$249,0))</f>
        <v>279347.78000000003</v>
      </c>
      <c r="J103" s="5">
        <f t="shared" si="25"/>
        <v>0</v>
      </c>
      <c r="K103" s="5">
        <v>0</v>
      </c>
      <c r="L103" s="5">
        <f>INDEX('2017 Lockdown Update'!F$5:F$249,MATCH(B103,'2017 Lockdown Update'!B$5:B$249,0))</f>
        <v>0</v>
      </c>
      <c r="M103" s="5">
        <f t="shared" si="26"/>
        <v>0</v>
      </c>
      <c r="N103" s="5">
        <v>279347.78000000003</v>
      </c>
      <c r="O103" s="105">
        <f t="shared" si="27"/>
        <v>279347.78000000003</v>
      </c>
      <c r="P103" s="105">
        <f t="shared" si="28"/>
        <v>0</v>
      </c>
      <c r="Q103" s="103">
        <f t="shared" si="29"/>
        <v>663.53357365764305</v>
      </c>
      <c r="R103" s="6">
        <f t="shared" si="30"/>
        <v>663.53357365764305</v>
      </c>
      <c r="S103" s="5">
        <f t="shared" si="31"/>
        <v>279347.78000000003</v>
      </c>
      <c r="T103" s="140">
        <v>0.73408333333333331</v>
      </c>
      <c r="U103" s="105">
        <f t="shared" si="19"/>
        <v>71913.108202161195</v>
      </c>
      <c r="V103" s="105">
        <f t="shared" si="20"/>
        <v>21714.752850828456</v>
      </c>
      <c r="W103" s="105">
        <f t="shared" si="21"/>
        <v>15837.064253820947</v>
      </c>
      <c r="X103" s="105">
        <f t="shared" si="22"/>
        <v>4178.3577752153469</v>
      </c>
      <c r="Y103" s="105">
        <f t="shared" si="23"/>
        <v>113643.28308202596</v>
      </c>
      <c r="Z103" s="112">
        <f t="shared" si="32"/>
        <v>0.40681648904468093</v>
      </c>
      <c r="AA103" s="104">
        <f t="shared" si="33"/>
        <v>113929.04834420688</v>
      </c>
      <c r="AB103" s="105"/>
      <c r="AC103" s="104">
        <v>112275.60199332506</v>
      </c>
      <c r="AD103" s="5">
        <f t="shared" si="34"/>
        <v>1653.4463508818153</v>
      </c>
      <c r="AE103" s="105"/>
      <c r="AF103" s="104">
        <f t="shared" si="35"/>
        <v>203.14697203181575</v>
      </c>
    </row>
    <row r="104" spans="2:32" x14ac:dyDescent="0.25">
      <c r="B104">
        <v>794</v>
      </c>
      <c r="C104" s="27">
        <v>6</v>
      </c>
      <c r="D104" s="39" t="s">
        <v>377</v>
      </c>
      <c r="E104" s="162">
        <v>18.66988734321124</v>
      </c>
      <c r="F104" s="162">
        <f>INDEX('2017 Lockdown Update'!H$5:H$249,MATCH(B104,'2017 Lockdown Update'!B$5:B$249,0))</f>
        <v>18.66988734321124</v>
      </c>
      <c r="G104" s="162">
        <f t="shared" si="24"/>
        <v>0</v>
      </c>
      <c r="H104" s="5">
        <v>39895.620000000003</v>
      </c>
      <c r="I104" s="5">
        <f>INDEX('2017 Lockdown Update'!E$5:E$249,MATCH(B104,'2017 Lockdown Update'!B$5:B$249,0))</f>
        <v>39895.620000000003</v>
      </c>
      <c r="J104" s="5">
        <f t="shared" si="25"/>
        <v>0</v>
      </c>
      <c r="K104" s="5">
        <v>0</v>
      </c>
      <c r="L104" s="5">
        <f>INDEX('2017 Lockdown Update'!F$5:F$249,MATCH(B104,'2017 Lockdown Update'!B$5:B$249,0))</f>
        <v>0</v>
      </c>
      <c r="M104" s="5">
        <f t="shared" si="26"/>
        <v>0</v>
      </c>
      <c r="N104" s="5">
        <v>39895.620000000003</v>
      </c>
      <c r="O104" s="105">
        <f t="shared" si="27"/>
        <v>39895.620000000003</v>
      </c>
      <c r="P104" s="105">
        <f t="shared" si="28"/>
        <v>0</v>
      </c>
      <c r="Q104" s="103">
        <f t="shared" si="29"/>
        <v>2136.8966650196139</v>
      </c>
      <c r="R104" s="6">
        <f t="shared" si="30"/>
        <v>1038.446782766368</v>
      </c>
      <c r="S104" s="5">
        <f t="shared" si="31"/>
        <v>19387.684446168245</v>
      </c>
      <c r="T104" s="140">
        <v>0.61550000000000005</v>
      </c>
      <c r="U104" s="105">
        <f t="shared" si="19"/>
        <v>4991.0138873008209</v>
      </c>
      <c r="V104" s="105">
        <f t="shared" si="20"/>
        <v>962.97334504429591</v>
      </c>
      <c r="W104" s="105">
        <f t="shared" si="21"/>
        <v>921.59071429009668</v>
      </c>
      <c r="X104" s="105">
        <f t="shared" si="22"/>
        <v>289.9922170459659</v>
      </c>
      <c r="Y104" s="105">
        <f t="shared" si="23"/>
        <v>7165.5701636811791</v>
      </c>
      <c r="Z104" s="112">
        <f t="shared" si="32"/>
        <v>0.36959391326886243</v>
      </c>
      <c r="AA104" s="104">
        <f t="shared" si="33"/>
        <v>7183.5885716413059</v>
      </c>
      <c r="AB104" s="105"/>
      <c r="AC104" s="104">
        <v>7041.8969195449145</v>
      </c>
      <c r="AD104" s="5">
        <f t="shared" si="34"/>
        <v>141.69165209639141</v>
      </c>
      <c r="AE104" s="105"/>
      <c r="AF104" s="104">
        <f t="shared" si="35"/>
        <v>12.809062200206572</v>
      </c>
    </row>
    <row r="105" spans="2:32" x14ac:dyDescent="0.25">
      <c r="B105">
        <v>806</v>
      </c>
      <c r="C105" s="27">
        <v>6</v>
      </c>
      <c r="D105" s="39" t="s">
        <v>378</v>
      </c>
      <c r="E105" s="162">
        <v>27</v>
      </c>
      <c r="F105" s="162">
        <f>INDEX('2017 Lockdown Update'!H$5:H$249,MATCH(B105,'2017 Lockdown Update'!B$5:B$249,0))</f>
        <v>27</v>
      </c>
      <c r="G105" s="162">
        <f t="shared" si="24"/>
        <v>0</v>
      </c>
      <c r="H105" s="5">
        <v>38615.089999999997</v>
      </c>
      <c r="I105" s="5">
        <f>INDEX('2017 Lockdown Update'!E$5:E$249,MATCH(B105,'2017 Lockdown Update'!B$5:B$249,0))</f>
        <v>38615.089999999997</v>
      </c>
      <c r="J105" s="5">
        <f t="shared" si="25"/>
        <v>0</v>
      </c>
      <c r="K105" s="5">
        <v>0</v>
      </c>
      <c r="L105" s="5">
        <f>INDEX('2017 Lockdown Update'!F$5:F$249,MATCH(B105,'2017 Lockdown Update'!B$5:B$249,0))</f>
        <v>0</v>
      </c>
      <c r="M105" s="5">
        <f t="shared" si="26"/>
        <v>0</v>
      </c>
      <c r="N105" s="5">
        <v>38615.089999999997</v>
      </c>
      <c r="O105" s="105">
        <f t="shared" si="27"/>
        <v>38615.089999999997</v>
      </c>
      <c r="P105" s="105">
        <f t="shared" si="28"/>
        <v>0</v>
      </c>
      <c r="Q105" s="103">
        <f t="shared" si="29"/>
        <v>1430.1885185185183</v>
      </c>
      <c r="R105" s="6">
        <f t="shared" si="30"/>
        <v>1038.446782766368</v>
      </c>
      <c r="S105" s="5">
        <f t="shared" si="31"/>
        <v>28038.063134691936</v>
      </c>
      <c r="T105" s="140">
        <v>0.32174999999999998</v>
      </c>
      <c r="U105" s="105">
        <f t="shared" si="19"/>
        <v>7217.8997376822826</v>
      </c>
      <c r="V105" s="105">
        <f t="shared" si="20"/>
        <v>1392.6318803230613</v>
      </c>
      <c r="W105" s="105">
        <f t="shared" si="21"/>
        <v>696.70777217978218</v>
      </c>
      <c r="X105" s="105">
        <f t="shared" si="22"/>
        <v>419.38066986184327</v>
      </c>
      <c r="Y105" s="105">
        <f t="shared" si="23"/>
        <v>9726.6200600469674</v>
      </c>
      <c r="Z105" s="112">
        <f t="shared" si="32"/>
        <v>0.34690770233740104</v>
      </c>
      <c r="AA105" s="104">
        <f t="shared" si="33"/>
        <v>9751.0784359070458</v>
      </c>
      <c r="AB105" s="105"/>
      <c r="AC105" s="104">
        <v>9565.056958163208</v>
      </c>
      <c r="AD105" s="5">
        <f t="shared" si="34"/>
        <v>186.02147774383775</v>
      </c>
      <c r="AE105" s="105"/>
      <c r="AF105" s="104">
        <f t="shared" si="35"/>
        <v>17.387155313669187</v>
      </c>
    </row>
    <row r="106" spans="2:32" x14ac:dyDescent="0.25">
      <c r="B106">
        <v>811</v>
      </c>
      <c r="C106" s="27">
        <v>6</v>
      </c>
      <c r="D106" s="39" t="s">
        <v>379</v>
      </c>
      <c r="E106" s="162">
        <v>804.4337651642104</v>
      </c>
      <c r="F106" s="162">
        <f>INDEX('2017 Lockdown Update'!H$5:H$249,MATCH(B106,'2017 Lockdown Update'!B$5:B$249,0))</f>
        <v>804.4337651642104</v>
      </c>
      <c r="G106" s="162">
        <f t="shared" si="24"/>
        <v>0</v>
      </c>
      <c r="H106" s="5">
        <v>471184.23</v>
      </c>
      <c r="I106" s="5">
        <f>INDEX('2017 Lockdown Update'!E$5:E$249,MATCH(B106,'2017 Lockdown Update'!B$5:B$249,0))</f>
        <v>471184.23</v>
      </c>
      <c r="J106" s="5">
        <f t="shared" si="25"/>
        <v>0</v>
      </c>
      <c r="K106" s="5">
        <v>11327.71</v>
      </c>
      <c r="L106" s="5">
        <f>INDEX('2017 Lockdown Update'!F$5:F$249,MATCH(B106,'2017 Lockdown Update'!B$5:B$249,0))</f>
        <v>11327.71</v>
      </c>
      <c r="M106" s="5">
        <f t="shared" si="26"/>
        <v>0</v>
      </c>
      <c r="N106" s="5">
        <v>459856.51999999996</v>
      </c>
      <c r="O106" s="105">
        <f t="shared" si="27"/>
        <v>459856.51999999996</v>
      </c>
      <c r="P106" s="105">
        <f t="shared" si="28"/>
        <v>0</v>
      </c>
      <c r="Q106" s="103">
        <f t="shared" si="29"/>
        <v>571.6524341890705</v>
      </c>
      <c r="R106" s="6">
        <f t="shared" si="30"/>
        <v>571.6524341890705</v>
      </c>
      <c r="S106" s="5">
        <f t="shared" si="31"/>
        <v>459856.51999999996</v>
      </c>
      <c r="T106" s="140">
        <v>0.78333333333333344</v>
      </c>
      <c r="U106" s="105">
        <f t="shared" si="19"/>
        <v>118381.86679066966</v>
      </c>
      <c r="V106" s="105">
        <f t="shared" si="20"/>
        <v>41491.855813925715</v>
      </c>
      <c r="W106" s="105">
        <f t="shared" si="21"/>
        <v>27819.738695807377</v>
      </c>
      <c r="X106" s="105">
        <f t="shared" si="22"/>
        <v>6878.3258840484477</v>
      </c>
      <c r="Y106" s="105">
        <f t="shared" si="23"/>
        <v>194571.78718445121</v>
      </c>
      <c r="Z106" s="112">
        <f t="shared" si="32"/>
        <v>0.42311412086633288</v>
      </c>
      <c r="AA106" s="104">
        <f t="shared" si="33"/>
        <v>195061.05374090615</v>
      </c>
      <c r="AB106" s="105"/>
      <c r="AC106" s="104">
        <v>192282.28872855287</v>
      </c>
      <c r="AD106" s="5">
        <f t="shared" si="34"/>
        <v>2778.7650123532803</v>
      </c>
      <c r="AE106" s="105"/>
      <c r="AF106" s="104">
        <f t="shared" si="35"/>
        <v>347.8135120472574</v>
      </c>
    </row>
    <row r="107" spans="2:32" x14ac:dyDescent="0.25">
      <c r="B107">
        <v>824</v>
      </c>
      <c r="C107" s="27">
        <v>6</v>
      </c>
      <c r="D107" s="39" t="s">
        <v>380</v>
      </c>
      <c r="E107" s="162">
        <v>31.519999999999996</v>
      </c>
      <c r="F107" s="162">
        <f>INDEX('2017 Lockdown Update'!H$5:H$249,MATCH(B107,'2017 Lockdown Update'!B$5:B$249,0))</f>
        <v>31.519999999999996</v>
      </c>
      <c r="G107" s="162">
        <f t="shared" si="24"/>
        <v>0</v>
      </c>
      <c r="H107" s="5">
        <v>54441.32</v>
      </c>
      <c r="I107" s="5">
        <f>INDEX('2017 Lockdown Update'!E$5:E$249,MATCH(B107,'2017 Lockdown Update'!B$5:B$249,0))</f>
        <v>54441.32</v>
      </c>
      <c r="J107" s="5">
        <f t="shared" si="25"/>
        <v>0</v>
      </c>
      <c r="K107" s="5">
        <v>0</v>
      </c>
      <c r="L107" s="5">
        <f>INDEX('2017 Lockdown Update'!F$5:F$249,MATCH(B107,'2017 Lockdown Update'!B$5:B$249,0))</f>
        <v>0</v>
      </c>
      <c r="M107" s="5">
        <f t="shared" si="26"/>
        <v>0</v>
      </c>
      <c r="N107" s="5">
        <v>54441.32</v>
      </c>
      <c r="O107" s="105">
        <f t="shared" si="27"/>
        <v>54441.32</v>
      </c>
      <c r="P107" s="105">
        <f t="shared" si="28"/>
        <v>0</v>
      </c>
      <c r="Q107" s="103">
        <f t="shared" si="29"/>
        <v>1727.1992385786805</v>
      </c>
      <c r="R107" s="6">
        <f t="shared" si="30"/>
        <v>1038.446782766368</v>
      </c>
      <c r="S107" s="5">
        <f t="shared" si="31"/>
        <v>32731.842592795914</v>
      </c>
      <c r="T107" s="140">
        <v>0.23825000000000002</v>
      </c>
      <c r="U107" s="105">
        <f t="shared" si="19"/>
        <v>8426.2296196942771</v>
      </c>
      <c r="V107" s="105">
        <f t="shared" si="20"/>
        <v>1625.7687728808476</v>
      </c>
      <c r="W107" s="105">
        <f t="shared" si="21"/>
        <v>602.26476206764858</v>
      </c>
      <c r="X107" s="105">
        <f t="shared" si="22"/>
        <v>489.58810052019624</v>
      </c>
      <c r="Y107" s="105">
        <f t="shared" si="23"/>
        <v>11143.851255162968</v>
      </c>
      <c r="Z107" s="112">
        <f t="shared" si="32"/>
        <v>0.34045902620879842</v>
      </c>
      <c r="AA107" s="104">
        <f t="shared" si="33"/>
        <v>11171.873373930324</v>
      </c>
      <c r="AB107" s="105"/>
      <c r="AC107" s="104">
        <v>10959.925097996294</v>
      </c>
      <c r="AD107" s="5">
        <f t="shared" si="34"/>
        <v>211.94827593402988</v>
      </c>
      <c r="AE107" s="105"/>
      <c r="AF107" s="104">
        <f t="shared" si="35"/>
        <v>19.920575839271571</v>
      </c>
    </row>
    <row r="108" spans="2:32" x14ac:dyDescent="0.25">
      <c r="B108">
        <v>826</v>
      </c>
      <c r="C108" s="27">
        <v>6</v>
      </c>
      <c r="D108" s="39" t="s">
        <v>381</v>
      </c>
      <c r="E108" s="162">
        <v>37.220399999999998</v>
      </c>
      <c r="F108" s="162">
        <f>INDEX('2017 Lockdown Update'!H$5:H$249,MATCH(B108,'2017 Lockdown Update'!B$5:B$249,0))</f>
        <v>37.220399999999998</v>
      </c>
      <c r="G108" s="162">
        <f t="shared" si="24"/>
        <v>0</v>
      </c>
      <c r="H108" s="5">
        <v>28069.94</v>
      </c>
      <c r="I108" s="5">
        <f>INDEX('2017 Lockdown Update'!E$5:E$249,MATCH(B108,'2017 Lockdown Update'!B$5:B$249,0))</f>
        <v>28069.94</v>
      </c>
      <c r="J108" s="5">
        <f t="shared" si="25"/>
        <v>0</v>
      </c>
      <c r="K108" s="5">
        <v>0</v>
      </c>
      <c r="L108" s="5">
        <f>INDEX('2017 Lockdown Update'!F$5:F$249,MATCH(B108,'2017 Lockdown Update'!B$5:B$249,0))</f>
        <v>0</v>
      </c>
      <c r="M108" s="5">
        <f t="shared" si="26"/>
        <v>0</v>
      </c>
      <c r="N108" s="5">
        <v>28069.94</v>
      </c>
      <c r="O108" s="105">
        <f t="shared" si="27"/>
        <v>28069.94</v>
      </c>
      <c r="P108" s="105">
        <f t="shared" si="28"/>
        <v>0</v>
      </c>
      <c r="Q108" s="103">
        <f t="shared" si="29"/>
        <v>754.15471085748675</v>
      </c>
      <c r="R108" s="6">
        <f t="shared" si="30"/>
        <v>754.15471085748675</v>
      </c>
      <c r="S108" s="5">
        <f t="shared" si="31"/>
        <v>28069.94</v>
      </c>
      <c r="T108" s="140">
        <v>0.48825000000000002</v>
      </c>
      <c r="U108" s="105">
        <f t="shared" si="19"/>
        <v>7226.105868635048</v>
      </c>
      <c r="V108" s="105">
        <f t="shared" si="20"/>
        <v>1919.7894680880172</v>
      </c>
      <c r="W108" s="105">
        <f t="shared" si="21"/>
        <v>1058.4438571083185</v>
      </c>
      <c r="X108" s="105">
        <f t="shared" si="22"/>
        <v>419.85746959874979</v>
      </c>
      <c r="Y108" s="105">
        <f t="shared" si="23"/>
        <v>10624.196663430133</v>
      </c>
      <c r="Z108" s="112">
        <f t="shared" si="32"/>
        <v>0.37849018072108931</v>
      </c>
      <c r="AA108" s="104">
        <f t="shared" si="33"/>
        <v>10650.91206853503</v>
      </c>
      <c r="AB108" s="105"/>
      <c r="AC108" s="104">
        <v>10500.302982160432</v>
      </c>
      <c r="AD108" s="5">
        <f t="shared" si="34"/>
        <v>150.60908637459761</v>
      </c>
      <c r="AE108" s="105"/>
      <c r="AF108" s="104">
        <f t="shared" si="35"/>
        <v>18.991649342694043</v>
      </c>
    </row>
    <row r="109" spans="2:32" x14ac:dyDescent="0.25">
      <c r="B109">
        <v>840</v>
      </c>
      <c r="C109" s="27">
        <v>6</v>
      </c>
      <c r="D109" s="39" t="s">
        <v>382</v>
      </c>
      <c r="E109" s="162">
        <v>134.24236671767576</v>
      </c>
      <c r="F109" s="162">
        <f>INDEX('2017 Lockdown Update'!H$5:H$249,MATCH(B109,'2017 Lockdown Update'!B$5:B$249,0))</f>
        <v>134.24236671767576</v>
      </c>
      <c r="G109" s="162">
        <f t="shared" si="24"/>
        <v>0</v>
      </c>
      <c r="H109" s="5">
        <v>88471.82</v>
      </c>
      <c r="I109" s="5">
        <f>INDEX('2017 Lockdown Update'!E$5:E$249,MATCH(B109,'2017 Lockdown Update'!B$5:B$249,0))</f>
        <v>88471.82</v>
      </c>
      <c r="J109" s="5">
        <f t="shared" si="25"/>
        <v>0</v>
      </c>
      <c r="K109" s="5">
        <v>0</v>
      </c>
      <c r="L109" s="5">
        <f>INDEX('2017 Lockdown Update'!F$5:F$249,MATCH(B109,'2017 Lockdown Update'!B$5:B$249,0))</f>
        <v>0</v>
      </c>
      <c r="M109" s="5">
        <f t="shared" si="26"/>
        <v>0</v>
      </c>
      <c r="N109" s="5">
        <v>88471.82</v>
      </c>
      <c r="O109" s="105">
        <f t="shared" si="27"/>
        <v>88471.82</v>
      </c>
      <c r="P109" s="105">
        <f t="shared" si="28"/>
        <v>0</v>
      </c>
      <c r="Q109" s="103">
        <f t="shared" si="29"/>
        <v>659.04544268103155</v>
      </c>
      <c r="R109" s="6">
        <f t="shared" si="30"/>
        <v>659.04544268103155</v>
      </c>
      <c r="S109" s="5">
        <f t="shared" si="31"/>
        <v>88471.82</v>
      </c>
      <c r="T109" s="140">
        <v>0.41375000000000006</v>
      </c>
      <c r="U109" s="105">
        <f t="shared" si="19"/>
        <v>22775.493560400333</v>
      </c>
      <c r="V109" s="105">
        <f t="shared" si="20"/>
        <v>6924.0814659649895</v>
      </c>
      <c r="W109" s="105">
        <f t="shared" si="21"/>
        <v>2827.0081381846917</v>
      </c>
      <c r="X109" s="105">
        <f t="shared" si="22"/>
        <v>1323.3214775662532</v>
      </c>
      <c r="Y109" s="105">
        <f t="shared" si="23"/>
        <v>33849.904642116271</v>
      </c>
      <c r="Z109" s="112">
        <f t="shared" si="32"/>
        <v>0.38260662708324827</v>
      </c>
      <c r="AA109" s="104">
        <f t="shared" si="33"/>
        <v>33935.022975664164</v>
      </c>
      <c r="AB109" s="105"/>
      <c r="AC109" s="104">
        <v>33471.672679966774</v>
      </c>
      <c r="AD109" s="5">
        <f t="shared" si="34"/>
        <v>463.35029569738981</v>
      </c>
      <c r="AE109" s="105"/>
      <c r="AF109" s="104">
        <f t="shared" si="35"/>
        <v>60.509565062884263</v>
      </c>
    </row>
    <row r="110" spans="2:32" x14ac:dyDescent="0.25">
      <c r="B110">
        <v>843</v>
      </c>
      <c r="C110" s="27">
        <v>6</v>
      </c>
      <c r="D110" s="39" t="s">
        <v>383</v>
      </c>
      <c r="E110" s="162">
        <v>19.498273373940624</v>
      </c>
      <c r="F110" s="162">
        <f>INDEX('2017 Lockdown Update'!H$5:H$249,MATCH(B110,'2017 Lockdown Update'!B$5:B$249,0))</f>
        <v>19.498273373940624</v>
      </c>
      <c r="G110" s="162">
        <f t="shared" si="24"/>
        <v>0</v>
      </c>
      <c r="H110" s="5">
        <v>32653.86</v>
      </c>
      <c r="I110" s="5">
        <f>INDEX('2017 Lockdown Update'!E$5:E$249,MATCH(B110,'2017 Lockdown Update'!B$5:B$249,0))</f>
        <v>32653.86</v>
      </c>
      <c r="J110" s="5">
        <f t="shared" si="25"/>
        <v>0</v>
      </c>
      <c r="K110" s="5">
        <v>0</v>
      </c>
      <c r="L110" s="5">
        <f>INDEX('2017 Lockdown Update'!F$5:F$249,MATCH(B110,'2017 Lockdown Update'!B$5:B$249,0))</f>
        <v>0</v>
      </c>
      <c r="M110" s="5">
        <f t="shared" si="26"/>
        <v>0</v>
      </c>
      <c r="N110" s="5">
        <v>32653.86</v>
      </c>
      <c r="O110" s="105">
        <f t="shared" si="27"/>
        <v>32653.86</v>
      </c>
      <c r="P110" s="105">
        <f t="shared" si="28"/>
        <v>0</v>
      </c>
      <c r="Q110" s="103">
        <f t="shared" si="29"/>
        <v>1674.7052097259941</v>
      </c>
      <c r="R110" s="6">
        <f t="shared" si="30"/>
        <v>1038.446782766368</v>
      </c>
      <c r="S110" s="5">
        <f t="shared" si="31"/>
        <v>20247.919254667777</v>
      </c>
      <c r="T110" s="140">
        <v>0.14083333333333334</v>
      </c>
      <c r="U110" s="105">
        <f t="shared" si="19"/>
        <v>5212.466010037906</v>
      </c>
      <c r="V110" s="105">
        <f t="shared" si="20"/>
        <v>1005.7006337705188</v>
      </c>
      <c r="W110" s="105">
        <f t="shared" si="21"/>
        <v>220.22668892410152</v>
      </c>
      <c r="X110" s="105">
        <f t="shared" si="22"/>
        <v>302.85922032268752</v>
      </c>
      <c r="Y110" s="105">
        <f t="shared" si="23"/>
        <v>6741.2525530552139</v>
      </c>
      <c r="Z110" s="112">
        <f t="shared" si="32"/>
        <v>0.33293557072542873</v>
      </c>
      <c r="AA110" s="104">
        <f t="shared" si="33"/>
        <v>6758.2039799324293</v>
      </c>
      <c r="AB110" s="105"/>
      <c r="AC110" s="104">
        <v>6630.856126330923</v>
      </c>
      <c r="AD110" s="5">
        <f t="shared" si="34"/>
        <v>127.34785360150636</v>
      </c>
      <c r="AE110" s="105"/>
      <c r="AF110" s="104">
        <f t="shared" si="35"/>
        <v>12.050558613890585</v>
      </c>
    </row>
    <row r="111" spans="2:32" x14ac:dyDescent="0.25">
      <c r="B111">
        <v>846</v>
      </c>
      <c r="C111" s="27">
        <v>6</v>
      </c>
      <c r="D111" s="39" t="s">
        <v>384</v>
      </c>
      <c r="E111" s="162">
        <v>20.237582906035872</v>
      </c>
      <c r="F111" s="162">
        <f>INDEX('2017 Lockdown Update'!H$5:H$249,MATCH(B111,'2017 Lockdown Update'!B$5:B$249,0))</f>
        <v>20.237582906035872</v>
      </c>
      <c r="G111" s="162">
        <f t="shared" si="24"/>
        <v>0</v>
      </c>
      <c r="H111" s="5">
        <v>39845.980000000003</v>
      </c>
      <c r="I111" s="5">
        <f>INDEX('2017 Lockdown Update'!E$5:E$249,MATCH(B111,'2017 Lockdown Update'!B$5:B$249,0))</f>
        <v>39845.980000000003</v>
      </c>
      <c r="J111" s="5">
        <f t="shared" si="25"/>
        <v>0</v>
      </c>
      <c r="K111" s="5">
        <v>0</v>
      </c>
      <c r="L111" s="5">
        <f>INDEX('2017 Lockdown Update'!F$5:F$249,MATCH(B111,'2017 Lockdown Update'!B$5:B$249,0))</f>
        <v>0</v>
      </c>
      <c r="M111" s="5">
        <f t="shared" si="26"/>
        <v>0</v>
      </c>
      <c r="N111" s="5">
        <v>39845.980000000003</v>
      </c>
      <c r="O111" s="105">
        <f t="shared" si="27"/>
        <v>39845.980000000003</v>
      </c>
      <c r="P111" s="105">
        <f t="shared" si="28"/>
        <v>0</v>
      </c>
      <c r="Q111" s="103">
        <f t="shared" si="29"/>
        <v>1968.9100316478957</v>
      </c>
      <c r="R111" s="6">
        <f t="shared" si="30"/>
        <v>1038.446782766368</v>
      </c>
      <c r="S111" s="5">
        <f t="shared" si="31"/>
        <v>21015.652859740596</v>
      </c>
      <c r="T111" s="140">
        <v>0.19650000000000001</v>
      </c>
      <c r="U111" s="105">
        <f t="shared" si="19"/>
        <v>5410.105346251843</v>
      </c>
      <c r="V111" s="105">
        <f t="shared" si="20"/>
        <v>1043.833449467651</v>
      </c>
      <c r="W111" s="105">
        <f t="shared" si="21"/>
        <v>318.92571016154619</v>
      </c>
      <c r="X111" s="105">
        <f t="shared" si="22"/>
        <v>314.34263242658938</v>
      </c>
      <c r="Y111" s="105">
        <f t="shared" si="23"/>
        <v>7087.2071383076291</v>
      </c>
      <c r="Z111" s="112">
        <f t="shared" si="32"/>
        <v>0.33723468814449714</v>
      </c>
      <c r="AA111" s="104">
        <f t="shared" si="33"/>
        <v>7105.0284960780409</v>
      </c>
      <c r="AB111" s="105"/>
      <c r="AC111" s="104">
        <v>6970.6200059815628</v>
      </c>
      <c r="AD111" s="5">
        <f t="shared" si="34"/>
        <v>134.40849009647809</v>
      </c>
      <c r="AE111" s="105"/>
      <c r="AF111" s="104">
        <f t="shared" si="35"/>
        <v>12.668981670216967</v>
      </c>
    </row>
    <row r="112" spans="2:32" x14ac:dyDescent="0.25">
      <c r="B112">
        <v>888</v>
      </c>
      <c r="C112" s="27">
        <v>6</v>
      </c>
      <c r="D112" s="39" t="s">
        <v>385</v>
      </c>
      <c r="E112" s="162">
        <v>96.531906616690762</v>
      </c>
      <c r="F112" s="162">
        <f>INDEX('2017 Lockdown Update'!H$5:H$249,MATCH(B112,'2017 Lockdown Update'!B$5:B$249,0))</f>
        <v>96.531906616690762</v>
      </c>
      <c r="G112" s="162">
        <f t="shared" si="24"/>
        <v>0</v>
      </c>
      <c r="H112" s="5">
        <v>45506.29</v>
      </c>
      <c r="I112" s="5">
        <f>INDEX('2017 Lockdown Update'!E$5:E$249,MATCH(B112,'2017 Lockdown Update'!B$5:B$249,0))</f>
        <v>45506.29</v>
      </c>
      <c r="J112" s="5">
        <f t="shared" si="25"/>
        <v>0</v>
      </c>
      <c r="K112" s="5">
        <v>0</v>
      </c>
      <c r="L112" s="5">
        <f>INDEX('2017 Lockdown Update'!F$5:F$249,MATCH(B112,'2017 Lockdown Update'!B$5:B$249,0))</f>
        <v>0</v>
      </c>
      <c r="M112" s="5">
        <f t="shared" si="26"/>
        <v>0</v>
      </c>
      <c r="N112" s="5">
        <v>45506.29</v>
      </c>
      <c r="O112" s="105">
        <f t="shared" si="27"/>
        <v>45506.29</v>
      </c>
      <c r="P112" s="105">
        <f t="shared" si="28"/>
        <v>0</v>
      </c>
      <c r="Q112" s="103">
        <f t="shared" si="29"/>
        <v>471.41190508850656</v>
      </c>
      <c r="R112" s="6">
        <f t="shared" si="30"/>
        <v>471.41190508850656</v>
      </c>
      <c r="S112" s="5">
        <f t="shared" si="31"/>
        <v>45506.29</v>
      </c>
      <c r="T112" s="140">
        <v>0.46558333333333335</v>
      </c>
      <c r="U112" s="105">
        <f t="shared" si="19"/>
        <v>11714.783474022688</v>
      </c>
      <c r="V112" s="105">
        <f t="shared" si="20"/>
        <v>4979.015208250823</v>
      </c>
      <c r="W112" s="105">
        <f t="shared" si="21"/>
        <v>1636.2623817341191</v>
      </c>
      <c r="X112" s="105">
        <f t="shared" si="22"/>
        <v>680.66250837112216</v>
      </c>
      <c r="Y112" s="105">
        <f t="shared" si="23"/>
        <v>19010.723572378753</v>
      </c>
      <c r="Z112" s="112">
        <f t="shared" si="32"/>
        <v>0.41776034856673117</v>
      </c>
      <c r="AA112" s="104">
        <f t="shared" si="33"/>
        <v>19058.527580311089</v>
      </c>
      <c r="AB112" s="105"/>
      <c r="AC112" s="104">
        <v>18812.952763857251</v>
      </c>
      <c r="AD112" s="5">
        <f t="shared" si="34"/>
        <v>245.57481645383814</v>
      </c>
      <c r="AE112" s="105"/>
      <c r="AF112" s="104">
        <f t="shared" si="35"/>
        <v>33.983274903058685</v>
      </c>
    </row>
    <row r="113" spans="2:32" x14ac:dyDescent="0.25">
      <c r="B113">
        <v>889</v>
      </c>
      <c r="C113" s="27">
        <v>6</v>
      </c>
      <c r="D113" s="39" t="s">
        <v>386</v>
      </c>
      <c r="E113" s="162">
        <v>28.142507903054302</v>
      </c>
      <c r="F113" s="162">
        <f>INDEX('2017 Lockdown Update'!H$5:H$249,MATCH(B113,'2017 Lockdown Update'!B$5:B$249,0))</f>
        <v>31.318396976699148</v>
      </c>
      <c r="G113" s="162">
        <f t="shared" si="24"/>
        <v>3.1758890736448464</v>
      </c>
      <c r="H113" s="5">
        <v>49421.78</v>
      </c>
      <c r="I113" s="5">
        <f>INDEX('2017 Lockdown Update'!E$5:E$249,MATCH(B113,'2017 Lockdown Update'!B$5:B$249,0))</f>
        <v>49421.78</v>
      </c>
      <c r="J113" s="5">
        <f t="shared" si="25"/>
        <v>0</v>
      </c>
      <c r="K113" s="5">
        <v>0</v>
      </c>
      <c r="L113" s="5">
        <f>INDEX('2017 Lockdown Update'!F$5:F$249,MATCH(B113,'2017 Lockdown Update'!B$5:B$249,0))</f>
        <v>0</v>
      </c>
      <c r="M113" s="5">
        <f t="shared" si="26"/>
        <v>0</v>
      </c>
      <c r="N113" s="5">
        <v>49421.78</v>
      </c>
      <c r="O113" s="105">
        <f t="shared" si="27"/>
        <v>49421.78</v>
      </c>
      <c r="P113" s="105">
        <f t="shared" si="28"/>
        <v>0</v>
      </c>
      <c r="Q113" s="103">
        <f t="shared" si="29"/>
        <v>1578.0430919491105</v>
      </c>
      <c r="R113" s="6">
        <f t="shared" si="30"/>
        <v>1038.446782766368</v>
      </c>
      <c r="S113" s="5">
        <f t="shared" si="31"/>
        <v>32522.488581853177</v>
      </c>
      <c r="T113" s="140">
        <v>0.54133333333333333</v>
      </c>
      <c r="U113" s="105">
        <f t="shared" si="19"/>
        <v>8372.3351601017166</v>
      </c>
      <c r="V113" s="105">
        <f t="shared" si="20"/>
        <v>1615.370298902393</v>
      </c>
      <c r="W113" s="105">
        <f t="shared" si="21"/>
        <v>1359.6672300005189</v>
      </c>
      <c r="X113" s="105">
        <f t="shared" si="22"/>
        <v>486.45667789211905</v>
      </c>
      <c r="Y113" s="105">
        <f t="shared" si="23"/>
        <v>11833.829366896749</v>
      </c>
      <c r="Z113" s="112">
        <f t="shared" si="32"/>
        <v>0.36386604724645094</v>
      </c>
      <c r="AA113" s="104">
        <f t="shared" si="33"/>
        <v>11863.586491646432</v>
      </c>
      <c r="AB113" s="105"/>
      <c r="AC113" s="104">
        <v>10450.972133774922</v>
      </c>
      <c r="AD113" s="5">
        <f t="shared" si="34"/>
        <v>1412.6143578715109</v>
      </c>
      <c r="AE113" s="105"/>
      <c r="AF113" s="104">
        <f t="shared" si="35"/>
        <v>21.153970021185316</v>
      </c>
    </row>
    <row r="114" spans="2:32" x14ac:dyDescent="0.25">
      <c r="B114">
        <v>891</v>
      </c>
      <c r="C114" s="27">
        <v>6</v>
      </c>
      <c r="D114" s="39" t="s">
        <v>387</v>
      </c>
      <c r="E114" s="162">
        <v>364.17087666120352</v>
      </c>
      <c r="F114" s="162">
        <f>INDEX('2017 Lockdown Update'!H$5:H$249,MATCH(B114,'2017 Lockdown Update'!B$5:B$249,0))</f>
        <v>364.17087666120352</v>
      </c>
      <c r="G114" s="162">
        <f t="shared" si="24"/>
        <v>0</v>
      </c>
      <c r="H114" s="5">
        <v>86921.99</v>
      </c>
      <c r="I114" s="5">
        <f>INDEX('2017 Lockdown Update'!E$5:E$249,MATCH(B114,'2017 Lockdown Update'!B$5:B$249,0))</f>
        <v>86921.99</v>
      </c>
      <c r="J114" s="5">
        <f t="shared" si="25"/>
        <v>0</v>
      </c>
      <c r="K114" s="5">
        <v>0</v>
      </c>
      <c r="L114" s="5">
        <f>INDEX('2017 Lockdown Update'!F$5:F$249,MATCH(B114,'2017 Lockdown Update'!B$5:B$249,0))</f>
        <v>0</v>
      </c>
      <c r="M114" s="5">
        <f t="shared" si="26"/>
        <v>0</v>
      </c>
      <c r="N114" s="5">
        <v>86921.99</v>
      </c>
      <c r="O114" s="105">
        <f t="shared" si="27"/>
        <v>86921.99</v>
      </c>
      <c r="P114" s="105">
        <f t="shared" si="28"/>
        <v>0</v>
      </c>
      <c r="Q114" s="103">
        <f t="shared" si="29"/>
        <v>238.68462738404398</v>
      </c>
      <c r="R114" s="6">
        <f t="shared" si="30"/>
        <v>238.68462738404398</v>
      </c>
      <c r="S114" s="5">
        <f t="shared" si="31"/>
        <v>86921.99</v>
      </c>
      <c r="T114" s="140">
        <v>0.44700000000000001</v>
      </c>
      <c r="U114" s="105">
        <f t="shared" si="19"/>
        <v>22376.517443658126</v>
      </c>
      <c r="V114" s="105">
        <f t="shared" si="20"/>
        <v>18783.554545318129</v>
      </c>
      <c r="W114" s="105">
        <f t="shared" si="21"/>
        <v>3000.6909891945547</v>
      </c>
      <c r="X114" s="105">
        <f t="shared" si="22"/>
        <v>1300.1398212425049</v>
      </c>
      <c r="Y114" s="105">
        <f t="shared" si="23"/>
        <v>45460.902799413314</v>
      </c>
      <c r="Z114" s="112">
        <f t="shared" si="32"/>
        <v>0.52300807654557047</v>
      </c>
      <c r="AA114" s="104">
        <f t="shared" si="33"/>
        <v>45575.217930542349</v>
      </c>
      <c r="AB114" s="105"/>
      <c r="AC114" s="104">
        <v>45103.038465013764</v>
      </c>
      <c r="AD114" s="5">
        <f t="shared" si="34"/>
        <v>472.17946552858484</v>
      </c>
      <c r="AE114" s="105"/>
      <c r="AF114" s="104">
        <f t="shared" si="35"/>
        <v>81.265205466368428</v>
      </c>
    </row>
    <row r="115" spans="2:32" x14ac:dyDescent="0.25">
      <c r="B115">
        <v>904</v>
      </c>
      <c r="C115" s="27">
        <v>6</v>
      </c>
      <c r="D115" s="39" t="s">
        <v>388</v>
      </c>
      <c r="E115" s="162">
        <v>25.493992436427366</v>
      </c>
      <c r="F115" s="162">
        <f>INDEX('2017 Lockdown Update'!H$5:H$249,MATCH(B115,'2017 Lockdown Update'!B$5:B$249,0))</f>
        <v>25.493992436427366</v>
      </c>
      <c r="G115" s="162">
        <f t="shared" si="24"/>
        <v>0</v>
      </c>
      <c r="H115" s="5">
        <v>13685.12</v>
      </c>
      <c r="I115" s="5">
        <f>INDEX('2017 Lockdown Update'!E$5:E$249,MATCH(B115,'2017 Lockdown Update'!B$5:B$249,0))</f>
        <v>13685.12</v>
      </c>
      <c r="J115" s="5">
        <f t="shared" si="25"/>
        <v>0</v>
      </c>
      <c r="K115" s="5">
        <v>0</v>
      </c>
      <c r="L115" s="5">
        <f>INDEX('2017 Lockdown Update'!F$5:F$249,MATCH(B115,'2017 Lockdown Update'!B$5:B$249,0))</f>
        <v>0</v>
      </c>
      <c r="M115" s="5">
        <f t="shared" si="26"/>
        <v>0</v>
      </c>
      <c r="N115" s="5">
        <v>13685.12</v>
      </c>
      <c r="O115" s="105">
        <f t="shared" si="27"/>
        <v>13685.12</v>
      </c>
      <c r="P115" s="105">
        <f t="shared" si="28"/>
        <v>0</v>
      </c>
      <c r="Q115" s="103">
        <f t="shared" si="29"/>
        <v>536.79783714244263</v>
      </c>
      <c r="R115" s="6">
        <f t="shared" si="30"/>
        <v>536.79783714244263</v>
      </c>
      <c r="S115" s="5">
        <f t="shared" si="31"/>
        <v>13685.12</v>
      </c>
      <c r="T115" s="140">
        <v>9.3875E-2</v>
      </c>
      <c r="U115" s="105">
        <f t="shared" si="19"/>
        <v>3522.9902858707528</v>
      </c>
      <c r="V115" s="105">
        <f t="shared" si="20"/>
        <v>1314.9535786549534</v>
      </c>
      <c r="W115" s="105">
        <f t="shared" si="21"/>
        <v>99.216213925835078</v>
      </c>
      <c r="X115" s="105">
        <f t="shared" si="22"/>
        <v>204.69583669773587</v>
      </c>
      <c r="Y115" s="105">
        <f t="shared" si="23"/>
        <v>5141.8559151492773</v>
      </c>
      <c r="Z115" s="112">
        <f t="shared" si="32"/>
        <v>0.37572603785346981</v>
      </c>
      <c r="AA115" s="104">
        <f t="shared" si="33"/>
        <v>5154.7855293230296</v>
      </c>
      <c r="AB115" s="105"/>
      <c r="AC115" s="104">
        <v>5090.6050513921</v>
      </c>
      <c r="AD115" s="5">
        <f t="shared" si="34"/>
        <v>64.180477930929555</v>
      </c>
      <c r="AE115" s="105"/>
      <c r="AF115" s="104">
        <f t="shared" si="35"/>
        <v>9.1915019652548651</v>
      </c>
    </row>
    <row r="116" spans="2:32" x14ac:dyDescent="0.25">
      <c r="B116">
        <v>906</v>
      </c>
      <c r="C116" s="27">
        <v>6</v>
      </c>
      <c r="D116" s="39" t="s">
        <v>389</v>
      </c>
      <c r="E116" s="162">
        <v>223.33999999999997</v>
      </c>
      <c r="F116" s="162">
        <f>INDEX('2017 Lockdown Update'!H$5:H$249,MATCH(B116,'2017 Lockdown Update'!B$5:B$249,0))</f>
        <v>223.33999999999997</v>
      </c>
      <c r="G116" s="162">
        <f t="shared" si="24"/>
        <v>0</v>
      </c>
      <c r="H116" s="5">
        <v>119241.63</v>
      </c>
      <c r="I116" s="5">
        <f>INDEX('2017 Lockdown Update'!E$5:E$249,MATCH(B116,'2017 Lockdown Update'!B$5:B$249,0))</f>
        <v>119241.63</v>
      </c>
      <c r="J116" s="5">
        <f t="shared" si="25"/>
        <v>0</v>
      </c>
      <c r="K116" s="5">
        <v>36</v>
      </c>
      <c r="L116" s="5">
        <f>INDEX('2017 Lockdown Update'!F$5:F$249,MATCH(B116,'2017 Lockdown Update'!B$5:B$249,0))</f>
        <v>36</v>
      </c>
      <c r="M116" s="5">
        <f t="shared" si="26"/>
        <v>0</v>
      </c>
      <c r="N116" s="5">
        <v>119205.63</v>
      </c>
      <c r="O116" s="105">
        <f t="shared" si="27"/>
        <v>119205.63</v>
      </c>
      <c r="P116" s="105">
        <f t="shared" si="28"/>
        <v>0</v>
      </c>
      <c r="Q116" s="103">
        <f t="shared" si="29"/>
        <v>533.74061968299463</v>
      </c>
      <c r="R116" s="6">
        <f t="shared" si="30"/>
        <v>533.74061968299463</v>
      </c>
      <c r="S116" s="5">
        <f t="shared" si="31"/>
        <v>119205.63</v>
      </c>
      <c r="T116" s="140">
        <v>0.74075000000000002</v>
      </c>
      <c r="U116" s="105">
        <f t="shared" si="19"/>
        <v>30687.365292456565</v>
      </c>
      <c r="V116" s="105">
        <f t="shared" si="20"/>
        <v>11519.644598198238</v>
      </c>
      <c r="W116" s="105">
        <f t="shared" si="21"/>
        <v>6819.4997521161604</v>
      </c>
      <c r="X116" s="105">
        <f t="shared" si="22"/>
        <v>1783.0239100519925</v>
      </c>
      <c r="Y116" s="105">
        <f t="shared" si="23"/>
        <v>50809.533552822955</v>
      </c>
      <c r="Z116" s="112">
        <f t="shared" si="32"/>
        <v>0.42623434440825447</v>
      </c>
      <c r="AA116" s="104">
        <f t="shared" si="33"/>
        <v>50937.298250244909</v>
      </c>
      <c r="AB116" s="105"/>
      <c r="AC116" s="104">
        <v>50231.760939711516</v>
      </c>
      <c r="AD116" s="5">
        <f t="shared" si="34"/>
        <v>705.53731053339288</v>
      </c>
      <c r="AE116" s="105"/>
      <c r="AF116" s="104">
        <f t="shared" si="35"/>
        <v>90.826334928697989</v>
      </c>
    </row>
    <row r="117" spans="2:32" x14ac:dyDescent="0.25">
      <c r="B117">
        <v>917</v>
      </c>
      <c r="C117" s="27">
        <v>6</v>
      </c>
      <c r="D117" s="39" t="s">
        <v>390</v>
      </c>
      <c r="E117" s="162">
        <v>83.135763098139336</v>
      </c>
      <c r="F117" s="162">
        <f>INDEX('2017 Lockdown Update'!H$5:H$249,MATCH(B117,'2017 Lockdown Update'!B$5:B$249,0))</f>
        <v>83.135763098139336</v>
      </c>
      <c r="G117" s="162">
        <f t="shared" si="24"/>
        <v>0</v>
      </c>
      <c r="H117" s="5">
        <v>58138.080000000002</v>
      </c>
      <c r="I117" s="5">
        <f>INDEX('2017 Lockdown Update'!E$5:E$249,MATCH(B117,'2017 Lockdown Update'!B$5:B$249,0))</f>
        <v>58138.080000000002</v>
      </c>
      <c r="J117" s="5">
        <f t="shared" si="25"/>
        <v>0</v>
      </c>
      <c r="K117" s="5">
        <v>0</v>
      </c>
      <c r="L117" s="5">
        <f>INDEX('2017 Lockdown Update'!F$5:F$249,MATCH(B117,'2017 Lockdown Update'!B$5:B$249,0))</f>
        <v>0</v>
      </c>
      <c r="M117" s="5">
        <f t="shared" si="26"/>
        <v>0</v>
      </c>
      <c r="N117" s="5">
        <v>58138.080000000002</v>
      </c>
      <c r="O117" s="105">
        <f t="shared" si="27"/>
        <v>58138.080000000002</v>
      </c>
      <c r="P117" s="105">
        <f t="shared" si="28"/>
        <v>0</v>
      </c>
      <c r="Q117" s="103">
        <f t="shared" si="29"/>
        <v>699.31492577231415</v>
      </c>
      <c r="R117" s="6">
        <f t="shared" si="30"/>
        <v>699.31492577231415</v>
      </c>
      <c r="S117" s="5">
        <f t="shared" si="31"/>
        <v>58138.080000000002</v>
      </c>
      <c r="T117" s="140">
        <v>0.49516666666666664</v>
      </c>
      <c r="U117" s="105">
        <f t="shared" si="19"/>
        <v>14966.61272090977</v>
      </c>
      <c r="V117" s="105">
        <f t="shared" si="20"/>
        <v>4288.05607723905</v>
      </c>
      <c r="W117" s="105">
        <f t="shared" si="21"/>
        <v>2223.2903196911461</v>
      </c>
      <c r="X117" s="105">
        <f t="shared" si="22"/>
        <v>869.60311123321571</v>
      </c>
      <c r="Y117" s="105">
        <f t="shared" si="23"/>
        <v>22347.562229073184</v>
      </c>
      <c r="Z117" s="112">
        <f t="shared" si="32"/>
        <v>0.38438768925759476</v>
      </c>
      <c r="AA117" s="104">
        <f t="shared" si="33"/>
        <v>22403.756988730787</v>
      </c>
      <c r="AB117" s="105"/>
      <c r="AC117" s="104">
        <v>22080.961444858905</v>
      </c>
      <c r="AD117" s="5">
        <f t="shared" si="34"/>
        <v>322.79554387188182</v>
      </c>
      <c r="AE117" s="105"/>
      <c r="AF117" s="104">
        <f t="shared" si="35"/>
        <v>39.948155984300506</v>
      </c>
    </row>
    <row r="118" spans="2:32" x14ac:dyDescent="0.25">
      <c r="B118">
        <v>957</v>
      </c>
      <c r="C118" s="27">
        <v>6</v>
      </c>
      <c r="D118" s="39" t="s">
        <v>391</v>
      </c>
      <c r="E118" s="162">
        <v>102.78835312589278</v>
      </c>
      <c r="F118" s="162">
        <f>INDEX('2017 Lockdown Update'!H$5:H$249,MATCH(B118,'2017 Lockdown Update'!B$5:B$249,0))</f>
        <v>102.78835312589278</v>
      </c>
      <c r="G118" s="162">
        <f t="shared" si="24"/>
        <v>0</v>
      </c>
      <c r="H118" s="5">
        <v>36361.17</v>
      </c>
      <c r="I118" s="5">
        <f>INDEX('2017 Lockdown Update'!E$5:E$249,MATCH(B118,'2017 Lockdown Update'!B$5:B$249,0))</f>
        <v>36361.17</v>
      </c>
      <c r="J118" s="5">
        <f t="shared" si="25"/>
        <v>0</v>
      </c>
      <c r="K118" s="5">
        <v>0</v>
      </c>
      <c r="L118" s="5">
        <f>INDEX('2017 Lockdown Update'!F$5:F$249,MATCH(B118,'2017 Lockdown Update'!B$5:B$249,0))</f>
        <v>0</v>
      </c>
      <c r="M118" s="5">
        <f t="shared" si="26"/>
        <v>0</v>
      </c>
      <c r="N118" s="5">
        <v>36361.17</v>
      </c>
      <c r="O118" s="105">
        <f t="shared" si="27"/>
        <v>36361.17</v>
      </c>
      <c r="P118" s="105">
        <f t="shared" si="28"/>
        <v>0</v>
      </c>
      <c r="Q118" s="103">
        <f t="shared" si="29"/>
        <v>353.74795776196243</v>
      </c>
      <c r="R118" s="6">
        <f t="shared" si="30"/>
        <v>353.74795776196243</v>
      </c>
      <c r="S118" s="5">
        <f t="shared" si="31"/>
        <v>36361.17</v>
      </c>
      <c r="T118" s="140">
        <v>0.52616666666666678</v>
      </c>
      <c r="U118" s="105">
        <f t="shared" si="19"/>
        <v>9360.5352889046662</v>
      </c>
      <c r="V118" s="105">
        <f t="shared" si="20"/>
        <v>5301.7162032971428</v>
      </c>
      <c r="W118" s="105">
        <f t="shared" si="21"/>
        <v>1477.5604953536017</v>
      </c>
      <c r="X118" s="105">
        <f t="shared" si="22"/>
        <v>543.87393873481642</v>
      </c>
      <c r="Y118" s="105">
        <f t="shared" si="23"/>
        <v>16683.685926290229</v>
      </c>
      <c r="Z118" s="112">
        <f t="shared" si="32"/>
        <v>0.45883248328616022</v>
      </c>
      <c r="AA118" s="104">
        <f t="shared" si="33"/>
        <v>16725.638409125746</v>
      </c>
      <c r="AB118" s="105"/>
      <c r="AC118" s="104">
        <v>16524.480040458027</v>
      </c>
      <c r="AD118" s="5">
        <f t="shared" si="34"/>
        <v>201.15836866771861</v>
      </c>
      <c r="AE118" s="105"/>
      <c r="AF118" s="104">
        <f t="shared" si="35"/>
        <v>29.823498462371756</v>
      </c>
    </row>
    <row r="119" spans="2:32" x14ac:dyDescent="0.25">
      <c r="B119">
        <v>959</v>
      </c>
      <c r="C119" s="27">
        <v>6</v>
      </c>
      <c r="D119" s="39" t="s">
        <v>392</v>
      </c>
      <c r="E119" s="162">
        <v>350.17274123482861</v>
      </c>
      <c r="F119" s="162">
        <f>INDEX('2017 Lockdown Update'!H$5:H$249,MATCH(B119,'2017 Lockdown Update'!B$5:B$249,0))</f>
        <v>350.17274123482861</v>
      </c>
      <c r="G119" s="162">
        <f t="shared" si="24"/>
        <v>0</v>
      </c>
      <c r="H119" s="5">
        <v>116846.11</v>
      </c>
      <c r="I119" s="5">
        <f>INDEX('2017 Lockdown Update'!E$5:E$249,MATCH(B119,'2017 Lockdown Update'!B$5:B$249,0))</f>
        <v>116846.11</v>
      </c>
      <c r="J119" s="5">
        <f t="shared" si="25"/>
        <v>0</v>
      </c>
      <c r="K119" s="5">
        <v>434.45</v>
      </c>
      <c r="L119" s="5">
        <f>INDEX('2017 Lockdown Update'!F$5:F$249,MATCH(B119,'2017 Lockdown Update'!B$5:B$249,0))</f>
        <v>434.45</v>
      </c>
      <c r="M119" s="5">
        <f t="shared" si="26"/>
        <v>0</v>
      </c>
      <c r="N119" s="5">
        <v>116411.66</v>
      </c>
      <c r="O119" s="105">
        <f t="shared" si="27"/>
        <v>116411.66</v>
      </c>
      <c r="P119" s="105">
        <f t="shared" si="28"/>
        <v>0</v>
      </c>
      <c r="Q119" s="103">
        <f t="shared" si="29"/>
        <v>332.44066796716601</v>
      </c>
      <c r="R119" s="6">
        <f t="shared" si="30"/>
        <v>332.44066796716601</v>
      </c>
      <c r="S119" s="5">
        <f t="shared" si="31"/>
        <v>116411.66</v>
      </c>
      <c r="T119" s="140">
        <v>0.90858333333333341</v>
      </c>
      <c r="U119" s="105">
        <f t="shared" si="19"/>
        <v>29968.107502315572</v>
      </c>
      <c r="V119" s="105">
        <f t="shared" si="20"/>
        <v>18061.545298657042</v>
      </c>
      <c r="W119" s="105">
        <f t="shared" si="21"/>
        <v>8168.5569024436682</v>
      </c>
      <c r="X119" s="105">
        <f t="shared" si="22"/>
        <v>1741.2329701948065</v>
      </c>
      <c r="Y119" s="105">
        <f t="shared" si="23"/>
        <v>57939.442673611091</v>
      </c>
      <c r="Z119" s="112">
        <f t="shared" si="32"/>
        <v>0.49771167831135721</v>
      </c>
      <c r="AA119" s="104">
        <f t="shared" si="33"/>
        <v>58085.136106405444</v>
      </c>
      <c r="AB119" s="105"/>
      <c r="AC119" s="104">
        <v>57354.850492597521</v>
      </c>
      <c r="AD119" s="5">
        <f t="shared" si="34"/>
        <v>730.28561380792235</v>
      </c>
      <c r="AE119" s="105"/>
      <c r="AF119" s="104">
        <f t="shared" si="35"/>
        <v>103.57165000116636</v>
      </c>
    </row>
    <row r="120" spans="2:32" x14ac:dyDescent="0.25">
      <c r="B120">
        <v>969</v>
      </c>
      <c r="C120" s="27">
        <v>6</v>
      </c>
      <c r="D120" s="39" t="s">
        <v>393</v>
      </c>
      <c r="E120" s="162">
        <v>20.31070143118815</v>
      </c>
      <c r="F120" s="162">
        <f>INDEX('2017 Lockdown Update'!H$5:H$249,MATCH(B120,'2017 Lockdown Update'!B$5:B$249,0))</f>
        <v>20.31070143118815</v>
      </c>
      <c r="G120" s="162">
        <f t="shared" si="24"/>
        <v>0</v>
      </c>
      <c r="H120" s="5">
        <v>38489.4</v>
      </c>
      <c r="I120" s="5">
        <f>INDEX('2017 Lockdown Update'!E$5:E$249,MATCH(B120,'2017 Lockdown Update'!B$5:B$249,0))</f>
        <v>38489.4</v>
      </c>
      <c r="J120" s="5">
        <f t="shared" si="25"/>
        <v>0</v>
      </c>
      <c r="K120" s="5">
        <v>0</v>
      </c>
      <c r="L120" s="5">
        <f>INDEX('2017 Lockdown Update'!F$5:F$249,MATCH(B120,'2017 Lockdown Update'!B$5:B$249,0))</f>
        <v>0</v>
      </c>
      <c r="M120" s="5">
        <f t="shared" si="26"/>
        <v>0</v>
      </c>
      <c r="N120" s="5">
        <v>38489.4</v>
      </c>
      <c r="O120" s="105">
        <f t="shared" si="27"/>
        <v>38489.4</v>
      </c>
      <c r="P120" s="105">
        <f t="shared" si="28"/>
        <v>0</v>
      </c>
      <c r="Q120" s="103">
        <f t="shared" si="29"/>
        <v>1895.030564572108</v>
      </c>
      <c r="R120" s="6">
        <f t="shared" si="30"/>
        <v>1038.446782766368</v>
      </c>
      <c r="S120" s="5">
        <f t="shared" si="31"/>
        <v>21091.582556945599</v>
      </c>
      <c r="T120" s="140">
        <v>0.26774999999999999</v>
      </c>
      <c r="U120" s="105">
        <f t="shared" si="19"/>
        <v>5429.6520937894848</v>
      </c>
      <c r="V120" s="105">
        <f t="shared" si="20"/>
        <v>1047.6048268442905</v>
      </c>
      <c r="W120" s="105">
        <f t="shared" si="21"/>
        <v>436.13680443364029</v>
      </c>
      <c r="X120" s="105">
        <f t="shared" si="22"/>
        <v>315.47835450279939</v>
      </c>
      <c r="Y120" s="105">
        <f t="shared" si="23"/>
        <v>7228.8720795702156</v>
      </c>
      <c r="Z120" s="112">
        <f t="shared" si="32"/>
        <v>0.34273730100872396</v>
      </c>
      <c r="AA120" s="104">
        <f t="shared" si="33"/>
        <v>7247.0496653374248</v>
      </c>
      <c r="AB120" s="105"/>
      <c r="AC120" s="104">
        <v>7106.6337853512368</v>
      </c>
      <c r="AD120" s="5">
        <f t="shared" si="34"/>
        <v>140.41587998618797</v>
      </c>
      <c r="AE120" s="105"/>
      <c r="AF120" s="104">
        <f t="shared" si="35"/>
        <v>12.922219724240691</v>
      </c>
    </row>
    <row r="121" spans="2:32" x14ac:dyDescent="0.25">
      <c r="B121">
        <v>970</v>
      </c>
      <c r="C121" s="27">
        <v>6</v>
      </c>
      <c r="D121" s="39" t="s">
        <v>394</v>
      </c>
      <c r="E121" s="162">
        <v>175.80943158836462</v>
      </c>
      <c r="F121" s="162">
        <f>INDEX('2017 Lockdown Update'!H$5:H$249,MATCH(B121,'2017 Lockdown Update'!B$5:B$249,0))</f>
        <v>175.80943158836462</v>
      </c>
      <c r="G121" s="162">
        <f t="shared" si="24"/>
        <v>0</v>
      </c>
      <c r="H121" s="5">
        <v>60933.56</v>
      </c>
      <c r="I121" s="5">
        <f>INDEX('2017 Lockdown Update'!E$5:E$249,MATCH(B121,'2017 Lockdown Update'!B$5:B$249,0))</f>
        <v>60933.56</v>
      </c>
      <c r="J121" s="5">
        <f t="shared" si="25"/>
        <v>0</v>
      </c>
      <c r="K121" s="5">
        <v>134.5</v>
      </c>
      <c r="L121" s="5">
        <f>INDEX('2017 Lockdown Update'!F$5:F$249,MATCH(B121,'2017 Lockdown Update'!B$5:B$249,0))</f>
        <v>134.5</v>
      </c>
      <c r="M121" s="5">
        <f t="shared" si="26"/>
        <v>0</v>
      </c>
      <c r="N121" s="5">
        <v>60799.06</v>
      </c>
      <c r="O121" s="105">
        <f t="shared" si="27"/>
        <v>60799.06</v>
      </c>
      <c r="P121" s="105">
        <f t="shared" si="28"/>
        <v>0</v>
      </c>
      <c r="Q121" s="103">
        <f t="shared" si="29"/>
        <v>345.82365377503322</v>
      </c>
      <c r="R121" s="6">
        <f t="shared" si="30"/>
        <v>345.82365377503322</v>
      </c>
      <c r="S121" s="5">
        <f t="shared" si="31"/>
        <v>60799.06</v>
      </c>
      <c r="T121" s="140">
        <v>0.64324999999999999</v>
      </c>
      <c r="U121" s="105">
        <f t="shared" si="19"/>
        <v>15651.634605328492</v>
      </c>
      <c r="V121" s="105">
        <f t="shared" si="20"/>
        <v>9068.0673811641773</v>
      </c>
      <c r="W121" s="105">
        <f t="shared" si="21"/>
        <v>3020.3741879632653</v>
      </c>
      <c r="X121" s="105">
        <f t="shared" si="22"/>
        <v>909.40484680703162</v>
      </c>
      <c r="Y121" s="105">
        <f t="shared" si="23"/>
        <v>28649.481021262967</v>
      </c>
      <c r="Z121" s="112">
        <f t="shared" si="32"/>
        <v>0.47121585467378885</v>
      </c>
      <c r="AA121" s="104">
        <f t="shared" si="33"/>
        <v>28721.522467385916</v>
      </c>
      <c r="AB121" s="105"/>
      <c r="AC121" s="104">
        <v>28369.092632461932</v>
      </c>
      <c r="AD121" s="5">
        <f t="shared" si="34"/>
        <v>352.42983492398344</v>
      </c>
      <c r="AE121" s="105"/>
      <c r="AF121" s="104">
        <f t="shared" si="35"/>
        <v>51.213368374369459</v>
      </c>
    </row>
    <row r="122" spans="2:32" x14ac:dyDescent="0.25">
      <c r="B122">
        <v>980</v>
      </c>
      <c r="C122" s="27">
        <v>6</v>
      </c>
      <c r="D122" s="39" t="s">
        <v>395</v>
      </c>
      <c r="E122" s="162">
        <v>24.35659315628083</v>
      </c>
      <c r="F122" s="162">
        <f>INDEX('2017 Lockdown Update'!H$5:H$249,MATCH(B122,'2017 Lockdown Update'!B$5:B$249,0))</f>
        <v>27.105240801427264</v>
      </c>
      <c r="G122" s="162">
        <f t="shared" si="24"/>
        <v>2.7486476451464341</v>
      </c>
      <c r="H122" s="5">
        <v>27355.57</v>
      </c>
      <c r="I122" s="5">
        <f>INDEX('2017 Lockdown Update'!E$5:E$249,MATCH(B122,'2017 Lockdown Update'!B$5:B$249,0))</f>
        <v>27355.57</v>
      </c>
      <c r="J122" s="5">
        <f t="shared" si="25"/>
        <v>0</v>
      </c>
      <c r="K122" s="5">
        <v>0</v>
      </c>
      <c r="L122" s="5">
        <f>INDEX('2017 Lockdown Update'!F$5:F$249,MATCH(B122,'2017 Lockdown Update'!B$5:B$249,0))</f>
        <v>0</v>
      </c>
      <c r="M122" s="5">
        <f t="shared" si="26"/>
        <v>0</v>
      </c>
      <c r="N122" s="5">
        <v>27355.57</v>
      </c>
      <c r="O122" s="105">
        <f t="shared" si="27"/>
        <v>27355.57</v>
      </c>
      <c r="P122" s="105">
        <f t="shared" si="28"/>
        <v>0</v>
      </c>
      <c r="Q122" s="103">
        <f t="shared" si="29"/>
        <v>1009.235453778354</v>
      </c>
      <c r="R122" s="6">
        <f t="shared" si="30"/>
        <v>1009.235453778354</v>
      </c>
      <c r="S122" s="5">
        <f t="shared" si="31"/>
        <v>27355.57</v>
      </c>
      <c r="T122" s="140">
        <v>0.23416666666666669</v>
      </c>
      <c r="U122" s="105">
        <f t="shared" si="19"/>
        <v>7042.2040416494256</v>
      </c>
      <c r="V122" s="105">
        <f t="shared" si="20"/>
        <v>1398.0600912555929</v>
      </c>
      <c r="W122" s="105">
        <f t="shared" si="21"/>
        <v>494.7148339258722</v>
      </c>
      <c r="X122" s="105">
        <f t="shared" si="22"/>
        <v>409.17224616908601</v>
      </c>
      <c r="Y122" s="105">
        <f t="shared" si="23"/>
        <v>9344.1512129999774</v>
      </c>
      <c r="Z122" s="112">
        <f t="shared" si="32"/>
        <v>0.34158130183359287</v>
      </c>
      <c r="AA122" s="104">
        <f t="shared" si="33"/>
        <v>9367.6478398909294</v>
      </c>
      <c r="AB122" s="105"/>
      <c r="AC122" s="104">
        <v>8460.252437747753</v>
      </c>
      <c r="AD122" s="5">
        <f t="shared" si="34"/>
        <v>907.3954021431764</v>
      </c>
      <c r="AE122" s="105"/>
      <c r="AF122" s="104">
        <f t="shared" si="35"/>
        <v>16.703459928716125</v>
      </c>
    </row>
    <row r="123" spans="2:32" x14ac:dyDescent="0.25">
      <c r="B123">
        <v>986</v>
      </c>
      <c r="C123" s="27">
        <v>6</v>
      </c>
      <c r="D123" s="39" t="s">
        <v>396</v>
      </c>
      <c r="E123" s="162">
        <v>8.1405291336202108</v>
      </c>
      <c r="F123" s="162">
        <f>INDEX('2017 Lockdown Update'!H$5:H$249,MATCH(B123,'2017 Lockdown Update'!B$5:B$249,0))</f>
        <v>8.1405291336202108</v>
      </c>
      <c r="G123" s="162">
        <f t="shared" si="24"/>
        <v>0</v>
      </c>
      <c r="H123" s="5">
        <v>38850.550000000003</v>
      </c>
      <c r="I123" s="5">
        <f>INDEX('2017 Lockdown Update'!E$5:E$249,MATCH(B123,'2017 Lockdown Update'!B$5:B$249,0))</f>
        <v>38850.550000000003</v>
      </c>
      <c r="J123" s="5">
        <f t="shared" si="25"/>
        <v>0</v>
      </c>
      <c r="K123" s="5">
        <v>0</v>
      </c>
      <c r="L123" s="5">
        <f>INDEX('2017 Lockdown Update'!F$5:F$249,MATCH(B123,'2017 Lockdown Update'!B$5:B$249,0))</f>
        <v>0</v>
      </c>
      <c r="M123" s="5">
        <f t="shared" si="26"/>
        <v>0</v>
      </c>
      <c r="N123" s="5">
        <v>38850.550000000003</v>
      </c>
      <c r="O123" s="105">
        <f t="shared" si="27"/>
        <v>38850.550000000003</v>
      </c>
      <c r="P123" s="105">
        <f t="shared" si="28"/>
        <v>0</v>
      </c>
      <c r="Q123" s="103">
        <f t="shared" si="29"/>
        <v>4772.48460908371</v>
      </c>
      <c r="R123" s="6">
        <f t="shared" si="30"/>
        <v>1038.446782766368</v>
      </c>
      <c r="S123" s="5">
        <f t="shared" si="31"/>
        <v>8453.5062888237971</v>
      </c>
      <c r="T123" s="140">
        <v>0.22791666666666668</v>
      </c>
      <c r="U123" s="105">
        <f t="shared" si="19"/>
        <v>2176.2045591908259</v>
      </c>
      <c r="V123" s="105">
        <f t="shared" si="20"/>
        <v>419.88001459919167</v>
      </c>
      <c r="W123" s="105">
        <f t="shared" si="21"/>
        <v>148.79798673467272</v>
      </c>
      <c r="X123" s="105">
        <f t="shared" si="22"/>
        <v>126.44372448472203</v>
      </c>
      <c r="Y123" s="105">
        <f t="shared" si="23"/>
        <v>2871.3262850094125</v>
      </c>
      <c r="Z123" s="112">
        <f t="shared" si="32"/>
        <v>0.33966098644837261</v>
      </c>
      <c r="AA123" s="104">
        <f t="shared" si="33"/>
        <v>2878.5464680804212</v>
      </c>
      <c r="AB123" s="105"/>
      <c r="AC123" s="104">
        <v>2823.1673655533041</v>
      </c>
      <c r="AD123" s="5">
        <f t="shared" si="34"/>
        <v>55.379102527117084</v>
      </c>
      <c r="AE123" s="105"/>
      <c r="AF123" s="104">
        <f t="shared" si="35"/>
        <v>5.1327383783343077</v>
      </c>
    </row>
    <row r="124" spans="2:32" x14ac:dyDescent="0.25">
      <c r="B124">
        <v>988</v>
      </c>
      <c r="C124" s="27">
        <v>6</v>
      </c>
      <c r="D124" s="39" t="s">
        <v>397</v>
      </c>
      <c r="E124" s="162">
        <v>136.34894480531173</v>
      </c>
      <c r="F124" s="162">
        <f>INDEX('2017 Lockdown Update'!H$5:H$249,MATCH(B124,'2017 Lockdown Update'!B$5:B$249,0))</f>
        <v>136.34894480531173</v>
      </c>
      <c r="G124" s="162">
        <f t="shared" si="24"/>
        <v>0</v>
      </c>
      <c r="H124" s="5">
        <v>73072.52</v>
      </c>
      <c r="I124" s="5">
        <f>INDEX('2017 Lockdown Update'!E$5:E$249,MATCH(B124,'2017 Lockdown Update'!B$5:B$249,0))</f>
        <v>73398.22</v>
      </c>
      <c r="J124" s="5">
        <f t="shared" si="25"/>
        <v>325.69999999999709</v>
      </c>
      <c r="K124" s="5">
        <v>0</v>
      </c>
      <c r="L124" s="5">
        <f>INDEX('2017 Lockdown Update'!F$5:F$249,MATCH(B124,'2017 Lockdown Update'!B$5:B$249,0))</f>
        <v>0</v>
      </c>
      <c r="M124" s="5">
        <f t="shared" si="26"/>
        <v>0</v>
      </c>
      <c r="N124" s="5">
        <v>73072.52</v>
      </c>
      <c r="O124" s="105">
        <f t="shared" si="27"/>
        <v>73398.22</v>
      </c>
      <c r="P124" s="105">
        <f t="shared" si="28"/>
        <v>325.69999999999709</v>
      </c>
      <c r="Q124" s="103">
        <f t="shared" si="29"/>
        <v>538.31161000037775</v>
      </c>
      <c r="R124" s="6">
        <f t="shared" si="30"/>
        <v>538.31161000037775</v>
      </c>
      <c r="S124" s="5">
        <f t="shared" si="31"/>
        <v>73398.22</v>
      </c>
      <c r="T124" s="140">
        <v>0.82516666666666671</v>
      </c>
      <c r="U124" s="105">
        <f t="shared" si="19"/>
        <v>18895.063840156636</v>
      </c>
      <c r="V124" s="105">
        <f t="shared" si="20"/>
        <v>7032.7365697883906</v>
      </c>
      <c r="W124" s="105">
        <f t="shared" si="21"/>
        <v>4677.4730536307752</v>
      </c>
      <c r="X124" s="105">
        <f t="shared" si="22"/>
        <v>1097.8573848840558</v>
      </c>
      <c r="Y124" s="105">
        <f t="shared" si="23"/>
        <v>31703.130848459859</v>
      </c>
      <c r="Z124" s="112">
        <f t="shared" si="32"/>
        <v>0.43193323827825603</v>
      </c>
      <c r="AA124" s="104">
        <f t="shared" si="33"/>
        <v>31782.850945003771</v>
      </c>
      <c r="AB124" s="105"/>
      <c r="AC124" s="104">
        <v>31226.166942322769</v>
      </c>
      <c r="AD124" s="5">
        <f t="shared" si="34"/>
        <v>556.68400268100231</v>
      </c>
      <c r="AE124" s="105"/>
      <c r="AF124" s="104">
        <f t="shared" si="35"/>
        <v>56.672025491770533</v>
      </c>
    </row>
    <row r="125" spans="2:32" x14ac:dyDescent="0.25">
      <c r="B125">
        <v>989</v>
      </c>
      <c r="C125" s="27">
        <v>6</v>
      </c>
      <c r="D125" s="39" t="s">
        <v>398</v>
      </c>
      <c r="E125" s="162">
        <v>440.04353292754996</v>
      </c>
      <c r="F125" s="162">
        <f>INDEX('2017 Lockdown Update'!H$5:H$249,MATCH(B125,'2017 Lockdown Update'!B$5:B$249,0))</f>
        <v>440.04353292754996</v>
      </c>
      <c r="G125" s="162">
        <f t="shared" si="24"/>
        <v>0</v>
      </c>
      <c r="H125" s="5">
        <v>332675.46000000002</v>
      </c>
      <c r="I125" s="5">
        <f>INDEX('2017 Lockdown Update'!E$5:E$249,MATCH(B125,'2017 Lockdown Update'!B$5:B$249,0))</f>
        <v>332675.46000000002</v>
      </c>
      <c r="J125" s="5">
        <f t="shared" si="25"/>
        <v>0</v>
      </c>
      <c r="K125" s="5">
        <v>32018.95</v>
      </c>
      <c r="L125" s="5">
        <f>INDEX('2017 Lockdown Update'!F$5:F$249,MATCH(B125,'2017 Lockdown Update'!B$5:B$249,0))</f>
        <v>32018.95</v>
      </c>
      <c r="M125" s="5">
        <f t="shared" si="26"/>
        <v>0</v>
      </c>
      <c r="N125" s="5">
        <v>300656.51</v>
      </c>
      <c r="O125" s="105">
        <f t="shared" si="27"/>
        <v>300656.51</v>
      </c>
      <c r="P125" s="105">
        <f t="shared" si="28"/>
        <v>0</v>
      </c>
      <c r="Q125" s="103">
        <f t="shared" si="29"/>
        <v>683.24265101630522</v>
      </c>
      <c r="R125" s="6">
        <f t="shared" si="30"/>
        <v>683.24265101630522</v>
      </c>
      <c r="S125" s="5">
        <f t="shared" si="31"/>
        <v>300656.51</v>
      </c>
      <c r="T125" s="140">
        <v>0.61575000000000002</v>
      </c>
      <c r="U125" s="105">
        <f t="shared" si="19"/>
        <v>77398.661035767524</v>
      </c>
      <c r="V125" s="105">
        <f t="shared" si="20"/>
        <v>22696.987136477663</v>
      </c>
      <c r="W125" s="105">
        <f t="shared" si="21"/>
        <v>14297.467659832155</v>
      </c>
      <c r="X125" s="105">
        <f t="shared" si="22"/>
        <v>4497.0841229796442</v>
      </c>
      <c r="Y125" s="105">
        <f t="shared" si="23"/>
        <v>118890.19995505699</v>
      </c>
      <c r="Z125" s="112">
        <f t="shared" si="32"/>
        <v>0.39543530906766988</v>
      </c>
      <c r="AA125" s="104">
        <f t="shared" si="33"/>
        <v>119189.15901572032</v>
      </c>
      <c r="AB125" s="105"/>
      <c r="AC125" s="104">
        <v>117465.04269086638</v>
      </c>
      <c r="AD125" s="5">
        <f t="shared" si="34"/>
        <v>1724.1163248539378</v>
      </c>
      <c r="AE125" s="105"/>
      <c r="AF125" s="104">
        <f t="shared" si="35"/>
        <v>212.52627933755019</v>
      </c>
    </row>
    <row r="126" spans="2:32" x14ac:dyDescent="0.25">
      <c r="B126">
        <v>39</v>
      </c>
      <c r="C126" s="27">
        <v>7</v>
      </c>
      <c r="D126" s="39" t="s">
        <v>399</v>
      </c>
      <c r="E126" s="162">
        <v>410.4</v>
      </c>
      <c r="F126" s="162">
        <f>INDEX('2017 Lockdown Update'!H$5:H$249,MATCH(B126,'2017 Lockdown Update'!B$5:B$249,0))</f>
        <v>410.4</v>
      </c>
      <c r="G126" s="162">
        <f t="shared" si="24"/>
        <v>0</v>
      </c>
      <c r="H126" s="5">
        <v>115923.68</v>
      </c>
      <c r="I126" s="5">
        <f>INDEX('2017 Lockdown Update'!E$5:E$249,MATCH(B126,'2017 Lockdown Update'!B$5:B$249,0))</f>
        <v>115923.68</v>
      </c>
      <c r="J126" s="5">
        <f t="shared" si="25"/>
        <v>0</v>
      </c>
      <c r="K126" s="5">
        <v>480</v>
      </c>
      <c r="L126" s="5">
        <f>INDEX('2017 Lockdown Update'!F$5:F$249,MATCH(B126,'2017 Lockdown Update'!B$5:B$249,0))</f>
        <v>480</v>
      </c>
      <c r="M126" s="5">
        <f t="shared" si="26"/>
        <v>0</v>
      </c>
      <c r="N126" s="5">
        <v>115443.68</v>
      </c>
      <c r="O126" s="105">
        <f t="shared" si="27"/>
        <v>115443.68</v>
      </c>
      <c r="P126" s="105">
        <f t="shared" si="28"/>
        <v>0</v>
      </c>
      <c r="Q126" s="103">
        <f t="shared" si="29"/>
        <v>281.2955165692008</v>
      </c>
      <c r="R126" s="6">
        <f t="shared" si="30"/>
        <v>281.2955165692008</v>
      </c>
      <c r="S126" s="5">
        <f t="shared" si="31"/>
        <v>115443.68000000001</v>
      </c>
      <c r="T126" s="140">
        <v>0.73825000000000007</v>
      </c>
      <c r="U126" s="105">
        <f t="shared" si="19"/>
        <v>29718.91829996169</v>
      </c>
      <c r="V126" s="105">
        <f t="shared" si="20"/>
        <v>21168.004580910532</v>
      </c>
      <c r="W126" s="105">
        <f t="shared" si="21"/>
        <v>6581.9974304840152</v>
      </c>
      <c r="X126" s="105">
        <f t="shared" si="22"/>
        <v>1726.7543630648233</v>
      </c>
      <c r="Y126" s="105">
        <f t="shared" si="23"/>
        <v>59195.674674421061</v>
      </c>
      <c r="Z126" s="112">
        <f t="shared" si="32"/>
        <v>0.51276669865705127</v>
      </c>
      <c r="AA126" s="104">
        <f t="shared" si="33"/>
        <v>59344.527004576841</v>
      </c>
      <c r="AB126" s="105"/>
      <c r="AC126" s="104">
        <v>58657.075028840969</v>
      </c>
      <c r="AD126" s="5">
        <f t="shared" si="34"/>
        <v>687.45197573587211</v>
      </c>
      <c r="AE126" s="105"/>
      <c r="AF126" s="104">
        <f t="shared" si="35"/>
        <v>105.81727086157231</v>
      </c>
    </row>
    <row r="127" spans="2:32" x14ac:dyDescent="0.25">
      <c r="B127">
        <v>59</v>
      </c>
      <c r="C127" s="27">
        <v>7</v>
      </c>
      <c r="D127" s="39" t="s">
        <v>400</v>
      </c>
      <c r="E127" s="162">
        <v>270.47377712324817</v>
      </c>
      <c r="F127" s="162">
        <f>INDEX('2017 Lockdown Update'!H$5:H$249,MATCH(B127,'2017 Lockdown Update'!B$5:B$249,0))</f>
        <v>270.47377712324817</v>
      </c>
      <c r="G127" s="162">
        <f t="shared" si="24"/>
        <v>0</v>
      </c>
      <c r="H127" s="5">
        <v>160123.23000000001</v>
      </c>
      <c r="I127" s="5">
        <f>INDEX('2017 Lockdown Update'!E$5:E$249,MATCH(B127,'2017 Lockdown Update'!B$5:B$249,0))</f>
        <v>160123.23000000001</v>
      </c>
      <c r="J127" s="5">
        <f t="shared" si="25"/>
        <v>0</v>
      </c>
      <c r="K127" s="5">
        <v>0</v>
      </c>
      <c r="L127" s="5">
        <f>INDEX('2017 Lockdown Update'!F$5:F$249,MATCH(B127,'2017 Lockdown Update'!B$5:B$249,0))</f>
        <v>0</v>
      </c>
      <c r="M127" s="5">
        <f t="shared" si="26"/>
        <v>0</v>
      </c>
      <c r="N127" s="5">
        <v>160123.23000000001</v>
      </c>
      <c r="O127" s="105">
        <f t="shared" si="27"/>
        <v>160123.23000000001</v>
      </c>
      <c r="P127" s="105">
        <f t="shared" si="28"/>
        <v>0</v>
      </c>
      <c r="Q127" s="103">
        <f t="shared" si="29"/>
        <v>592.01018192250058</v>
      </c>
      <c r="R127" s="6">
        <f t="shared" si="30"/>
        <v>592.01018192250058</v>
      </c>
      <c r="S127" s="5">
        <f t="shared" si="31"/>
        <v>160123.23000000001</v>
      </c>
      <c r="T127" s="140">
        <v>0.14000000000000001</v>
      </c>
      <c r="U127" s="105">
        <f t="shared" si="19"/>
        <v>41220.872292844222</v>
      </c>
      <c r="V127" s="105">
        <f t="shared" si="20"/>
        <v>13950.755733823322</v>
      </c>
      <c r="W127" s="105">
        <f t="shared" si="21"/>
        <v>1731.2766362994576</v>
      </c>
      <c r="X127" s="105">
        <f t="shared" si="22"/>
        <v>2395.0508683587723</v>
      </c>
      <c r="Y127" s="105">
        <f t="shared" si="23"/>
        <v>59297.955531325773</v>
      </c>
      <c r="Z127" s="112">
        <f t="shared" si="32"/>
        <v>0.37032700084382364</v>
      </c>
      <c r="AA127" s="104">
        <f t="shared" si="33"/>
        <v>59447.065055000581</v>
      </c>
      <c r="AB127" s="105"/>
      <c r="AC127" s="104">
        <v>58674.891892704436</v>
      </c>
      <c r="AD127" s="5">
        <f t="shared" si="34"/>
        <v>772.17316229614516</v>
      </c>
      <c r="AE127" s="105"/>
      <c r="AF127" s="104">
        <f t="shared" si="35"/>
        <v>106.00010653662065</v>
      </c>
    </row>
    <row r="128" spans="2:32" x14ac:dyDescent="0.25">
      <c r="B128">
        <v>128</v>
      </c>
      <c r="C128" s="27">
        <v>7</v>
      </c>
      <c r="D128" s="39" t="s">
        <v>401</v>
      </c>
      <c r="E128" s="162">
        <v>162.90807403927388</v>
      </c>
      <c r="F128" s="162">
        <f>INDEX('2017 Lockdown Update'!H$5:H$249,MATCH(B128,'2017 Lockdown Update'!B$5:B$249,0))</f>
        <v>162.90807403927388</v>
      </c>
      <c r="G128" s="162">
        <f t="shared" si="24"/>
        <v>0</v>
      </c>
      <c r="H128" s="5">
        <v>97728.05</v>
      </c>
      <c r="I128" s="5">
        <f>INDEX('2017 Lockdown Update'!E$5:E$249,MATCH(B128,'2017 Lockdown Update'!B$5:B$249,0))</f>
        <v>97728.05</v>
      </c>
      <c r="J128" s="5">
        <f t="shared" si="25"/>
        <v>0</v>
      </c>
      <c r="K128" s="5">
        <v>305.20999999999998</v>
      </c>
      <c r="L128" s="5">
        <f>INDEX('2017 Lockdown Update'!F$5:F$249,MATCH(B128,'2017 Lockdown Update'!B$5:B$249,0))</f>
        <v>305.20999999999998</v>
      </c>
      <c r="M128" s="5">
        <f t="shared" si="26"/>
        <v>0</v>
      </c>
      <c r="N128" s="5">
        <v>97422.84</v>
      </c>
      <c r="O128" s="105">
        <f t="shared" si="27"/>
        <v>97422.84</v>
      </c>
      <c r="P128" s="105">
        <f t="shared" si="28"/>
        <v>0</v>
      </c>
      <c r="Q128" s="103">
        <f t="shared" si="29"/>
        <v>598.02339800858056</v>
      </c>
      <c r="R128" s="6">
        <f t="shared" si="30"/>
        <v>598.02339800858056</v>
      </c>
      <c r="S128" s="5">
        <f t="shared" si="31"/>
        <v>97422.84</v>
      </c>
      <c r="T128" s="140">
        <v>5.6500000000000002E-2</v>
      </c>
      <c r="U128" s="105">
        <f t="shared" si="19"/>
        <v>25079.774159228458</v>
      </c>
      <c r="V128" s="105">
        <f t="shared" si="20"/>
        <v>8402.6287951526847</v>
      </c>
      <c r="W128" s="105">
        <f t="shared" si="21"/>
        <v>425.10217199892236</v>
      </c>
      <c r="X128" s="105">
        <f t="shared" si="22"/>
        <v>1457.2067871724653</v>
      </c>
      <c r="Y128" s="105">
        <f t="shared" si="23"/>
        <v>35364.711913552528</v>
      </c>
      <c r="Z128" s="112">
        <f t="shared" si="32"/>
        <v>0.36300226839571226</v>
      </c>
      <c r="AA128" s="104">
        <f t="shared" si="33"/>
        <v>35453.639352973958</v>
      </c>
      <c r="AB128" s="105"/>
      <c r="AC128" s="104">
        <v>34996.250350769813</v>
      </c>
      <c r="AD128" s="5">
        <f t="shared" si="34"/>
        <v>457.38900220414507</v>
      </c>
      <c r="AE128" s="105"/>
      <c r="AF128" s="104">
        <f t="shared" si="35"/>
        <v>63.21741107065877</v>
      </c>
    </row>
    <row r="129" spans="2:32" x14ac:dyDescent="0.25">
      <c r="B129">
        <v>152</v>
      </c>
      <c r="C129" s="27">
        <v>7</v>
      </c>
      <c r="D129" s="39" t="s">
        <v>402</v>
      </c>
      <c r="E129" s="162">
        <v>349.11658476040691</v>
      </c>
      <c r="F129" s="162">
        <f>INDEX('2017 Lockdown Update'!H$5:H$249,MATCH(B129,'2017 Lockdown Update'!B$5:B$249,0))</f>
        <v>349.11658476040691</v>
      </c>
      <c r="G129" s="162">
        <f t="shared" si="24"/>
        <v>0</v>
      </c>
      <c r="H129" s="5">
        <v>154963.87</v>
      </c>
      <c r="I129" s="5">
        <f>INDEX('2017 Lockdown Update'!E$5:E$249,MATCH(B129,'2017 Lockdown Update'!B$5:B$249,0))</f>
        <v>154963.87</v>
      </c>
      <c r="J129" s="5">
        <f t="shared" si="25"/>
        <v>0</v>
      </c>
      <c r="K129" s="5">
        <v>38032.97</v>
      </c>
      <c r="L129" s="5">
        <f>INDEX('2017 Lockdown Update'!F$5:F$249,MATCH(B129,'2017 Lockdown Update'!B$5:B$249,0))</f>
        <v>38032.97</v>
      </c>
      <c r="M129" s="5">
        <f t="shared" si="26"/>
        <v>0</v>
      </c>
      <c r="N129" s="5">
        <v>116930.9</v>
      </c>
      <c r="O129" s="105">
        <f t="shared" si="27"/>
        <v>116930.9</v>
      </c>
      <c r="P129" s="105">
        <f t="shared" si="28"/>
        <v>0</v>
      </c>
      <c r="Q129" s="103">
        <f t="shared" si="29"/>
        <v>334.93367288823526</v>
      </c>
      <c r="R129" s="6">
        <f t="shared" si="30"/>
        <v>334.93367288823526</v>
      </c>
      <c r="S129" s="5">
        <f t="shared" si="31"/>
        <v>116930.9</v>
      </c>
      <c r="T129" s="140">
        <v>0.28000000000000003</v>
      </c>
      <c r="U129" s="105">
        <f t="shared" si="19"/>
        <v>30101.776587865093</v>
      </c>
      <c r="V129" s="105">
        <f t="shared" si="20"/>
        <v>18007.069847661143</v>
      </c>
      <c r="W129" s="105">
        <f t="shared" si="21"/>
        <v>2528.5492333806678</v>
      </c>
      <c r="X129" s="105">
        <f t="shared" si="22"/>
        <v>1748.9995273201316</v>
      </c>
      <c r="Y129" s="105">
        <f t="shared" si="23"/>
        <v>52386.395196227044</v>
      </c>
      <c r="Z129" s="112">
        <f t="shared" si="32"/>
        <v>0.44801156235201345</v>
      </c>
      <c r="AA129" s="104">
        <f t="shared" si="33"/>
        <v>52518.125040279134</v>
      </c>
      <c r="AB129" s="105"/>
      <c r="AC129" s="104">
        <v>51917.114715113603</v>
      </c>
      <c r="AD129" s="5">
        <f t="shared" si="34"/>
        <v>601.01032516553096</v>
      </c>
      <c r="AE129" s="105"/>
      <c r="AF129" s="104">
        <f t="shared" si="35"/>
        <v>93.645108370322703</v>
      </c>
    </row>
    <row r="130" spans="2:32" x14ac:dyDescent="0.25">
      <c r="B130">
        <v>162</v>
      </c>
      <c r="C130" s="27">
        <v>7</v>
      </c>
      <c r="D130" s="39" t="s">
        <v>403</v>
      </c>
      <c r="E130" s="162">
        <v>801.95999999999992</v>
      </c>
      <c r="F130" s="162">
        <f>INDEX('2017 Lockdown Update'!H$5:H$249,MATCH(B130,'2017 Lockdown Update'!B$5:B$249,0))</f>
        <v>801.95999999999992</v>
      </c>
      <c r="G130" s="162">
        <f t="shared" si="24"/>
        <v>0</v>
      </c>
      <c r="H130" s="5">
        <v>369094.26</v>
      </c>
      <c r="I130" s="5">
        <f>INDEX('2017 Lockdown Update'!E$5:E$249,MATCH(B130,'2017 Lockdown Update'!B$5:B$249,0))</f>
        <v>369094.26</v>
      </c>
      <c r="J130" s="5">
        <f t="shared" si="25"/>
        <v>0</v>
      </c>
      <c r="K130" s="5">
        <v>31965.68</v>
      </c>
      <c r="L130" s="5">
        <f>INDEX('2017 Lockdown Update'!F$5:F$249,MATCH(B130,'2017 Lockdown Update'!B$5:B$249,0))</f>
        <v>31965.68</v>
      </c>
      <c r="M130" s="5">
        <f t="shared" si="26"/>
        <v>0</v>
      </c>
      <c r="N130" s="5">
        <v>337128.58</v>
      </c>
      <c r="O130" s="105">
        <f t="shared" si="27"/>
        <v>337128.58</v>
      </c>
      <c r="P130" s="105">
        <f t="shared" si="28"/>
        <v>0</v>
      </c>
      <c r="Q130" s="103">
        <f t="shared" si="29"/>
        <v>420.38079205945439</v>
      </c>
      <c r="R130" s="6">
        <f t="shared" si="30"/>
        <v>420.38079205945439</v>
      </c>
      <c r="S130" s="5">
        <f t="shared" si="31"/>
        <v>337128.58</v>
      </c>
      <c r="T130" s="140">
        <v>0.90866666666666673</v>
      </c>
      <c r="U130" s="105">
        <f t="shared" si="19"/>
        <v>86787.745553520974</v>
      </c>
      <c r="V130" s="105">
        <f t="shared" si="20"/>
        <v>41364.261583106738</v>
      </c>
      <c r="W130" s="105">
        <f t="shared" si="21"/>
        <v>23658.339437889819</v>
      </c>
      <c r="X130" s="105">
        <f t="shared" si="22"/>
        <v>5042.6168537666881</v>
      </c>
      <c r="Y130" s="105">
        <f t="shared" si="23"/>
        <v>156852.96342828422</v>
      </c>
      <c r="Z130" s="112">
        <f t="shared" si="32"/>
        <v>0.46526154332060549</v>
      </c>
      <c r="AA130" s="104">
        <f t="shared" si="33"/>
        <v>157247.38293995554</v>
      </c>
      <c r="AB130" s="105"/>
      <c r="AC130" s="104">
        <v>155137.07543037317</v>
      </c>
      <c r="AD130" s="5">
        <f t="shared" si="34"/>
        <v>2110.3075095823733</v>
      </c>
      <c r="AE130" s="105"/>
      <c r="AF130" s="104">
        <f t="shared" si="35"/>
        <v>280.38792712169345</v>
      </c>
    </row>
    <row r="131" spans="2:32" x14ac:dyDescent="0.25">
      <c r="B131">
        <v>166</v>
      </c>
      <c r="C131" s="27">
        <v>7</v>
      </c>
      <c r="D131" s="39" t="s">
        <v>404</v>
      </c>
      <c r="E131" s="162">
        <v>876.06119999999987</v>
      </c>
      <c r="F131" s="162">
        <f>INDEX('2017 Lockdown Update'!H$5:H$249,MATCH(B131,'2017 Lockdown Update'!B$5:B$249,0))</f>
        <v>890.20999999999981</v>
      </c>
      <c r="G131" s="162">
        <f t="shared" si="24"/>
        <v>14.148799999999937</v>
      </c>
      <c r="H131" s="5">
        <v>426068.96</v>
      </c>
      <c r="I131" s="5">
        <f>INDEX('2017 Lockdown Update'!E$5:E$249,MATCH(B131,'2017 Lockdown Update'!B$5:B$249,0))</f>
        <v>426068.96</v>
      </c>
      <c r="J131" s="5">
        <f t="shared" si="25"/>
        <v>0</v>
      </c>
      <c r="K131" s="5">
        <v>137468.31999999998</v>
      </c>
      <c r="L131" s="5">
        <f>INDEX('2017 Lockdown Update'!F$5:F$249,MATCH(B131,'2017 Lockdown Update'!B$5:B$249,0))</f>
        <v>137468.31999999998</v>
      </c>
      <c r="M131" s="5">
        <f t="shared" si="26"/>
        <v>0</v>
      </c>
      <c r="N131" s="5">
        <v>288600.64</v>
      </c>
      <c r="O131" s="105">
        <f t="shared" si="27"/>
        <v>288600.64</v>
      </c>
      <c r="P131" s="105">
        <f t="shared" si="28"/>
        <v>0</v>
      </c>
      <c r="Q131" s="103">
        <f t="shared" si="29"/>
        <v>324.19388683569053</v>
      </c>
      <c r="R131" s="6">
        <f t="shared" si="30"/>
        <v>324.19388683569053</v>
      </c>
      <c r="S131" s="5">
        <f t="shared" si="31"/>
        <v>288600.64</v>
      </c>
      <c r="T131" s="140">
        <v>0.76008333333333333</v>
      </c>
      <c r="U131" s="105">
        <f t="shared" si="19"/>
        <v>74295.092130436722</v>
      </c>
      <c r="V131" s="105">
        <f t="shared" si="20"/>
        <v>45916.104673421934</v>
      </c>
      <c r="W131" s="105">
        <f t="shared" si="21"/>
        <v>16941.138383042835</v>
      </c>
      <c r="X131" s="105">
        <f t="shared" si="22"/>
        <v>4316.7578710527969</v>
      </c>
      <c r="Y131" s="105">
        <f t="shared" si="23"/>
        <v>141469.09305795428</v>
      </c>
      <c r="Z131" s="112">
        <f t="shared" si="32"/>
        <v>0.49018981059069816</v>
      </c>
      <c r="AA131" s="104">
        <f t="shared" si="33"/>
        <v>141824.82857853954</v>
      </c>
      <c r="AB131" s="105"/>
      <c r="AC131" s="104">
        <v>139348.85098336285</v>
      </c>
      <c r="AD131" s="5">
        <f t="shared" si="34"/>
        <v>2475.9775951766933</v>
      </c>
      <c r="AE131" s="105"/>
      <c r="AF131" s="104">
        <f t="shared" si="35"/>
        <v>252.88795880762439</v>
      </c>
    </row>
    <row r="132" spans="2:32" x14ac:dyDescent="0.25">
      <c r="B132">
        <v>192</v>
      </c>
      <c r="C132" s="27">
        <v>7</v>
      </c>
      <c r="D132" s="39" t="s">
        <v>405</v>
      </c>
      <c r="E132" s="162">
        <v>179.21000000000006</v>
      </c>
      <c r="F132" s="162">
        <f>INDEX('2017 Lockdown Update'!H$5:H$249,MATCH(B132,'2017 Lockdown Update'!B$5:B$249,0))</f>
        <v>179.21000000000006</v>
      </c>
      <c r="G132" s="162">
        <f t="shared" si="24"/>
        <v>0</v>
      </c>
      <c r="H132" s="5">
        <v>96817.45</v>
      </c>
      <c r="I132" s="5">
        <f>INDEX('2017 Lockdown Update'!E$5:E$249,MATCH(B132,'2017 Lockdown Update'!B$5:B$249,0))</f>
        <v>96817.45</v>
      </c>
      <c r="J132" s="5">
        <f t="shared" si="25"/>
        <v>0</v>
      </c>
      <c r="K132" s="5">
        <v>28148.03</v>
      </c>
      <c r="L132" s="5">
        <f>INDEX('2017 Lockdown Update'!F$5:F$249,MATCH(B132,'2017 Lockdown Update'!B$5:B$249,0))</f>
        <v>28148.03</v>
      </c>
      <c r="M132" s="5">
        <f t="shared" si="26"/>
        <v>0</v>
      </c>
      <c r="N132" s="5">
        <v>68669.42</v>
      </c>
      <c r="O132" s="105">
        <f t="shared" si="27"/>
        <v>68669.42</v>
      </c>
      <c r="P132" s="105">
        <f t="shared" si="28"/>
        <v>0</v>
      </c>
      <c r="Q132" s="103">
        <f t="shared" si="29"/>
        <v>383.17850566374631</v>
      </c>
      <c r="R132" s="6">
        <f t="shared" si="30"/>
        <v>383.17850566374631</v>
      </c>
      <c r="S132" s="5">
        <f t="shared" si="31"/>
        <v>68669.42</v>
      </c>
      <c r="T132" s="140">
        <v>0.69900000000000007</v>
      </c>
      <c r="U132" s="105">
        <f t="shared" si="19"/>
        <v>17677.718543672159</v>
      </c>
      <c r="V132" s="105">
        <f t="shared" si="20"/>
        <v>9243.4651582479946</v>
      </c>
      <c r="W132" s="105">
        <f t="shared" si="21"/>
        <v>3707.0175786080522</v>
      </c>
      <c r="X132" s="105">
        <f t="shared" si="22"/>
        <v>1027.1261327959298</v>
      </c>
      <c r="Y132" s="105">
        <f t="shared" si="23"/>
        <v>31655.327413324136</v>
      </c>
      <c r="Z132" s="112">
        <f t="shared" si="32"/>
        <v>0.46098142977360429</v>
      </c>
      <c r="AA132" s="104">
        <f t="shared" si="33"/>
        <v>31734.927304249166</v>
      </c>
      <c r="AB132" s="105"/>
      <c r="AC132" s="104">
        <v>31331.23995497448</v>
      </c>
      <c r="AD132" s="5">
        <f t="shared" si="34"/>
        <v>403.6873492746854</v>
      </c>
      <c r="AE132" s="105"/>
      <c r="AF132" s="104">
        <f t="shared" si="35"/>
        <v>56.586572811795321</v>
      </c>
    </row>
    <row r="133" spans="2:32" x14ac:dyDescent="0.25">
      <c r="B133">
        <v>205</v>
      </c>
      <c r="C133" s="27">
        <v>7</v>
      </c>
      <c r="D133" s="39" t="s">
        <v>406</v>
      </c>
      <c r="E133" s="162">
        <v>697.88310122153791</v>
      </c>
      <c r="F133" s="162">
        <f>INDEX('2017 Lockdown Update'!H$5:H$249,MATCH(B133,'2017 Lockdown Update'!B$5:B$249,0))</f>
        <v>697.88310122153791</v>
      </c>
      <c r="G133" s="162">
        <f t="shared" si="24"/>
        <v>0</v>
      </c>
      <c r="H133" s="5">
        <v>396318.41</v>
      </c>
      <c r="I133" s="5">
        <f>INDEX('2017 Lockdown Update'!E$5:E$249,MATCH(B133,'2017 Lockdown Update'!B$5:B$249,0))</f>
        <v>396318.41</v>
      </c>
      <c r="J133" s="5">
        <f t="shared" si="25"/>
        <v>0</v>
      </c>
      <c r="K133" s="5">
        <v>15454.5</v>
      </c>
      <c r="L133" s="5">
        <f>INDEX('2017 Lockdown Update'!F$5:F$249,MATCH(B133,'2017 Lockdown Update'!B$5:B$249,0))</f>
        <v>15454.5</v>
      </c>
      <c r="M133" s="5">
        <f t="shared" si="26"/>
        <v>0</v>
      </c>
      <c r="N133" s="5">
        <v>380863.91</v>
      </c>
      <c r="O133" s="105">
        <f t="shared" si="27"/>
        <v>380863.91</v>
      </c>
      <c r="P133" s="105">
        <f t="shared" si="28"/>
        <v>0</v>
      </c>
      <c r="Q133" s="103">
        <f t="shared" si="29"/>
        <v>545.74169991128281</v>
      </c>
      <c r="R133" s="6">
        <f t="shared" si="30"/>
        <v>545.74169991128281</v>
      </c>
      <c r="S133" s="5">
        <f t="shared" si="31"/>
        <v>380863.91</v>
      </c>
      <c r="T133" s="140">
        <v>0.52249999999999996</v>
      </c>
      <c r="U133" s="105">
        <f t="shared" si="19"/>
        <v>98046.626932665007</v>
      </c>
      <c r="V133" s="105">
        <f t="shared" si="20"/>
        <v>35996.083537031096</v>
      </c>
      <c r="W133" s="105">
        <f t="shared" si="21"/>
        <v>15368.80877169524</v>
      </c>
      <c r="X133" s="105">
        <f t="shared" si="22"/>
        <v>5696.7901432666404</v>
      </c>
      <c r="Y133" s="105">
        <f t="shared" si="23"/>
        <v>155108.30938465797</v>
      </c>
      <c r="Z133" s="112">
        <f t="shared" si="32"/>
        <v>0.40725389125122929</v>
      </c>
      <c r="AA133" s="104">
        <f t="shared" si="33"/>
        <v>155498.34182208547</v>
      </c>
      <c r="AB133" s="105"/>
      <c r="AC133" s="104">
        <v>153377.43276488487</v>
      </c>
      <c r="AD133" s="5">
        <f t="shared" si="34"/>
        <v>2120.9090572005953</v>
      </c>
      <c r="AE133" s="105"/>
      <c r="AF133" s="104">
        <f t="shared" si="35"/>
        <v>277.26921058523152</v>
      </c>
    </row>
    <row r="134" spans="2:32" x14ac:dyDescent="0.25">
      <c r="B134">
        <v>212</v>
      </c>
      <c r="C134" s="27">
        <v>7</v>
      </c>
      <c r="D134" s="39" t="s">
        <v>407</v>
      </c>
      <c r="E134" s="162">
        <v>463.08399263108981</v>
      </c>
      <c r="F134" s="162">
        <f>INDEX('2017 Lockdown Update'!H$5:H$249,MATCH(B134,'2017 Lockdown Update'!B$5:B$249,0))</f>
        <v>463.08399263108981</v>
      </c>
      <c r="G134" s="162">
        <f t="shared" si="24"/>
        <v>0</v>
      </c>
      <c r="H134" s="5">
        <v>240439.65</v>
      </c>
      <c r="I134" s="5">
        <f>INDEX('2017 Lockdown Update'!E$5:E$249,MATCH(B134,'2017 Lockdown Update'!B$5:B$249,0))</f>
        <v>240439.65</v>
      </c>
      <c r="J134" s="5">
        <f t="shared" si="25"/>
        <v>0</v>
      </c>
      <c r="K134" s="5">
        <v>909</v>
      </c>
      <c r="L134" s="5">
        <f>INDEX('2017 Lockdown Update'!F$5:F$249,MATCH(B134,'2017 Lockdown Update'!B$5:B$249,0))</f>
        <v>909</v>
      </c>
      <c r="M134" s="5">
        <f t="shared" si="26"/>
        <v>0</v>
      </c>
      <c r="N134" s="5">
        <v>239530.65</v>
      </c>
      <c r="O134" s="105">
        <f t="shared" si="27"/>
        <v>239530.65</v>
      </c>
      <c r="P134" s="105">
        <f t="shared" si="28"/>
        <v>0</v>
      </c>
      <c r="Q134" s="103">
        <f t="shared" si="29"/>
        <v>517.25098213623448</v>
      </c>
      <c r="R134" s="6">
        <f t="shared" si="30"/>
        <v>517.25098213623448</v>
      </c>
      <c r="S134" s="5">
        <f t="shared" si="31"/>
        <v>239530.64999999997</v>
      </c>
      <c r="T134" s="140">
        <v>0.20141666666666666</v>
      </c>
      <c r="U134" s="105">
        <f t="shared" si="19"/>
        <v>61662.897593759284</v>
      </c>
      <c r="V134" s="105">
        <f t="shared" si="20"/>
        <v>23885.390052049821</v>
      </c>
      <c r="W134" s="105">
        <f t="shared" si="21"/>
        <v>3725.9805871029048</v>
      </c>
      <c r="X134" s="105">
        <f t="shared" si="22"/>
        <v>3582.7911495480139</v>
      </c>
      <c r="Y134" s="105">
        <f t="shared" si="23"/>
        <v>92857.059382460022</v>
      </c>
      <c r="Z134" s="112">
        <f t="shared" si="32"/>
        <v>0.38766253664180361</v>
      </c>
      <c r="AA134" s="104">
        <f t="shared" si="33"/>
        <v>93090.555997483243</v>
      </c>
      <c r="AB134" s="105"/>
      <c r="AC134" s="104">
        <v>91891.016764495871</v>
      </c>
      <c r="AD134" s="5">
        <f t="shared" si="34"/>
        <v>1199.5392329873721</v>
      </c>
      <c r="AE134" s="105"/>
      <c r="AF134" s="104">
        <f t="shared" si="35"/>
        <v>165.98984061125535</v>
      </c>
    </row>
    <row r="135" spans="2:32" x14ac:dyDescent="0.25">
      <c r="B135">
        <v>216</v>
      </c>
      <c r="C135" s="27">
        <v>7</v>
      </c>
      <c r="D135" s="39" t="s">
        <v>408</v>
      </c>
      <c r="E135" s="162">
        <v>777.10128664585602</v>
      </c>
      <c r="F135" s="162">
        <f>INDEX('2017 Lockdown Update'!H$5:H$249,MATCH(B135,'2017 Lockdown Update'!B$5:B$249,0))</f>
        <v>764.29003707426727</v>
      </c>
      <c r="G135" s="162">
        <f t="shared" si="24"/>
        <v>-12.811249571588746</v>
      </c>
      <c r="H135" s="5">
        <v>341277.21</v>
      </c>
      <c r="I135" s="5">
        <f>INDEX('2017 Lockdown Update'!E$5:E$249,MATCH(B135,'2017 Lockdown Update'!B$5:B$249,0))</f>
        <v>336769.59</v>
      </c>
      <c r="J135" s="5">
        <f t="shared" si="25"/>
        <v>-4507.6199999999953</v>
      </c>
      <c r="K135" s="5">
        <v>500</v>
      </c>
      <c r="L135" s="5">
        <f>INDEX('2017 Lockdown Update'!F$5:F$249,MATCH(B135,'2017 Lockdown Update'!B$5:B$249,0))</f>
        <v>500</v>
      </c>
      <c r="M135" s="5">
        <f t="shared" si="26"/>
        <v>0</v>
      </c>
      <c r="N135" s="5">
        <v>340777.21</v>
      </c>
      <c r="O135" s="105">
        <f t="shared" si="27"/>
        <v>336269.59</v>
      </c>
      <c r="P135" s="105">
        <f t="shared" si="28"/>
        <v>-4507.6199999999953</v>
      </c>
      <c r="Q135" s="103">
        <f t="shared" si="29"/>
        <v>439.97641430372875</v>
      </c>
      <c r="R135" s="6">
        <f t="shared" si="30"/>
        <v>439.97641430372875</v>
      </c>
      <c r="S135" s="5">
        <f t="shared" si="31"/>
        <v>336269.59</v>
      </c>
      <c r="T135" s="140">
        <v>0.63050000000000006</v>
      </c>
      <c r="U135" s="105">
        <f t="shared" si="19"/>
        <v>86566.613884550577</v>
      </c>
      <c r="V135" s="105">
        <f t="shared" si="20"/>
        <v>39421.284127515515</v>
      </c>
      <c r="W135" s="105">
        <f t="shared" si="21"/>
        <v>16374.075016262745</v>
      </c>
      <c r="X135" s="105">
        <f t="shared" si="22"/>
        <v>5029.7684697726136</v>
      </c>
      <c r="Y135" s="105">
        <f t="shared" si="23"/>
        <v>147391.74149810144</v>
      </c>
      <c r="Z135" s="112">
        <f t="shared" si="32"/>
        <v>0.43831421538326265</v>
      </c>
      <c r="AA135" s="104">
        <f t="shared" si="33"/>
        <v>147762.36999905831</v>
      </c>
      <c r="AB135" s="105"/>
      <c r="AC135" s="104">
        <v>147883.50471486137</v>
      </c>
      <c r="AD135" s="5">
        <f t="shared" si="34"/>
        <v>-121.13471580305486</v>
      </c>
      <c r="AE135" s="105"/>
      <c r="AF135" s="104">
        <f t="shared" si="35"/>
        <v>263.47519339285213</v>
      </c>
    </row>
    <row r="136" spans="2:32" x14ac:dyDescent="0.25">
      <c r="B136">
        <v>229</v>
      </c>
      <c r="C136" s="27">
        <v>7</v>
      </c>
      <c r="D136" s="39" t="s">
        <v>409</v>
      </c>
      <c r="E136" s="162">
        <v>820.78999999999985</v>
      </c>
      <c r="F136" s="162">
        <f>INDEX('2017 Lockdown Update'!H$5:H$249,MATCH(B136,'2017 Lockdown Update'!B$5:B$249,0))</f>
        <v>820.78999999999985</v>
      </c>
      <c r="G136" s="162">
        <f t="shared" si="24"/>
        <v>0</v>
      </c>
      <c r="H136" s="5">
        <v>433626.26</v>
      </c>
      <c r="I136" s="5">
        <f>INDEX('2017 Lockdown Update'!E$5:E$249,MATCH(B136,'2017 Lockdown Update'!B$5:B$249,0))</f>
        <v>433626.26</v>
      </c>
      <c r="J136" s="5">
        <f t="shared" si="25"/>
        <v>0</v>
      </c>
      <c r="K136" s="5">
        <v>126732.33000000002</v>
      </c>
      <c r="L136" s="5">
        <f>INDEX('2017 Lockdown Update'!F$5:F$249,MATCH(B136,'2017 Lockdown Update'!B$5:B$249,0))</f>
        <v>126732.33000000002</v>
      </c>
      <c r="M136" s="5">
        <f t="shared" si="26"/>
        <v>0</v>
      </c>
      <c r="N136" s="5">
        <v>306893.93</v>
      </c>
      <c r="O136" s="105">
        <f t="shared" si="27"/>
        <v>306893.93</v>
      </c>
      <c r="P136" s="105">
        <f t="shared" si="28"/>
        <v>0</v>
      </c>
      <c r="Q136" s="103">
        <f t="shared" si="29"/>
        <v>373.90066886779817</v>
      </c>
      <c r="R136" s="6">
        <f t="shared" si="30"/>
        <v>373.90066886779817</v>
      </c>
      <c r="S136" s="5">
        <f t="shared" si="31"/>
        <v>306893.93</v>
      </c>
      <c r="T136" s="140">
        <v>0.67066666666666674</v>
      </c>
      <c r="U136" s="105">
        <f t="shared" si="19"/>
        <v>79004.373668824148</v>
      </c>
      <c r="V136" s="105">
        <f t="shared" si="20"/>
        <v>42335.493372235745</v>
      </c>
      <c r="W136" s="105">
        <f t="shared" si="21"/>
        <v>15895.679982167421</v>
      </c>
      <c r="X136" s="105">
        <f t="shared" si="22"/>
        <v>4590.3806308462317</v>
      </c>
      <c r="Y136" s="105">
        <f t="shared" si="23"/>
        <v>141825.92765407354</v>
      </c>
      <c r="Z136" s="112">
        <f t="shared" si="32"/>
        <v>0.46213337505265595</v>
      </c>
      <c r="AA136" s="104">
        <f t="shared" si="33"/>
        <v>142182.56046422271</v>
      </c>
      <c r="AB136" s="105"/>
      <c r="AC136" s="104">
        <v>140402.65252839634</v>
      </c>
      <c r="AD136" s="5">
        <f t="shared" si="34"/>
        <v>1779.9079358263698</v>
      </c>
      <c r="AE136" s="105"/>
      <c r="AF136" s="104">
        <f t="shared" si="35"/>
        <v>253.5258308027999</v>
      </c>
    </row>
    <row r="137" spans="2:32" x14ac:dyDescent="0.25">
      <c r="B137">
        <v>236</v>
      </c>
      <c r="C137" s="27">
        <v>7</v>
      </c>
      <c r="D137" s="39" t="s">
        <v>410</v>
      </c>
      <c r="E137" s="162">
        <v>1079.3800000000001</v>
      </c>
      <c r="F137" s="162">
        <f>INDEX('2017 Lockdown Update'!H$5:H$249,MATCH(B137,'2017 Lockdown Update'!B$5:B$249,0))</f>
        <v>1079.3800000000001</v>
      </c>
      <c r="G137" s="162">
        <f t="shared" si="24"/>
        <v>0</v>
      </c>
      <c r="H137" s="5">
        <v>596827.42000000004</v>
      </c>
      <c r="I137" s="5">
        <f>INDEX('2017 Lockdown Update'!E$5:E$249,MATCH(B137,'2017 Lockdown Update'!B$5:B$249,0))</f>
        <v>596827.42000000004</v>
      </c>
      <c r="J137" s="5">
        <f t="shared" si="25"/>
        <v>0</v>
      </c>
      <c r="K137" s="5">
        <v>137001.84999999998</v>
      </c>
      <c r="L137" s="5">
        <f>INDEX('2017 Lockdown Update'!F$5:F$249,MATCH(B137,'2017 Lockdown Update'!B$5:B$249,0))</f>
        <v>137001.84999999998</v>
      </c>
      <c r="M137" s="5">
        <f t="shared" si="26"/>
        <v>0</v>
      </c>
      <c r="N137" s="5">
        <v>459825.57000000007</v>
      </c>
      <c r="O137" s="105">
        <f t="shared" si="27"/>
        <v>459825.57000000007</v>
      </c>
      <c r="P137" s="105">
        <f t="shared" si="28"/>
        <v>0</v>
      </c>
      <c r="Q137" s="103">
        <f t="shared" si="29"/>
        <v>426.008977375901</v>
      </c>
      <c r="R137" s="6">
        <f t="shared" si="30"/>
        <v>426.008977375901</v>
      </c>
      <c r="S137" s="5">
        <f t="shared" si="31"/>
        <v>459825.57000000007</v>
      </c>
      <c r="T137" s="140">
        <v>0.74483333333333335</v>
      </c>
      <c r="U137" s="105">
        <f t="shared" si="19"/>
        <v>118373.89926467447</v>
      </c>
      <c r="V137" s="105">
        <f t="shared" si="20"/>
        <v>55673.296258633549</v>
      </c>
      <c r="W137" s="105">
        <f t="shared" si="21"/>
        <v>26450.647790691513</v>
      </c>
      <c r="X137" s="105">
        <f t="shared" si="22"/>
        <v>6877.8629479437022</v>
      </c>
      <c r="Y137" s="105">
        <f t="shared" si="23"/>
        <v>207375.70626194324</v>
      </c>
      <c r="Z137" s="112">
        <f t="shared" si="32"/>
        <v>0.45098776534315654</v>
      </c>
      <c r="AA137" s="104">
        <f t="shared" si="33"/>
        <v>207897.1693124882</v>
      </c>
      <c r="AB137" s="105"/>
      <c r="AC137" s="104">
        <v>205185.19476289413</v>
      </c>
      <c r="AD137" s="5">
        <f t="shared" si="34"/>
        <v>2711.9745495940733</v>
      </c>
      <c r="AE137" s="105"/>
      <c r="AF137" s="104">
        <f t="shared" si="35"/>
        <v>370.70159940439123</v>
      </c>
    </row>
    <row r="138" spans="2:32" x14ac:dyDescent="0.25">
      <c r="B138">
        <v>239</v>
      </c>
      <c r="C138" s="27">
        <v>7</v>
      </c>
      <c r="D138" s="39" t="s">
        <v>411</v>
      </c>
      <c r="E138" s="162">
        <v>3332.4437947019587</v>
      </c>
      <c r="F138" s="162">
        <f>INDEX('2017 Lockdown Update'!H$5:H$249,MATCH(B138,'2017 Lockdown Update'!B$5:B$249,0))</f>
        <v>3332.4437947019587</v>
      </c>
      <c r="G138" s="162">
        <f t="shared" si="24"/>
        <v>0</v>
      </c>
      <c r="H138" s="5">
        <v>1716224.8</v>
      </c>
      <c r="I138" s="5">
        <f>INDEX('2017 Lockdown Update'!E$5:E$249,MATCH(B138,'2017 Lockdown Update'!B$5:B$249,0))</f>
        <v>1716224.8</v>
      </c>
      <c r="J138" s="5">
        <f t="shared" si="25"/>
        <v>0</v>
      </c>
      <c r="K138" s="5">
        <v>526079.6</v>
      </c>
      <c r="L138" s="5">
        <f>INDEX('2017 Lockdown Update'!F$5:F$249,MATCH(B138,'2017 Lockdown Update'!B$5:B$249,0))</f>
        <v>526079.6</v>
      </c>
      <c r="M138" s="5">
        <f t="shared" si="26"/>
        <v>0</v>
      </c>
      <c r="N138" s="5">
        <v>1190145.2000000002</v>
      </c>
      <c r="O138" s="105">
        <f t="shared" si="27"/>
        <v>1190145.2000000002</v>
      </c>
      <c r="P138" s="105">
        <f t="shared" si="28"/>
        <v>0</v>
      </c>
      <c r="Q138" s="103">
        <f t="shared" si="29"/>
        <v>357.13886664559402</v>
      </c>
      <c r="R138" s="6">
        <f t="shared" si="30"/>
        <v>357.13886664559402</v>
      </c>
      <c r="S138" s="5">
        <f t="shared" si="31"/>
        <v>1190145.2000000002</v>
      </c>
      <c r="T138" s="140">
        <v>0.90774999999999995</v>
      </c>
      <c r="U138" s="105">
        <f t="shared" si="19"/>
        <v>306381.67428387218</v>
      </c>
      <c r="V138" s="105">
        <f t="shared" si="20"/>
        <v>171883.98029210026</v>
      </c>
      <c r="W138" s="105">
        <f t="shared" si="21"/>
        <v>83435.389449355484</v>
      </c>
      <c r="X138" s="105">
        <f t="shared" si="22"/>
        <v>17801.653730898539</v>
      </c>
      <c r="Y138" s="105">
        <f t="shared" si="23"/>
        <v>579502.69775622652</v>
      </c>
      <c r="Z138" s="112">
        <f t="shared" si="32"/>
        <v>0.48691764480184974</v>
      </c>
      <c r="AA138" s="104">
        <f t="shared" si="33"/>
        <v>580959.90434044087</v>
      </c>
      <c r="AB138" s="105"/>
      <c r="AC138" s="104">
        <v>573578.46043687977</v>
      </c>
      <c r="AD138" s="5">
        <f t="shared" si="34"/>
        <v>7381.4439035610994</v>
      </c>
      <c r="AE138" s="105"/>
      <c r="AF138" s="104">
        <f t="shared" si="35"/>
        <v>1035.9100436096555</v>
      </c>
    </row>
    <row r="139" spans="2:32" x14ac:dyDescent="0.25">
      <c r="B139">
        <v>249</v>
      </c>
      <c r="C139" s="27">
        <v>7</v>
      </c>
      <c r="D139" s="39" t="s">
        <v>412</v>
      </c>
      <c r="E139" s="162">
        <v>1232.5183570890767</v>
      </c>
      <c r="F139" s="162">
        <f>INDEX('2017 Lockdown Update'!H$5:H$249,MATCH(B139,'2017 Lockdown Update'!B$5:B$249,0))</f>
        <v>1232.5183570890767</v>
      </c>
      <c r="G139" s="162">
        <f t="shared" si="24"/>
        <v>0</v>
      </c>
      <c r="H139" s="5">
        <v>536656.37</v>
      </c>
      <c r="I139" s="5">
        <f>INDEX('2017 Lockdown Update'!E$5:E$249,MATCH(B139,'2017 Lockdown Update'!B$5:B$249,0))</f>
        <v>536656.37</v>
      </c>
      <c r="J139" s="5">
        <f t="shared" si="25"/>
        <v>0</v>
      </c>
      <c r="K139" s="5">
        <v>0</v>
      </c>
      <c r="L139" s="5">
        <f>INDEX('2017 Lockdown Update'!F$5:F$249,MATCH(B139,'2017 Lockdown Update'!B$5:B$249,0))</f>
        <v>0</v>
      </c>
      <c r="M139" s="5">
        <f t="shared" si="26"/>
        <v>0</v>
      </c>
      <c r="N139" s="5">
        <v>536656.37</v>
      </c>
      <c r="O139" s="105">
        <f t="shared" si="27"/>
        <v>536656.37</v>
      </c>
      <c r="P139" s="105">
        <f t="shared" si="28"/>
        <v>0</v>
      </c>
      <c r="Q139" s="103">
        <f t="shared" si="29"/>
        <v>435.41450471168497</v>
      </c>
      <c r="R139" s="6">
        <f t="shared" si="30"/>
        <v>435.41450471168497</v>
      </c>
      <c r="S139" s="5">
        <f t="shared" si="31"/>
        <v>536656.37</v>
      </c>
      <c r="T139" s="140">
        <v>0.7636666666666666</v>
      </c>
      <c r="U139" s="105">
        <f t="shared" si="19"/>
        <v>138152.61965994161</v>
      </c>
      <c r="V139" s="105">
        <f t="shared" si="20"/>
        <v>63572.013228357449</v>
      </c>
      <c r="W139" s="105">
        <f t="shared" si="21"/>
        <v>31650.765164092627</v>
      </c>
      <c r="X139" s="105">
        <f t="shared" si="22"/>
        <v>8027.0633122924546</v>
      </c>
      <c r="Y139" s="105">
        <f t="shared" si="23"/>
        <v>241402.46136468413</v>
      </c>
      <c r="Z139" s="112">
        <f t="shared" si="32"/>
        <v>0.44982688151951711</v>
      </c>
      <c r="AA139" s="104">
        <f t="shared" si="33"/>
        <v>242009.48745361899</v>
      </c>
      <c r="AB139" s="105"/>
      <c r="AC139" s="104">
        <v>238818.56675788475</v>
      </c>
      <c r="AD139" s="5">
        <f t="shared" si="34"/>
        <v>3190.9206957342394</v>
      </c>
      <c r="AE139" s="105"/>
      <c r="AF139" s="104">
        <f t="shared" si="35"/>
        <v>431.52729961054126</v>
      </c>
    </row>
    <row r="140" spans="2:32" x14ac:dyDescent="0.25">
      <c r="B140">
        <v>271</v>
      </c>
      <c r="C140" s="27">
        <v>7</v>
      </c>
      <c r="D140" s="39" t="s">
        <v>413</v>
      </c>
      <c r="E140" s="162">
        <v>877.30000000000018</v>
      </c>
      <c r="F140" s="162">
        <f>INDEX('2017 Lockdown Update'!H$5:H$249,MATCH(B140,'2017 Lockdown Update'!B$5:B$249,0))</f>
        <v>877.30000000000018</v>
      </c>
      <c r="G140" s="162">
        <f t="shared" si="24"/>
        <v>0</v>
      </c>
      <c r="H140" s="5">
        <v>610218.35</v>
      </c>
      <c r="I140" s="5">
        <f>INDEX('2017 Lockdown Update'!E$5:E$249,MATCH(B140,'2017 Lockdown Update'!B$5:B$249,0))</f>
        <v>610218.35</v>
      </c>
      <c r="J140" s="5">
        <f t="shared" si="25"/>
        <v>0</v>
      </c>
      <c r="K140" s="5">
        <v>147638.22</v>
      </c>
      <c r="L140" s="5">
        <f>INDEX('2017 Lockdown Update'!F$5:F$249,MATCH(B140,'2017 Lockdown Update'!B$5:B$249,0))</f>
        <v>147638.22</v>
      </c>
      <c r="M140" s="5">
        <f t="shared" si="26"/>
        <v>0</v>
      </c>
      <c r="N140" s="5">
        <v>462580.13</v>
      </c>
      <c r="O140" s="105">
        <f t="shared" si="27"/>
        <v>462580.13</v>
      </c>
      <c r="P140" s="105">
        <f t="shared" si="28"/>
        <v>0</v>
      </c>
      <c r="Q140" s="103">
        <f t="shared" si="29"/>
        <v>527.27702040351062</v>
      </c>
      <c r="R140" s="6">
        <f t="shared" si="30"/>
        <v>527.27702040351062</v>
      </c>
      <c r="S140" s="5">
        <f t="shared" si="31"/>
        <v>462580.12999999995</v>
      </c>
      <c r="T140" s="140">
        <v>0.82424999999999993</v>
      </c>
      <c r="U140" s="105">
        <f t="shared" si="19"/>
        <v>119083.0116525708</v>
      </c>
      <c r="V140" s="105">
        <f t="shared" si="20"/>
        <v>45250.220318793406</v>
      </c>
      <c r="W140" s="105">
        <f t="shared" si="21"/>
        <v>29446.251706389441</v>
      </c>
      <c r="X140" s="105">
        <f t="shared" si="22"/>
        <v>6919.06441084166</v>
      </c>
      <c r="Y140" s="105">
        <f t="shared" si="23"/>
        <v>200698.54808859533</v>
      </c>
      <c r="Z140" s="112">
        <f t="shared" si="32"/>
        <v>0.43386763735095007</v>
      </c>
      <c r="AA140" s="104">
        <f t="shared" si="33"/>
        <v>201203.22088278478</v>
      </c>
      <c r="AB140" s="105"/>
      <c r="AC140" s="104">
        <v>198406.30776433824</v>
      </c>
      <c r="AD140" s="5">
        <f t="shared" si="34"/>
        <v>2796.9131184465368</v>
      </c>
      <c r="AE140" s="105"/>
      <c r="AF140" s="104">
        <f t="shared" si="35"/>
        <v>358.76561491057777</v>
      </c>
    </row>
    <row r="141" spans="2:32" x14ac:dyDescent="0.25">
      <c r="B141">
        <v>275</v>
      </c>
      <c r="C141" s="44">
        <v>7</v>
      </c>
      <c r="D141" s="39" t="s">
        <v>414</v>
      </c>
      <c r="E141" s="162">
        <v>688.04999999999984</v>
      </c>
      <c r="F141" s="162">
        <f>INDEX('2017 Lockdown Update'!H$5:H$249,MATCH(B141,'2017 Lockdown Update'!B$5:B$249,0))</f>
        <v>688.04999999999984</v>
      </c>
      <c r="G141" s="162">
        <f t="shared" si="24"/>
        <v>0</v>
      </c>
      <c r="H141" s="5">
        <v>307156.09999999998</v>
      </c>
      <c r="I141" s="5">
        <f>INDEX('2017 Lockdown Update'!E$5:E$249,MATCH(B141,'2017 Lockdown Update'!B$5:B$249,0))</f>
        <v>307156.09999999998</v>
      </c>
      <c r="J141" s="5">
        <f t="shared" si="25"/>
        <v>0</v>
      </c>
      <c r="K141" s="5">
        <v>62551.649999999994</v>
      </c>
      <c r="L141" s="5">
        <f>INDEX('2017 Lockdown Update'!F$5:F$249,MATCH(B141,'2017 Lockdown Update'!B$5:B$249,0))</f>
        <v>62551.649999999994</v>
      </c>
      <c r="M141" s="5">
        <f t="shared" si="26"/>
        <v>0</v>
      </c>
      <c r="N141" s="5">
        <v>244604.44999999998</v>
      </c>
      <c r="O141" s="105">
        <f t="shared" si="27"/>
        <v>244604.44999999998</v>
      </c>
      <c r="P141" s="105">
        <f t="shared" si="28"/>
        <v>0</v>
      </c>
      <c r="Q141" s="103">
        <f t="shared" si="29"/>
        <v>355.50388779885191</v>
      </c>
      <c r="R141" s="6">
        <f t="shared" si="30"/>
        <v>355.50388779885191</v>
      </c>
      <c r="S141" s="5">
        <f t="shared" si="31"/>
        <v>244604.45</v>
      </c>
      <c r="T141" s="140">
        <v>0.64058333333333339</v>
      </c>
      <c r="U141" s="105">
        <f t="shared" si="19"/>
        <v>62969.056992613754</v>
      </c>
      <c r="V141" s="105">
        <f t="shared" si="20"/>
        <v>35488.902416899335</v>
      </c>
      <c r="W141" s="105">
        <f t="shared" si="21"/>
        <v>12101.07852755555</v>
      </c>
      <c r="X141" s="105">
        <f t="shared" si="22"/>
        <v>3658.6827556308972</v>
      </c>
      <c r="Y141" s="105">
        <f t="shared" si="23"/>
        <v>114217.72069269954</v>
      </c>
      <c r="Z141" s="112">
        <f t="shared" si="32"/>
        <v>0.46694866218786918</v>
      </c>
      <c r="AA141" s="104">
        <f t="shared" si="33"/>
        <v>114504.93042489197</v>
      </c>
      <c r="AB141" s="105"/>
      <c r="AC141" s="104">
        <v>113095.10178661821</v>
      </c>
      <c r="AD141" s="5">
        <f t="shared" si="34"/>
        <v>1409.828638273757</v>
      </c>
      <c r="AE141" s="105"/>
      <c r="AF141" s="104">
        <f t="shared" si="35"/>
        <v>204.17382780423566</v>
      </c>
    </row>
    <row r="142" spans="2:32" x14ac:dyDescent="0.25">
      <c r="B142">
        <v>282</v>
      </c>
      <c r="C142" s="27">
        <v>7</v>
      </c>
      <c r="D142" s="39" t="s">
        <v>415</v>
      </c>
      <c r="E142" s="162">
        <v>157.14795911338896</v>
      </c>
      <c r="F142" s="162">
        <f>INDEX('2017 Lockdown Update'!H$5:H$249,MATCH(B142,'2017 Lockdown Update'!B$5:B$249,0))</f>
        <v>157.14795911338896</v>
      </c>
      <c r="G142" s="162">
        <f t="shared" si="24"/>
        <v>0</v>
      </c>
      <c r="H142" s="5">
        <v>53696.52</v>
      </c>
      <c r="I142" s="5">
        <f>INDEX('2017 Lockdown Update'!E$5:E$249,MATCH(B142,'2017 Lockdown Update'!B$5:B$249,0))</f>
        <v>53696.52</v>
      </c>
      <c r="J142" s="5">
        <f t="shared" si="25"/>
        <v>0</v>
      </c>
      <c r="K142" s="5">
        <v>0</v>
      </c>
      <c r="L142" s="5">
        <f>INDEX('2017 Lockdown Update'!F$5:F$249,MATCH(B142,'2017 Lockdown Update'!B$5:B$249,0))</f>
        <v>0</v>
      </c>
      <c r="M142" s="5">
        <f t="shared" si="26"/>
        <v>0</v>
      </c>
      <c r="N142" s="5">
        <v>53696.52</v>
      </c>
      <c r="O142" s="105">
        <f t="shared" si="27"/>
        <v>53696.52</v>
      </c>
      <c r="P142" s="105">
        <f t="shared" si="28"/>
        <v>0</v>
      </c>
      <c r="Q142" s="103">
        <f t="shared" si="29"/>
        <v>341.69403346342961</v>
      </c>
      <c r="R142" s="6">
        <f t="shared" si="30"/>
        <v>341.69403346342961</v>
      </c>
      <c r="S142" s="5">
        <f t="shared" si="31"/>
        <v>53696.52</v>
      </c>
      <c r="T142" s="140">
        <v>0.28000000000000003</v>
      </c>
      <c r="U142" s="105">
        <f t="shared" si="19"/>
        <v>13823.21224403327</v>
      </c>
      <c r="V142" s="105">
        <f t="shared" si="20"/>
        <v>8105.5280662596451</v>
      </c>
      <c r="W142" s="105">
        <f t="shared" si="21"/>
        <v>1161.1498284987947</v>
      </c>
      <c r="X142" s="105">
        <f t="shared" si="22"/>
        <v>803.16826517828906</v>
      </c>
      <c r="Y142" s="105">
        <f t="shared" si="23"/>
        <v>23893.058403970001</v>
      </c>
      <c r="Z142" s="112">
        <f t="shared" si="32"/>
        <v>0.4449647463926899</v>
      </c>
      <c r="AA142" s="104">
        <f t="shared" si="33"/>
        <v>23953.139439240571</v>
      </c>
      <c r="AB142" s="105"/>
      <c r="AC142" s="104">
        <v>23677.247319434711</v>
      </c>
      <c r="AD142" s="5">
        <f t="shared" si="34"/>
        <v>275.89211980585969</v>
      </c>
      <c r="AE142" s="105"/>
      <c r="AF142" s="104">
        <f t="shared" si="35"/>
        <v>42.710861000402765</v>
      </c>
    </row>
    <row r="143" spans="2:32" x14ac:dyDescent="0.25">
      <c r="B143">
        <v>287</v>
      </c>
      <c r="C143" s="27">
        <v>7</v>
      </c>
      <c r="D143" s="39" t="s">
        <v>416</v>
      </c>
      <c r="E143" s="162">
        <v>197.77748625633771</v>
      </c>
      <c r="F143" s="162">
        <f>INDEX('2017 Lockdown Update'!H$5:H$249,MATCH(B143,'2017 Lockdown Update'!B$5:B$249,0))</f>
        <v>197.77748625633771</v>
      </c>
      <c r="G143" s="162">
        <f t="shared" si="24"/>
        <v>0</v>
      </c>
      <c r="H143" s="5">
        <v>120033.56</v>
      </c>
      <c r="I143" s="5">
        <f>INDEX('2017 Lockdown Update'!E$5:E$249,MATCH(B143,'2017 Lockdown Update'!B$5:B$249,0))</f>
        <v>120033.56</v>
      </c>
      <c r="J143" s="5">
        <f t="shared" si="25"/>
        <v>0</v>
      </c>
      <c r="K143" s="5">
        <v>0</v>
      </c>
      <c r="L143" s="5">
        <f>INDEX('2017 Lockdown Update'!F$5:F$249,MATCH(B143,'2017 Lockdown Update'!B$5:B$249,0))</f>
        <v>0</v>
      </c>
      <c r="M143" s="5">
        <f t="shared" si="26"/>
        <v>0</v>
      </c>
      <c r="N143" s="5">
        <v>120033.56</v>
      </c>
      <c r="O143" s="105">
        <f t="shared" si="27"/>
        <v>120033.56</v>
      </c>
      <c r="P143" s="105">
        <f t="shared" si="28"/>
        <v>0</v>
      </c>
      <c r="Q143" s="103">
        <f t="shared" si="29"/>
        <v>606.91215300626038</v>
      </c>
      <c r="R143" s="6">
        <f t="shared" si="30"/>
        <v>604.05882709731861</v>
      </c>
      <c r="S143" s="5">
        <f t="shared" si="31"/>
        <v>119469.2363742594</v>
      </c>
      <c r="T143" s="140">
        <v>0.22433333333333333</v>
      </c>
      <c r="U143" s="105">
        <f t="shared" si="19"/>
        <v>30755.22605625034</v>
      </c>
      <c r="V143" s="105">
        <f t="shared" si="20"/>
        <v>10201.156761878961</v>
      </c>
      <c r="W143" s="105">
        <f t="shared" si="21"/>
        <v>2069.8267135856477</v>
      </c>
      <c r="X143" s="105">
        <f t="shared" si="22"/>
        <v>1786.9668149982322</v>
      </c>
      <c r="Y143" s="105">
        <f t="shared" si="23"/>
        <v>44813.176346713182</v>
      </c>
      <c r="Z143" s="112">
        <f t="shared" si="32"/>
        <v>0.37510222469596816</v>
      </c>
      <c r="AA143" s="104">
        <f t="shared" si="33"/>
        <v>44925.862717087002</v>
      </c>
      <c r="AB143" s="105"/>
      <c r="AC143" s="104">
        <v>44310.772062145239</v>
      </c>
      <c r="AD143" s="5">
        <f t="shared" si="34"/>
        <v>615.0906549417632</v>
      </c>
      <c r="AE143" s="105"/>
      <c r="AF143" s="104">
        <f t="shared" si="35"/>
        <v>80.107339695489856</v>
      </c>
    </row>
    <row r="144" spans="2:32" x14ac:dyDescent="0.25">
      <c r="B144">
        <v>290</v>
      </c>
      <c r="C144" s="27">
        <v>7</v>
      </c>
      <c r="D144" s="39" t="s">
        <v>417</v>
      </c>
      <c r="E144" s="162">
        <v>355.11230382289364</v>
      </c>
      <c r="F144" s="162">
        <f>INDEX('2017 Lockdown Update'!H$5:H$249,MATCH(B144,'2017 Lockdown Update'!B$5:B$249,0))</f>
        <v>355.11230382289364</v>
      </c>
      <c r="G144" s="162">
        <f t="shared" si="24"/>
        <v>0</v>
      </c>
      <c r="H144" s="5">
        <v>175443.77</v>
      </c>
      <c r="I144" s="5">
        <f>INDEX('2017 Lockdown Update'!E$5:E$249,MATCH(B144,'2017 Lockdown Update'!B$5:B$249,0))</f>
        <v>175443.77</v>
      </c>
      <c r="J144" s="5">
        <f t="shared" si="25"/>
        <v>0</v>
      </c>
      <c r="K144" s="5">
        <v>210</v>
      </c>
      <c r="L144" s="5">
        <f>INDEX('2017 Lockdown Update'!F$5:F$249,MATCH(B144,'2017 Lockdown Update'!B$5:B$249,0))</f>
        <v>210</v>
      </c>
      <c r="M144" s="5">
        <f t="shared" si="26"/>
        <v>0</v>
      </c>
      <c r="N144" s="5">
        <v>175233.77</v>
      </c>
      <c r="O144" s="105">
        <f t="shared" si="27"/>
        <v>175233.77</v>
      </c>
      <c r="P144" s="105">
        <f t="shared" si="28"/>
        <v>0</v>
      </c>
      <c r="Q144" s="103">
        <f t="shared" si="29"/>
        <v>493.46014799699793</v>
      </c>
      <c r="R144" s="6">
        <f t="shared" si="30"/>
        <v>493.46014799699793</v>
      </c>
      <c r="S144" s="5">
        <f t="shared" si="31"/>
        <v>175233.77</v>
      </c>
      <c r="T144" s="140">
        <v>0.61275000000000002</v>
      </c>
      <c r="U144" s="105">
        <f t="shared" si="19"/>
        <v>45110.81155784602</v>
      </c>
      <c r="V144" s="105">
        <f t="shared" si="20"/>
        <v>18316.322792545576</v>
      </c>
      <c r="W144" s="105">
        <f t="shared" si="21"/>
        <v>8292.4949346210451</v>
      </c>
      <c r="X144" s="105">
        <f t="shared" si="22"/>
        <v>2621.0674928571034</v>
      </c>
      <c r="Y144" s="105">
        <f t="shared" si="23"/>
        <v>74340.696777869758</v>
      </c>
      <c r="Z144" s="112">
        <f t="shared" si="32"/>
        <v>0.42423727331706534</v>
      </c>
      <c r="AA144" s="104">
        <f t="shared" si="33"/>
        <v>74527.632495752056</v>
      </c>
      <c r="AB144" s="105"/>
      <c r="AC144" s="104">
        <v>73529.453463474129</v>
      </c>
      <c r="AD144" s="5">
        <f t="shared" si="34"/>
        <v>998.17903227792704</v>
      </c>
      <c r="AE144" s="105"/>
      <c r="AF144" s="104">
        <f t="shared" si="35"/>
        <v>132.89027771451435</v>
      </c>
    </row>
    <row r="145" spans="2:32" x14ac:dyDescent="0.25">
      <c r="B145">
        <v>294</v>
      </c>
      <c r="C145" s="27">
        <v>7</v>
      </c>
      <c r="D145" s="39" t="s">
        <v>418</v>
      </c>
      <c r="E145" s="162">
        <v>1263.4393689479177</v>
      </c>
      <c r="F145" s="162">
        <f>INDEX('2017 Lockdown Update'!H$5:H$249,MATCH(B145,'2017 Lockdown Update'!B$5:B$249,0))</f>
        <v>1263.4393689479177</v>
      </c>
      <c r="G145" s="162">
        <f t="shared" si="24"/>
        <v>0</v>
      </c>
      <c r="H145" s="5">
        <v>609291.72</v>
      </c>
      <c r="I145" s="5">
        <f>INDEX('2017 Lockdown Update'!E$5:E$249,MATCH(B145,'2017 Lockdown Update'!B$5:B$249,0))</f>
        <v>609291.72</v>
      </c>
      <c r="J145" s="5">
        <f t="shared" si="25"/>
        <v>0</v>
      </c>
      <c r="K145" s="5">
        <v>700</v>
      </c>
      <c r="L145" s="5">
        <f>INDEX('2017 Lockdown Update'!F$5:F$249,MATCH(B145,'2017 Lockdown Update'!B$5:B$249,0))</f>
        <v>700</v>
      </c>
      <c r="M145" s="5">
        <f t="shared" si="26"/>
        <v>0</v>
      </c>
      <c r="N145" s="5">
        <v>608591.72</v>
      </c>
      <c r="O145" s="105">
        <f t="shared" si="27"/>
        <v>608591.72</v>
      </c>
      <c r="P145" s="105">
        <f t="shared" si="28"/>
        <v>0</v>
      </c>
      <c r="Q145" s="103">
        <f t="shared" si="29"/>
        <v>481.69444055458092</v>
      </c>
      <c r="R145" s="6">
        <f t="shared" si="30"/>
        <v>481.69444055458092</v>
      </c>
      <c r="S145" s="5">
        <f t="shared" si="31"/>
        <v>608591.72</v>
      </c>
      <c r="T145" s="140">
        <v>0.84308333333333341</v>
      </c>
      <c r="U145" s="105">
        <f t="shared" si="19"/>
        <v>156671.09368579689</v>
      </c>
      <c r="V145" s="105">
        <f t="shared" si="20"/>
        <v>65166.886816745202</v>
      </c>
      <c r="W145" s="105">
        <f t="shared" si="21"/>
        <v>39626.036370480186</v>
      </c>
      <c r="X145" s="105">
        <f t="shared" si="22"/>
        <v>9103.0397492103966</v>
      </c>
      <c r="Y145" s="105">
        <f t="shared" si="23"/>
        <v>270567.05662223272</v>
      </c>
      <c r="Z145" s="112">
        <f t="shared" si="32"/>
        <v>0.4445789315408904</v>
      </c>
      <c r="AA145" s="104">
        <f t="shared" si="33"/>
        <v>271247.41945386055</v>
      </c>
      <c r="AB145" s="105"/>
      <c r="AC145" s="104">
        <v>267533.92581062217</v>
      </c>
      <c r="AD145" s="5">
        <f t="shared" si="34"/>
        <v>3713.4936432383838</v>
      </c>
      <c r="AE145" s="105"/>
      <c r="AF145" s="104">
        <f t="shared" si="35"/>
        <v>483.66147821243965</v>
      </c>
    </row>
    <row r="146" spans="2:32" x14ac:dyDescent="0.25">
      <c r="B146">
        <v>296</v>
      </c>
      <c r="C146" s="27">
        <v>7</v>
      </c>
      <c r="D146" s="39" t="s">
        <v>419</v>
      </c>
      <c r="E146" s="162">
        <v>884.62</v>
      </c>
      <c r="F146" s="162">
        <f>INDEX('2017 Lockdown Update'!H$5:H$249,MATCH(B146,'2017 Lockdown Update'!B$5:B$249,0))</f>
        <v>884.62</v>
      </c>
      <c r="G146" s="162">
        <f t="shared" si="24"/>
        <v>0</v>
      </c>
      <c r="H146" s="5">
        <v>788176.46</v>
      </c>
      <c r="I146" s="5">
        <f>INDEX('2017 Lockdown Update'!E$5:E$249,MATCH(B146,'2017 Lockdown Update'!B$5:B$249,0))</f>
        <v>788176.46</v>
      </c>
      <c r="J146" s="5">
        <f t="shared" si="25"/>
        <v>0</v>
      </c>
      <c r="K146" s="5">
        <v>204908.74000000002</v>
      </c>
      <c r="L146" s="5">
        <f>INDEX('2017 Lockdown Update'!F$5:F$249,MATCH(B146,'2017 Lockdown Update'!B$5:B$249,0))</f>
        <v>204908.74000000002</v>
      </c>
      <c r="M146" s="5">
        <f t="shared" si="26"/>
        <v>0</v>
      </c>
      <c r="N146" s="5">
        <v>583267.72</v>
      </c>
      <c r="O146" s="105">
        <f t="shared" si="27"/>
        <v>583267.72</v>
      </c>
      <c r="P146" s="105">
        <f t="shared" si="28"/>
        <v>0</v>
      </c>
      <c r="Q146" s="103">
        <f t="shared" si="29"/>
        <v>659.3426782121137</v>
      </c>
      <c r="R146" s="6">
        <f t="shared" si="30"/>
        <v>604.05882709731861</v>
      </c>
      <c r="S146" s="5">
        <f t="shared" si="31"/>
        <v>534362.51962683001</v>
      </c>
      <c r="T146" s="140">
        <v>0.51233333333333342</v>
      </c>
      <c r="U146" s="105">
        <f t="shared" si="19"/>
        <v>137562.10875598763</v>
      </c>
      <c r="V146" s="105">
        <f t="shared" si="20"/>
        <v>45627.778295236531</v>
      </c>
      <c r="W146" s="105">
        <f t="shared" si="21"/>
        <v>21143.2961157953</v>
      </c>
      <c r="X146" s="105">
        <f t="shared" si="22"/>
        <v>7992.752935664741</v>
      </c>
      <c r="Y146" s="105">
        <f t="shared" si="23"/>
        <v>212325.93610268418</v>
      </c>
      <c r="Z146" s="112">
        <f t="shared" si="32"/>
        <v>0.39734436511557952</v>
      </c>
      <c r="AA146" s="104">
        <f t="shared" si="33"/>
        <v>212859.84690808039</v>
      </c>
      <c r="AB146" s="105"/>
      <c r="AC146" s="104">
        <v>209853.38443728435</v>
      </c>
      <c r="AD146" s="5">
        <f t="shared" si="34"/>
        <v>3006.4624707960465</v>
      </c>
      <c r="AE146" s="105"/>
      <c r="AF146" s="104">
        <f t="shared" si="35"/>
        <v>379.55055356811613</v>
      </c>
    </row>
    <row r="147" spans="2:32" x14ac:dyDescent="0.25">
      <c r="B147">
        <v>301</v>
      </c>
      <c r="C147" s="27">
        <v>7</v>
      </c>
      <c r="D147" s="39" t="s">
        <v>420</v>
      </c>
      <c r="E147" s="162">
        <v>611.33586451761835</v>
      </c>
      <c r="F147" s="162">
        <f>INDEX('2017 Lockdown Update'!H$5:H$249,MATCH(B147,'2017 Lockdown Update'!B$5:B$249,0))</f>
        <v>640.13643914704323</v>
      </c>
      <c r="G147" s="162">
        <f t="shared" si="24"/>
        <v>28.800574629424887</v>
      </c>
      <c r="H147" s="5">
        <v>214115.43</v>
      </c>
      <c r="I147" s="5">
        <f>INDEX('2017 Lockdown Update'!E$5:E$249,MATCH(B147,'2017 Lockdown Update'!B$5:B$249,0))</f>
        <v>219085.76</v>
      </c>
      <c r="J147" s="5">
        <f t="shared" si="25"/>
        <v>4970.3300000000163</v>
      </c>
      <c r="K147" s="5">
        <v>380.36</v>
      </c>
      <c r="L147" s="5">
        <f>INDEX('2017 Lockdown Update'!F$5:F$249,MATCH(B147,'2017 Lockdown Update'!B$5:B$249,0))</f>
        <v>380.36</v>
      </c>
      <c r="M147" s="5">
        <f t="shared" si="26"/>
        <v>0</v>
      </c>
      <c r="N147" s="5">
        <v>213735.07</v>
      </c>
      <c r="O147" s="105">
        <f t="shared" si="27"/>
        <v>218705.40000000002</v>
      </c>
      <c r="P147" s="105">
        <f t="shared" si="28"/>
        <v>4970.3300000000163</v>
      </c>
      <c r="Q147" s="103">
        <f t="shared" si="29"/>
        <v>341.65435151827387</v>
      </c>
      <c r="R147" s="6">
        <f t="shared" si="30"/>
        <v>341.65435151827387</v>
      </c>
      <c r="S147" s="5">
        <f t="shared" si="31"/>
        <v>218705.40000000005</v>
      </c>
      <c r="T147" s="140">
        <v>0.63508333333333333</v>
      </c>
      <c r="U147" s="105">
        <f t="shared" si="19"/>
        <v>56301.808070917716</v>
      </c>
      <c r="V147" s="105">
        <f t="shared" si="20"/>
        <v>33017.570848616881</v>
      </c>
      <c r="W147" s="105">
        <f t="shared" si="21"/>
        <v>10726.901982711599</v>
      </c>
      <c r="X147" s="105">
        <f t="shared" si="22"/>
        <v>3271.2964769993255</v>
      </c>
      <c r="Y147" s="105">
        <f t="shared" si="23"/>
        <v>103317.57737924551</v>
      </c>
      <c r="Z147" s="112">
        <f t="shared" si="32"/>
        <v>0.47240524184243043</v>
      </c>
      <c r="AA147" s="104">
        <f t="shared" si="33"/>
        <v>103577.37781607703</v>
      </c>
      <c r="AB147" s="105"/>
      <c r="AC147" s="104">
        <v>99232.371784416217</v>
      </c>
      <c r="AD147" s="5">
        <f t="shared" si="34"/>
        <v>4345.0060316608142</v>
      </c>
      <c r="AE147" s="105"/>
      <c r="AF147" s="104">
        <f t="shared" si="35"/>
        <v>184.68890050551659</v>
      </c>
    </row>
    <row r="148" spans="2:32" x14ac:dyDescent="0.25">
      <c r="B148">
        <v>321</v>
      </c>
      <c r="C148" s="27">
        <v>7</v>
      </c>
      <c r="D148" s="39" t="s">
        <v>421</v>
      </c>
      <c r="E148" s="162">
        <v>443.10000000000008</v>
      </c>
      <c r="F148" s="162">
        <f>INDEX('2017 Lockdown Update'!H$5:H$249,MATCH(B148,'2017 Lockdown Update'!B$5:B$249,0))</f>
        <v>443.10000000000008</v>
      </c>
      <c r="G148" s="162">
        <f t="shared" si="24"/>
        <v>0</v>
      </c>
      <c r="H148" s="5">
        <v>430321.48</v>
      </c>
      <c r="I148" s="5">
        <f>INDEX('2017 Lockdown Update'!E$5:E$249,MATCH(B148,'2017 Lockdown Update'!B$5:B$249,0))</f>
        <v>430321.48</v>
      </c>
      <c r="J148" s="5">
        <f t="shared" si="25"/>
        <v>0</v>
      </c>
      <c r="K148" s="5">
        <v>59452.28</v>
      </c>
      <c r="L148" s="5">
        <f>INDEX('2017 Lockdown Update'!F$5:F$249,MATCH(B148,'2017 Lockdown Update'!B$5:B$249,0))</f>
        <v>59452.28</v>
      </c>
      <c r="M148" s="5">
        <f t="shared" si="26"/>
        <v>0</v>
      </c>
      <c r="N148" s="5">
        <v>370869.19999999995</v>
      </c>
      <c r="O148" s="105">
        <f t="shared" si="27"/>
        <v>370869.19999999995</v>
      </c>
      <c r="P148" s="105">
        <f t="shared" si="28"/>
        <v>0</v>
      </c>
      <c r="Q148" s="103">
        <f t="shared" si="29"/>
        <v>836.98758745204213</v>
      </c>
      <c r="R148" s="6">
        <f t="shared" si="30"/>
        <v>604.05882709731861</v>
      </c>
      <c r="S148" s="5">
        <f t="shared" si="31"/>
        <v>267658.46628682193</v>
      </c>
      <c r="T148" s="140">
        <v>0.43383333333333329</v>
      </c>
      <c r="U148" s="105">
        <f t="shared" si="19"/>
        <v>68903.902681126507</v>
      </c>
      <c r="V148" s="105">
        <f t="shared" si="20"/>
        <v>22854.636524857357</v>
      </c>
      <c r="W148" s="105">
        <f t="shared" si="21"/>
        <v>8967.8429339486138</v>
      </c>
      <c r="X148" s="105">
        <f t="shared" si="22"/>
        <v>4003.51430647402</v>
      </c>
      <c r="Y148" s="105">
        <f t="shared" si="23"/>
        <v>104729.89644640651</v>
      </c>
      <c r="Z148" s="112">
        <f t="shared" si="32"/>
        <v>0.3912818372581508</v>
      </c>
      <c r="AA148" s="104">
        <f t="shared" si="33"/>
        <v>104993.24827420073</v>
      </c>
      <c r="AB148" s="105"/>
      <c r="AC148" s="104">
        <v>103512.69995666687</v>
      </c>
      <c r="AD148" s="5">
        <f t="shared" si="34"/>
        <v>1480.5483175338595</v>
      </c>
      <c r="AE148" s="105"/>
      <c r="AF148" s="104">
        <f t="shared" si="35"/>
        <v>187.21354018729579</v>
      </c>
    </row>
    <row r="149" spans="2:32" x14ac:dyDescent="0.25">
      <c r="B149">
        <v>325</v>
      </c>
      <c r="C149" s="27">
        <v>7</v>
      </c>
      <c r="D149" s="39" t="s">
        <v>422</v>
      </c>
      <c r="E149" s="162">
        <v>400.69285092676949</v>
      </c>
      <c r="F149" s="162">
        <f>INDEX('2017 Lockdown Update'!H$5:H$249,MATCH(B149,'2017 Lockdown Update'!B$5:B$249,0))</f>
        <v>400.69285092676949</v>
      </c>
      <c r="G149" s="162">
        <f t="shared" si="24"/>
        <v>0</v>
      </c>
      <c r="H149" s="5">
        <v>173160.4</v>
      </c>
      <c r="I149" s="5">
        <f>INDEX('2017 Lockdown Update'!E$5:E$249,MATCH(B149,'2017 Lockdown Update'!B$5:B$249,0))</f>
        <v>173160.4</v>
      </c>
      <c r="J149" s="5">
        <f t="shared" si="25"/>
        <v>0</v>
      </c>
      <c r="K149" s="5">
        <v>1356</v>
      </c>
      <c r="L149" s="5">
        <f>INDEX('2017 Lockdown Update'!F$5:F$249,MATCH(B149,'2017 Lockdown Update'!B$5:B$249,0))</f>
        <v>1356</v>
      </c>
      <c r="M149" s="5">
        <f t="shared" si="26"/>
        <v>0</v>
      </c>
      <c r="N149" s="5">
        <v>171804.4</v>
      </c>
      <c r="O149" s="105">
        <f t="shared" si="27"/>
        <v>171804.4</v>
      </c>
      <c r="P149" s="105">
        <f t="shared" si="28"/>
        <v>0</v>
      </c>
      <c r="Q149" s="103">
        <f t="shared" si="29"/>
        <v>428.76831868257841</v>
      </c>
      <c r="R149" s="6">
        <f t="shared" si="30"/>
        <v>428.76831868257841</v>
      </c>
      <c r="S149" s="5">
        <f t="shared" si="31"/>
        <v>171804.4</v>
      </c>
      <c r="T149" s="140">
        <v>0.41125</v>
      </c>
      <c r="U149" s="105">
        <f t="shared" si="19"/>
        <v>44227.981360035803</v>
      </c>
      <c r="V149" s="105">
        <f t="shared" si="20"/>
        <v>20667.319941413152</v>
      </c>
      <c r="W149" s="105">
        <f t="shared" si="21"/>
        <v>5456.627200294417</v>
      </c>
      <c r="X149" s="105">
        <f t="shared" si="22"/>
        <v>2569.7725271208797</v>
      </c>
      <c r="Y149" s="105">
        <f t="shared" si="23"/>
        <v>72921.701028864249</v>
      </c>
      <c r="Z149" s="112">
        <f t="shared" si="32"/>
        <v>0.42444606208493058</v>
      </c>
      <c r="AA149" s="104">
        <f t="shared" si="33"/>
        <v>73105.068566725255</v>
      </c>
      <c r="AB149" s="105"/>
      <c r="AC149" s="104">
        <v>72203.818215222855</v>
      </c>
      <c r="AD149" s="5">
        <f t="shared" si="34"/>
        <v>901.25035150240001</v>
      </c>
      <c r="AE149" s="105"/>
      <c r="AF149" s="104">
        <f t="shared" si="35"/>
        <v>130.35370289971934</v>
      </c>
    </row>
    <row r="150" spans="2:32" x14ac:dyDescent="0.25">
      <c r="B150">
        <v>346</v>
      </c>
      <c r="C150" s="27">
        <v>7</v>
      </c>
      <c r="D150" s="39" t="s">
        <v>423</v>
      </c>
      <c r="E150" s="162">
        <v>177.69000000000003</v>
      </c>
      <c r="F150" s="162">
        <f>INDEX('2017 Lockdown Update'!H$5:H$249,MATCH(B150,'2017 Lockdown Update'!B$5:B$249,0))</f>
        <v>177.69000000000003</v>
      </c>
      <c r="G150" s="162">
        <f t="shared" si="24"/>
        <v>0</v>
      </c>
      <c r="H150" s="5">
        <v>112381.75999999999</v>
      </c>
      <c r="I150" s="5">
        <f>INDEX('2017 Lockdown Update'!E$5:E$249,MATCH(B150,'2017 Lockdown Update'!B$5:B$249,0))</f>
        <v>112381.75999999999</v>
      </c>
      <c r="J150" s="5">
        <f t="shared" si="25"/>
        <v>0</v>
      </c>
      <c r="K150" s="5">
        <v>26716.230000000003</v>
      </c>
      <c r="L150" s="5">
        <f>INDEX('2017 Lockdown Update'!F$5:F$249,MATCH(B150,'2017 Lockdown Update'!B$5:B$249,0))</f>
        <v>26716.230000000003</v>
      </c>
      <c r="M150" s="5">
        <f t="shared" si="26"/>
        <v>0</v>
      </c>
      <c r="N150" s="5">
        <v>85665.53</v>
      </c>
      <c r="O150" s="105">
        <f t="shared" si="27"/>
        <v>85665.53</v>
      </c>
      <c r="P150" s="105">
        <f t="shared" si="28"/>
        <v>0</v>
      </c>
      <c r="Q150" s="103">
        <f t="shared" si="29"/>
        <v>482.10664640666323</v>
      </c>
      <c r="R150" s="6">
        <f t="shared" si="30"/>
        <v>482.10664640666323</v>
      </c>
      <c r="S150" s="5">
        <f t="shared" si="31"/>
        <v>85665.53</v>
      </c>
      <c r="T150" s="140">
        <v>0.5305833333333333</v>
      </c>
      <c r="U150" s="105">
        <f t="shared" si="19"/>
        <v>22053.064205792096</v>
      </c>
      <c r="V150" s="105">
        <f t="shared" si="20"/>
        <v>9165.0651412816587</v>
      </c>
      <c r="W150" s="105">
        <f t="shared" si="21"/>
        <v>3510.2964949569568</v>
      </c>
      <c r="X150" s="105">
        <f t="shared" si="22"/>
        <v>1281.346260720037</v>
      </c>
      <c r="Y150" s="105">
        <f t="shared" si="23"/>
        <v>36009.772102750743</v>
      </c>
      <c r="Z150" s="112">
        <f t="shared" si="32"/>
        <v>0.42035311172125761</v>
      </c>
      <c r="AA150" s="104">
        <f t="shared" si="33"/>
        <v>36100.321598391332</v>
      </c>
      <c r="AB150" s="105"/>
      <c r="AC150" s="104">
        <v>35614.247963129194</v>
      </c>
      <c r="AD150" s="5">
        <f t="shared" si="34"/>
        <v>486.07363526213885</v>
      </c>
      <c r="AE150" s="105"/>
      <c r="AF150" s="104">
        <f t="shared" si="35"/>
        <v>64.370510670212795</v>
      </c>
    </row>
    <row r="151" spans="2:32" x14ac:dyDescent="0.25">
      <c r="B151">
        <v>358</v>
      </c>
      <c r="C151" s="27">
        <v>7</v>
      </c>
      <c r="D151" s="39" t="s">
        <v>424</v>
      </c>
      <c r="E151" s="162">
        <v>418.90000000000003</v>
      </c>
      <c r="F151" s="162">
        <f>INDEX('2017 Lockdown Update'!H$5:H$249,MATCH(B151,'2017 Lockdown Update'!B$5:B$249,0))</f>
        <v>418.90000000000003</v>
      </c>
      <c r="G151" s="162">
        <f t="shared" si="24"/>
        <v>0</v>
      </c>
      <c r="H151" s="5">
        <v>233117</v>
      </c>
      <c r="I151" s="5">
        <f>INDEX('2017 Lockdown Update'!E$5:E$249,MATCH(B151,'2017 Lockdown Update'!B$5:B$249,0))</f>
        <v>233117</v>
      </c>
      <c r="J151" s="5">
        <f t="shared" si="25"/>
        <v>0</v>
      </c>
      <c r="K151" s="5">
        <v>65089.860000000008</v>
      </c>
      <c r="L151" s="5">
        <f>INDEX('2017 Lockdown Update'!F$5:F$249,MATCH(B151,'2017 Lockdown Update'!B$5:B$249,0))</f>
        <v>65089.860000000008</v>
      </c>
      <c r="M151" s="5">
        <f t="shared" si="26"/>
        <v>0</v>
      </c>
      <c r="N151" s="5">
        <v>168027.13999999998</v>
      </c>
      <c r="O151" s="105">
        <f t="shared" si="27"/>
        <v>168027.13999999998</v>
      </c>
      <c r="P151" s="105">
        <f t="shared" si="28"/>
        <v>0</v>
      </c>
      <c r="Q151" s="103">
        <f t="shared" si="29"/>
        <v>401.11515874910475</v>
      </c>
      <c r="R151" s="6">
        <f t="shared" si="30"/>
        <v>401.11515874910475</v>
      </c>
      <c r="S151" s="5">
        <f t="shared" si="31"/>
        <v>168027.13999999998</v>
      </c>
      <c r="T151" s="140">
        <v>0.8111666666666667</v>
      </c>
      <c r="U151" s="105">
        <f t="shared" si="19"/>
        <v>43255.593080853134</v>
      </c>
      <c r="V151" s="105">
        <f t="shared" si="20"/>
        <v>21606.425728419643</v>
      </c>
      <c r="W151" s="105">
        <f t="shared" si="21"/>
        <v>10526.248576225611</v>
      </c>
      <c r="X151" s="105">
        <f t="shared" si="22"/>
        <v>2513.2739800767254</v>
      </c>
      <c r="Y151" s="105">
        <f t="shared" si="23"/>
        <v>77901.541365575118</v>
      </c>
      <c r="Z151" s="112">
        <f t="shared" si="32"/>
        <v>0.46362475351050508</v>
      </c>
      <c r="AA151" s="104">
        <f t="shared" si="33"/>
        <v>78097.431116283595</v>
      </c>
      <c r="AB151" s="105"/>
      <c r="AC151" s="104">
        <v>77070.994941118857</v>
      </c>
      <c r="AD151" s="5">
        <f t="shared" si="34"/>
        <v>1026.4361751647375</v>
      </c>
      <c r="AE151" s="105"/>
      <c r="AF151" s="104">
        <f t="shared" si="35"/>
        <v>139.25558832725073</v>
      </c>
    </row>
    <row r="152" spans="2:32" x14ac:dyDescent="0.25">
      <c r="B152">
        <v>361</v>
      </c>
      <c r="C152" s="27">
        <v>7</v>
      </c>
      <c r="D152" s="39" t="s">
        <v>425</v>
      </c>
      <c r="E152" s="162">
        <v>1508.942788284392</v>
      </c>
      <c r="F152" s="162">
        <f>INDEX('2017 Lockdown Update'!H$5:H$249,MATCH(B152,'2017 Lockdown Update'!B$5:B$249,0))</f>
        <v>1508.942788284392</v>
      </c>
      <c r="G152" s="162">
        <f t="shared" si="24"/>
        <v>0</v>
      </c>
      <c r="H152" s="5">
        <v>891571.84</v>
      </c>
      <c r="I152" s="5">
        <f>INDEX('2017 Lockdown Update'!E$5:E$249,MATCH(B152,'2017 Lockdown Update'!B$5:B$249,0))</f>
        <v>891571.84</v>
      </c>
      <c r="J152" s="5">
        <f t="shared" si="25"/>
        <v>0</v>
      </c>
      <c r="K152" s="5">
        <v>7476</v>
      </c>
      <c r="L152" s="5">
        <f>INDEX('2017 Lockdown Update'!F$5:F$249,MATCH(B152,'2017 Lockdown Update'!B$5:B$249,0))</f>
        <v>7476</v>
      </c>
      <c r="M152" s="5">
        <f t="shared" si="26"/>
        <v>0</v>
      </c>
      <c r="N152" s="5">
        <v>884095.84</v>
      </c>
      <c r="O152" s="105">
        <f t="shared" si="27"/>
        <v>884095.84</v>
      </c>
      <c r="P152" s="105">
        <f t="shared" si="28"/>
        <v>0</v>
      </c>
      <c r="Q152" s="103">
        <f t="shared" si="29"/>
        <v>585.9041488280559</v>
      </c>
      <c r="R152" s="6">
        <f t="shared" si="30"/>
        <v>585.9041488280559</v>
      </c>
      <c r="S152" s="5">
        <f t="shared" si="31"/>
        <v>884095.84000000008</v>
      </c>
      <c r="T152" s="140">
        <v>0.53491666666666671</v>
      </c>
      <c r="U152" s="105">
        <f t="shared" si="19"/>
        <v>227594.72011197152</v>
      </c>
      <c r="V152" s="105">
        <f t="shared" si="20"/>
        <v>77829.697501793169</v>
      </c>
      <c r="W152" s="105">
        <f t="shared" si="21"/>
        <v>36523.262709968629</v>
      </c>
      <c r="X152" s="105">
        <f t="shared" si="22"/>
        <v>13223.905796206947</v>
      </c>
      <c r="Y152" s="105">
        <f t="shared" si="23"/>
        <v>355171.58611994027</v>
      </c>
      <c r="Z152" s="112">
        <f t="shared" si="32"/>
        <v>0.40173425781523892</v>
      </c>
      <c r="AA152" s="104">
        <f t="shared" si="33"/>
        <v>356064.69391016068</v>
      </c>
      <c r="AB152" s="105"/>
      <c r="AC152" s="104">
        <v>351073.31690121972</v>
      </c>
      <c r="AD152" s="5">
        <f t="shared" si="34"/>
        <v>4991.3770089409663</v>
      </c>
      <c r="AE152" s="105"/>
      <c r="AF152" s="104">
        <f t="shared" si="35"/>
        <v>634.89922426761404</v>
      </c>
    </row>
    <row r="153" spans="2:32" x14ac:dyDescent="0.25">
      <c r="B153">
        <v>376</v>
      </c>
      <c r="C153" s="27">
        <v>7</v>
      </c>
      <c r="D153" s="39" t="s">
        <v>426</v>
      </c>
      <c r="E153" s="162">
        <v>785.0248588765669</v>
      </c>
      <c r="F153" s="162">
        <f>INDEX('2017 Lockdown Update'!H$5:H$249,MATCH(B153,'2017 Lockdown Update'!B$5:B$249,0))</f>
        <v>785.0248588765669</v>
      </c>
      <c r="G153" s="162">
        <f t="shared" si="24"/>
        <v>0</v>
      </c>
      <c r="H153" s="5">
        <v>270593.59000000003</v>
      </c>
      <c r="I153" s="5">
        <f>INDEX('2017 Lockdown Update'!E$5:E$249,MATCH(B153,'2017 Lockdown Update'!B$5:B$249,0))</f>
        <v>270593.59000000003</v>
      </c>
      <c r="J153" s="5">
        <f t="shared" si="25"/>
        <v>0</v>
      </c>
      <c r="K153" s="5">
        <v>205</v>
      </c>
      <c r="L153" s="5">
        <f>INDEX('2017 Lockdown Update'!F$5:F$249,MATCH(B153,'2017 Lockdown Update'!B$5:B$249,0))</f>
        <v>205</v>
      </c>
      <c r="M153" s="5">
        <f t="shared" si="26"/>
        <v>0</v>
      </c>
      <c r="N153" s="5">
        <v>270388.59000000003</v>
      </c>
      <c r="O153" s="105">
        <f t="shared" si="27"/>
        <v>270388.59000000003</v>
      </c>
      <c r="P153" s="105">
        <f t="shared" si="28"/>
        <v>0</v>
      </c>
      <c r="Q153" s="103">
        <f t="shared" si="29"/>
        <v>344.43315640596097</v>
      </c>
      <c r="R153" s="6">
        <f t="shared" si="30"/>
        <v>344.43315640596097</v>
      </c>
      <c r="S153" s="5">
        <f t="shared" si="31"/>
        <v>270388.59000000003</v>
      </c>
      <c r="T153" s="140">
        <v>0.7775833333333334</v>
      </c>
      <c r="U153" s="105">
        <f t="shared" si="19"/>
        <v>69606.724382416069</v>
      </c>
      <c r="V153" s="105">
        <f t="shared" si="20"/>
        <v>40490.764641393296</v>
      </c>
      <c r="W153" s="105">
        <f t="shared" si="21"/>
        <v>16237.508630308112</v>
      </c>
      <c r="X153" s="105">
        <f t="shared" si="22"/>
        <v>4044.35026244352</v>
      </c>
      <c r="Y153" s="105">
        <f t="shared" si="23"/>
        <v>130379.34791656099</v>
      </c>
      <c r="Z153" s="112">
        <f t="shared" si="32"/>
        <v>0.48219249161571859</v>
      </c>
      <c r="AA153" s="104">
        <f t="shared" si="33"/>
        <v>130707.19737259494</v>
      </c>
      <c r="AB153" s="105"/>
      <c r="AC153" s="104">
        <v>129088.52499987285</v>
      </c>
      <c r="AD153" s="5">
        <f t="shared" si="34"/>
        <v>1618.6723727220815</v>
      </c>
      <c r="AE153" s="105"/>
      <c r="AF153" s="104">
        <f t="shared" si="35"/>
        <v>233.06410221899947</v>
      </c>
    </row>
    <row r="154" spans="2:32" x14ac:dyDescent="0.25">
      <c r="B154">
        <v>382</v>
      </c>
      <c r="C154" s="27">
        <v>7</v>
      </c>
      <c r="D154" s="39" t="s">
        <v>427</v>
      </c>
      <c r="E154" s="162">
        <v>177.19</v>
      </c>
      <c r="F154" s="162">
        <f>INDEX('2017 Lockdown Update'!H$5:H$249,MATCH(B154,'2017 Lockdown Update'!B$5:B$249,0))</f>
        <v>177.19</v>
      </c>
      <c r="G154" s="162">
        <f t="shared" si="24"/>
        <v>0</v>
      </c>
      <c r="H154" s="5">
        <v>106501.09</v>
      </c>
      <c r="I154" s="5">
        <f>INDEX('2017 Lockdown Update'!E$5:E$249,MATCH(B154,'2017 Lockdown Update'!B$5:B$249,0))</f>
        <v>106501.09</v>
      </c>
      <c r="J154" s="5">
        <f t="shared" si="25"/>
        <v>0</v>
      </c>
      <c r="K154" s="5">
        <v>27668.13</v>
      </c>
      <c r="L154" s="5">
        <f>INDEX('2017 Lockdown Update'!F$5:F$249,MATCH(B154,'2017 Lockdown Update'!B$5:B$249,0))</f>
        <v>27668.13</v>
      </c>
      <c r="M154" s="5">
        <f t="shared" si="26"/>
        <v>0</v>
      </c>
      <c r="N154" s="5">
        <v>78832.959999999992</v>
      </c>
      <c r="O154" s="105">
        <f t="shared" si="27"/>
        <v>78832.959999999992</v>
      </c>
      <c r="P154" s="105">
        <f t="shared" si="28"/>
        <v>0</v>
      </c>
      <c r="Q154" s="103">
        <f t="shared" si="29"/>
        <v>444.90637169140467</v>
      </c>
      <c r="R154" s="6">
        <f t="shared" si="30"/>
        <v>444.90637169140467</v>
      </c>
      <c r="S154" s="5">
        <f t="shared" si="31"/>
        <v>78832.959999999992</v>
      </c>
      <c r="T154" s="140">
        <v>0.59299999999999997</v>
      </c>
      <c r="U154" s="105">
        <f t="shared" si="19"/>
        <v>20294.140810342735</v>
      </c>
      <c r="V154" s="105">
        <f t="shared" si="20"/>
        <v>9139.2756620164146</v>
      </c>
      <c r="W154" s="105">
        <f t="shared" si="21"/>
        <v>3610.3276501599726</v>
      </c>
      <c r="X154" s="105">
        <f t="shared" si="22"/>
        <v>1179.1477682737996</v>
      </c>
      <c r="Y154" s="105">
        <f t="shared" si="23"/>
        <v>34222.891890792918</v>
      </c>
      <c r="Z154" s="112">
        <f t="shared" si="32"/>
        <v>0.43411907774099717</v>
      </c>
      <c r="AA154" s="104">
        <f t="shared" si="33"/>
        <v>34308.948131061014</v>
      </c>
      <c r="AB154" s="105"/>
      <c r="AC154" s="104">
        <v>33854.972528440434</v>
      </c>
      <c r="AD154" s="5">
        <f t="shared" si="34"/>
        <v>453.97560262057959</v>
      </c>
      <c r="AE154" s="105"/>
      <c r="AF154" s="104">
        <f t="shared" si="35"/>
        <v>61.176311289499765</v>
      </c>
    </row>
    <row r="155" spans="2:32" x14ac:dyDescent="0.25">
      <c r="B155">
        <v>389</v>
      </c>
      <c r="C155" s="27">
        <v>7</v>
      </c>
      <c r="D155" s="39" t="s">
        <v>428</v>
      </c>
      <c r="E155" s="162">
        <v>909.4811851830467</v>
      </c>
      <c r="F155" s="162">
        <f>INDEX('2017 Lockdown Update'!H$5:H$249,MATCH(B155,'2017 Lockdown Update'!B$5:B$249,0))</f>
        <v>909.4811851830467</v>
      </c>
      <c r="G155" s="162">
        <f t="shared" ref="G155:G218" si="36">F155-E155</f>
        <v>0</v>
      </c>
      <c r="H155" s="5">
        <v>148142.21</v>
      </c>
      <c r="I155" s="5">
        <f>INDEX('2017 Lockdown Update'!E$5:E$249,MATCH(B155,'2017 Lockdown Update'!B$5:B$249,0))</f>
        <v>148142.21</v>
      </c>
      <c r="J155" s="5">
        <f t="shared" ref="J155:J218" si="37">I155-H155</f>
        <v>0</v>
      </c>
      <c r="K155" s="5">
        <v>987</v>
      </c>
      <c r="L155" s="5">
        <f>INDEX('2017 Lockdown Update'!F$5:F$249,MATCH(B155,'2017 Lockdown Update'!B$5:B$249,0))</f>
        <v>987</v>
      </c>
      <c r="M155" s="5">
        <f t="shared" ref="M155:M218" si="38">L155-K155</f>
        <v>0</v>
      </c>
      <c r="N155" s="5">
        <v>147155.21</v>
      </c>
      <c r="O155" s="105">
        <f t="shared" si="27"/>
        <v>147155.21</v>
      </c>
      <c r="P155" s="105">
        <f t="shared" ref="P155:P218" si="39">O155-N155</f>
        <v>0</v>
      </c>
      <c r="Q155" s="103">
        <f t="shared" ref="Q155:Q218" si="40">IFERROR(O155/F155,"n.a.")</f>
        <v>161.80126911628503</v>
      </c>
      <c r="R155" s="6">
        <f t="shared" ref="R155:R218" si="41">MIN(Q155,INDEX($V$3:$V$11,MATCH(C155,$S$3:$S$11,0)))</f>
        <v>161.80126911628503</v>
      </c>
      <c r="S155" s="5">
        <f t="shared" ref="S155:S218" si="42">F155*R155</f>
        <v>147155.21</v>
      </c>
      <c r="T155" s="140">
        <v>0.59166666666666667</v>
      </c>
      <c r="U155" s="105">
        <f t="shared" ref="U155:U218" si="43">$E$14*(S155/$S$24)</f>
        <v>37882.48662381262</v>
      </c>
      <c r="V155" s="105">
        <f t="shared" ref="V155:V218" si="44">$E$15*(F155/$F$24)</f>
        <v>46910.092334811576</v>
      </c>
      <c r="W155" s="105">
        <f t="shared" ref="W155:W218" si="45">IFERROR(T155*$E$16*(S155/$S$24),0)</f>
        <v>6724.1413757267401</v>
      </c>
      <c r="X155" s="105">
        <f t="shared" ref="X155:X218" si="46">($W$23+$E$9)*(S155/$S$24)</f>
        <v>2201.0810891962233</v>
      </c>
      <c r="Y155" s="105">
        <f t="shared" ref="Y155:Y218" si="47">U155+V155+W155+X155</f>
        <v>93717.801423547149</v>
      </c>
      <c r="Z155" s="112">
        <f t="shared" ref="Z155:Z218" si="48">IFERROR((Y155/S155),0)</f>
        <v>0.63686363142390379</v>
      </c>
      <c r="AA155" s="104">
        <f t="shared" ref="AA155:AA218" si="49">IF(Z155&gt;$Z$19,$Z$19*S155,Y155+($Z$23*Y155/$Z$22))</f>
        <v>93953.462444317629</v>
      </c>
      <c r="AB155" s="105"/>
      <c r="AC155" s="104">
        <v>93102.741620726272</v>
      </c>
      <c r="AD155" s="5">
        <f t="shared" si="34"/>
        <v>850.72082359135675</v>
      </c>
      <c r="AE155" s="105"/>
      <c r="AF155" s="104">
        <f t="shared" ref="AF155:AF218" si="50">(AA155/E$17)*I$9</f>
        <v>167.52848974743989</v>
      </c>
    </row>
    <row r="156" spans="2:32" x14ac:dyDescent="0.25">
      <c r="B156">
        <v>434</v>
      </c>
      <c r="C156" s="27">
        <v>7</v>
      </c>
      <c r="D156" s="39" t="s">
        <v>429</v>
      </c>
      <c r="E156" s="162">
        <v>342.03221210120842</v>
      </c>
      <c r="F156" s="162">
        <f>INDEX('2017 Lockdown Update'!H$5:H$249,MATCH(B156,'2017 Lockdown Update'!B$5:B$249,0))</f>
        <v>342.03221210120842</v>
      </c>
      <c r="G156" s="162">
        <f t="shared" si="36"/>
        <v>0</v>
      </c>
      <c r="H156" s="5">
        <v>144330.47</v>
      </c>
      <c r="I156" s="5">
        <f>INDEX('2017 Lockdown Update'!E$5:E$249,MATCH(B156,'2017 Lockdown Update'!B$5:B$249,0))</f>
        <v>128474.53</v>
      </c>
      <c r="J156" s="5">
        <f t="shared" si="37"/>
        <v>-15855.940000000002</v>
      </c>
      <c r="K156" s="5">
        <v>0</v>
      </c>
      <c r="L156" s="5">
        <f>INDEX('2017 Lockdown Update'!F$5:F$249,MATCH(B156,'2017 Lockdown Update'!B$5:B$249,0))</f>
        <v>0</v>
      </c>
      <c r="M156" s="5">
        <f t="shared" si="38"/>
        <v>0</v>
      </c>
      <c r="N156" s="5">
        <v>144330.47</v>
      </c>
      <c r="O156" s="105">
        <f t="shared" ref="O156:O219" si="51">I156-L156</f>
        <v>128474.53</v>
      </c>
      <c r="P156" s="105">
        <f t="shared" si="39"/>
        <v>-15855.940000000002</v>
      </c>
      <c r="Q156" s="103">
        <f t="shared" si="40"/>
        <v>375.62114167768499</v>
      </c>
      <c r="R156" s="6">
        <f t="shared" si="41"/>
        <v>375.62114167768499</v>
      </c>
      <c r="S156" s="5">
        <f t="shared" si="42"/>
        <v>128474.53000000001</v>
      </c>
      <c r="T156" s="140">
        <v>0.28683333333333333</v>
      </c>
      <c r="U156" s="105">
        <f t="shared" si="43"/>
        <v>33073.478432911848</v>
      </c>
      <c r="V156" s="105">
        <f t="shared" si="44"/>
        <v>17641.66528405785</v>
      </c>
      <c r="W156" s="105">
        <f t="shared" si="45"/>
        <v>2845.9728191520644</v>
      </c>
      <c r="X156" s="105">
        <f t="shared" si="46"/>
        <v>1921.6639249563298</v>
      </c>
      <c r="Y156" s="105">
        <f t="shared" si="47"/>
        <v>55482.780461078095</v>
      </c>
      <c r="Z156" s="112">
        <f t="shared" si="48"/>
        <v>0.43185820925811591</v>
      </c>
      <c r="AA156" s="104">
        <f t="shared" si="49"/>
        <v>55622.296417278892</v>
      </c>
      <c r="AB156" s="105"/>
      <c r="AC156" s="104">
        <v>59565.145841989812</v>
      </c>
      <c r="AD156" s="5">
        <f t="shared" ref="AD156:AD219" si="52">AA156-AC156</f>
        <v>-3942.8494247109193</v>
      </c>
      <c r="AE156" s="105"/>
      <c r="AF156" s="104">
        <f t="shared" si="50"/>
        <v>99.18015869392525</v>
      </c>
    </row>
    <row r="157" spans="2:32" x14ac:dyDescent="0.25">
      <c r="B157">
        <v>437</v>
      </c>
      <c r="C157" s="27">
        <v>7</v>
      </c>
      <c r="D157" s="39" t="s">
        <v>430</v>
      </c>
      <c r="E157" s="162">
        <v>349.75027864505995</v>
      </c>
      <c r="F157" s="162">
        <f>INDEX('2017 Lockdown Update'!H$5:H$249,MATCH(B157,'2017 Lockdown Update'!B$5:B$249,0))</f>
        <v>349.75027864505995</v>
      </c>
      <c r="G157" s="162">
        <f t="shared" si="36"/>
        <v>0</v>
      </c>
      <c r="H157" s="5">
        <v>225876.05</v>
      </c>
      <c r="I157" s="5">
        <f>INDEX('2017 Lockdown Update'!E$5:E$249,MATCH(B157,'2017 Lockdown Update'!B$5:B$249,0))</f>
        <v>225876.05</v>
      </c>
      <c r="J157" s="5">
        <f t="shared" si="37"/>
        <v>0</v>
      </c>
      <c r="K157" s="5">
        <v>0</v>
      </c>
      <c r="L157" s="5">
        <f>INDEX('2017 Lockdown Update'!F$5:F$249,MATCH(B157,'2017 Lockdown Update'!B$5:B$249,0))</f>
        <v>0</v>
      </c>
      <c r="M157" s="5">
        <f t="shared" si="38"/>
        <v>0</v>
      </c>
      <c r="N157" s="5">
        <v>225876.05</v>
      </c>
      <c r="O157" s="105">
        <f t="shared" si="51"/>
        <v>225876.05</v>
      </c>
      <c r="P157" s="105">
        <f t="shared" si="39"/>
        <v>0</v>
      </c>
      <c r="Q157" s="103">
        <f t="shared" si="40"/>
        <v>645.82092936437004</v>
      </c>
      <c r="R157" s="6">
        <f t="shared" si="41"/>
        <v>604.05882709731861</v>
      </c>
      <c r="S157" s="5">
        <f t="shared" si="42"/>
        <v>211269.74309529527</v>
      </c>
      <c r="T157" s="140">
        <v>0.29862500000000003</v>
      </c>
      <c r="U157" s="105">
        <f t="shared" si="43"/>
        <v>54387.630698388813</v>
      </c>
      <c r="V157" s="105">
        <f t="shared" si="44"/>
        <v>18039.755118258683</v>
      </c>
      <c r="W157" s="105">
        <f t="shared" si="45"/>
        <v>4872.4518651919079</v>
      </c>
      <c r="X157" s="105">
        <f t="shared" si="46"/>
        <v>3160.0772833418464</v>
      </c>
      <c r="Y157" s="105">
        <f t="shared" si="47"/>
        <v>80459.914965181248</v>
      </c>
      <c r="Z157" s="112">
        <f t="shared" si="48"/>
        <v>0.380839744425159</v>
      </c>
      <c r="AA157" s="104">
        <f t="shared" si="49"/>
        <v>80662.237954024182</v>
      </c>
      <c r="AB157" s="105"/>
      <c r="AC157" s="104">
        <v>79530.380355377929</v>
      </c>
      <c r="AD157" s="5">
        <f t="shared" si="52"/>
        <v>1131.8575986462529</v>
      </c>
      <c r="AE157" s="105"/>
      <c r="AF157" s="104">
        <f t="shared" si="50"/>
        <v>143.82889733409272</v>
      </c>
    </row>
    <row r="158" spans="2:32" x14ac:dyDescent="0.25">
      <c r="B158">
        <v>502</v>
      </c>
      <c r="C158" s="27">
        <v>7</v>
      </c>
      <c r="D158" s="39" t="s">
        <v>431</v>
      </c>
      <c r="E158" s="162">
        <v>616.38916703369796</v>
      </c>
      <c r="F158" s="162">
        <f>INDEX('2017 Lockdown Update'!H$5:H$249,MATCH(B158,'2017 Lockdown Update'!B$5:B$249,0))</f>
        <v>616.38916703369796</v>
      </c>
      <c r="G158" s="162">
        <f t="shared" si="36"/>
        <v>0</v>
      </c>
      <c r="H158" s="5">
        <v>297076.51</v>
      </c>
      <c r="I158" s="5">
        <f>INDEX('2017 Lockdown Update'!E$5:E$249,MATCH(B158,'2017 Lockdown Update'!B$5:B$249,0))</f>
        <v>297076.51</v>
      </c>
      <c r="J158" s="5">
        <f t="shared" si="37"/>
        <v>0</v>
      </c>
      <c r="K158" s="5">
        <v>0</v>
      </c>
      <c r="L158" s="5">
        <f>INDEX('2017 Lockdown Update'!F$5:F$249,MATCH(B158,'2017 Lockdown Update'!B$5:B$249,0))</f>
        <v>0</v>
      </c>
      <c r="M158" s="5">
        <f t="shared" si="38"/>
        <v>0</v>
      </c>
      <c r="N158" s="5">
        <v>297076.51</v>
      </c>
      <c r="O158" s="105">
        <f t="shared" si="51"/>
        <v>297076.51</v>
      </c>
      <c r="P158" s="105">
        <f t="shared" si="39"/>
        <v>0</v>
      </c>
      <c r="Q158" s="103">
        <f t="shared" si="40"/>
        <v>481.96257476367822</v>
      </c>
      <c r="R158" s="6">
        <f t="shared" si="41"/>
        <v>481.96257476367822</v>
      </c>
      <c r="S158" s="5">
        <f t="shared" si="42"/>
        <v>297076.51</v>
      </c>
      <c r="T158" s="140">
        <v>0.25491666666666668</v>
      </c>
      <c r="U158" s="105">
        <f t="shared" si="43"/>
        <v>76477.05382856603</v>
      </c>
      <c r="V158" s="105">
        <f t="shared" si="44"/>
        <v>31792.711285070531</v>
      </c>
      <c r="W158" s="105">
        <f t="shared" si="45"/>
        <v>5848.5826915395864</v>
      </c>
      <c r="X158" s="105">
        <f t="shared" si="46"/>
        <v>4443.5361018166659</v>
      </c>
      <c r="Y158" s="105">
        <f t="shared" si="47"/>
        <v>118561.88390699282</v>
      </c>
      <c r="Z158" s="112">
        <f t="shared" si="48"/>
        <v>0.39909545156226867</v>
      </c>
      <c r="AA158" s="104">
        <f t="shared" si="49"/>
        <v>118860.01739029681</v>
      </c>
      <c r="AB158" s="105"/>
      <c r="AC158" s="104">
        <v>117343.34507697365</v>
      </c>
      <c r="AD158" s="5">
        <f t="shared" si="52"/>
        <v>1516.6723133231571</v>
      </c>
      <c r="AE158" s="105"/>
      <c r="AF158" s="104">
        <f t="shared" si="50"/>
        <v>211.93938665700747</v>
      </c>
    </row>
    <row r="159" spans="2:32" x14ac:dyDescent="0.25">
      <c r="B159">
        <v>503</v>
      </c>
      <c r="C159" s="27">
        <v>7</v>
      </c>
      <c r="D159" s="39" t="s">
        <v>432</v>
      </c>
      <c r="E159" s="162">
        <v>360.0499999999999</v>
      </c>
      <c r="F159" s="162">
        <f>INDEX('2017 Lockdown Update'!H$5:H$249,MATCH(B159,'2017 Lockdown Update'!B$5:B$249,0))</f>
        <v>360.0499999999999</v>
      </c>
      <c r="G159" s="162">
        <f t="shared" si="36"/>
        <v>0</v>
      </c>
      <c r="H159" s="5">
        <v>196540.79</v>
      </c>
      <c r="I159" s="5">
        <f>INDEX('2017 Lockdown Update'!E$5:E$249,MATCH(B159,'2017 Lockdown Update'!B$5:B$249,0))</f>
        <v>197273.02</v>
      </c>
      <c r="J159" s="5">
        <f t="shared" si="37"/>
        <v>732.22999999998137</v>
      </c>
      <c r="K159" s="5">
        <v>62642.149999999994</v>
      </c>
      <c r="L159" s="5">
        <f>INDEX('2017 Lockdown Update'!F$5:F$249,MATCH(B159,'2017 Lockdown Update'!B$5:B$249,0))</f>
        <v>62642.149999999994</v>
      </c>
      <c r="M159" s="5">
        <f t="shared" si="38"/>
        <v>0</v>
      </c>
      <c r="N159" s="5">
        <v>133898.64000000001</v>
      </c>
      <c r="O159" s="105">
        <f t="shared" si="51"/>
        <v>134630.87</v>
      </c>
      <c r="P159" s="105">
        <f t="shared" si="39"/>
        <v>732.22999999998137</v>
      </c>
      <c r="Q159" s="103">
        <f t="shared" si="40"/>
        <v>373.92270517983621</v>
      </c>
      <c r="R159" s="6">
        <f t="shared" si="41"/>
        <v>373.92270517983621</v>
      </c>
      <c r="S159" s="5">
        <f t="shared" si="42"/>
        <v>134630.87</v>
      </c>
      <c r="T159" s="140">
        <v>0.75550000000000006</v>
      </c>
      <c r="U159" s="105">
        <f t="shared" si="43"/>
        <v>34658.318464750628</v>
      </c>
      <c r="V159" s="105">
        <f t="shared" si="44"/>
        <v>18571.004018900669</v>
      </c>
      <c r="W159" s="105">
        <f t="shared" si="45"/>
        <v>7855.3078800357307</v>
      </c>
      <c r="X159" s="105">
        <f t="shared" si="46"/>
        <v>2013.7476748464103</v>
      </c>
      <c r="Y159" s="105">
        <f t="shared" si="47"/>
        <v>63098.378038533439</v>
      </c>
      <c r="Z159" s="112">
        <f t="shared" si="48"/>
        <v>0.46867689437447324</v>
      </c>
      <c r="AA159" s="104">
        <f t="shared" si="49"/>
        <v>63257.044033164704</v>
      </c>
      <c r="AB159" s="105"/>
      <c r="AC159" s="104">
        <v>62206.799441492178</v>
      </c>
      <c r="AD159" s="5">
        <f t="shared" si="52"/>
        <v>1050.2445916725264</v>
      </c>
      <c r="AE159" s="105"/>
      <c r="AF159" s="104">
        <f t="shared" si="50"/>
        <v>112.79368292620408</v>
      </c>
    </row>
    <row r="160" spans="2:32" x14ac:dyDescent="0.25">
      <c r="B160">
        <v>510</v>
      </c>
      <c r="C160" s="27">
        <v>7</v>
      </c>
      <c r="D160" s="39" t="s">
        <v>433</v>
      </c>
      <c r="E160" s="162">
        <v>476.19514109778987</v>
      </c>
      <c r="F160" s="162">
        <f>INDEX('2017 Lockdown Update'!H$5:H$249,MATCH(B160,'2017 Lockdown Update'!B$5:B$249,0))</f>
        <v>476.19514109778987</v>
      </c>
      <c r="G160" s="162">
        <f t="shared" si="36"/>
        <v>0</v>
      </c>
      <c r="H160" s="5">
        <v>221305.23</v>
      </c>
      <c r="I160" s="5">
        <f>INDEX('2017 Lockdown Update'!E$5:E$249,MATCH(B160,'2017 Lockdown Update'!B$5:B$249,0))</f>
        <v>221305.23</v>
      </c>
      <c r="J160" s="5">
        <f t="shared" si="37"/>
        <v>0</v>
      </c>
      <c r="K160" s="5">
        <v>819</v>
      </c>
      <c r="L160" s="5">
        <f>INDEX('2017 Lockdown Update'!F$5:F$249,MATCH(B160,'2017 Lockdown Update'!B$5:B$249,0))</f>
        <v>819</v>
      </c>
      <c r="M160" s="5">
        <f t="shared" si="38"/>
        <v>0</v>
      </c>
      <c r="N160" s="5">
        <v>220486.23</v>
      </c>
      <c r="O160" s="105">
        <f t="shared" si="51"/>
        <v>220486.23</v>
      </c>
      <c r="P160" s="105">
        <f t="shared" si="39"/>
        <v>0</v>
      </c>
      <c r="Q160" s="103">
        <f t="shared" si="40"/>
        <v>463.01654714851799</v>
      </c>
      <c r="R160" s="6">
        <f t="shared" si="41"/>
        <v>463.01654714851799</v>
      </c>
      <c r="S160" s="5">
        <f t="shared" si="42"/>
        <v>220486.23</v>
      </c>
      <c r="T160" s="140">
        <v>0.35433333333333339</v>
      </c>
      <c r="U160" s="105">
        <f t="shared" si="43"/>
        <v>56760.251021420678</v>
      </c>
      <c r="V160" s="105">
        <f t="shared" si="44"/>
        <v>24561.64943510076</v>
      </c>
      <c r="W160" s="105">
        <f t="shared" si="45"/>
        <v>6033.6146835770196</v>
      </c>
      <c r="X160" s="105">
        <f t="shared" si="46"/>
        <v>3297.9333268673881</v>
      </c>
      <c r="Y160" s="105">
        <f t="shared" si="47"/>
        <v>90653.448466965856</v>
      </c>
      <c r="Z160" s="112">
        <f t="shared" si="48"/>
        <v>0.41115242646656824</v>
      </c>
      <c r="AA160" s="104">
        <f t="shared" si="49"/>
        <v>90881.403923427541</v>
      </c>
      <c r="AB160" s="105"/>
      <c r="AC160" s="104">
        <v>89727.174150270512</v>
      </c>
      <c r="AD160" s="5">
        <f t="shared" si="52"/>
        <v>1154.2297731570288</v>
      </c>
      <c r="AE160" s="105"/>
      <c r="AF160" s="104">
        <f t="shared" si="50"/>
        <v>162.05069988178712</v>
      </c>
    </row>
    <row r="161" spans="2:32" x14ac:dyDescent="0.25">
      <c r="B161">
        <v>531</v>
      </c>
      <c r="C161" s="44">
        <v>7</v>
      </c>
      <c r="D161" s="39" t="s">
        <v>434</v>
      </c>
      <c r="E161" s="162">
        <v>2067.38</v>
      </c>
      <c r="F161" s="162">
        <f>INDEX('2017 Lockdown Update'!H$5:H$249,MATCH(B161,'2017 Lockdown Update'!B$5:B$249,0))</f>
        <v>2029.4400000000003</v>
      </c>
      <c r="G161" s="162">
        <f t="shared" si="36"/>
        <v>-37.939999999999827</v>
      </c>
      <c r="H161" s="5">
        <v>856530.48</v>
      </c>
      <c r="I161" s="5">
        <f>INDEX('2017 Lockdown Update'!E$5:E$249,MATCH(B161,'2017 Lockdown Update'!B$5:B$249,0))</f>
        <v>856693.39</v>
      </c>
      <c r="J161" s="5">
        <f t="shared" si="37"/>
        <v>162.9100000000326</v>
      </c>
      <c r="K161" s="5">
        <v>6929.0499999999993</v>
      </c>
      <c r="L161" s="5">
        <f>INDEX('2017 Lockdown Update'!F$5:F$249,MATCH(B161,'2017 Lockdown Update'!B$5:B$249,0))</f>
        <v>7890.9400000000005</v>
      </c>
      <c r="M161" s="5">
        <f t="shared" si="38"/>
        <v>961.89000000000124</v>
      </c>
      <c r="N161" s="5">
        <v>849601.42999999993</v>
      </c>
      <c r="O161" s="105">
        <f t="shared" si="51"/>
        <v>848802.45000000007</v>
      </c>
      <c r="P161" s="105">
        <f t="shared" si="39"/>
        <v>-798.97999999986496</v>
      </c>
      <c r="Q161" s="103">
        <f t="shared" si="40"/>
        <v>418.24466355250706</v>
      </c>
      <c r="R161" s="6">
        <f t="shared" si="41"/>
        <v>418.24466355250706</v>
      </c>
      <c r="S161" s="5">
        <f t="shared" si="42"/>
        <v>848802.45000000007</v>
      </c>
      <c r="T161" s="140">
        <v>0.82862500000000006</v>
      </c>
      <c r="U161" s="105">
        <f t="shared" si="43"/>
        <v>218509.06575706281</v>
      </c>
      <c r="V161" s="105">
        <f t="shared" si="44"/>
        <v>104676.40160010495</v>
      </c>
      <c r="W161" s="105">
        <f t="shared" si="45"/>
        <v>54318.622383883856</v>
      </c>
      <c r="X161" s="105">
        <f t="shared" si="46"/>
        <v>12696.003227873642</v>
      </c>
      <c r="Y161" s="105">
        <f t="shared" si="47"/>
        <v>390200.09296892525</v>
      </c>
      <c r="Z161" s="112">
        <f t="shared" si="48"/>
        <v>0.45970660542853664</v>
      </c>
      <c r="AA161" s="104">
        <f t="shared" si="49"/>
        <v>391181.28278363519</v>
      </c>
      <c r="AB161" s="105"/>
      <c r="AC161" s="104">
        <v>388197.58518183575</v>
      </c>
      <c r="AD161" s="5">
        <f t="shared" si="52"/>
        <v>2983.6976017994457</v>
      </c>
      <c r="AE161" s="105"/>
      <c r="AF161" s="104">
        <f t="shared" si="50"/>
        <v>697.51564037406217</v>
      </c>
    </row>
    <row r="162" spans="2:32" x14ac:dyDescent="0.25">
      <c r="B162">
        <v>550</v>
      </c>
      <c r="C162" s="27">
        <v>7</v>
      </c>
      <c r="D162" s="39" t="s">
        <v>435</v>
      </c>
      <c r="E162" s="162">
        <v>277.95981427587719</v>
      </c>
      <c r="F162" s="162">
        <f>INDEX('2017 Lockdown Update'!H$5:H$249,MATCH(B162,'2017 Lockdown Update'!B$5:B$249,0))</f>
        <v>277.95981427587719</v>
      </c>
      <c r="G162" s="162">
        <f t="shared" si="36"/>
        <v>0</v>
      </c>
      <c r="H162" s="5">
        <v>135191.09</v>
      </c>
      <c r="I162" s="5">
        <f>INDEX('2017 Lockdown Update'!E$5:E$249,MATCH(B162,'2017 Lockdown Update'!B$5:B$249,0))</f>
        <v>135191.09</v>
      </c>
      <c r="J162" s="5">
        <f t="shared" si="37"/>
        <v>0</v>
      </c>
      <c r="K162" s="5">
        <v>0</v>
      </c>
      <c r="L162" s="5">
        <f>INDEX('2017 Lockdown Update'!F$5:F$249,MATCH(B162,'2017 Lockdown Update'!B$5:B$249,0))</f>
        <v>0</v>
      </c>
      <c r="M162" s="5">
        <f t="shared" si="38"/>
        <v>0</v>
      </c>
      <c r="N162" s="5">
        <v>135191.09</v>
      </c>
      <c r="O162" s="105">
        <f t="shared" si="51"/>
        <v>135191.09</v>
      </c>
      <c r="P162" s="105">
        <f t="shared" si="39"/>
        <v>0</v>
      </c>
      <c r="Q162" s="103">
        <f t="shared" si="40"/>
        <v>486.3691910004726</v>
      </c>
      <c r="R162" s="6">
        <f t="shared" si="41"/>
        <v>486.3691910004726</v>
      </c>
      <c r="S162" s="5">
        <f t="shared" si="42"/>
        <v>135191.09</v>
      </c>
      <c r="T162" s="140">
        <v>0.65881166666666668</v>
      </c>
      <c r="U162" s="105">
        <f t="shared" si="43"/>
        <v>34802.537121068621</v>
      </c>
      <c r="V162" s="105">
        <f t="shared" si="44"/>
        <v>14336.877733676434</v>
      </c>
      <c r="W162" s="105">
        <f t="shared" si="45"/>
        <v>6878.4952454879258</v>
      </c>
      <c r="X162" s="105">
        <f t="shared" si="46"/>
        <v>2022.1271922810256</v>
      </c>
      <c r="Y162" s="105">
        <f t="shared" si="47"/>
        <v>58040.037292514004</v>
      </c>
      <c r="Z162" s="112">
        <f t="shared" si="48"/>
        <v>0.42931850976653863</v>
      </c>
      <c r="AA162" s="104">
        <f t="shared" si="49"/>
        <v>58185.983678645018</v>
      </c>
      <c r="AB162" s="105"/>
      <c r="AC162" s="104">
        <v>57407.757921978111</v>
      </c>
      <c r="AD162" s="5">
        <f t="shared" si="52"/>
        <v>778.22575666690682</v>
      </c>
      <c r="AE162" s="105"/>
      <c r="AF162" s="104">
        <f t="shared" si="50"/>
        <v>103.75147138328951</v>
      </c>
    </row>
    <row r="163" spans="2:32" x14ac:dyDescent="0.25">
      <c r="B163">
        <v>551</v>
      </c>
      <c r="C163" s="27">
        <v>7</v>
      </c>
      <c r="D163" s="39" t="s">
        <v>436</v>
      </c>
      <c r="E163" s="162">
        <v>165.07</v>
      </c>
      <c r="F163" s="162">
        <f>INDEX('2017 Lockdown Update'!H$5:H$249,MATCH(B163,'2017 Lockdown Update'!B$5:B$249,0))</f>
        <v>165.07</v>
      </c>
      <c r="G163" s="162">
        <f t="shared" si="36"/>
        <v>0</v>
      </c>
      <c r="H163" s="5">
        <v>86625.43</v>
      </c>
      <c r="I163" s="5">
        <f>INDEX('2017 Lockdown Update'!E$5:E$249,MATCH(B163,'2017 Lockdown Update'!B$5:B$249,0))</f>
        <v>86625.43</v>
      </c>
      <c r="J163" s="5">
        <f t="shared" si="37"/>
        <v>0</v>
      </c>
      <c r="K163" s="5">
        <v>246</v>
      </c>
      <c r="L163" s="5">
        <f>INDEX('2017 Lockdown Update'!F$5:F$249,MATCH(B163,'2017 Lockdown Update'!B$5:B$249,0))</f>
        <v>246</v>
      </c>
      <c r="M163" s="5">
        <f t="shared" si="38"/>
        <v>0</v>
      </c>
      <c r="N163" s="5">
        <v>86379.43</v>
      </c>
      <c r="O163" s="105">
        <f t="shared" si="51"/>
        <v>86379.43</v>
      </c>
      <c r="P163" s="105">
        <f t="shared" si="39"/>
        <v>0</v>
      </c>
      <c r="Q163" s="103">
        <f t="shared" si="40"/>
        <v>523.28969528078994</v>
      </c>
      <c r="R163" s="6">
        <f t="shared" si="41"/>
        <v>523.28969528078994</v>
      </c>
      <c r="S163" s="5">
        <f t="shared" si="42"/>
        <v>86379.43</v>
      </c>
      <c r="T163" s="140">
        <v>0.48025000000000007</v>
      </c>
      <c r="U163" s="105">
        <f t="shared" si="43"/>
        <v>22236.845039652751</v>
      </c>
      <c r="V163" s="105">
        <f t="shared" si="44"/>
        <v>8514.1386846269525</v>
      </c>
      <c r="W163" s="105">
        <f t="shared" si="45"/>
        <v>3203.7734490879702</v>
      </c>
      <c r="X163" s="105">
        <f t="shared" si="46"/>
        <v>1292.0244541022296</v>
      </c>
      <c r="Y163" s="105">
        <f t="shared" si="47"/>
        <v>35246.781627469907</v>
      </c>
      <c r="Z163" s="112">
        <f t="shared" si="48"/>
        <v>0.40804600849380357</v>
      </c>
      <c r="AA163" s="104">
        <f t="shared" si="49"/>
        <v>35335.412521612045</v>
      </c>
      <c r="AB163" s="105"/>
      <c r="AC163" s="104">
        <v>34863.002653951437</v>
      </c>
      <c r="AD163" s="5">
        <f t="shared" si="52"/>
        <v>472.40986766060814</v>
      </c>
      <c r="AE163" s="105"/>
      <c r="AF163" s="104">
        <f t="shared" si="50"/>
        <v>63.006600718486546</v>
      </c>
    </row>
    <row r="164" spans="2:32" x14ac:dyDescent="0.25">
      <c r="B164">
        <v>555</v>
      </c>
      <c r="C164" s="27">
        <v>7</v>
      </c>
      <c r="D164" s="39" t="s">
        <v>437</v>
      </c>
      <c r="E164" s="162">
        <v>705.82</v>
      </c>
      <c r="F164" s="162">
        <f>INDEX('2017 Lockdown Update'!H$5:H$249,MATCH(B164,'2017 Lockdown Update'!B$5:B$249,0))</f>
        <v>705.82</v>
      </c>
      <c r="G164" s="162">
        <f t="shared" si="36"/>
        <v>0</v>
      </c>
      <c r="H164" s="5">
        <v>467594.79</v>
      </c>
      <c r="I164" s="5">
        <f>INDEX('2017 Lockdown Update'!E$5:E$249,MATCH(B164,'2017 Lockdown Update'!B$5:B$249,0))</f>
        <v>467594.79</v>
      </c>
      <c r="J164" s="5">
        <f t="shared" si="37"/>
        <v>0</v>
      </c>
      <c r="K164" s="5">
        <v>774.21</v>
      </c>
      <c r="L164" s="5">
        <f>INDEX('2017 Lockdown Update'!F$5:F$249,MATCH(B164,'2017 Lockdown Update'!B$5:B$249,0))</f>
        <v>774.21</v>
      </c>
      <c r="M164" s="5">
        <f t="shared" si="38"/>
        <v>0</v>
      </c>
      <c r="N164" s="5">
        <v>466820.57999999996</v>
      </c>
      <c r="O164" s="105">
        <f t="shared" si="51"/>
        <v>466820.57999999996</v>
      </c>
      <c r="P164" s="105">
        <f t="shared" si="39"/>
        <v>0</v>
      </c>
      <c r="Q164" s="103">
        <f t="shared" si="40"/>
        <v>661.38757756935183</v>
      </c>
      <c r="R164" s="6">
        <f t="shared" si="41"/>
        <v>604.05882709731861</v>
      </c>
      <c r="S164" s="5">
        <f t="shared" si="42"/>
        <v>426356.80134182947</v>
      </c>
      <c r="T164" s="140">
        <v>0.60258333333333336</v>
      </c>
      <c r="U164" s="105">
        <f t="shared" si="43"/>
        <v>109757.9611608953</v>
      </c>
      <c r="V164" s="105">
        <f t="shared" si="44"/>
        <v>36405.460509986042</v>
      </c>
      <c r="W164" s="105">
        <f t="shared" si="45"/>
        <v>19841.49542886085</v>
      </c>
      <c r="X164" s="105">
        <f t="shared" si="46"/>
        <v>6377.2522405675754</v>
      </c>
      <c r="Y164" s="105">
        <f t="shared" si="47"/>
        <v>172382.16934030977</v>
      </c>
      <c r="Z164" s="112">
        <f t="shared" si="48"/>
        <v>0.4043143414102669</v>
      </c>
      <c r="AA164" s="104">
        <f t="shared" si="49"/>
        <v>172815.63830108676</v>
      </c>
      <c r="AB164" s="105"/>
      <c r="AC164" s="104">
        <v>170288.67048300852</v>
      </c>
      <c r="AD164" s="5">
        <f t="shared" si="52"/>
        <v>2526.9678180782357</v>
      </c>
      <c r="AE164" s="105"/>
      <c r="AF164" s="104">
        <f t="shared" si="50"/>
        <v>308.14769499824752</v>
      </c>
    </row>
    <row r="165" spans="2:32" x14ac:dyDescent="0.25">
      <c r="B165">
        <v>556</v>
      </c>
      <c r="C165" s="27">
        <v>7</v>
      </c>
      <c r="D165" s="39" t="s">
        <v>438</v>
      </c>
      <c r="E165" s="162">
        <v>399.46326028334249</v>
      </c>
      <c r="F165" s="162">
        <f>INDEX('2017 Lockdown Update'!H$5:H$249,MATCH(B165,'2017 Lockdown Update'!B$5:B$249,0))</f>
        <v>399.46326028334249</v>
      </c>
      <c r="G165" s="162">
        <f t="shared" si="36"/>
        <v>0</v>
      </c>
      <c r="H165" s="5">
        <v>156309.14000000001</v>
      </c>
      <c r="I165" s="5">
        <f>INDEX('2017 Lockdown Update'!E$5:E$249,MATCH(B165,'2017 Lockdown Update'!B$5:B$249,0))</f>
        <v>156309.14000000001</v>
      </c>
      <c r="J165" s="5">
        <f t="shared" si="37"/>
        <v>0</v>
      </c>
      <c r="K165" s="5">
        <v>427</v>
      </c>
      <c r="L165" s="5">
        <f>INDEX('2017 Lockdown Update'!F$5:F$249,MATCH(B165,'2017 Lockdown Update'!B$5:B$249,0))</f>
        <v>427</v>
      </c>
      <c r="M165" s="5">
        <f t="shared" si="38"/>
        <v>0</v>
      </c>
      <c r="N165" s="5">
        <v>155882.14000000001</v>
      </c>
      <c r="O165" s="105">
        <f t="shared" si="51"/>
        <v>155882.14000000001</v>
      </c>
      <c r="P165" s="105">
        <f t="shared" si="39"/>
        <v>0</v>
      </c>
      <c r="Q165" s="103">
        <f t="shared" si="40"/>
        <v>390.22897847835009</v>
      </c>
      <c r="R165" s="6">
        <f t="shared" si="41"/>
        <v>390.22897847835009</v>
      </c>
      <c r="S165" s="5">
        <f t="shared" si="42"/>
        <v>155882.14000000001</v>
      </c>
      <c r="T165" s="140">
        <v>0.74075000000000002</v>
      </c>
      <c r="U165" s="105">
        <f t="shared" si="43"/>
        <v>40129.079245249202</v>
      </c>
      <c r="V165" s="105">
        <f t="shared" si="44"/>
        <v>20603.898936606358</v>
      </c>
      <c r="W165" s="105">
        <f t="shared" si="45"/>
        <v>8917.6846352755038</v>
      </c>
      <c r="X165" s="105">
        <f t="shared" si="46"/>
        <v>2331.6145619134945</v>
      </c>
      <c r="Y165" s="105">
        <f t="shared" si="47"/>
        <v>71982.277379044564</v>
      </c>
      <c r="Z165" s="112">
        <f t="shared" si="48"/>
        <v>0.46177373096779756</v>
      </c>
      <c r="AA165" s="104">
        <f t="shared" si="49"/>
        <v>72163.282659864853</v>
      </c>
      <c r="AB165" s="105"/>
      <c r="AC165" s="104">
        <v>71237.238262187631</v>
      </c>
      <c r="AD165" s="5">
        <f t="shared" si="52"/>
        <v>926.04439767722215</v>
      </c>
      <c r="AE165" s="105"/>
      <c r="AF165" s="104">
        <f t="shared" si="50"/>
        <v>128.67440373886882</v>
      </c>
    </row>
    <row r="166" spans="2:32" x14ac:dyDescent="0.25">
      <c r="B166">
        <v>558</v>
      </c>
      <c r="C166" s="27">
        <v>7</v>
      </c>
      <c r="D166" s="39" t="s">
        <v>439</v>
      </c>
      <c r="E166" s="162">
        <v>305.78979646739623</v>
      </c>
      <c r="F166" s="162">
        <f>INDEX('2017 Lockdown Update'!H$5:H$249,MATCH(B166,'2017 Lockdown Update'!B$5:B$249,0))</f>
        <v>305.78979646739623</v>
      </c>
      <c r="G166" s="162">
        <f t="shared" si="36"/>
        <v>0</v>
      </c>
      <c r="H166" s="5">
        <v>165288.29</v>
      </c>
      <c r="I166" s="5">
        <f>INDEX('2017 Lockdown Update'!E$5:E$249,MATCH(B166,'2017 Lockdown Update'!B$5:B$249,0))</f>
        <v>165308.60999999999</v>
      </c>
      <c r="J166" s="5">
        <f t="shared" si="37"/>
        <v>20.319999999977881</v>
      </c>
      <c r="K166" s="5">
        <v>22408.99</v>
      </c>
      <c r="L166" s="5">
        <f>INDEX('2017 Lockdown Update'!F$5:F$249,MATCH(B166,'2017 Lockdown Update'!B$5:B$249,0))</f>
        <v>22409</v>
      </c>
      <c r="M166" s="5">
        <f t="shared" si="38"/>
        <v>9.9999999983992893E-3</v>
      </c>
      <c r="N166" s="5">
        <v>142879.30000000002</v>
      </c>
      <c r="O166" s="105">
        <f t="shared" si="51"/>
        <v>142899.60999999999</v>
      </c>
      <c r="P166" s="105">
        <f t="shared" si="39"/>
        <v>20.309999999968568</v>
      </c>
      <c r="Q166" s="103">
        <f t="shared" si="40"/>
        <v>467.31320551186593</v>
      </c>
      <c r="R166" s="6">
        <f t="shared" si="41"/>
        <v>467.31320551186593</v>
      </c>
      <c r="S166" s="5">
        <f t="shared" si="42"/>
        <v>142899.60999999999</v>
      </c>
      <c r="T166" s="140">
        <v>0.4160416666666667</v>
      </c>
      <c r="U166" s="105">
        <f t="shared" si="43"/>
        <v>36786.958235274447</v>
      </c>
      <c r="V166" s="105">
        <f t="shared" si="44"/>
        <v>15772.319231036898</v>
      </c>
      <c r="W166" s="105">
        <f t="shared" si="45"/>
        <v>4591.4722247401924</v>
      </c>
      <c r="X166" s="105">
        <f t="shared" si="46"/>
        <v>2137.4277487322097</v>
      </c>
      <c r="Y166" s="105">
        <f t="shared" si="47"/>
        <v>59288.177439783751</v>
      </c>
      <c r="Z166" s="112">
        <f t="shared" si="48"/>
        <v>0.41489390656688113</v>
      </c>
      <c r="AA166" s="104">
        <f t="shared" si="49"/>
        <v>59437.262375653474</v>
      </c>
      <c r="AB166" s="105"/>
      <c r="AC166" s="104">
        <v>58667.148516835019</v>
      </c>
      <c r="AD166" s="5">
        <f t="shared" si="52"/>
        <v>770.1138588184549</v>
      </c>
      <c r="AE166" s="105"/>
      <c r="AF166" s="104">
        <f t="shared" si="50"/>
        <v>105.98262737168331</v>
      </c>
    </row>
    <row r="167" spans="2:32" x14ac:dyDescent="0.25">
      <c r="B167">
        <v>600</v>
      </c>
      <c r="C167" s="27">
        <v>7</v>
      </c>
      <c r="D167" s="39" t="s">
        <v>440</v>
      </c>
      <c r="E167" s="162">
        <v>741.18</v>
      </c>
      <c r="F167" s="162">
        <f>INDEX('2017 Lockdown Update'!H$5:H$249,MATCH(B167,'2017 Lockdown Update'!B$5:B$249,0))</f>
        <v>741.18</v>
      </c>
      <c r="G167" s="162">
        <f t="shared" si="36"/>
        <v>0</v>
      </c>
      <c r="H167" s="5">
        <v>238860.15</v>
      </c>
      <c r="I167" s="5">
        <f>INDEX('2017 Lockdown Update'!E$5:E$249,MATCH(B167,'2017 Lockdown Update'!B$5:B$249,0))</f>
        <v>238860.15</v>
      </c>
      <c r="J167" s="5">
        <f t="shared" si="37"/>
        <v>0</v>
      </c>
      <c r="K167" s="5">
        <v>10</v>
      </c>
      <c r="L167" s="5">
        <f>INDEX('2017 Lockdown Update'!F$5:F$249,MATCH(B167,'2017 Lockdown Update'!B$5:B$249,0))</f>
        <v>10</v>
      </c>
      <c r="M167" s="5">
        <f t="shared" si="38"/>
        <v>0</v>
      </c>
      <c r="N167" s="5">
        <v>238850.15</v>
      </c>
      <c r="O167" s="105">
        <f t="shared" si="51"/>
        <v>238850.15</v>
      </c>
      <c r="P167" s="105">
        <f t="shared" si="39"/>
        <v>0</v>
      </c>
      <c r="Q167" s="103">
        <f t="shared" si="40"/>
        <v>322.25660433363015</v>
      </c>
      <c r="R167" s="6">
        <f t="shared" si="41"/>
        <v>322.25660433363015</v>
      </c>
      <c r="S167" s="5">
        <f t="shared" si="42"/>
        <v>238850.14999999997</v>
      </c>
      <c r="T167" s="140">
        <v>0.86433333333333329</v>
      </c>
      <c r="U167" s="105">
        <f t="shared" si="43"/>
        <v>61487.714994736758</v>
      </c>
      <c r="V167" s="105">
        <f t="shared" si="44"/>
        <v>38229.29248362394</v>
      </c>
      <c r="W167" s="105">
        <f t="shared" si="45"/>
        <v>15943.764498135241</v>
      </c>
      <c r="X167" s="105">
        <f t="shared" si="46"/>
        <v>3572.6125382627047</v>
      </c>
      <c r="Y167" s="105">
        <f t="shared" si="47"/>
        <v>119233.38451475864</v>
      </c>
      <c r="Z167" s="112">
        <f t="shared" si="48"/>
        <v>0.49919744456831472</v>
      </c>
      <c r="AA167" s="104">
        <f t="shared" si="49"/>
        <v>119533.20654086101</v>
      </c>
      <c r="AB167" s="105"/>
      <c r="AC167" s="104">
        <v>118053.44289425273</v>
      </c>
      <c r="AD167" s="5">
        <f t="shared" si="52"/>
        <v>1479.7636466082768</v>
      </c>
      <c r="AE167" s="105"/>
      <c r="AF167" s="104">
        <f t="shared" si="50"/>
        <v>213.13975073912121</v>
      </c>
    </row>
    <row r="168" spans="2:32" x14ac:dyDescent="0.25">
      <c r="B168">
        <v>604</v>
      </c>
      <c r="C168" s="27">
        <v>7</v>
      </c>
      <c r="D168" s="39" t="s">
        <v>441</v>
      </c>
      <c r="E168" s="162">
        <v>663.01441323913355</v>
      </c>
      <c r="F168" s="162">
        <f>INDEX('2017 Lockdown Update'!H$5:H$249,MATCH(B168,'2017 Lockdown Update'!B$5:B$249,0))</f>
        <v>663.01441323913355</v>
      </c>
      <c r="G168" s="162">
        <f t="shared" si="36"/>
        <v>0</v>
      </c>
      <c r="H168" s="5">
        <v>218649.53</v>
      </c>
      <c r="I168" s="5">
        <f>INDEX('2017 Lockdown Update'!E$5:E$249,MATCH(B168,'2017 Lockdown Update'!B$5:B$249,0))</f>
        <v>218649.53</v>
      </c>
      <c r="J168" s="5">
        <f t="shared" si="37"/>
        <v>0</v>
      </c>
      <c r="K168" s="5">
        <v>40098.400000000001</v>
      </c>
      <c r="L168" s="5">
        <f>INDEX('2017 Lockdown Update'!F$5:F$249,MATCH(B168,'2017 Lockdown Update'!B$5:B$249,0))</f>
        <v>40098.400000000001</v>
      </c>
      <c r="M168" s="5">
        <f t="shared" si="38"/>
        <v>0</v>
      </c>
      <c r="N168" s="5">
        <v>178551.13</v>
      </c>
      <c r="O168" s="105">
        <f t="shared" si="51"/>
        <v>178551.13</v>
      </c>
      <c r="P168" s="105">
        <f t="shared" si="39"/>
        <v>0</v>
      </c>
      <c r="Q168" s="103">
        <f t="shared" si="40"/>
        <v>269.30203391460941</v>
      </c>
      <c r="R168" s="6">
        <f t="shared" si="41"/>
        <v>269.30203391460941</v>
      </c>
      <c r="S168" s="5">
        <f t="shared" si="42"/>
        <v>178551.13</v>
      </c>
      <c r="T168" s="140">
        <v>0.63758333333333339</v>
      </c>
      <c r="U168" s="105">
        <f t="shared" si="43"/>
        <v>45964.806777086786</v>
      </c>
      <c r="V168" s="105">
        <f t="shared" si="44"/>
        <v>34197.592925574281</v>
      </c>
      <c r="W168" s="105">
        <f t="shared" si="45"/>
        <v>8791.9184162872752</v>
      </c>
      <c r="X168" s="105">
        <f t="shared" si="46"/>
        <v>2670.6870636630301</v>
      </c>
      <c r="Y168" s="105">
        <f t="shared" si="47"/>
        <v>91625.005182611363</v>
      </c>
      <c r="Z168" s="112">
        <f t="shared" si="48"/>
        <v>0.51315836075980792</v>
      </c>
      <c r="AA168" s="104">
        <f t="shared" si="49"/>
        <v>91855.403697316709</v>
      </c>
      <c r="AB168" s="105"/>
      <c r="AC168" s="104">
        <v>90831.188720729144</v>
      </c>
      <c r="AD168" s="5">
        <f t="shared" si="52"/>
        <v>1024.2149765875656</v>
      </c>
      <c r="AE168" s="105"/>
      <c r="AF168" s="104">
        <f t="shared" si="50"/>
        <v>163.78743961323346</v>
      </c>
    </row>
    <row r="169" spans="2:32" x14ac:dyDescent="0.25">
      <c r="B169">
        <v>612</v>
      </c>
      <c r="C169" s="27">
        <v>7</v>
      </c>
      <c r="D169" s="39" t="s">
        <v>442</v>
      </c>
      <c r="E169" s="162">
        <v>535.02449710035819</v>
      </c>
      <c r="F169" s="162">
        <f>INDEX('2017 Lockdown Update'!H$5:H$249,MATCH(B169,'2017 Lockdown Update'!B$5:B$249,0))</f>
        <v>520.57952624249731</v>
      </c>
      <c r="G169" s="162">
        <f t="shared" si="36"/>
        <v>-14.444970857860881</v>
      </c>
      <c r="H169" s="5">
        <v>201310.45</v>
      </c>
      <c r="I169" s="5">
        <f>INDEX('2017 Lockdown Update'!E$5:E$249,MATCH(B169,'2017 Lockdown Update'!B$5:B$249,0))</f>
        <v>194053.99</v>
      </c>
      <c r="J169" s="5">
        <f t="shared" si="37"/>
        <v>-7256.460000000021</v>
      </c>
      <c r="K169" s="5">
        <v>1285.3399999999999</v>
      </c>
      <c r="L169" s="5">
        <f>INDEX('2017 Lockdown Update'!F$5:F$249,MATCH(B169,'2017 Lockdown Update'!B$5:B$249,0))</f>
        <v>1285.3399999999999</v>
      </c>
      <c r="M169" s="5">
        <f t="shared" si="38"/>
        <v>0</v>
      </c>
      <c r="N169" s="5">
        <v>200025.11000000002</v>
      </c>
      <c r="O169" s="105">
        <f t="shared" si="51"/>
        <v>192768.65</v>
      </c>
      <c r="P169" s="105">
        <f t="shared" si="39"/>
        <v>-7256.460000000021</v>
      </c>
      <c r="Q169" s="103">
        <f t="shared" si="40"/>
        <v>370.29625692617839</v>
      </c>
      <c r="R169" s="6">
        <f t="shared" si="41"/>
        <v>370.29625692617839</v>
      </c>
      <c r="S169" s="5">
        <f t="shared" si="42"/>
        <v>192768.65</v>
      </c>
      <c r="T169" s="140">
        <v>0.86191666666666666</v>
      </c>
      <c r="U169" s="105">
        <f t="shared" si="43"/>
        <v>49624.853956006162</v>
      </c>
      <c r="V169" s="105">
        <f t="shared" si="44"/>
        <v>26850.949795880642</v>
      </c>
      <c r="W169" s="105">
        <f t="shared" si="45"/>
        <v>12831.746611674293</v>
      </c>
      <c r="X169" s="105">
        <f t="shared" si="46"/>
        <v>2883.3462988152824</v>
      </c>
      <c r="Y169" s="105">
        <f t="shared" si="47"/>
        <v>92190.896662376384</v>
      </c>
      <c r="Z169" s="112">
        <f t="shared" si="48"/>
        <v>0.47824631579033411</v>
      </c>
      <c r="AA169" s="104">
        <f t="shared" si="49"/>
        <v>92422.718157153184</v>
      </c>
      <c r="AB169" s="105"/>
      <c r="AC169" s="104">
        <v>94401.168097498885</v>
      </c>
      <c r="AD169" s="5">
        <f t="shared" si="52"/>
        <v>-1978.4499403457012</v>
      </c>
      <c r="AE169" s="105"/>
      <c r="AF169" s="104">
        <f t="shared" si="50"/>
        <v>164.79901845445625</v>
      </c>
    </row>
    <row r="170" spans="2:32" x14ac:dyDescent="0.25">
      <c r="B170">
        <v>711</v>
      </c>
      <c r="C170" s="27">
        <v>7</v>
      </c>
      <c r="D170" s="39" t="s">
        <v>443</v>
      </c>
      <c r="E170" s="162">
        <v>383.03000000000003</v>
      </c>
      <c r="F170" s="162">
        <f>INDEX('2017 Lockdown Update'!H$5:H$249,MATCH(B170,'2017 Lockdown Update'!B$5:B$249,0))</f>
        <v>383.03000000000003</v>
      </c>
      <c r="G170" s="162">
        <f t="shared" si="36"/>
        <v>0</v>
      </c>
      <c r="H170" s="5">
        <v>204866.78</v>
      </c>
      <c r="I170" s="5">
        <f>INDEX('2017 Lockdown Update'!E$5:E$249,MATCH(B170,'2017 Lockdown Update'!B$5:B$249,0))</f>
        <v>210277.86</v>
      </c>
      <c r="J170" s="5">
        <f t="shared" si="37"/>
        <v>5411.0799999999872</v>
      </c>
      <c r="K170" s="5">
        <v>25071.68</v>
      </c>
      <c r="L170" s="5">
        <f>INDEX('2017 Lockdown Update'!F$5:F$249,MATCH(B170,'2017 Lockdown Update'!B$5:B$249,0))</f>
        <v>25071.68</v>
      </c>
      <c r="M170" s="5">
        <f t="shared" si="38"/>
        <v>0</v>
      </c>
      <c r="N170" s="5">
        <v>179795.1</v>
      </c>
      <c r="O170" s="105">
        <f t="shared" si="51"/>
        <v>185206.18</v>
      </c>
      <c r="P170" s="105">
        <f t="shared" si="39"/>
        <v>5411.0799999999872</v>
      </c>
      <c r="Q170" s="103">
        <f t="shared" si="40"/>
        <v>483.52917526042341</v>
      </c>
      <c r="R170" s="6">
        <f t="shared" si="41"/>
        <v>483.52917526042341</v>
      </c>
      <c r="S170" s="5">
        <f t="shared" si="42"/>
        <v>185206.18</v>
      </c>
      <c r="T170" s="140">
        <v>0.71533333333333338</v>
      </c>
      <c r="U170" s="105">
        <f t="shared" si="43"/>
        <v>47678.030811803626</v>
      </c>
      <c r="V170" s="105">
        <f t="shared" si="44"/>
        <v>19756.288485931193</v>
      </c>
      <c r="W170" s="105">
        <f t="shared" si="45"/>
        <v>10231.705412213059</v>
      </c>
      <c r="X170" s="105">
        <f t="shared" si="46"/>
        <v>2770.2302922218782</v>
      </c>
      <c r="Y170" s="105">
        <f t="shared" si="47"/>
        <v>80436.255002169768</v>
      </c>
      <c r="Z170" s="112">
        <f t="shared" si="48"/>
        <v>0.43430653881079873</v>
      </c>
      <c r="AA170" s="104">
        <f t="shared" si="49"/>
        <v>80638.518496114732</v>
      </c>
      <c r="AB170" s="105"/>
      <c r="AC170" s="104">
        <v>77832.85647501795</v>
      </c>
      <c r="AD170" s="5">
        <f t="shared" si="52"/>
        <v>2805.6620210967812</v>
      </c>
      <c r="AE170" s="105"/>
      <c r="AF170" s="104">
        <f t="shared" si="50"/>
        <v>143.78660315080432</v>
      </c>
    </row>
    <row r="171" spans="2:32" x14ac:dyDescent="0.25">
      <c r="B171">
        <v>712</v>
      </c>
      <c r="C171" s="27">
        <v>7</v>
      </c>
      <c r="D171" s="39" t="s">
        <v>444</v>
      </c>
      <c r="E171" s="162">
        <v>577.44136596925159</v>
      </c>
      <c r="F171" s="162">
        <f>INDEX('2017 Lockdown Update'!H$5:H$249,MATCH(B171,'2017 Lockdown Update'!B$5:B$249,0))</f>
        <v>577.44136596925159</v>
      </c>
      <c r="G171" s="162">
        <f t="shared" si="36"/>
        <v>0</v>
      </c>
      <c r="H171" s="5">
        <v>276945.74</v>
      </c>
      <c r="I171" s="5">
        <f>INDEX('2017 Lockdown Update'!E$5:E$249,MATCH(B171,'2017 Lockdown Update'!B$5:B$249,0))</f>
        <v>276945.74</v>
      </c>
      <c r="J171" s="5">
        <f t="shared" si="37"/>
        <v>0</v>
      </c>
      <c r="K171" s="5">
        <v>0</v>
      </c>
      <c r="L171" s="5">
        <f>INDEX('2017 Lockdown Update'!F$5:F$249,MATCH(B171,'2017 Lockdown Update'!B$5:B$249,0))</f>
        <v>0</v>
      </c>
      <c r="M171" s="5">
        <f t="shared" si="38"/>
        <v>0</v>
      </c>
      <c r="N171" s="5">
        <v>276945.74</v>
      </c>
      <c r="O171" s="105">
        <f t="shared" si="51"/>
        <v>276945.74</v>
      </c>
      <c r="P171" s="105">
        <f t="shared" si="39"/>
        <v>0</v>
      </c>
      <c r="Q171" s="103">
        <f t="shared" si="40"/>
        <v>479.60841796489376</v>
      </c>
      <c r="R171" s="6">
        <f t="shared" si="41"/>
        <v>479.60841796489376</v>
      </c>
      <c r="S171" s="5">
        <f t="shared" si="42"/>
        <v>276945.74</v>
      </c>
      <c r="T171" s="140">
        <v>0.77087499999999998</v>
      </c>
      <c r="U171" s="105">
        <f t="shared" si="43"/>
        <v>71294.745806634295</v>
      </c>
      <c r="V171" s="105">
        <f t="shared" si="44"/>
        <v>29783.82426911392</v>
      </c>
      <c r="W171" s="105">
        <f t="shared" si="45"/>
        <v>16487.801152106764</v>
      </c>
      <c r="X171" s="105">
        <f t="shared" si="46"/>
        <v>4142.4291470716817</v>
      </c>
      <c r="Y171" s="105">
        <f t="shared" si="47"/>
        <v>121708.80037492666</v>
      </c>
      <c r="Z171" s="112">
        <f t="shared" si="48"/>
        <v>0.43946803577815158</v>
      </c>
      <c r="AA171" s="104">
        <f t="shared" si="49"/>
        <v>122014.84703519222</v>
      </c>
      <c r="AB171" s="105"/>
      <c r="AC171" s="104">
        <v>120386.10826977452</v>
      </c>
      <c r="AD171" s="5">
        <f t="shared" si="52"/>
        <v>1628.7387654177001</v>
      </c>
      <c r="AE171" s="105"/>
      <c r="AF171" s="104">
        <f t="shared" si="50"/>
        <v>217.56476577630298</v>
      </c>
    </row>
    <row r="172" spans="2:32" x14ac:dyDescent="0.25">
      <c r="B172">
        <v>718</v>
      </c>
      <c r="C172" s="27">
        <v>7</v>
      </c>
      <c r="D172" s="39" t="s">
        <v>445</v>
      </c>
      <c r="E172" s="162">
        <v>41.596316531073334</v>
      </c>
      <c r="F172" s="162">
        <f>INDEX('2017 Lockdown Update'!H$5:H$249,MATCH(B172,'2017 Lockdown Update'!B$5:B$249,0))</f>
        <v>41.596316531073334</v>
      </c>
      <c r="G172" s="162">
        <f t="shared" si="36"/>
        <v>0</v>
      </c>
      <c r="H172" s="5">
        <v>21138.42</v>
      </c>
      <c r="I172" s="5">
        <f>INDEX('2017 Lockdown Update'!E$5:E$249,MATCH(B172,'2017 Lockdown Update'!B$5:B$249,0))</f>
        <v>21138.42</v>
      </c>
      <c r="J172" s="5">
        <f t="shared" si="37"/>
        <v>0</v>
      </c>
      <c r="K172" s="5">
        <v>0</v>
      </c>
      <c r="L172" s="5">
        <f>INDEX('2017 Lockdown Update'!F$5:F$249,MATCH(B172,'2017 Lockdown Update'!B$5:B$249,0))</f>
        <v>0</v>
      </c>
      <c r="M172" s="5">
        <f t="shared" si="38"/>
        <v>0</v>
      </c>
      <c r="N172" s="5">
        <v>21138.42</v>
      </c>
      <c r="O172" s="105">
        <f t="shared" si="51"/>
        <v>21138.42</v>
      </c>
      <c r="P172" s="105">
        <f t="shared" si="39"/>
        <v>0</v>
      </c>
      <c r="Q172" s="103">
        <f t="shared" si="40"/>
        <v>508.18009292263048</v>
      </c>
      <c r="R172" s="6">
        <f t="shared" si="41"/>
        <v>508.18009292263048</v>
      </c>
      <c r="S172" s="5">
        <f t="shared" si="42"/>
        <v>21138.42</v>
      </c>
      <c r="T172" s="140">
        <v>9.8250000000000004E-2</v>
      </c>
      <c r="U172" s="105">
        <f t="shared" si="43"/>
        <v>5441.709558897257</v>
      </c>
      <c r="V172" s="105">
        <f t="shared" si="44"/>
        <v>2145.4946853771071</v>
      </c>
      <c r="W172" s="105">
        <f t="shared" si="45"/>
        <v>160.39438924849665</v>
      </c>
      <c r="X172" s="105">
        <f t="shared" si="46"/>
        <v>316.17892779662532</v>
      </c>
      <c r="Y172" s="105">
        <f t="shared" si="47"/>
        <v>8063.7775613194863</v>
      </c>
      <c r="Z172" s="112">
        <f t="shared" si="48"/>
        <v>0.38147494284433214</v>
      </c>
      <c r="AA172" s="104">
        <f t="shared" si="49"/>
        <v>8084.054584707801</v>
      </c>
      <c r="AB172" s="105"/>
      <c r="AC172" s="104">
        <v>7983.2708310934668</v>
      </c>
      <c r="AD172" s="5">
        <f t="shared" si="52"/>
        <v>100.78375361433427</v>
      </c>
      <c r="AE172" s="105"/>
      <c r="AF172" s="104">
        <f t="shared" si="50"/>
        <v>14.414683827268302</v>
      </c>
    </row>
    <row r="173" spans="2:32" x14ac:dyDescent="0.25">
      <c r="B173">
        <v>736</v>
      </c>
      <c r="C173" s="27">
        <v>7</v>
      </c>
      <c r="D173" s="39" t="s">
        <v>446</v>
      </c>
      <c r="E173" s="162">
        <v>139.26018147577855</v>
      </c>
      <c r="F173" s="162">
        <f>INDEX('2017 Lockdown Update'!H$5:H$249,MATCH(B173,'2017 Lockdown Update'!B$5:B$249,0))</f>
        <v>139.26018147577855</v>
      </c>
      <c r="G173" s="162">
        <f t="shared" si="36"/>
        <v>0</v>
      </c>
      <c r="H173" s="5">
        <v>50940.17</v>
      </c>
      <c r="I173" s="5">
        <f>INDEX('2017 Lockdown Update'!E$5:E$249,MATCH(B173,'2017 Lockdown Update'!B$5:B$249,0))</f>
        <v>50940.17</v>
      </c>
      <c r="J173" s="5">
        <f t="shared" si="37"/>
        <v>0</v>
      </c>
      <c r="K173" s="5">
        <v>0</v>
      </c>
      <c r="L173" s="5">
        <f>INDEX('2017 Lockdown Update'!F$5:F$249,MATCH(B173,'2017 Lockdown Update'!B$5:B$249,0))</f>
        <v>0</v>
      </c>
      <c r="M173" s="5">
        <f t="shared" si="38"/>
        <v>0</v>
      </c>
      <c r="N173" s="5">
        <v>50940.17</v>
      </c>
      <c r="O173" s="105">
        <f t="shared" si="51"/>
        <v>50940.17</v>
      </c>
      <c r="P173" s="105">
        <f t="shared" si="39"/>
        <v>0</v>
      </c>
      <c r="Q173" s="103">
        <f t="shared" si="40"/>
        <v>365.79135155629535</v>
      </c>
      <c r="R173" s="6">
        <f t="shared" si="41"/>
        <v>365.79135155629535</v>
      </c>
      <c r="S173" s="5">
        <f t="shared" si="42"/>
        <v>50940.170000000006</v>
      </c>
      <c r="T173" s="140">
        <v>0.48025000000000007</v>
      </c>
      <c r="U173" s="105">
        <f t="shared" si="43"/>
        <v>13113.639052533319</v>
      </c>
      <c r="V173" s="105">
        <f t="shared" si="44"/>
        <v>7182.8951252868237</v>
      </c>
      <c r="W173" s="105">
        <f t="shared" si="45"/>
        <v>1889.347546493738</v>
      </c>
      <c r="X173" s="105">
        <f t="shared" si="46"/>
        <v>761.94002826974884</v>
      </c>
      <c r="Y173" s="105">
        <f t="shared" si="47"/>
        <v>22947.82175258363</v>
      </c>
      <c r="Z173" s="112">
        <f t="shared" si="48"/>
        <v>0.45048577090699987</v>
      </c>
      <c r="AA173" s="104">
        <f t="shared" si="49"/>
        <v>23005.525913549085</v>
      </c>
      <c r="AB173" s="105"/>
      <c r="AC173" s="104">
        <v>22725.594624891048</v>
      </c>
      <c r="AD173" s="5">
        <f t="shared" si="52"/>
        <v>279.93128865803737</v>
      </c>
      <c r="AE173" s="105"/>
      <c r="AF173" s="104">
        <f t="shared" si="50"/>
        <v>41.021170608019112</v>
      </c>
    </row>
    <row r="174" spans="2:32" x14ac:dyDescent="0.25">
      <c r="B174">
        <v>757</v>
      </c>
      <c r="C174" s="27">
        <v>7</v>
      </c>
      <c r="D174" s="39" t="s">
        <v>447</v>
      </c>
      <c r="E174" s="162">
        <v>451.19999999999993</v>
      </c>
      <c r="F174" s="162">
        <f>INDEX('2017 Lockdown Update'!H$5:H$249,MATCH(B174,'2017 Lockdown Update'!B$5:B$249,0))</f>
        <v>451.19999999999993</v>
      </c>
      <c r="G174" s="162">
        <f t="shared" si="36"/>
        <v>0</v>
      </c>
      <c r="H174" s="5">
        <v>297694.98</v>
      </c>
      <c r="I174" s="5">
        <f>INDEX('2017 Lockdown Update'!E$5:E$249,MATCH(B174,'2017 Lockdown Update'!B$5:B$249,0))</f>
        <v>297694.98</v>
      </c>
      <c r="J174" s="5">
        <f t="shared" si="37"/>
        <v>0</v>
      </c>
      <c r="K174" s="5">
        <v>55134</v>
      </c>
      <c r="L174" s="5">
        <f>INDEX('2017 Lockdown Update'!F$5:F$249,MATCH(B174,'2017 Lockdown Update'!B$5:B$249,0))</f>
        <v>55134</v>
      </c>
      <c r="M174" s="5">
        <f t="shared" si="38"/>
        <v>0</v>
      </c>
      <c r="N174" s="5">
        <v>242560.97999999998</v>
      </c>
      <c r="O174" s="105">
        <f t="shared" si="51"/>
        <v>242560.97999999998</v>
      </c>
      <c r="P174" s="105">
        <f t="shared" si="39"/>
        <v>0</v>
      </c>
      <c r="Q174" s="103">
        <f t="shared" si="40"/>
        <v>537.5908244680852</v>
      </c>
      <c r="R174" s="6">
        <f t="shared" si="41"/>
        <v>537.5908244680852</v>
      </c>
      <c r="S174" s="5">
        <f t="shared" si="42"/>
        <v>242560.98</v>
      </c>
      <c r="T174" s="140">
        <v>0.79725000000000001</v>
      </c>
      <c r="U174" s="105">
        <f t="shared" si="43"/>
        <v>62443.002054150056</v>
      </c>
      <c r="V174" s="105">
        <f t="shared" si="44"/>
        <v>23272.426088954264</v>
      </c>
      <c r="W174" s="105">
        <f t="shared" si="45"/>
        <v>14934.805016301339</v>
      </c>
      <c r="X174" s="105">
        <f t="shared" si="46"/>
        <v>3628.117455405782</v>
      </c>
      <c r="Y174" s="105">
        <f t="shared" si="47"/>
        <v>104278.35061481144</v>
      </c>
      <c r="Z174" s="112">
        <f t="shared" si="48"/>
        <v>0.42990571119399101</v>
      </c>
      <c r="AA174" s="104">
        <f t="shared" si="49"/>
        <v>104540.56699395043</v>
      </c>
      <c r="AB174" s="105"/>
      <c r="AC174" s="104">
        <v>103068.85832053423</v>
      </c>
      <c r="AD174" s="5">
        <f t="shared" si="52"/>
        <v>1471.7086734162003</v>
      </c>
      <c r="AE174" s="105"/>
      <c r="AF174" s="104">
        <f t="shared" si="50"/>
        <v>186.40636385505348</v>
      </c>
    </row>
    <row r="175" spans="2:32" x14ac:dyDescent="0.25">
      <c r="B175">
        <v>786</v>
      </c>
      <c r="C175" s="27">
        <v>7</v>
      </c>
      <c r="D175" s="39" t="s">
        <v>448</v>
      </c>
      <c r="E175" s="162">
        <v>3074.88</v>
      </c>
      <c r="F175" s="162">
        <f>INDEX('2017 Lockdown Update'!H$5:H$249,MATCH(B175,'2017 Lockdown Update'!B$5:B$249,0))</f>
        <v>3074.8799999999992</v>
      </c>
      <c r="G175" s="162">
        <f t="shared" si="36"/>
        <v>0</v>
      </c>
      <c r="H175" s="5">
        <v>1542106.66</v>
      </c>
      <c r="I175" s="5">
        <f>INDEX('2017 Lockdown Update'!E$5:E$249,MATCH(B175,'2017 Lockdown Update'!B$5:B$249,0))</f>
        <v>1542106.66</v>
      </c>
      <c r="J175" s="5">
        <f t="shared" si="37"/>
        <v>0</v>
      </c>
      <c r="K175" s="5">
        <v>369767.38</v>
      </c>
      <c r="L175" s="5">
        <f>INDEX('2017 Lockdown Update'!F$5:F$249,MATCH(B175,'2017 Lockdown Update'!B$5:B$249,0))</f>
        <v>369767.38</v>
      </c>
      <c r="M175" s="5">
        <f t="shared" si="38"/>
        <v>0</v>
      </c>
      <c r="N175" s="5">
        <v>1172339.2799999998</v>
      </c>
      <c r="O175" s="105">
        <f t="shared" si="51"/>
        <v>1172339.2799999998</v>
      </c>
      <c r="P175" s="105">
        <f t="shared" si="39"/>
        <v>0</v>
      </c>
      <c r="Q175" s="103">
        <f t="shared" si="40"/>
        <v>381.263424914143</v>
      </c>
      <c r="R175" s="6">
        <f t="shared" si="41"/>
        <v>381.263424914143</v>
      </c>
      <c r="S175" s="5">
        <f t="shared" si="42"/>
        <v>1172339.2799999998</v>
      </c>
      <c r="T175" s="140">
        <v>0.83899999999999997</v>
      </c>
      <c r="U175" s="105">
        <f t="shared" si="43"/>
        <v>301797.85746743262</v>
      </c>
      <c r="V175" s="105">
        <f t="shared" si="44"/>
        <v>158599.10800621382</v>
      </c>
      <c r="W175" s="105">
        <f t="shared" si="45"/>
        <v>75962.520724552785</v>
      </c>
      <c r="X175" s="105">
        <f t="shared" si="46"/>
        <v>17535.320831181692</v>
      </c>
      <c r="Y175" s="105">
        <f t="shared" si="47"/>
        <v>553894.80702938093</v>
      </c>
      <c r="Z175" s="112">
        <f t="shared" si="48"/>
        <v>0.47246971630037082</v>
      </c>
      <c r="AA175" s="104">
        <f t="shared" si="49"/>
        <v>555287.620493219</v>
      </c>
      <c r="AB175" s="105"/>
      <c r="AC175" s="104">
        <v>548071.62258956558</v>
      </c>
      <c r="AD175" s="5">
        <f t="shared" si="52"/>
        <v>7215.9979036534205</v>
      </c>
      <c r="AE175" s="105"/>
      <c r="AF175" s="104">
        <f t="shared" si="50"/>
        <v>990.13377491874257</v>
      </c>
    </row>
    <row r="176" spans="2:32" x14ac:dyDescent="0.25">
      <c r="B176">
        <v>854</v>
      </c>
      <c r="C176" s="27">
        <v>7</v>
      </c>
      <c r="D176" s="39" t="s">
        <v>449</v>
      </c>
      <c r="E176" s="162">
        <v>831.67</v>
      </c>
      <c r="F176" s="162">
        <f>INDEX('2017 Lockdown Update'!H$5:H$249,MATCH(B176,'2017 Lockdown Update'!B$5:B$249,0))</f>
        <v>831.67</v>
      </c>
      <c r="G176" s="162">
        <f t="shared" si="36"/>
        <v>0</v>
      </c>
      <c r="H176" s="5">
        <v>485829.07</v>
      </c>
      <c r="I176" s="5">
        <f>INDEX('2017 Lockdown Update'!E$5:E$249,MATCH(B176,'2017 Lockdown Update'!B$5:B$249,0))</f>
        <v>485829.07</v>
      </c>
      <c r="J176" s="5">
        <f t="shared" si="37"/>
        <v>0</v>
      </c>
      <c r="K176" s="5">
        <v>31273.13</v>
      </c>
      <c r="L176" s="5">
        <f>INDEX('2017 Lockdown Update'!F$5:F$249,MATCH(B176,'2017 Lockdown Update'!B$5:B$249,0))</f>
        <v>31273.13</v>
      </c>
      <c r="M176" s="5">
        <f t="shared" si="38"/>
        <v>0</v>
      </c>
      <c r="N176" s="5">
        <v>454555.94</v>
      </c>
      <c r="O176" s="105">
        <f t="shared" si="51"/>
        <v>454555.94</v>
      </c>
      <c r="P176" s="105">
        <f t="shared" si="39"/>
        <v>0</v>
      </c>
      <c r="Q176" s="103">
        <f t="shared" si="40"/>
        <v>546.55805788353553</v>
      </c>
      <c r="R176" s="6">
        <f t="shared" si="41"/>
        <v>546.55805788353553</v>
      </c>
      <c r="S176" s="5">
        <f t="shared" si="42"/>
        <v>454555.93999999994</v>
      </c>
      <c r="T176" s="140">
        <v>0.79725000000000001</v>
      </c>
      <c r="U176" s="105">
        <f t="shared" si="43"/>
        <v>117017.32692185736</v>
      </c>
      <c r="V176" s="105">
        <f t="shared" si="44"/>
        <v>42896.672441047413</v>
      </c>
      <c r="W176" s="105">
        <f t="shared" si="45"/>
        <v>27987.619166535234</v>
      </c>
      <c r="X176" s="105">
        <f t="shared" si="46"/>
        <v>6799.0422052730128</v>
      </c>
      <c r="Y176" s="105">
        <f t="shared" si="47"/>
        <v>194700.66073471299</v>
      </c>
      <c r="Z176" s="112">
        <f t="shared" si="48"/>
        <v>0.42833157286364582</v>
      </c>
      <c r="AA176" s="104">
        <f t="shared" si="49"/>
        <v>195190.2513541735</v>
      </c>
      <c r="AB176" s="105"/>
      <c r="AC176" s="104">
        <v>192432.73273719815</v>
      </c>
      <c r="AD176" s="5">
        <f t="shared" si="52"/>
        <v>2757.5186169753433</v>
      </c>
      <c r="AE176" s="105"/>
      <c r="AF176" s="104">
        <f t="shared" si="50"/>
        <v>348.04388440891972</v>
      </c>
    </row>
    <row r="177" spans="2:32" x14ac:dyDescent="0.25">
      <c r="B177">
        <v>855</v>
      </c>
      <c r="C177" s="27">
        <v>7</v>
      </c>
      <c r="D177" s="39" t="s">
        <v>450</v>
      </c>
      <c r="E177" s="162">
        <v>235.38</v>
      </c>
      <c r="F177" s="162">
        <f>INDEX('2017 Lockdown Update'!H$5:H$249,MATCH(B177,'2017 Lockdown Update'!B$5:B$249,0))</f>
        <v>235.38</v>
      </c>
      <c r="G177" s="162">
        <f t="shared" si="36"/>
        <v>0</v>
      </c>
      <c r="H177" s="5">
        <v>130165.58</v>
      </c>
      <c r="I177" s="5">
        <f>INDEX('2017 Lockdown Update'!E$5:E$249,MATCH(B177,'2017 Lockdown Update'!B$5:B$249,0))</f>
        <v>130165.58</v>
      </c>
      <c r="J177" s="5">
        <f t="shared" si="37"/>
        <v>0</v>
      </c>
      <c r="K177" s="5">
        <v>8084</v>
      </c>
      <c r="L177" s="5">
        <f>INDEX('2017 Lockdown Update'!F$5:F$249,MATCH(B177,'2017 Lockdown Update'!B$5:B$249,0))</f>
        <v>8084</v>
      </c>
      <c r="M177" s="5">
        <f t="shared" si="38"/>
        <v>0</v>
      </c>
      <c r="N177" s="5">
        <v>122081.58</v>
      </c>
      <c r="O177" s="105">
        <f t="shared" si="51"/>
        <v>122081.58</v>
      </c>
      <c r="P177" s="105">
        <f t="shared" si="39"/>
        <v>0</v>
      </c>
      <c r="Q177" s="103">
        <f t="shared" si="40"/>
        <v>518.65740504715779</v>
      </c>
      <c r="R177" s="6">
        <f t="shared" si="41"/>
        <v>518.65740504715779</v>
      </c>
      <c r="S177" s="5">
        <f t="shared" si="42"/>
        <v>122081.58</v>
      </c>
      <c r="T177" s="140">
        <v>0.62937500000000002</v>
      </c>
      <c r="U177" s="105">
        <f t="shared" si="43"/>
        <v>31427.72737277811</v>
      </c>
      <c r="V177" s="105">
        <f t="shared" si="44"/>
        <v>12140.655258905264</v>
      </c>
      <c r="W177" s="105">
        <f t="shared" si="45"/>
        <v>5933.9477745726672</v>
      </c>
      <c r="X177" s="105">
        <f t="shared" si="46"/>
        <v>1826.0410696787151</v>
      </c>
      <c r="Y177" s="105">
        <f t="shared" si="47"/>
        <v>51328.371475934757</v>
      </c>
      <c r="Z177" s="112">
        <f t="shared" si="48"/>
        <v>0.42044321080981056</v>
      </c>
      <c r="AA177" s="104">
        <f t="shared" si="49"/>
        <v>51457.440833439621</v>
      </c>
      <c r="AB177" s="105"/>
      <c r="AC177" s="104">
        <v>50744.979447475882</v>
      </c>
      <c r="AD177" s="5">
        <f t="shared" si="52"/>
        <v>712.4613859637393</v>
      </c>
      <c r="AE177" s="105"/>
      <c r="AF177" s="104">
        <f t="shared" si="50"/>
        <v>91.753801561102151</v>
      </c>
    </row>
    <row r="178" spans="2:32" x14ac:dyDescent="0.25">
      <c r="B178">
        <v>862</v>
      </c>
      <c r="C178" s="27">
        <v>7</v>
      </c>
      <c r="D178" s="39" t="s">
        <v>451</v>
      </c>
      <c r="E178" s="162">
        <v>13.661113692780718</v>
      </c>
      <c r="F178" s="162">
        <f>INDEX('2017 Lockdown Update'!H$5:H$249,MATCH(B178,'2017 Lockdown Update'!B$5:B$249,0))</f>
        <v>13.661113692780718</v>
      </c>
      <c r="G178" s="162">
        <f t="shared" si="36"/>
        <v>0</v>
      </c>
      <c r="H178" s="5">
        <v>10279.34</v>
      </c>
      <c r="I178" s="5">
        <f>INDEX('2017 Lockdown Update'!E$5:E$249,MATCH(B178,'2017 Lockdown Update'!B$5:B$249,0))</f>
        <v>10279.34</v>
      </c>
      <c r="J178" s="5">
        <f t="shared" si="37"/>
        <v>0</v>
      </c>
      <c r="K178" s="5">
        <v>7583.34</v>
      </c>
      <c r="L178" s="5">
        <f>INDEX('2017 Lockdown Update'!F$5:F$249,MATCH(B178,'2017 Lockdown Update'!B$5:B$249,0))</f>
        <v>7583.34</v>
      </c>
      <c r="M178" s="5">
        <f t="shared" si="38"/>
        <v>0</v>
      </c>
      <c r="N178" s="5">
        <v>2696</v>
      </c>
      <c r="O178" s="105">
        <f t="shared" si="51"/>
        <v>2696</v>
      </c>
      <c r="P178" s="105">
        <f t="shared" si="39"/>
        <v>0</v>
      </c>
      <c r="Q178" s="103">
        <f t="shared" si="40"/>
        <v>197.3484783619592</v>
      </c>
      <c r="R178" s="6">
        <f t="shared" si="41"/>
        <v>197.3484783619592</v>
      </c>
      <c r="S178" s="5">
        <f t="shared" si="42"/>
        <v>2696</v>
      </c>
      <c r="T178" s="140">
        <v>0.30783333333333335</v>
      </c>
      <c r="U178" s="105">
        <f t="shared" si="43"/>
        <v>694.03715938972755</v>
      </c>
      <c r="V178" s="105">
        <f t="shared" si="44"/>
        <v>704.6260166401604</v>
      </c>
      <c r="W178" s="105">
        <f t="shared" si="45"/>
        <v>64.094331669641349</v>
      </c>
      <c r="X178" s="105">
        <f t="shared" si="46"/>
        <v>40.325548898153308</v>
      </c>
      <c r="Y178" s="105">
        <f t="shared" si="47"/>
        <v>1503.0830565976826</v>
      </c>
      <c r="Z178" s="112">
        <f t="shared" si="48"/>
        <v>0.55752338894572795</v>
      </c>
      <c r="AA178" s="104">
        <f t="shared" si="49"/>
        <v>1506.8626809810992</v>
      </c>
      <c r="AB178" s="105"/>
      <c r="AC178" s="104">
        <v>1492.7122168295646</v>
      </c>
      <c r="AD178" s="5">
        <f t="shared" si="52"/>
        <v>14.150464151534607</v>
      </c>
      <c r="AE178" s="105"/>
      <c r="AF178" s="104">
        <f t="shared" si="50"/>
        <v>2.6868879829857693</v>
      </c>
    </row>
    <row r="179" spans="2:32" x14ac:dyDescent="0.25">
      <c r="B179">
        <v>958</v>
      </c>
      <c r="C179" s="27">
        <v>7</v>
      </c>
      <c r="D179" s="39" t="s">
        <v>452</v>
      </c>
      <c r="E179" s="162">
        <v>546.78810980277444</v>
      </c>
      <c r="F179" s="162">
        <f>INDEX('2017 Lockdown Update'!H$5:H$249,MATCH(B179,'2017 Lockdown Update'!B$5:B$249,0))</f>
        <v>546.78810980277444</v>
      </c>
      <c r="G179" s="162">
        <f t="shared" si="36"/>
        <v>0</v>
      </c>
      <c r="H179" s="5">
        <v>140218.67000000001</v>
      </c>
      <c r="I179" s="5">
        <f>INDEX('2017 Lockdown Update'!E$5:E$249,MATCH(B179,'2017 Lockdown Update'!B$5:B$249,0))</f>
        <v>140218.67000000001</v>
      </c>
      <c r="J179" s="5">
        <f t="shared" si="37"/>
        <v>0</v>
      </c>
      <c r="K179" s="5">
        <v>354.28</v>
      </c>
      <c r="L179" s="5">
        <f>INDEX('2017 Lockdown Update'!F$5:F$249,MATCH(B179,'2017 Lockdown Update'!B$5:B$249,0))</f>
        <v>354.28</v>
      </c>
      <c r="M179" s="5">
        <f t="shared" si="38"/>
        <v>0</v>
      </c>
      <c r="N179" s="5">
        <v>139864.39000000001</v>
      </c>
      <c r="O179" s="105">
        <f t="shared" si="51"/>
        <v>139864.39000000001</v>
      </c>
      <c r="P179" s="105">
        <f t="shared" si="39"/>
        <v>0</v>
      </c>
      <c r="Q179" s="103">
        <f t="shared" si="40"/>
        <v>255.7926690294141</v>
      </c>
      <c r="R179" s="6">
        <f t="shared" si="41"/>
        <v>255.7926690294141</v>
      </c>
      <c r="S179" s="5">
        <f t="shared" si="42"/>
        <v>139864.39000000001</v>
      </c>
      <c r="T179" s="140">
        <v>0.89570833333333344</v>
      </c>
      <c r="U179" s="105">
        <f t="shared" si="43"/>
        <v>36005.59493151967</v>
      </c>
      <c r="V179" s="105">
        <f t="shared" si="44"/>
        <v>28202.761240478896</v>
      </c>
      <c r="W179" s="105">
        <f t="shared" si="45"/>
        <v>9675.1534280359811</v>
      </c>
      <c r="X179" s="105">
        <f t="shared" si="46"/>
        <v>2092.0283004656476</v>
      </c>
      <c r="Y179" s="105">
        <f t="shared" si="47"/>
        <v>75975.537900500203</v>
      </c>
      <c r="Z179" s="112">
        <f t="shared" si="48"/>
        <v>0.54320858869437882</v>
      </c>
      <c r="AA179" s="104">
        <f t="shared" si="49"/>
        <v>76166.584559120602</v>
      </c>
      <c r="AB179" s="105"/>
      <c r="AC179" s="104">
        <v>75289.136210790777</v>
      </c>
      <c r="AD179" s="5">
        <f t="shared" si="52"/>
        <v>877.44834832982451</v>
      </c>
      <c r="AE179" s="105"/>
      <c r="AF179" s="104">
        <f t="shared" si="50"/>
        <v>135.81269437486159</v>
      </c>
    </row>
    <row r="180" spans="2:32" x14ac:dyDescent="0.25">
      <c r="B180">
        <v>967</v>
      </c>
      <c r="C180" s="27">
        <v>7</v>
      </c>
      <c r="D180" s="39" t="s">
        <v>453</v>
      </c>
      <c r="E180" s="162">
        <v>164.34925526629246</v>
      </c>
      <c r="F180" s="162">
        <f>INDEX('2017 Lockdown Update'!H$5:H$249,MATCH(B180,'2017 Lockdown Update'!B$5:B$249,0))</f>
        <v>164.34925526629246</v>
      </c>
      <c r="G180" s="162">
        <f t="shared" si="36"/>
        <v>0</v>
      </c>
      <c r="H180" s="5">
        <v>78031.91</v>
      </c>
      <c r="I180" s="5">
        <f>INDEX('2017 Lockdown Update'!E$5:E$249,MATCH(B180,'2017 Lockdown Update'!B$5:B$249,0))</f>
        <v>78031.91</v>
      </c>
      <c r="J180" s="5">
        <f t="shared" si="37"/>
        <v>0</v>
      </c>
      <c r="K180" s="5">
        <v>0</v>
      </c>
      <c r="L180" s="5">
        <f>INDEX('2017 Lockdown Update'!F$5:F$249,MATCH(B180,'2017 Lockdown Update'!B$5:B$249,0))</f>
        <v>0</v>
      </c>
      <c r="M180" s="5">
        <f t="shared" si="38"/>
        <v>0</v>
      </c>
      <c r="N180" s="5">
        <v>78031.91</v>
      </c>
      <c r="O180" s="105">
        <f t="shared" si="51"/>
        <v>78031.91</v>
      </c>
      <c r="P180" s="105">
        <f t="shared" si="39"/>
        <v>0</v>
      </c>
      <c r="Q180" s="103">
        <f t="shared" si="40"/>
        <v>474.79320714636737</v>
      </c>
      <c r="R180" s="6">
        <f t="shared" si="41"/>
        <v>474.79320714636737</v>
      </c>
      <c r="S180" s="5">
        <f t="shared" si="42"/>
        <v>78031.91</v>
      </c>
      <c r="T180" s="140">
        <v>0.30675000000000002</v>
      </c>
      <c r="U180" s="105">
        <f t="shared" si="43"/>
        <v>20087.924761926883</v>
      </c>
      <c r="V180" s="105">
        <f t="shared" si="44"/>
        <v>8476.9634218959873</v>
      </c>
      <c r="W180" s="105">
        <f t="shared" si="45"/>
        <v>1848.5912762163216</v>
      </c>
      <c r="X180" s="105">
        <f t="shared" si="46"/>
        <v>1167.1660245998883</v>
      </c>
      <c r="Y180" s="105">
        <f t="shared" si="47"/>
        <v>31580.645484639077</v>
      </c>
      <c r="Z180" s="112">
        <f t="shared" si="48"/>
        <v>0.40471450057597047</v>
      </c>
      <c r="AA180" s="104">
        <f t="shared" si="49"/>
        <v>31660.057581790887</v>
      </c>
      <c r="AB180" s="105"/>
      <c r="AC180" s="104">
        <v>31264.418905732637</v>
      </c>
      <c r="AD180" s="5">
        <f t="shared" si="52"/>
        <v>395.63867605824998</v>
      </c>
      <c r="AE180" s="105"/>
      <c r="AF180" s="104">
        <f t="shared" si="50"/>
        <v>56.453072553210596</v>
      </c>
    </row>
    <row r="181" spans="2:32" x14ac:dyDescent="0.25">
      <c r="B181">
        <v>971</v>
      </c>
      <c r="C181" s="27">
        <v>7</v>
      </c>
      <c r="D181" s="39" t="s">
        <v>454</v>
      </c>
      <c r="E181" s="162">
        <v>998.46</v>
      </c>
      <c r="F181" s="162">
        <f>INDEX('2017 Lockdown Update'!H$5:H$249,MATCH(B181,'2017 Lockdown Update'!B$5:B$249,0))</f>
        <v>998.46</v>
      </c>
      <c r="G181" s="162">
        <f t="shared" si="36"/>
        <v>0</v>
      </c>
      <c r="H181" s="5">
        <v>514125.27</v>
      </c>
      <c r="I181" s="5">
        <f>INDEX('2017 Lockdown Update'!E$5:E$249,MATCH(B181,'2017 Lockdown Update'!B$5:B$249,0))</f>
        <v>514125.27</v>
      </c>
      <c r="J181" s="5">
        <f t="shared" si="37"/>
        <v>0</v>
      </c>
      <c r="K181" s="5">
        <v>183938.21</v>
      </c>
      <c r="L181" s="5">
        <f>INDEX('2017 Lockdown Update'!F$5:F$249,MATCH(B181,'2017 Lockdown Update'!B$5:B$249,0))</f>
        <v>183938.21</v>
      </c>
      <c r="M181" s="5">
        <f t="shared" si="38"/>
        <v>0</v>
      </c>
      <c r="N181" s="5">
        <v>330187.06000000006</v>
      </c>
      <c r="O181" s="105">
        <f t="shared" si="51"/>
        <v>330187.06000000006</v>
      </c>
      <c r="P181" s="105">
        <f t="shared" si="39"/>
        <v>0</v>
      </c>
      <c r="Q181" s="103">
        <f t="shared" si="40"/>
        <v>330.69633235182187</v>
      </c>
      <c r="R181" s="6">
        <f t="shared" si="41"/>
        <v>330.69633235182187</v>
      </c>
      <c r="S181" s="5">
        <f t="shared" si="42"/>
        <v>330187.06000000006</v>
      </c>
      <c r="T181" s="140">
        <v>0.77008333333333334</v>
      </c>
      <c r="U181" s="105">
        <f t="shared" si="43"/>
        <v>85000.77492197536</v>
      </c>
      <c r="V181" s="105">
        <f t="shared" si="44"/>
        <v>51499.52693434681</v>
      </c>
      <c r="W181" s="105">
        <f t="shared" si="45"/>
        <v>19637.304026349357</v>
      </c>
      <c r="X181" s="105">
        <f t="shared" si="46"/>
        <v>4938.7887364864555</v>
      </c>
      <c r="Y181" s="105">
        <f t="shared" si="47"/>
        <v>161076.39461915797</v>
      </c>
      <c r="Z181" s="112">
        <f t="shared" si="48"/>
        <v>0.48783375889763197</v>
      </c>
      <c r="AA181" s="104">
        <f t="shared" si="49"/>
        <v>161481.43429146556</v>
      </c>
      <c r="AB181" s="105"/>
      <c r="AC181" s="104">
        <v>159462.71756717461</v>
      </c>
      <c r="AD181" s="5">
        <f t="shared" si="52"/>
        <v>2018.7167242909491</v>
      </c>
      <c r="AE181" s="105"/>
      <c r="AF181" s="104">
        <f t="shared" si="50"/>
        <v>287.9376672800401</v>
      </c>
    </row>
    <row r="182" spans="2:32" x14ac:dyDescent="0.25">
      <c r="B182">
        <v>975</v>
      </c>
      <c r="C182" s="27">
        <v>7</v>
      </c>
      <c r="D182" s="39" t="s">
        <v>455</v>
      </c>
      <c r="E182" s="162">
        <v>44.57792750117175</v>
      </c>
      <c r="F182" s="162">
        <f>INDEX('2017 Lockdown Update'!H$5:H$249,MATCH(B182,'2017 Lockdown Update'!B$5:B$249,0))</f>
        <v>44.57792750117175</v>
      </c>
      <c r="G182" s="162">
        <f t="shared" si="36"/>
        <v>0</v>
      </c>
      <c r="H182" s="5">
        <v>28116.78</v>
      </c>
      <c r="I182" s="5">
        <f>INDEX('2017 Lockdown Update'!E$5:E$249,MATCH(B182,'2017 Lockdown Update'!B$5:B$249,0))</f>
        <v>28116.78</v>
      </c>
      <c r="J182" s="5">
        <f t="shared" si="37"/>
        <v>0</v>
      </c>
      <c r="K182" s="5">
        <v>0</v>
      </c>
      <c r="L182" s="5">
        <f>INDEX('2017 Lockdown Update'!F$5:F$249,MATCH(B182,'2017 Lockdown Update'!B$5:B$249,0))</f>
        <v>0</v>
      </c>
      <c r="M182" s="5">
        <f t="shared" si="38"/>
        <v>0</v>
      </c>
      <c r="N182" s="5">
        <v>28116.78</v>
      </c>
      <c r="O182" s="105">
        <f t="shared" si="51"/>
        <v>28116.78</v>
      </c>
      <c r="P182" s="105">
        <f t="shared" si="39"/>
        <v>0</v>
      </c>
      <c r="Q182" s="103">
        <f t="shared" si="40"/>
        <v>630.73322552424486</v>
      </c>
      <c r="R182" s="6">
        <f t="shared" si="41"/>
        <v>604.05882709731861</v>
      </c>
      <c r="S182" s="5">
        <f t="shared" si="42"/>
        <v>26927.690600787111</v>
      </c>
      <c r="T182" s="140">
        <v>0.28000000000000003</v>
      </c>
      <c r="U182" s="105">
        <f t="shared" si="43"/>
        <v>6932.0541147981285</v>
      </c>
      <c r="V182" s="105">
        <f t="shared" si="44"/>
        <v>2299.283073957849</v>
      </c>
      <c r="W182" s="105">
        <f t="shared" si="45"/>
        <v>582.29254564304279</v>
      </c>
      <c r="X182" s="105">
        <f t="shared" si="46"/>
        <v>402.77221959806531</v>
      </c>
      <c r="Y182" s="105">
        <f t="shared" si="47"/>
        <v>10216.401953997085</v>
      </c>
      <c r="Z182" s="112">
        <f t="shared" si="48"/>
        <v>0.37940134211503657</v>
      </c>
      <c r="AA182" s="104">
        <f t="shared" si="49"/>
        <v>10242.091926195639</v>
      </c>
      <c r="AB182" s="105"/>
      <c r="AC182" s="104">
        <v>10101.121041836193</v>
      </c>
      <c r="AD182" s="5">
        <f t="shared" si="52"/>
        <v>140.97088435944534</v>
      </c>
      <c r="AE182" s="105"/>
      <c r="AF182" s="104">
        <f t="shared" si="50"/>
        <v>18.262681838542271</v>
      </c>
    </row>
    <row r="183" spans="2:32" x14ac:dyDescent="0.25">
      <c r="B183">
        <v>976</v>
      </c>
      <c r="C183" s="27">
        <v>7</v>
      </c>
      <c r="D183" s="39" t="s">
        <v>456</v>
      </c>
      <c r="E183" s="162">
        <v>26.241426249095088</v>
      </c>
      <c r="F183" s="162">
        <f>INDEX('2017 Lockdown Update'!H$5:H$249,MATCH(B183,'2017 Lockdown Update'!B$5:B$249,0))</f>
        <v>26.241426249095088</v>
      </c>
      <c r="G183" s="162">
        <f t="shared" si="36"/>
        <v>0</v>
      </c>
      <c r="H183" s="5">
        <v>18946.21</v>
      </c>
      <c r="I183" s="5">
        <f>INDEX('2017 Lockdown Update'!E$5:E$249,MATCH(B183,'2017 Lockdown Update'!B$5:B$249,0))</f>
        <v>18946.21</v>
      </c>
      <c r="J183" s="5">
        <f t="shared" si="37"/>
        <v>0</v>
      </c>
      <c r="K183" s="5">
        <v>0</v>
      </c>
      <c r="L183" s="5">
        <f>INDEX('2017 Lockdown Update'!F$5:F$249,MATCH(B183,'2017 Lockdown Update'!B$5:B$249,0))</f>
        <v>0</v>
      </c>
      <c r="M183" s="5">
        <f t="shared" si="38"/>
        <v>0</v>
      </c>
      <c r="N183" s="5">
        <v>18946.21</v>
      </c>
      <c r="O183" s="105">
        <f t="shared" si="51"/>
        <v>18946.21</v>
      </c>
      <c r="P183" s="105">
        <f t="shared" si="39"/>
        <v>0</v>
      </c>
      <c r="Q183" s="103">
        <f t="shared" si="40"/>
        <v>721.99619868807019</v>
      </c>
      <c r="R183" s="6">
        <f t="shared" si="41"/>
        <v>604.05882709731861</v>
      </c>
      <c r="S183" s="5">
        <f t="shared" si="42"/>
        <v>15851.365161389169</v>
      </c>
      <c r="T183" s="140">
        <v>0.40166666666666667</v>
      </c>
      <c r="U183" s="105">
        <f t="shared" si="43"/>
        <v>4080.6515018767914</v>
      </c>
      <c r="V183" s="105">
        <f t="shared" si="44"/>
        <v>1353.5054362828234</v>
      </c>
      <c r="W183" s="105">
        <f t="shared" si="45"/>
        <v>491.71850597615338</v>
      </c>
      <c r="X183" s="105">
        <f t="shared" si="46"/>
        <v>237.09755226931856</v>
      </c>
      <c r="Y183" s="105">
        <f t="shared" si="47"/>
        <v>6162.9729964050866</v>
      </c>
      <c r="Z183" s="112">
        <f t="shared" si="48"/>
        <v>0.38879761671359925</v>
      </c>
      <c r="AA183" s="104">
        <f t="shared" si="49"/>
        <v>6178.4702923857076</v>
      </c>
      <c r="AB183" s="105"/>
      <c r="AC183" s="104">
        <v>6091.2148293875352</v>
      </c>
      <c r="AD183" s="5">
        <f t="shared" si="52"/>
        <v>87.255462998172334</v>
      </c>
      <c r="AE183" s="105"/>
      <c r="AF183" s="104">
        <f t="shared" si="50"/>
        <v>11.016835038370665</v>
      </c>
    </row>
    <row r="184" spans="2:32" x14ac:dyDescent="0.25">
      <c r="B184">
        <v>977</v>
      </c>
      <c r="C184" s="27">
        <v>7</v>
      </c>
      <c r="D184" s="39" t="s">
        <v>457</v>
      </c>
      <c r="E184" s="162">
        <v>38.56595987754006</v>
      </c>
      <c r="F184" s="162">
        <f>INDEX('2017 Lockdown Update'!H$5:H$249,MATCH(B184,'2017 Lockdown Update'!B$5:B$249,0))</f>
        <v>38.56595987754006</v>
      </c>
      <c r="G184" s="162">
        <f t="shared" si="36"/>
        <v>0</v>
      </c>
      <c r="H184" s="5">
        <v>31092.49</v>
      </c>
      <c r="I184" s="5">
        <f>INDEX('2017 Lockdown Update'!E$5:E$249,MATCH(B184,'2017 Lockdown Update'!B$5:B$249,0))</f>
        <v>31092.49</v>
      </c>
      <c r="J184" s="5">
        <f t="shared" si="37"/>
        <v>0</v>
      </c>
      <c r="K184" s="5">
        <v>0</v>
      </c>
      <c r="L184" s="5">
        <f>INDEX('2017 Lockdown Update'!F$5:F$249,MATCH(B184,'2017 Lockdown Update'!B$5:B$249,0))</f>
        <v>0</v>
      </c>
      <c r="M184" s="5">
        <f t="shared" si="38"/>
        <v>0</v>
      </c>
      <c r="N184" s="5">
        <v>31092.49</v>
      </c>
      <c r="O184" s="105">
        <f t="shared" si="51"/>
        <v>31092.49</v>
      </c>
      <c r="P184" s="105">
        <f t="shared" si="39"/>
        <v>0</v>
      </c>
      <c r="Q184" s="103">
        <f t="shared" si="40"/>
        <v>806.21589865075714</v>
      </c>
      <c r="R184" s="6">
        <f t="shared" si="41"/>
        <v>604.05882709731861</v>
      </c>
      <c r="S184" s="5">
        <f t="shared" si="42"/>
        <v>23296.108489509097</v>
      </c>
      <c r="T184" s="140">
        <v>0.36266666666666669</v>
      </c>
      <c r="U184" s="105">
        <f t="shared" si="43"/>
        <v>5997.1680122009693</v>
      </c>
      <c r="V184" s="105">
        <f t="shared" si="44"/>
        <v>1989.1920452119389</v>
      </c>
      <c r="W184" s="105">
        <f t="shared" si="45"/>
        <v>652.4918797274654</v>
      </c>
      <c r="X184" s="105">
        <f t="shared" si="46"/>
        <v>348.45265653945984</v>
      </c>
      <c r="Y184" s="105">
        <f t="shared" si="47"/>
        <v>8987.3045936798335</v>
      </c>
      <c r="Z184" s="112">
        <f t="shared" si="48"/>
        <v>0.38578566019844357</v>
      </c>
      <c r="AA184" s="104">
        <f t="shared" si="49"/>
        <v>9009.9039007735846</v>
      </c>
      <c r="AB184" s="105"/>
      <c r="AC184" s="104">
        <v>8886.4205590466372</v>
      </c>
      <c r="AD184" s="5">
        <f t="shared" si="52"/>
        <v>123.4833417269474</v>
      </c>
      <c r="AE184" s="105"/>
      <c r="AF184" s="104">
        <f t="shared" si="50"/>
        <v>16.065566441053036</v>
      </c>
    </row>
    <row r="185" spans="2:32" x14ac:dyDescent="0.25">
      <c r="B185">
        <v>981</v>
      </c>
      <c r="C185" s="27">
        <v>7</v>
      </c>
      <c r="D185" s="39" t="s">
        <v>458</v>
      </c>
      <c r="E185" s="162">
        <v>106.73027607099695</v>
      </c>
      <c r="F185" s="162">
        <f>INDEX('2017 Lockdown Update'!H$5:H$249,MATCH(B185,'2017 Lockdown Update'!B$5:B$249,0))</f>
        <v>106.73027607099695</v>
      </c>
      <c r="G185" s="162">
        <f t="shared" si="36"/>
        <v>0</v>
      </c>
      <c r="H185" s="5">
        <v>175857.35</v>
      </c>
      <c r="I185" s="5">
        <f>INDEX('2017 Lockdown Update'!E$5:E$249,MATCH(B185,'2017 Lockdown Update'!B$5:B$249,0))</f>
        <v>175857.35</v>
      </c>
      <c r="J185" s="5">
        <f t="shared" si="37"/>
        <v>0</v>
      </c>
      <c r="K185" s="5">
        <v>0</v>
      </c>
      <c r="L185" s="5">
        <f>INDEX('2017 Lockdown Update'!F$5:F$249,MATCH(B185,'2017 Lockdown Update'!B$5:B$249,0))</f>
        <v>0</v>
      </c>
      <c r="M185" s="5">
        <f t="shared" si="38"/>
        <v>0</v>
      </c>
      <c r="N185" s="5">
        <v>175857.35</v>
      </c>
      <c r="O185" s="105">
        <f t="shared" si="51"/>
        <v>175857.35</v>
      </c>
      <c r="P185" s="105">
        <f t="shared" si="39"/>
        <v>0</v>
      </c>
      <c r="Q185" s="103">
        <f t="shared" si="40"/>
        <v>1647.68008173257</v>
      </c>
      <c r="R185" s="6">
        <f t="shared" si="41"/>
        <v>604.05882709731861</v>
      </c>
      <c r="S185" s="5">
        <f t="shared" si="42"/>
        <v>64471.365379219431</v>
      </c>
      <c r="T185" s="140">
        <v>0.29383333333333334</v>
      </c>
      <c r="U185" s="105">
        <f t="shared" si="43"/>
        <v>16597.004187600403</v>
      </c>
      <c r="V185" s="105">
        <f t="shared" si="44"/>
        <v>5505.0364834130341</v>
      </c>
      <c r="W185" s="105">
        <f t="shared" si="45"/>
        <v>1463.0259191369755</v>
      </c>
      <c r="X185" s="105">
        <f t="shared" si="46"/>
        <v>964.33353009288646</v>
      </c>
      <c r="Y185" s="105">
        <f t="shared" si="47"/>
        <v>24529.400120243299</v>
      </c>
      <c r="Z185" s="112">
        <f t="shared" si="48"/>
        <v>0.38046968566528416</v>
      </c>
      <c r="AA185" s="104">
        <f t="shared" si="49"/>
        <v>24591.08128842499</v>
      </c>
      <c r="AB185" s="105"/>
      <c r="AC185" s="104">
        <v>24252.58266957281</v>
      </c>
      <c r="AD185" s="5">
        <f t="shared" si="52"/>
        <v>338.49861885217979</v>
      </c>
      <c r="AE185" s="105"/>
      <c r="AF185" s="104">
        <f t="shared" si="50"/>
        <v>43.848375592841485</v>
      </c>
    </row>
    <row r="186" spans="2:32" x14ac:dyDescent="0.25">
      <c r="B186">
        <v>983</v>
      </c>
      <c r="C186" s="27">
        <v>7</v>
      </c>
      <c r="D186" s="39" t="s">
        <v>459</v>
      </c>
      <c r="E186" s="162">
        <v>130.98756795566317</v>
      </c>
      <c r="F186" s="162">
        <f>INDEX('2017 Lockdown Update'!H$5:H$249,MATCH(B186,'2017 Lockdown Update'!B$5:B$249,0))</f>
        <v>130.98756795566317</v>
      </c>
      <c r="G186" s="162">
        <f t="shared" si="36"/>
        <v>0</v>
      </c>
      <c r="H186" s="5">
        <v>30365.53</v>
      </c>
      <c r="I186" s="5">
        <f>INDEX('2017 Lockdown Update'!E$5:E$249,MATCH(B186,'2017 Lockdown Update'!B$5:B$249,0))</f>
        <v>30365.53</v>
      </c>
      <c r="J186" s="5">
        <f t="shared" si="37"/>
        <v>0</v>
      </c>
      <c r="K186" s="5">
        <v>300</v>
      </c>
      <c r="L186" s="5">
        <f>INDEX('2017 Lockdown Update'!F$5:F$249,MATCH(B186,'2017 Lockdown Update'!B$5:B$249,0))</f>
        <v>300</v>
      </c>
      <c r="M186" s="5">
        <f t="shared" si="38"/>
        <v>0</v>
      </c>
      <c r="N186" s="5">
        <v>30065.53</v>
      </c>
      <c r="O186" s="105">
        <f t="shared" si="51"/>
        <v>30065.53</v>
      </c>
      <c r="P186" s="105">
        <f t="shared" si="39"/>
        <v>0</v>
      </c>
      <c r="Q186" s="103">
        <f t="shared" si="40"/>
        <v>229.52964521164799</v>
      </c>
      <c r="R186" s="6">
        <f t="shared" si="41"/>
        <v>229.52964521164799</v>
      </c>
      <c r="S186" s="5">
        <f t="shared" si="42"/>
        <v>30065.53</v>
      </c>
      <c r="T186" s="140">
        <v>0.41833333333333333</v>
      </c>
      <c r="U186" s="105">
        <f t="shared" si="43"/>
        <v>7739.8349542828773</v>
      </c>
      <c r="V186" s="105">
        <f t="shared" si="44"/>
        <v>6756.2023355940719</v>
      </c>
      <c r="W186" s="105">
        <f t="shared" si="45"/>
        <v>971.34928676250115</v>
      </c>
      <c r="X186" s="105">
        <f t="shared" si="46"/>
        <v>449.70660243467933</v>
      </c>
      <c r="Y186" s="105">
        <f t="shared" si="47"/>
        <v>15917.093179074129</v>
      </c>
      <c r="Z186" s="112">
        <f t="shared" si="48"/>
        <v>0.52941335739214079</v>
      </c>
      <c r="AA186" s="104">
        <f t="shared" si="49"/>
        <v>15957.118002205938</v>
      </c>
      <c r="AB186" s="105"/>
      <c r="AC186" s="104">
        <v>15796.8468932168</v>
      </c>
      <c r="AD186" s="5">
        <f t="shared" si="52"/>
        <v>160.27110898913816</v>
      </c>
      <c r="AE186" s="105"/>
      <c r="AF186" s="104">
        <f t="shared" si="50"/>
        <v>28.453149145148156</v>
      </c>
    </row>
    <row r="187" spans="2:32" x14ac:dyDescent="0.25">
      <c r="B187">
        <v>188</v>
      </c>
      <c r="C187" s="27">
        <v>8</v>
      </c>
      <c r="D187" s="39" t="s">
        <v>460</v>
      </c>
      <c r="E187" s="162">
        <v>291.43</v>
      </c>
      <c r="F187" s="162">
        <f>INDEX('2017 Lockdown Update'!H$5:H$249,MATCH(B187,'2017 Lockdown Update'!B$5:B$249,0))</f>
        <v>291.43</v>
      </c>
      <c r="G187" s="162">
        <f t="shared" si="36"/>
        <v>0</v>
      </c>
      <c r="H187" s="5">
        <v>224188.27</v>
      </c>
      <c r="I187" s="5">
        <f>INDEX('2017 Lockdown Update'!E$5:E$249,MATCH(B187,'2017 Lockdown Update'!B$5:B$249,0))</f>
        <v>224188.27</v>
      </c>
      <c r="J187" s="5">
        <f t="shared" si="37"/>
        <v>0</v>
      </c>
      <c r="K187" s="5">
        <v>33999</v>
      </c>
      <c r="L187" s="5">
        <f>INDEX('2017 Lockdown Update'!F$5:F$249,MATCH(B187,'2017 Lockdown Update'!B$5:B$249,0))</f>
        <v>33999</v>
      </c>
      <c r="M187" s="5">
        <f t="shared" si="38"/>
        <v>0</v>
      </c>
      <c r="N187" s="5">
        <v>190189.27</v>
      </c>
      <c r="O187" s="105">
        <f t="shared" si="51"/>
        <v>190189.27</v>
      </c>
      <c r="P187" s="105">
        <f t="shared" si="39"/>
        <v>0</v>
      </c>
      <c r="Q187" s="103">
        <f t="shared" si="40"/>
        <v>652.60704114195516</v>
      </c>
      <c r="R187" s="6">
        <f t="shared" si="41"/>
        <v>652.60704114195516</v>
      </c>
      <c r="S187" s="5">
        <f t="shared" si="42"/>
        <v>190189.27</v>
      </c>
      <c r="T187" s="140">
        <v>0.73991666666666667</v>
      </c>
      <c r="U187" s="105">
        <f t="shared" si="43"/>
        <v>48960.83853753929</v>
      </c>
      <c r="V187" s="105">
        <f t="shared" si="44"/>
        <v>15031.655884538879</v>
      </c>
      <c r="W187" s="105">
        <f t="shared" si="45"/>
        <v>10868.082134370283</v>
      </c>
      <c r="X187" s="105">
        <f t="shared" si="46"/>
        <v>2844.7650991428345</v>
      </c>
      <c r="Y187" s="105">
        <f t="shared" si="47"/>
        <v>77705.341655591285</v>
      </c>
      <c r="Z187" s="112">
        <f t="shared" si="48"/>
        <v>0.40856848367729309</v>
      </c>
      <c r="AA187" s="104">
        <f t="shared" si="49"/>
        <v>77900.738046199258</v>
      </c>
      <c r="AB187" s="105"/>
      <c r="AC187" s="104">
        <v>76789.417335969207</v>
      </c>
      <c r="AD187" s="5">
        <f t="shared" si="52"/>
        <v>1111.3207102300512</v>
      </c>
      <c r="AE187" s="105"/>
      <c r="AF187" s="104">
        <f t="shared" si="50"/>
        <v>138.90486476563058</v>
      </c>
    </row>
    <row r="188" spans="2:32" x14ac:dyDescent="0.25">
      <c r="B188">
        <v>232</v>
      </c>
      <c r="C188" s="27">
        <v>8</v>
      </c>
      <c r="D188" s="39" t="s">
        <v>461</v>
      </c>
      <c r="E188" s="162">
        <v>100.04889750119882</v>
      </c>
      <c r="F188" s="162">
        <f>INDEX('2017 Lockdown Update'!H$5:H$249,MATCH(B188,'2017 Lockdown Update'!B$5:B$249,0))</f>
        <v>100.04889750119882</v>
      </c>
      <c r="G188" s="162">
        <f t="shared" si="36"/>
        <v>0</v>
      </c>
      <c r="H188" s="5">
        <v>85300.54</v>
      </c>
      <c r="I188" s="5">
        <f>INDEX('2017 Lockdown Update'!E$5:E$249,MATCH(B188,'2017 Lockdown Update'!B$5:B$249,0))</f>
        <v>85300.54</v>
      </c>
      <c r="J188" s="5">
        <f t="shared" si="37"/>
        <v>0</v>
      </c>
      <c r="K188" s="5">
        <v>0</v>
      </c>
      <c r="L188" s="5">
        <f>INDEX('2017 Lockdown Update'!F$5:F$249,MATCH(B188,'2017 Lockdown Update'!B$5:B$249,0))</f>
        <v>0</v>
      </c>
      <c r="M188" s="5">
        <f t="shared" si="38"/>
        <v>0</v>
      </c>
      <c r="N188" s="5">
        <v>85300.54</v>
      </c>
      <c r="O188" s="105">
        <f t="shared" si="51"/>
        <v>85300.54</v>
      </c>
      <c r="P188" s="105">
        <f t="shared" si="39"/>
        <v>0</v>
      </c>
      <c r="Q188" s="103">
        <f t="shared" si="40"/>
        <v>852.58850552528963</v>
      </c>
      <c r="R188" s="6">
        <f t="shared" si="41"/>
        <v>852.58850552528963</v>
      </c>
      <c r="S188" s="5">
        <f t="shared" si="42"/>
        <v>85300.54</v>
      </c>
      <c r="T188" s="140">
        <v>0.28000000000000003</v>
      </c>
      <c r="U188" s="105">
        <f t="shared" si="43"/>
        <v>21959.104034128275</v>
      </c>
      <c r="V188" s="105">
        <f t="shared" si="44"/>
        <v>5160.4179352349529</v>
      </c>
      <c r="W188" s="105">
        <f t="shared" si="45"/>
        <v>1844.5647388667753</v>
      </c>
      <c r="X188" s="105">
        <f t="shared" si="46"/>
        <v>1275.886905344541</v>
      </c>
      <c r="Y188" s="105">
        <f t="shared" si="47"/>
        <v>30239.973613574544</v>
      </c>
      <c r="Z188" s="112">
        <f t="shared" si="48"/>
        <v>0.35451092822594732</v>
      </c>
      <c r="AA188" s="104">
        <f t="shared" si="49"/>
        <v>30316.014482455372</v>
      </c>
      <c r="AB188" s="105"/>
      <c r="AC188" s="104">
        <v>29882.520309397867</v>
      </c>
      <c r="AD188" s="5">
        <f t="shared" si="52"/>
        <v>433.49417305750467</v>
      </c>
      <c r="AE188" s="105"/>
      <c r="AF188" s="104">
        <f t="shared" si="50"/>
        <v>54.05650828906127</v>
      </c>
    </row>
    <row r="189" spans="2:32" x14ac:dyDescent="0.25">
      <c r="B189">
        <v>245</v>
      </c>
      <c r="C189" s="27">
        <v>8</v>
      </c>
      <c r="D189" s="39" t="s">
        <v>462</v>
      </c>
      <c r="E189" s="162">
        <v>192.11449692779453</v>
      </c>
      <c r="F189" s="162">
        <f>INDEX('2017 Lockdown Update'!H$5:H$249,MATCH(B189,'2017 Lockdown Update'!B$5:B$249,0))</f>
        <v>192.11449692779453</v>
      </c>
      <c r="G189" s="162">
        <f t="shared" si="36"/>
        <v>0</v>
      </c>
      <c r="H189" s="5">
        <v>634489.53</v>
      </c>
      <c r="I189" s="5">
        <f>INDEX('2017 Lockdown Update'!E$5:E$249,MATCH(B189,'2017 Lockdown Update'!B$5:B$249,0))</f>
        <v>634489.53</v>
      </c>
      <c r="J189" s="5">
        <f t="shared" si="37"/>
        <v>0</v>
      </c>
      <c r="K189" s="5">
        <v>0</v>
      </c>
      <c r="L189" s="5">
        <f>INDEX('2017 Lockdown Update'!F$5:F$249,MATCH(B189,'2017 Lockdown Update'!B$5:B$249,0))</f>
        <v>0</v>
      </c>
      <c r="M189" s="5">
        <f t="shared" si="38"/>
        <v>0</v>
      </c>
      <c r="N189" s="5">
        <v>634489.53</v>
      </c>
      <c r="O189" s="105">
        <f t="shared" si="51"/>
        <v>634489.53</v>
      </c>
      <c r="P189" s="105">
        <f t="shared" si="39"/>
        <v>0</v>
      </c>
      <c r="Q189" s="103">
        <f t="shared" si="40"/>
        <v>3302.6634644780106</v>
      </c>
      <c r="R189" s="6">
        <f t="shared" si="41"/>
        <v>1747.012700944284</v>
      </c>
      <c r="S189" s="5">
        <f t="shared" si="42"/>
        <v>335626.46616837865</v>
      </c>
      <c r="T189" s="140">
        <v>0.56383333333333341</v>
      </c>
      <c r="U189" s="105">
        <f t="shared" si="43"/>
        <v>86401.053114063077</v>
      </c>
      <c r="V189" s="105">
        <f t="shared" si="44"/>
        <v>9909.0656701434618</v>
      </c>
      <c r="W189" s="105">
        <f t="shared" si="45"/>
        <v>14614.738134243771</v>
      </c>
      <c r="X189" s="105">
        <f t="shared" si="46"/>
        <v>5020.1489143128165</v>
      </c>
      <c r="Y189" s="105">
        <f t="shared" si="47"/>
        <v>115945.00583276313</v>
      </c>
      <c r="Z189" s="112">
        <f t="shared" si="48"/>
        <v>0.34545847100924187</v>
      </c>
      <c r="AA189" s="104">
        <f t="shared" si="49"/>
        <v>116236.55896368115</v>
      </c>
      <c r="AB189" s="105"/>
      <c r="AC189" s="104">
        <v>114605.06396299748</v>
      </c>
      <c r="AD189" s="5">
        <f t="shared" si="52"/>
        <v>1631.4950006836734</v>
      </c>
      <c r="AE189" s="105"/>
      <c r="AF189" s="104">
        <f t="shared" si="50"/>
        <v>207.26149595780527</v>
      </c>
    </row>
    <row r="190" spans="2:32" x14ac:dyDescent="0.25">
      <c r="B190">
        <v>372</v>
      </c>
      <c r="C190" s="27">
        <v>8</v>
      </c>
      <c r="D190" s="39" t="s">
        <v>463</v>
      </c>
      <c r="E190" s="162">
        <v>125.81000000000002</v>
      </c>
      <c r="F190" s="162">
        <f>INDEX('2017 Lockdown Update'!H$5:H$249,MATCH(B190,'2017 Lockdown Update'!B$5:B$249,0))</f>
        <v>125.81000000000002</v>
      </c>
      <c r="G190" s="162">
        <f t="shared" si="36"/>
        <v>0</v>
      </c>
      <c r="H190" s="5">
        <v>75377.2</v>
      </c>
      <c r="I190" s="5">
        <f>INDEX('2017 Lockdown Update'!E$5:E$249,MATCH(B190,'2017 Lockdown Update'!B$5:B$249,0))</f>
        <v>75377.2</v>
      </c>
      <c r="J190" s="5">
        <f t="shared" si="37"/>
        <v>0</v>
      </c>
      <c r="K190" s="5">
        <v>0</v>
      </c>
      <c r="L190" s="5">
        <f>INDEX('2017 Lockdown Update'!F$5:F$249,MATCH(B190,'2017 Lockdown Update'!B$5:B$249,0))</f>
        <v>0</v>
      </c>
      <c r="M190" s="5">
        <f t="shared" si="38"/>
        <v>0</v>
      </c>
      <c r="N190" s="5">
        <v>75377.2</v>
      </c>
      <c r="O190" s="105">
        <f t="shared" si="51"/>
        <v>75377.2</v>
      </c>
      <c r="P190" s="105">
        <f t="shared" si="39"/>
        <v>0</v>
      </c>
      <c r="Q190" s="103">
        <f t="shared" si="40"/>
        <v>599.1352038788649</v>
      </c>
      <c r="R190" s="6">
        <f t="shared" si="41"/>
        <v>599.1352038788649</v>
      </c>
      <c r="S190" s="5">
        <f t="shared" si="42"/>
        <v>75377.2</v>
      </c>
      <c r="T190" s="140">
        <v>0.57200000000000006</v>
      </c>
      <c r="U190" s="105">
        <f t="shared" si="43"/>
        <v>19404.516977281666</v>
      </c>
      <c r="V190" s="105">
        <f t="shared" si="44"/>
        <v>6489.1487727201611</v>
      </c>
      <c r="W190" s="105">
        <f t="shared" si="45"/>
        <v>3329.8151133015344</v>
      </c>
      <c r="X190" s="105">
        <f t="shared" si="46"/>
        <v>1127.4580728508465</v>
      </c>
      <c r="Y190" s="105">
        <f t="shared" si="47"/>
        <v>30350.938936154209</v>
      </c>
      <c r="Z190" s="112">
        <f t="shared" si="48"/>
        <v>0.40265410410779667</v>
      </c>
      <c r="AA190" s="104">
        <f t="shared" si="49"/>
        <v>30427.258836348108</v>
      </c>
      <c r="AB190" s="105"/>
      <c r="AC190" s="104">
        <v>30010.96932020635</v>
      </c>
      <c r="AD190" s="5">
        <f t="shared" si="52"/>
        <v>416.28951614175821</v>
      </c>
      <c r="AE190" s="105"/>
      <c r="AF190" s="104">
        <f t="shared" si="50"/>
        <v>54.254868180391782</v>
      </c>
    </row>
    <row r="191" spans="2:32" x14ac:dyDescent="0.25">
      <c r="B191">
        <v>375</v>
      </c>
      <c r="C191" s="27">
        <v>8</v>
      </c>
      <c r="D191" s="39" t="s">
        <v>464</v>
      </c>
      <c r="E191" s="162">
        <v>176.49</v>
      </c>
      <c r="F191" s="162">
        <f>INDEX('2017 Lockdown Update'!H$5:H$249,MATCH(B191,'2017 Lockdown Update'!B$5:B$249,0))</f>
        <v>176.49</v>
      </c>
      <c r="G191" s="162">
        <f t="shared" si="36"/>
        <v>0</v>
      </c>
      <c r="H191" s="5">
        <v>216301.79</v>
      </c>
      <c r="I191" s="5">
        <f>INDEX('2017 Lockdown Update'!E$5:E$249,MATCH(B191,'2017 Lockdown Update'!B$5:B$249,0))</f>
        <v>216301.79</v>
      </c>
      <c r="J191" s="5">
        <f t="shared" si="37"/>
        <v>0</v>
      </c>
      <c r="K191" s="5">
        <v>0</v>
      </c>
      <c r="L191" s="5">
        <f>INDEX('2017 Lockdown Update'!F$5:F$249,MATCH(B191,'2017 Lockdown Update'!B$5:B$249,0))</f>
        <v>0</v>
      </c>
      <c r="M191" s="5">
        <f t="shared" si="38"/>
        <v>0</v>
      </c>
      <c r="N191" s="5">
        <v>216301.79</v>
      </c>
      <c r="O191" s="105">
        <f t="shared" si="51"/>
        <v>216301.79</v>
      </c>
      <c r="P191" s="105">
        <f t="shared" si="39"/>
        <v>0</v>
      </c>
      <c r="Q191" s="103">
        <f t="shared" si="40"/>
        <v>1225.575330047028</v>
      </c>
      <c r="R191" s="6">
        <f t="shared" si="41"/>
        <v>1225.575330047028</v>
      </c>
      <c r="S191" s="5">
        <f t="shared" si="42"/>
        <v>216301.78999999998</v>
      </c>
      <c r="T191" s="140">
        <v>0.14000000000000001</v>
      </c>
      <c r="U191" s="105">
        <f t="shared" si="43"/>
        <v>55683.041506866975</v>
      </c>
      <c r="V191" s="105">
        <f t="shared" si="44"/>
        <v>9103.1703910450778</v>
      </c>
      <c r="W191" s="105">
        <f t="shared" si="45"/>
        <v>2338.687743288413</v>
      </c>
      <c r="X191" s="105">
        <f t="shared" si="46"/>
        <v>3235.3443655055962</v>
      </c>
      <c r="Y191" s="105">
        <f t="shared" si="47"/>
        <v>70360.244006706052</v>
      </c>
      <c r="Z191" s="112">
        <f t="shared" si="48"/>
        <v>0.32528738669571833</v>
      </c>
      <c r="AA191" s="104">
        <f t="shared" si="49"/>
        <v>70537.170552916243</v>
      </c>
      <c r="AB191" s="105"/>
      <c r="AC191" s="104">
        <v>69500.117862599873</v>
      </c>
      <c r="AD191" s="5">
        <f t="shared" si="52"/>
        <v>1037.05269031637</v>
      </c>
      <c r="AE191" s="105"/>
      <c r="AF191" s="104">
        <f t="shared" si="50"/>
        <v>125.77488201449829</v>
      </c>
    </row>
    <row r="192" spans="2:32" x14ac:dyDescent="0.25">
      <c r="B192">
        <v>404</v>
      </c>
      <c r="C192" s="27">
        <v>8</v>
      </c>
      <c r="D192" s="39" t="s">
        <v>465</v>
      </c>
      <c r="E192" s="162">
        <v>464.38745447782185</v>
      </c>
      <c r="F192" s="162">
        <f>INDEX('2017 Lockdown Update'!H$5:H$249,MATCH(B192,'2017 Lockdown Update'!B$5:B$249,0))</f>
        <v>464.38745447782185</v>
      </c>
      <c r="G192" s="162">
        <f t="shared" si="36"/>
        <v>0</v>
      </c>
      <c r="H192" s="5">
        <v>227998.07999999999</v>
      </c>
      <c r="I192" s="5">
        <f>INDEX('2017 Lockdown Update'!E$5:E$249,MATCH(B192,'2017 Lockdown Update'!B$5:B$249,0))</f>
        <v>227998.07999999999</v>
      </c>
      <c r="J192" s="5">
        <f t="shared" si="37"/>
        <v>0</v>
      </c>
      <c r="K192" s="5">
        <v>8.66</v>
      </c>
      <c r="L192" s="5">
        <f>INDEX('2017 Lockdown Update'!F$5:F$249,MATCH(B192,'2017 Lockdown Update'!B$5:B$249,0))</f>
        <v>8.66</v>
      </c>
      <c r="M192" s="5">
        <f t="shared" si="38"/>
        <v>0</v>
      </c>
      <c r="N192" s="5">
        <v>227989.41999999998</v>
      </c>
      <c r="O192" s="105">
        <f t="shared" si="51"/>
        <v>227989.41999999998</v>
      </c>
      <c r="P192" s="105">
        <f t="shared" si="39"/>
        <v>0</v>
      </c>
      <c r="Q192" s="103">
        <f t="shared" si="40"/>
        <v>490.94655293037908</v>
      </c>
      <c r="R192" s="6">
        <f t="shared" si="41"/>
        <v>490.94655293037908</v>
      </c>
      <c r="S192" s="5">
        <f t="shared" si="42"/>
        <v>227989.41999999998</v>
      </c>
      <c r="T192" s="140">
        <v>0.50625000000000009</v>
      </c>
      <c r="U192" s="105">
        <f t="shared" si="43"/>
        <v>58691.813585946416</v>
      </c>
      <c r="V192" s="105">
        <f t="shared" si="44"/>
        <v>23952.621256588482</v>
      </c>
      <c r="W192" s="105">
        <f t="shared" si="45"/>
        <v>8913.8191883656127</v>
      </c>
      <c r="X192" s="105">
        <f t="shared" si="46"/>
        <v>3410.1626500265625</v>
      </c>
      <c r="Y192" s="105">
        <f t="shared" si="47"/>
        <v>94968.416680927068</v>
      </c>
      <c r="Z192" s="112">
        <f t="shared" si="48"/>
        <v>0.41654747260169828</v>
      </c>
      <c r="AA192" s="104">
        <f t="shared" si="49"/>
        <v>95207.222475301591</v>
      </c>
      <c r="AB192" s="105"/>
      <c r="AC192" s="104">
        <v>93942.005468687566</v>
      </c>
      <c r="AD192" s="5">
        <f t="shared" si="52"/>
        <v>1265.2170066140243</v>
      </c>
      <c r="AE192" s="105"/>
      <c r="AF192" s="104">
        <f t="shared" si="50"/>
        <v>169.76407020431691</v>
      </c>
    </row>
    <row r="193" spans="2:32" x14ac:dyDescent="0.25">
      <c r="B193">
        <v>413</v>
      </c>
      <c r="C193" s="27">
        <v>8</v>
      </c>
      <c r="D193" s="39" t="s">
        <v>466</v>
      </c>
      <c r="E193" s="162">
        <v>86.789999999999992</v>
      </c>
      <c r="F193" s="162">
        <f>INDEX('2017 Lockdown Update'!H$5:H$249,MATCH(B193,'2017 Lockdown Update'!B$5:B$249,0))</f>
        <v>86.789999999999992</v>
      </c>
      <c r="G193" s="162">
        <f t="shared" si="36"/>
        <v>0</v>
      </c>
      <c r="H193" s="5">
        <v>54520.28</v>
      </c>
      <c r="I193" s="5">
        <f>INDEX('2017 Lockdown Update'!E$5:E$249,MATCH(B193,'2017 Lockdown Update'!B$5:B$249,0))</f>
        <v>54520.28</v>
      </c>
      <c r="J193" s="5">
        <f t="shared" si="37"/>
        <v>0</v>
      </c>
      <c r="K193" s="5">
        <v>115</v>
      </c>
      <c r="L193" s="5">
        <f>INDEX('2017 Lockdown Update'!F$5:F$249,MATCH(B193,'2017 Lockdown Update'!B$5:B$249,0))</f>
        <v>115</v>
      </c>
      <c r="M193" s="5">
        <f t="shared" si="38"/>
        <v>0</v>
      </c>
      <c r="N193" s="5">
        <v>54405.279999999999</v>
      </c>
      <c r="O193" s="105">
        <f t="shared" si="51"/>
        <v>54405.279999999999</v>
      </c>
      <c r="P193" s="105">
        <f t="shared" si="39"/>
        <v>0</v>
      </c>
      <c r="Q193" s="103">
        <f t="shared" si="40"/>
        <v>626.86115911971433</v>
      </c>
      <c r="R193" s="6">
        <f t="shared" si="41"/>
        <v>626.86115911971433</v>
      </c>
      <c r="S193" s="5">
        <f t="shared" si="42"/>
        <v>54405.279999999999</v>
      </c>
      <c r="T193" s="140">
        <v>0.33975</v>
      </c>
      <c r="U193" s="105">
        <f t="shared" si="43"/>
        <v>14005.669876484702</v>
      </c>
      <c r="V193" s="105">
        <f t="shared" si="44"/>
        <v>4476.5378108606847</v>
      </c>
      <c r="W193" s="105">
        <f t="shared" si="45"/>
        <v>1427.5279021607032</v>
      </c>
      <c r="X193" s="105">
        <f t="shared" si="46"/>
        <v>813.76957676473387</v>
      </c>
      <c r="Y193" s="105">
        <f t="shared" si="47"/>
        <v>20723.505166270825</v>
      </c>
      <c r="Z193" s="112">
        <f t="shared" si="48"/>
        <v>0.38090981548612241</v>
      </c>
      <c r="AA193" s="104">
        <f t="shared" si="49"/>
        <v>20775.616102584347</v>
      </c>
      <c r="AB193" s="105"/>
      <c r="AC193" s="104">
        <v>20495.748702374331</v>
      </c>
      <c r="AD193" s="5">
        <f t="shared" si="52"/>
        <v>279.86740021001606</v>
      </c>
      <c r="AE193" s="105"/>
      <c r="AF193" s="104">
        <f t="shared" si="50"/>
        <v>37.045016742212162</v>
      </c>
    </row>
    <row r="194" spans="2:32" x14ac:dyDescent="0.25">
      <c r="B194">
        <v>537</v>
      </c>
      <c r="C194" s="27">
        <v>8</v>
      </c>
      <c r="D194" s="39" t="s">
        <v>467</v>
      </c>
      <c r="E194" s="162">
        <v>19.904487402564385</v>
      </c>
      <c r="F194" s="162">
        <f>INDEX('2017 Lockdown Update'!H$5:H$249,MATCH(B194,'2017 Lockdown Update'!B$5:B$249,0))</f>
        <v>19.904487402564385</v>
      </c>
      <c r="G194" s="162">
        <f t="shared" si="36"/>
        <v>0</v>
      </c>
      <c r="H194" s="5">
        <v>11142.79</v>
      </c>
      <c r="I194" s="5">
        <f>INDEX('2017 Lockdown Update'!E$5:E$249,MATCH(B194,'2017 Lockdown Update'!B$5:B$249,0))</f>
        <v>11142.79</v>
      </c>
      <c r="J194" s="5">
        <f t="shared" si="37"/>
        <v>0</v>
      </c>
      <c r="K194" s="5">
        <v>0</v>
      </c>
      <c r="L194" s="5">
        <f>INDEX('2017 Lockdown Update'!F$5:F$249,MATCH(B194,'2017 Lockdown Update'!B$5:B$249,0))</f>
        <v>0</v>
      </c>
      <c r="M194" s="5">
        <f t="shared" si="38"/>
        <v>0</v>
      </c>
      <c r="N194" s="5">
        <v>11142.79</v>
      </c>
      <c r="O194" s="105">
        <f t="shared" si="51"/>
        <v>11142.79</v>
      </c>
      <c r="P194" s="105">
        <f t="shared" si="39"/>
        <v>0</v>
      </c>
      <c r="Q194" s="103">
        <f t="shared" si="40"/>
        <v>559.81295949195987</v>
      </c>
      <c r="R194" s="6">
        <f t="shared" si="41"/>
        <v>559.81295949195987</v>
      </c>
      <c r="S194" s="5">
        <f t="shared" si="42"/>
        <v>11142.79</v>
      </c>
      <c r="T194" s="140">
        <v>0.19466666666666665</v>
      </c>
      <c r="U194" s="105">
        <f t="shared" si="43"/>
        <v>2868.512729701878</v>
      </c>
      <c r="V194" s="105">
        <f t="shared" si="44"/>
        <v>1026.6527303074045</v>
      </c>
      <c r="W194" s="105">
        <f t="shared" si="45"/>
        <v>167.52114341458966</v>
      </c>
      <c r="X194" s="105">
        <f t="shared" si="46"/>
        <v>166.66881417168167</v>
      </c>
      <c r="Y194" s="105">
        <f t="shared" si="47"/>
        <v>4229.3554175955533</v>
      </c>
      <c r="Z194" s="112">
        <f t="shared" si="48"/>
        <v>0.3795598245677746</v>
      </c>
      <c r="AA194" s="104">
        <f t="shared" si="49"/>
        <v>4239.9904751809026</v>
      </c>
      <c r="AB194" s="105"/>
      <c r="AC194" s="104">
        <v>4186.140990301431</v>
      </c>
      <c r="AD194" s="5">
        <f t="shared" si="52"/>
        <v>53.849484879471675</v>
      </c>
      <c r="AE194" s="105"/>
      <c r="AF194" s="104">
        <f t="shared" si="50"/>
        <v>7.560330214243713</v>
      </c>
    </row>
    <row r="195" spans="2:32" x14ac:dyDescent="0.25">
      <c r="B195">
        <v>545</v>
      </c>
      <c r="C195" s="27">
        <v>8</v>
      </c>
      <c r="D195" s="39" t="s">
        <v>468</v>
      </c>
      <c r="E195" s="162">
        <v>16.281058267240422</v>
      </c>
      <c r="F195" s="162">
        <f>INDEX('2017 Lockdown Update'!H$5:H$249,MATCH(B195,'2017 Lockdown Update'!B$5:B$249,0))</f>
        <v>16.281058267240422</v>
      </c>
      <c r="G195" s="162">
        <f t="shared" si="36"/>
        <v>0</v>
      </c>
      <c r="H195" s="5">
        <v>6076.64</v>
      </c>
      <c r="I195" s="5">
        <f>INDEX('2017 Lockdown Update'!E$5:E$249,MATCH(B195,'2017 Lockdown Update'!B$5:B$249,0))</f>
        <v>6076.64</v>
      </c>
      <c r="J195" s="5">
        <f t="shared" si="37"/>
        <v>0</v>
      </c>
      <c r="K195" s="5">
        <v>0</v>
      </c>
      <c r="L195" s="5">
        <f>INDEX('2017 Lockdown Update'!F$5:F$249,MATCH(B195,'2017 Lockdown Update'!B$5:B$249,0))</f>
        <v>0</v>
      </c>
      <c r="M195" s="5">
        <f t="shared" si="38"/>
        <v>0</v>
      </c>
      <c r="N195" s="5">
        <v>6076.64</v>
      </c>
      <c r="O195" s="105">
        <f t="shared" si="51"/>
        <v>6076.64</v>
      </c>
      <c r="P195" s="105">
        <f t="shared" si="39"/>
        <v>0</v>
      </c>
      <c r="Q195" s="103">
        <f t="shared" si="40"/>
        <v>373.23372352440873</v>
      </c>
      <c r="R195" s="6">
        <f t="shared" si="41"/>
        <v>373.23372352440873</v>
      </c>
      <c r="S195" s="5">
        <f t="shared" si="42"/>
        <v>6076.64</v>
      </c>
      <c r="T195" s="140">
        <v>0.50516666666666665</v>
      </c>
      <c r="U195" s="105">
        <f t="shared" si="43"/>
        <v>1564.3226870304134</v>
      </c>
      <c r="V195" s="105">
        <f t="shared" si="44"/>
        <v>839.76002919838334</v>
      </c>
      <c r="W195" s="105">
        <f t="shared" si="45"/>
        <v>237.07310321945914</v>
      </c>
      <c r="X195" s="105">
        <f t="shared" si="46"/>
        <v>90.891633329552803</v>
      </c>
      <c r="Y195" s="105">
        <f t="shared" si="47"/>
        <v>2732.0474527778088</v>
      </c>
      <c r="Z195" s="112">
        <f t="shared" si="48"/>
        <v>0.44959837225470139</v>
      </c>
      <c r="AA195" s="104">
        <f t="shared" si="49"/>
        <v>2738.9174079169106</v>
      </c>
      <c r="AB195" s="105"/>
      <c r="AC195" s="104">
        <v>2704.5105217598634</v>
      </c>
      <c r="AD195" s="5">
        <f t="shared" si="52"/>
        <v>34.406886157047211</v>
      </c>
      <c r="AE195" s="105"/>
      <c r="AF195" s="104">
        <f t="shared" si="50"/>
        <v>4.8837656958436462</v>
      </c>
    </row>
    <row r="196" spans="2:32" x14ac:dyDescent="0.25">
      <c r="B196">
        <v>602</v>
      </c>
      <c r="C196" s="27">
        <v>8</v>
      </c>
      <c r="D196" s="39" t="s">
        <v>469</v>
      </c>
      <c r="E196" s="162">
        <v>15.915465641479035</v>
      </c>
      <c r="F196" s="162">
        <f>INDEX('2017 Lockdown Update'!H$5:H$249,MATCH(B196,'2017 Lockdown Update'!B$5:B$249,0))</f>
        <v>10.602186147080214</v>
      </c>
      <c r="G196" s="162">
        <f t="shared" si="36"/>
        <v>-5.3132794943988202</v>
      </c>
      <c r="H196" s="5">
        <v>18009.349999999999</v>
      </c>
      <c r="I196" s="5">
        <f>INDEX('2017 Lockdown Update'!E$5:E$249,MATCH(B196,'2017 Lockdown Update'!B$5:B$249,0))</f>
        <v>12099.67</v>
      </c>
      <c r="J196" s="5">
        <f t="shared" si="37"/>
        <v>-5909.6799999999985</v>
      </c>
      <c r="K196" s="5">
        <v>0</v>
      </c>
      <c r="L196" s="5">
        <f>INDEX('2017 Lockdown Update'!F$5:F$249,MATCH(B196,'2017 Lockdown Update'!B$5:B$249,0))</f>
        <v>0</v>
      </c>
      <c r="M196" s="5">
        <f t="shared" si="38"/>
        <v>0</v>
      </c>
      <c r="N196" s="5">
        <v>18009.349999999999</v>
      </c>
      <c r="O196" s="105">
        <f t="shared" si="51"/>
        <v>12099.67</v>
      </c>
      <c r="P196" s="105">
        <f t="shared" si="39"/>
        <v>-5909.6799999999985</v>
      </c>
      <c r="Q196" s="103">
        <f t="shared" si="40"/>
        <v>1141.2429316129471</v>
      </c>
      <c r="R196" s="6">
        <f t="shared" si="41"/>
        <v>1141.2429316129471</v>
      </c>
      <c r="S196" s="5">
        <f t="shared" si="42"/>
        <v>12099.67</v>
      </c>
      <c r="T196" s="140">
        <v>0.41183333333333333</v>
      </c>
      <c r="U196" s="105">
        <f t="shared" si="43"/>
        <v>3114.8444348490748</v>
      </c>
      <c r="V196" s="105">
        <f t="shared" si="44"/>
        <v>546.8497196127197</v>
      </c>
      <c r="W196" s="105">
        <f t="shared" si="45"/>
        <v>384.83902992560314</v>
      </c>
      <c r="X196" s="105">
        <f t="shared" si="46"/>
        <v>180.98139252096391</v>
      </c>
      <c r="Y196" s="105">
        <f t="shared" si="47"/>
        <v>4227.5145769083611</v>
      </c>
      <c r="Z196" s="112">
        <f t="shared" si="48"/>
        <v>0.34939089883512203</v>
      </c>
      <c r="AA196" s="104">
        <f t="shared" si="49"/>
        <v>4238.1450055503419</v>
      </c>
      <c r="AB196" s="105"/>
      <c r="AC196" s="104">
        <v>6217.4820203145255</v>
      </c>
      <c r="AD196" s="5">
        <f t="shared" si="52"/>
        <v>-1979.3370147641836</v>
      </c>
      <c r="AE196" s="105"/>
      <c r="AF196" s="104">
        <f t="shared" si="50"/>
        <v>7.5570395559535424</v>
      </c>
    </row>
    <row r="197" spans="2:32" x14ac:dyDescent="0.25">
      <c r="B197">
        <v>605</v>
      </c>
      <c r="C197" s="27">
        <v>8</v>
      </c>
      <c r="D197" s="39" t="s">
        <v>470</v>
      </c>
      <c r="E197" s="162">
        <v>17.987157187460227</v>
      </c>
      <c r="F197" s="162">
        <f>INDEX('2017 Lockdown Update'!H$5:H$249,MATCH(B197,'2017 Lockdown Update'!B$5:B$249,0))</f>
        <v>17.987157187460227</v>
      </c>
      <c r="G197" s="162">
        <f t="shared" si="36"/>
        <v>0</v>
      </c>
      <c r="H197" s="5">
        <v>9953.11</v>
      </c>
      <c r="I197" s="5">
        <f>INDEX('2017 Lockdown Update'!E$5:E$249,MATCH(B197,'2017 Lockdown Update'!B$5:B$249,0))</f>
        <v>9953.11</v>
      </c>
      <c r="J197" s="5">
        <f t="shared" si="37"/>
        <v>0</v>
      </c>
      <c r="K197" s="5">
        <v>0</v>
      </c>
      <c r="L197" s="5">
        <f>INDEX('2017 Lockdown Update'!F$5:F$249,MATCH(B197,'2017 Lockdown Update'!B$5:B$249,0))</f>
        <v>0</v>
      </c>
      <c r="M197" s="5">
        <f t="shared" si="38"/>
        <v>0</v>
      </c>
      <c r="N197" s="5">
        <v>9953.11</v>
      </c>
      <c r="O197" s="105">
        <f t="shared" si="51"/>
        <v>9953.11</v>
      </c>
      <c r="P197" s="105">
        <f t="shared" si="39"/>
        <v>0</v>
      </c>
      <c r="Q197" s="103">
        <f t="shared" si="40"/>
        <v>553.34536170834303</v>
      </c>
      <c r="R197" s="6">
        <f t="shared" si="41"/>
        <v>553.34536170834303</v>
      </c>
      <c r="S197" s="5">
        <f t="shared" si="42"/>
        <v>9953.11</v>
      </c>
      <c r="T197" s="140">
        <v>0.19466666666666665</v>
      </c>
      <c r="U197" s="105">
        <f t="shared" si="43"/>
        <v>2562.2508128685058</v>
      </c>
      <c r="V197" s="105">
        <f t="shared" si="44"/>
        <v>927.75883465330378</v>
      </c>
      <c r="W197" s="105">
        <f t="shared" si="45"/>
        <v>149.63544747152073</v>
      </c>
      <c r="X197" s="105">
        <f t="shared" si="46"/>
        <v>148.87411869202475</v>
      </c>
      <c r="Y197" s="105">
        <f t="shared" si="47"/>
        <v>3788.5192136853552</v>
      </c>
      <c r="Z197" s="112">
        <f t="shared" si="48"/>
        <v>0.38063672698135104</v>
      </c>
      <c r="AA197" s="104">
        <f t="shared" si="49"/>
        <v>3798.0457528438096</v>
      </c>
      <c r="AB197" s="105"/>
      <c r="AC197" s="104">
        <v>3749.9389660678789</v>
      </c>
      <c r="AD197" s="5">
        <f t="shared" si="52"/>
        <v>48.106786775930686</v>
      </c>
      <c r="AE197" s="105"/>
      <c r="AF197" s="104">
        <f t="shared" si="50"/>
        <v>6.7722982465143247</v>
      </c>
    </row>
    <row r="198" spans="2:32" x14ac:dyDescent="0.25">
      <c r="B198">
        <v>607</v>
      </c>
      <c r="C198" s="27">
        <v>8</v>
      </c>
      <c r="D198" s="39" t="s">
        <v>471</v>
      </c>
      <c r="E198" s="162">
        <v>26.988860061762811</v>
      </c>
      <c r="F198" s="162">
        <f>INDEX('2017 Lockdown Update'!H$5:H$249,MATCH(B198,'2017 Lockdown Update'!B$5:B$249,0))</f>
        <v>26.988860061762811</v>
      </c>
      <c r="G198" s="162">
        <f t="shared" si="36"/>
        <v>0</v>
      </c>
      <c r="H198" s="5">
        <v>15112.39</v>
      </c>
      <c r="I198" s="5">
        <f>INDEX('2017 Lockdown Update'!E$5:E$249,MATCH(B198,'2017 Lockdown Update'!B$5:B$249,0))</f>
        <v>15112.39</v>
      </c>
      <c r="J198" s="5">
        <f t="shared" si="37"/>
        <v>0</v>
      </c>
      <c r="K198" s="5">
        <v>0</v>
      </c>
      <c r="L198" s="5">
        <f>INDEX('2017 Lockdown Update'!F$5:F$249,MATCH(B198,'2017 Lockdown Update'!B$5:B$249,0))</f>
        <v>0</v>
      </c>
      <c r="M198" s="5">
        <f t="shared" si="38"/>
        <v>0</v>
      </c>
      <c r="N198" s="5">
        <v>15112.39</v>
      </c>
      <c r="O198" s="105">
        <f t="shared" si="51"/>
        <v>15112.39</v>
      </c>
      <c r="P198" s="105">
        <f t="shared" si="39"/>
        <v>0</v>
      </c>
      <c r="Q198" s="103">
        <f t="shared" si="40"/>
        <v>559.949177750226</v>
      </c>
      <c r="R198" s="6">
        <f t="shared" si="41"/>
        <v>559.949177750226</v>
      </c>
      <c r="S198" s="5">
        <f t="shared" si="42"/>
        <v>15112.39</v>
      </c>
      <c r="T198" s="140">
        <v>0.25116666666666665</v>
      </c>
      <c r="U198" s="105">
        <f t="shared" si="43"/>
        <v>3890.4155145362483</v>
      </c>
      <c r="V198" s="105">
        <f t="shared" si="44"/>
        <v>1392.057293910693</v>
      </c>
      <c r="W198" s="105">
        <f t="shared" si="45"/>
        <v>293.14280902030629</v>
      </c>
      <c r="X198" s="105">
        <f t="shared" si="46"/>
        <v>226.04429596178159</v>
      </c>
      <c r="Y198" s="105">
        <f t="shared" si="47"/>
        <v>5801.6599134290291</v>
      </c>
      <c r="Z198" s="112">
        <f t="shared" si="48"/>
        <v>0.38390088618868551</v>
      </c>
      <c r="AA198" s="104">
        <f t="shared" si="49"/>
        <v>5816.2486583269474</v>
      </c>
      <c r="AB198" s="105"/>
      <c r="AC198" s="104">
        <v>5740.9616269091175</v>
      </c>
      <c r="AD198" s="5">
        <f t="shared" si="52"/>
        <v>75.287031417829894</v>
      </c>
      <c r="AE198" s="105"/>
      <c r="AF198" s="104">
        <f t="shared" si="50"/>
        <v>10.370957369480305</v>
      </c>
    </row>
    <row r="199" spans="2:32" x14ac:dyDescent="0.25">
      <c r="B199">
        <v>610</v>
      </c>
      <c r="C199" s="27">
        <v>8</v>
      </c>
      <c r="D199" s="39" t="s">
        <v>472</v>
      </c>
      <c r="E199" s="162">
        <v>66.425018068074081</v>
      </c>
      <c r="F199" s="162">
        <f>INDEX('2017 Lockdown Update'!H$5:H$249,MATCH(B199,'2017 Lockdown Update'!B$5:B$249,0))</f>
        <v>66.425018068074081</v>
      </c>
      <c r="G199" s="162">
        <f t="shared" si="36"/>
        <v>0</v>
      </c>
      <c r="H199" s="5">
        <v>26597.53</v>
      </c>
      <c r="I199" s="5">
        <f>INDEX('2017 Lockdown Update'!E$5:E$249,MATCH(B199,'2017 Lockdown Update'!B$5:B$249,0))</f>
        <v>26597.53</v>
      </c>
      <c r="J199" s="5">
        <f t="shared" si="37"/>
        <v>0</v>
      </c>
      <c r="K199" s="5">
        <v>0</v>
      </c>
      <c r="L199" s="5">
        <f>INDEX('2017 Lockdown Update'!F$5:F$249,MATCH(B199,'2017 Lockdown Update'!B$5:B$249,0))</f>
        <v>0</v>
      </c>
      <c r="M199" s="5">
        <f t="shared" si="38"/>
        <v>0</v>
      </c>
      <c r="N199" s="5">
        <v>26597.53</v>
      </c>
      <c r="O199" s="105">
        <f t="shared" si="51"/>
        <v>26597.53</v>
      </c>
      <c r="P199" s="105">
        <f t="shared" si="39"/>
        <v>0</v>
      </c>
      <c r="Q199" s="103">
        <f t="shared" si="40"/>
        <v>400.41434347435421</v>
      </c>
      <c r="R199" s="6">
        <f t="shared" si="41"/>
        <v>400.41434347435421</v>
      </c>
      <c r="S199" s="5">
        <f t="shared" si="42"/>
        <v>26597.53</v>
      </c>
      <c r="T199" s="140">
        <v>0.29383333333333334</v>
      </c>
      <c r="U199" s="105">
        <f t="shared" si="43"/>
        <v>6847.0601513290285</v>
      </c>
      <c r="V199" s="105">
        <f t="shared" si="44"/>
        <v>3426.1332523198266</v>
      </c>
      <c r="W199" s="105">
        <f t="shared" si="45"/>
        <v>603.56835233965387</v>
      </c>
      <c r="X199" s="105">
        <f t="shared" si="46"/>
        <v>397.83382662652059</v>
      </c>
      <c r="Y199" s="105">
        <f t="shared" si="47"/>
        <v>11274.595582615029</v>
      </c>
      <c r="Z199" s="112">
        <f t="shared" si="48"/>
        <v>0.42389633859290804</v>
      </c>
      <c r="AA199" s="104">
        <f t="shared" si="49"/>
        <v>11302.946468609094</v>
      </c>
      <c r="AB199" s="105"/>
      <c r="AC199" s="104">
        <v>11166.262229972494</v>
      </c>
      <c r="AD199" s="5">
        <f t="shared" si="52"/>
        <v>136.68423863660064</v>
      </c>
      <c r="AE199" s="105"/>
      <c r="AF199" s="104">
        <f t="shared" si="50"/>
        <v>20.154292373253185</v>
      </c>
    </row>
    <row r="200" spans="2:32" x14ac:dyDescent="0.25">
      <c r="B200">
        <v>611</v>
      </c>
      <c r="C200" s="44">
        <v>8</v>
      </c>
      <c r="D200" s="39" t="s">
        <v>473</v>
      </c>
      <c r="E200" s="162">
        <v>19.031531650101531</v>
      </c>
      <c r="F200" s="162">
        <f>INDEX('2017 Lockdown Update'!H$5:H$249,MATCH(B200,'2017 Lockdown Update'!B$5:B$249,0))</f>
        <v>19.031531650101531</v>
      </c>
      <c r="G200" s="162">
        <f t="shared" si="36"/>
        <v>0</v>
      </c>
      <c r="H200" s="5">
        <v>27958.57</v>
      </c>
      <c r="I200" s="5">
        <f>INDEX('2017 Lockdown Update'!E$5:E$249,MATCH(B200,'2017 Lockdown Update'!B$5:B$249,0))</f>
        <v>27958.57</v>
      </c>
      <c r="J200" s="5">
        <f t="shared" si="37"/>
        <v>0</v>
      </c>
      <c r="K200" s="5">
        <v>0</v>
      </c>
      <c r="L200" s="5">
        <f>INDEX('2017 Lockdown Update'!F$5:F$249,MATCH(B200,'2017 Lockdown Update'!B$5:B$249,0))</f>
        <v>0</v>
      </c>
      <c r="M200" s="5">
        <f t="shared" si="38"/>
        <v>0</v>
      </c>
      <c r="N200" s="5">
        <v>27958.57</v>
      </c>
      <c r="O200" s="105">
        <f t="shared" si="51"/>
        <v>27958.57</v>
      </c>
      <c r="P200" s="105">
        <f t="shared" si="39"/>
        <v>0</v>
      </c>
      <c r="Q200" s="103">
        <f t="shared" si="40"/>
        <v>1469.0656807882744</v>
      </c>
      <c r="R200" s="6">
        <f t="shared" si="41"/>
        <v>1469.0656807882744</v>
      </c>
      <c r="S200" s="5">
        <f t="shared" si="42"/>
        <v>27958.569999999996</v>
      </c>
      <c r="T200" s="140">
        <v>0.59083333333333332</v>
      </c>
      <c r="U200" s="105">
        <f t="shared" si="43"/>
        <v>7197.4356466612962</v>
      </c>
      <c r="V200" s="105">
        <f t="shared" si="44"/>
        <v>981.62658175217587</v>
      </c>
      <c r="W200" s="105">
        <f t="shared" si="45"/>
        <v>1275.7454683707147</v>
      </c>
      <c r="X200" s="105">
        <f t="shared" si="46"/>
        <v>418.19164749905121</v>
      </c>
      <c r="Y200" s="105">
        <f t="shared" si="47"/>
        <v>9872.9993442832383</v>
      </c>
      <c r="Z200" s="112">
        <f t="shared" si="48"/>
        <v>0.35312962516620983</v>
      </c>
      <c r="AA200" s="104">
        <f t="shared" si="49"/>
        <v>9897.8258027382853</v>
      </c>
      <c r="AB200" s="105"/>
      <c r="AC200" s="104">
        <v>9737.9881886229705</v>
      </c>
      <c r="AD200" s="5">
        <f t="shared" si="52"/>
        <v>159.83761411531486</v>
      </c>
      <c r="AE200" s="105"/>
      <c r="AF200" s="104">
        <f t="shared" si="50"/>
        <v>17.648820654147947</v>
      </c>
    </row>
    <row r="201" spans="2:32" x14ac:dyDescent="0.25">
      <c r="B201">
        <v>616</v>
      </c>
      <c r="C201" s="27">
        <v>8</v>
      </c>
      <c r="D201" s="39" t="s">
        <v>474</v>
      </c>
      <c r="E201" s="162">
        <v>179.09000000000003</v>
      </c>
      <c r="F201" s="162">
        <f>INDEX('2017 Lockdown Update'!H$5:H$249,MATCH(B201,'2017 Lockdown Update'!B$5:B$249,0))</f>
        <v>179.09000000000003</v>
      </c>
      <c r="G201" s="162">
        <f t="shared" si="36"/>
        <v>0</v>
      </c>
      <c r="H201" s="5">
        <v>213811.28</v>
      </c>
      <c r="I201" s="5">
        <f>INDEX('2017 Lockdown Update'!E$5:E$249,MATCH(B201,'2017 Lockdown Update'!B$5:B$249,0))</f>
        <v>213811.28</v>
      </c>
      <c r="J201" s="5">
        <f t="shared" si="37"/>
        <v>0</v>
      </c>
      <c r="K201" s="5">
        <v>0</v>
      </c>
      <c r="L201" s="5">
        <f>INDEX('2017 Lockdown Update'!F$5:F$249,MATCH(B201,'2017 Lockdown Update'!B$5:B$249,0))</f>
        <v>0</v>
      </c>
      <c r="M201" s="5">
        <f t="shared" si="38"/>
        <v>0</v>
      </c>
      <c r="N201" s="5">
        <v>213811.28</v>
      </c>
      <c r="O201" s="105">
        <f t="shared" si="51"/>
        <v>213811.28</v>
      </c>
      <c r="P201" s="105">
        <f t="shared" si="39"/>
        <v>0</v>
      </c>
      <c r="Q201" s="103">
        <f t="shared" si="40"/>
        <v>1193.8761516555919</v>
      </c>
      <c r="R201" s="6">
        <f t="shared" si="41"/>
        <v>1193.8761516555919</v>
      </c>
      <c r="S201" s="5">
        <f t="shared" si="42"/>
        <v>213811.28</v>
      </c>
      <c r="T201" s="140">
        <v>0.68862500000000004</v>
      </c>
      <c r="U201" s="105">
        <f t="shared" si="43"/>
        <v>55041.904086306262</v>
      </c>
      <c r="V201" s="105">
        <f t="shared" si="44"/>
        <v>9237.2756832243358</v>
      </c>
      <c r="W201" s="105">
        <f t="shared" si="45"/>
        <v>11370.969360429795</v>
      </c>
      <c r="X201" s="105">
        <f t="shared" si="46"/>
        <v>3198.092443107103</v>
      </c>
      <c r="Y201" s="105">
        <f t="shared" si="47"/>
        <v>78848.241573067498</v>
      </c>
      <c r="Z201" s="112">
        <f t="shared" si="48"/>
        <v>0.36877493822153584</v>
      </c>
      <c r="AA201" s="104">
        <f t="shared" si="49"/>
        <v>79046.51187831175</v>
      </c>
      <c r="AB201" s="105"/>
      <c r="AC201" s="104">
        <v>77804.041198760286</v>
      </c>
      <c r="AD201" s="5">
        <f t="shared" si="52"/>
        <v>1242.4706795514649</v>
      </c>
      <c r="AE201" s="105"/>
      <c r="AF201" s="104">
        <f t="shared" si="50"/>
        <v>140.94789494985292</v>
      </c>
    </row>
    <row r="202" spans="2:32" x14ac:dyDescent="0.25">
      <c r="B202">
        <v>692</v>
      </c>
      <c r="C202" s="27">
        <v>8</v>
      </c>
      <c r="D202" s="39" t="s">
        <v>475</v>
      </c>
      <c r="E202" s="162">
        <v>324.73850537213622</v>
      </c>
      <c r="F202" s="162">
        <f>INDEX('2017 Lockdown Update'!H$5:H$249,MATCH(B202,'2017 Lockdown Update'!B$5:B$249,0))</f>
        <v>324.73850537213622</v>
      </c>
      <c r="G202" s="162">
        <f t="shared" si="36"/>
        <v>0</v>
      </c>
      <c r="H202" s="5">
        <v>103835.41</v>
      </c>
      <c r="I202" s="5">
        <f>INDEX('2017 Lockdown Update'!E$5:E$249,MATCH(B202,'2017 Lockdown Update'!B$5:B$249,0))</f>
        <v>103835.41</v>
      </c>
      <c r="J202" s="5">
        <f t="shared" si="37"/>
        <v>0</v>
      </c>
      <c r="K202" s="5">
        <v>0</v>
      </c>
      <c r="L202" s="5">
        <f>INDEX('2017 Lockdown Update'!F$5:F$249,MATCH(B202,'2017 Lockdown Update'!B$5:B$249,0))</f>
        <v>0</v>
      </c>
      <c r="M202" s="5">
        <f t="shared" si="38"/>
        <v>0</v>
      </c>
      <c r="N202" s="5">
        <v>103835.41</v>
      </c>
      <c r="O202" s="105">
        <f t="shared" si="51"/>
        <v>103835.41</v>
      </c>
      <c r="P202" s="105">
        <f t="shared" si="39"/>
        <v>0</v>
      </c>
      <c r="Q202" s="103">
        <f t="shared" si="40"/>
        <v>319.75084039082196</v>
      </c>
      <c r="R202" s="6">
        <f t="shared" si="41"/>
        <v>319.75084039082196</v>
      </c>
      <c r="S202" s="5">
        <f t="shared" si="42"/>
        <v>103835.41</v>
      </c>
      <c r="T202" s="140">
        <v>0.2461666666666667</v>
      </c>
      <c r="U202" s="105">
        <f t="shared" si="43"/>
        <v>26730.576038749154</v>
      </c>
      <c r="V202" s="105">
        <f t="shared" si="44"/>
        <v>16749.673901840688</v>
      </c>
      <c r="W202" s="105">
        <f t="shared" si="45"/>
        <v>1974.0530404616252</v>
      </c>
      <c r="X202" s="105">
        <f t="shared" si="46"/>
        <v>1553.1231095381297</v>
      </c>
      <c r="Y202" s="105">
        <f t="shared" si="47"/>
        <v>47007.426090589594</v>
      </c>
      <c r="Z202" s="112">
        <f t="shared" si="48"/>
        <v>0.45271094023310154</v>
      </c>
      <c r="AA202" s="104">
        <f t="shared" si="49"/>
        <v>47125.630080098868</v>
      </c>
      <c r="AB202" s="105"/>
      <c r="AC202" s="104">
        <v>46607.527019452726</v>
      </c>
      <c r="AD202" s="5">
        <f t="shared" si="52"/>
        <v>518.10306064614269</v>
      </c>
      <c r="AE202" s="105"/>
      <c r="AF202" s="104">
        <f t="shared" si="50"/>
        <v>84.029746539617562</v>
      </c>
    </row>
    <row r="203" spans="2:32" x14ac:dyDescent="0.25">
      <c r="B203">
        <v>706</v>
      </c>
      <c r="C203" s="27">
        <v>8</v>
      </c>
      <c r="D203" s="39" t="s">
        <v>476</v>
      </c>
      <c r="E203" s="162">
        <v>68.365821017379318</v>
      </c>
      <c r="F203" s="162">
        <f>INDEX('2017 Lockdown Update'!H$5:H$249,MATCH(B203,'2017 Lockdown Update'!B$5:B$249,0))</f>
        <v>68.365821017379318</v>
      </c>
      <c r="G203" s="162">
        <f t="shared" si="36"/>
        <v>0</v>
      </c>
      <c r="H203" s="5">
        <v>62987.97</v>
      </c>
      <c r="I203" s="5">
        <f>INDEX('2017 Lockdown Update'!E$5:E$249,MATCH(B203,'2017 Lockdown Update'!B$5:B$249,0))</f>
        <v>62987.97</v>
      </c>
      <c r="J203" s="5">
        <f t="shared" si="37"/>
        <v>0</v>
      </c>
      <c r="K203" s="5">
        <v>45530</v>
      </c>
      <c r="L203" s="5">
        <f>INDEX('2017 Lockdown Update'!F$5:F$249,MATCH(B203,'2017 Lockdown Update'!B$5:B$249,0))</f>
        <v>45530</v>
      </c>
      <c r="M203" s="5">
        <f t="shared" si="38"/>
        <v>0</v>
      </c>
      <c r="N203" s="5">
        <v>17457.97</v>
      </c>
      <c r="O203" s="105">
        <f t="shared" si="51"/>
        <v>17457.97</v>
      </c>
      <c r="P203" s="105">
        <f t="shared" si="39"/>
        <v>0</v>
      </c>
      <c r="Q203" s="103">
        <f t="shared" si="40"/>
        <v>255.36108160775251</v>
      </c>
      <c r="R203" s="6">
        <f t="shared" si="41"/>
        <v>255.36108160775251</v>
      </c>
      <c r="S203" s="5">
        <f t="shared" si="42"/>
        <v>17457.97</v>
      </c>
      <c r="T203" s="140">
        <v>0.48979166666666668</v>
      </c>
      <c r="U203" s="105">
        <f t="shared" si="43"/>
        <v>4494.2432891361586</v>
      </c>
      <c r="V203" s="105">
        <f t="shared" si="44"/>
        <v>3526.2378471578822</v>
      </c>
      <c r="W203" s="105">
        <f t="shared" si="45"/>
        <v>660.37287329744424</v>
      </c>
      <c r="X203" s="105">
        <f t="shared" si="46"/>
        <v>261.12842095604361</v>
      </c>
      <c r="Y203" s="105">
        <f t="shared" si="47"/>
        <v>8941.9824305475286</v>
      </c>
      <c r="Z203" s="112">
        <f t="shared" si="48"/>
        <v>0.51220058406261026</v>
      </c>
      <c r="AA203" s="104">
        <f t="shared" si="49"/>
        <v>8964.4677713823075</v>
      </c>
      <c r="AB203" s="105"/>
      <c r="AC203" s="104">
        <v>8867.2687715673856</v>
      </c>
      <c r="AD203" s="5">
        <f t="shared" si="52"/>
        <v>97.19899981492199</v>
      </c>
      <c r="AE203" s="105"/>
      <c r="AF203" s="104">
        <f t="shared" si="50"/>
        <v>15.984549244465935</v>
      </c>
    </row>
    <row r="204" spans="2:32" x14ac:dyDescent="0.25">
      <c r="B204">
        <v>709</v>
      </c>
      <c r="C204" s="27">
        <v>8</v>
      </c>
      <c r="D204" s="39" t="s">
        <v>477</v>
      </c>
      <c r="E204" s="162">
        <v>74.174681626699126</v>
      </c>
      <c r="F204" s="162">
        <f>INDEX('2017 Lockdown Update'!H$5:H$249,MATCH(B204,'2017 Lockdown Update'!B$5:B$249,0))</f>
        <v>82.545313047708774</v>
      </c>
      <c r="G204" s="162">
        <f t="shared" si="36"/>
        <v>8.370631421009648</v>
      </c>
      <c r="H204" s="5">
        <v>48233.84</v>
      </c>
      <c r="I204" s="5">
        <f>INDEX('2017 Lockdown Update'!E$5:E$249,MATCH(B204,'2017 Lockdown Update'!B$5:B$249,0))</f>
        <v>48233.84</v>
      </c>
      <c r="J204" s="5">
        <f t="shared" si="37"/>
        <v>0</v>
      </c>
      <c r="K204" s="5">
        <v>0</v>
      </c>
      <c r="L204" s="5">
        <f>INDEX('2017 Lockdown Update'!F$5:F$249,MATCH(B204,'2017 Lockdown Update'!B$5:B$249,0))</f>
        <v>0</v>
      </c>
      <c r="M204" s="5">
        <f t="shared" si="38"/>
        <v>0</v>
      </c>
      <c r="N204" s="5">
        <v>48233.84</v>
      </c>
      <c r="O204" s="105">
        <f t="shared" si="51"/>
        <v>48233.84</v>
      </c>
      <c r="P204" s="105">
        <f t="shared" si="39"/>
        <v>0</v>
      </c>
      <c r="Q204" s="103">
        <f t="shared" si="40"/>
        <v>584.33166244244842</v>
      </c>
      <c r="R204" s="6">
        <f t="shared" si="41"/>
        <v>584.33166244244842</v>
      </c>
      <c r="S204" s="5">
        <f t="shared" si="42"/>
        <v>48233.84</v>
      </c>
      <c r="T204" s="140">
        <v>0.29391666666666666</v>
      </c>
      <c r="U204" s="105">
        <f t="shared" si="43"/>
        <v>12416.942618716103</v>
      </c>
      <c r="V204" s="105">
        <f t="shared" si="44"/>
        <v>4257.6012785735702</v>
      </c>
      <c r="W204" s="105">
        <f t="shared" si="45"/>
        <v>1094.8639154052923</v>
      </c>
      <c r="X204" s="105">
        <f t="shared" si="46"/>
        <v>721.45996790270885</v>
      </c>
      <c r="Y204" s="105">
        <f t="shared" si="47"/>
        <v>18490.867780597673</v>
      </c>
      <c r="Z204" s="112">
        <f t="shared" si="48"/>
        <v>0.38335881573181141</v>
      </c>
      <c r="AA204" s="104">
        <f t="shared" si="49"/>
        <v>18537.364568933692</v>
      </c>
      <c r="AB204" s="105"/>
      <c r="AC204" s="104">
        <v>17857.825081462815</v>
      </c>
      <c r="AD204" s="5">
        <f t="shared" si="52"/>
        <v>679.53948747087634</v>
      </c>
      <c r="AE204" s="105"/>
      <c r="AF204" s="104">
        <f t="shared" si="50"/>
        <v>33.053988744392342</v>
      </c>
    </row>
    <row r="205" spans="2:32" x14ac:dyDescent="0.25">
      <c r="B205">
        <v>714</v>
      </c>
      <c r="C205" s="27">
        <v>8</v>
      </c>
      <c r="D205" s="39" t="s">
        <v>478</v>
      </c>
      <c r="E205" s="162">
        <v>47.438691956333841</v>
      </c>
      <c r="F205" s="162">
        <f>INDEX('2017 Lockdown Update'!H$5:H$249,MATCH(B205,'2017 Lockdown Update'!B$5:B$249,0))</f>
        <v>47.438691956333841</v>
      </c>
      <c r="G205" s="162">
        <f t="shared" si="36"/>
        <v>0</v>
      </c>
      <c r="H205" s="5">
        <v>36713.449999999997</v>
      </c>
      <c r="I205" s="5">
        <f>INDEX('2017 Lockdown Update'!E$5:E$249,MATCH(B205,'2017 Lockdown Update'!B$5:B$249,0))</f>
        <v>36713.449999999997</v>
      </c>
      <c r="J205" s="5">
        <f t="shared" si="37"/>
        <v>0</v>
      </c>
      <c r="K205" s="5">
        <v>0</v>
      </c>
      <c r="L205" s="5">
        <f>INDEX('2017 Lockdown Update'!F$5:F$249,MATCH(B205,'2017 Lockdown Update'!B$5:B$249,0))</f>
        <v>0</v>
      </c>
      <c r="M205" s="5">
        <f t="shared" si="38"/>
        <v>0</v>
      </c>
      <c r="N205" s="5">
        <v>36713.449999999997</v>
      </c>
      <c r="O205" s="105">
        <f t="shared" si="51"/>
        <v>36713.449999999997</v>
      </c>
      <c r="P205" s="105">
        <f t="shared" si="39"/>
        <v>0</v>
      </c>
      <c r="Q205" s="103">
        <f t="shared" si="40"/>
        <v>773.91362379455643</v>
      </c>
      <c r="R205" s="6">
        <f t="shared" si="41"/>
        <v>773.91362379455643</v>
      </c>
      <c r="S205" s="5">
        <f t="shared" si="42"/>
        <v>36713.449999999997</v>
      </c>
      <c r="T205" s="140">
        <v>0.29391666666666666</v>
      </c>
      <c r="U205" s="105">
        <f t="shared" si="43"/>
        <v>9451.2234975507399</v>
      </c>
      <c r="V205" s="105">
        <f t="shared" si="44"/>
        <v>2446.8383251561363</v>
      </c>
      <c r="W205" s="105">
        <f t="shared" si="45"/>
        <v>833.36163189653644</v>
      </c>
      <c r="X205" s="105">
        <f t="shared" si="46"/>
        <v>549.14318367763599</v>
      </c>
      <c r="Y205" s="105">
        <f t="shared" si="47"/>
        <v>13280.566638281049</v>
      </c>
      <c r="Z205" s="112">
        <f t="shared" si="48"/>
        <v>0.36173573004664639</v>
      </c>
      <c r="AA205" s="104">
        <f t="shared" si="49"/>
        <v>13313.96170136243</v>
      </c>
      <c r="AB205" s="105"/>
      <c r="AC205" s="104">
        <v>13126.468723510434</v>
      </c>
      <c r="AD205" s="5">
        <f t="shared" si="52"/>
        <v>187.49297785199633</v>
      </c>
      <c r="AE205" s="105"/>
      <c r="AF205" s="104">
        <f t="shared" si="50"/>
        <v>23.740135151553464</v>
      </c>
    </row>
    <row r="206" spans="2:32" x14ac:dyDescent="0.25">
      <c r="B206">
        <v>749</v>
      </c>
      <c r="C206" s="27">
        <v>8</v>
      </c>
      <c r="D206" s="39" t="s">
        <v>479</v>
      </c>
      <c r="E206" s="162">
        <v>19.847617438557059</v>
      </c>
      <c r="F206" s="162">
        <f>INDEX('2017 Lockdown Update'!H$5:H$249,MATCH(B206,'2017 Lockdown Update'!B$5:B$249,0))</f>
        <v>22.087426043324484</v>
      </c>
      <c r="G206" s="162">
        <f t="shared" si="36"/>
        <v>2.2398086047674255</v>
      </c>
      <c r="H206" s="5">
        <v>8284.82</v>
      </c>
      <c r="I206" s="5">
        <f>INDEX('2017 Lockdown Update'!E$5:E$249,MATCH(B206,'2017 Lockdown Update'!B$5:B$249,0))</f>
        <v>8284.82</v>
      </c>
      <c r="J206" s="5">
        <f t="shared" si="37"/>
        <v>0</v>
      </c>
      <c r="K206" s="5">
        <v>0</v>
      </c>
      <c r="L206" s="5">
        <f>INDEX('2017 Lockdown Update'!F$5:F$249,MATCH(B206,'2017 Lockdown Update'!B$5:B$249,0))</f>
        <v>0</v>
      </c>
      <c r="M206" s="5">
        <f t="shared" si="38"/>
        <v>0</v>
      </c>
      <c r="N206" s="5">
        <v>8284.82</v>
      </c>
      <c r="O206" s="105">
        <f t="shared" si="51"/>
        <v>8284.82</v>
      </c>
      <c r="P206" s="105">
        <f t="shared" si="39"/>
        <v>0</v>
      </c>
      <c r="Q206" s="103">
        <f t="shared" si="40"/>
        <v>375.09214445129669</v>
      </c>
      <c r="R206" s="6">
        <f t="shared" si="41"/>
        <v>375.09214445129669</v>
      </c>
      <c r="S206" s="5">
        <f t="shared" si="42"/>
        <v>8284.82</v>
      </c>
      <c r="T206" s="140">
        <v>0.29308333333333336</v>
      </c>
      <c r="U206" s="105">
        <f t="shared" si="43"/>
        <v>2132.779279990802</v>
      </c>
      <c r="V206" s="105">
        <f t="shared" si="44"/>
        <v>1139.2464319337603</v>
      </c>
      <c r="W206" s="105">
        <f t="shared" si="45"/>
        <v>187.52461819319129</v>
      </c>
      <c r="X206" s="105">
        <f t="shared" si="46"/>
        <v>123.92059125459886</v>
      </c>
      <c r="Y206" s="105">
        <f t="shared" si="47"/>
        <v>3583.4709213723527</v>
      </c>
      <c r="Z206" s="112">
        <f t="shared" si="48"/>
        <v>0.432534553722634</v>
      </c>
      <c r="AA206" s="104">
        <f t="shared" si="49"/>
        <v>3592.4818499516032</v>
      </c>
      <c r="AB206" s="105"/>
      <c r="AC206" s="104">
        <v>3434.5968222770007</v>
      </c>
      <c r="AD206" s="5">
        <f t="shared" si="52"/>
        <v>157.8850276746025</v>
      </c>
      <c r="AE206" s="105"/>
      <c r="AF206" s="104">
        <f t="shared" si="50"/>
        <v>6.4057570962237689</v>
      </c>
    </row>
    <row r="207" spans="2:32" x14ac:dyDescent="0.25">
      <c r="B207">
        <v>764</v>
      </c>
      <c r="C207" s="27">
        <v>8</v>
      </c>
      <c r="D207" s="39" t="s">
        <v>480</v>
      </c>
      <c r="E207" s="162">
        <v>56.099999999999994</v>
      </c>
      <c r="F207" s="162">
        <f>INDEX('2017 Lockdown Update'!H$5:H$249,MATCH(B207,'2017 Lockdown Update'!B$5:B$249,0))</f>
        <v>56.099999999999994</v>
      </c>
      <c r="G207" s="162">
        <f t="shared" si="36"/>
        <v>0</v>
      </c>
      <c r="H207" s="5">
        <v>15230.64</v>
      </c>
      <c r="I207" s="5">
        <f>INDEX('2017 Lockdown Update'!E$5:E$249,MATCH(B207,'2017 Lockdown Update'!B$5:B$249,0))</f>
        <v>15230.64</v>
      </c>
      <c r="J207" s="5">
        <f t="shared" si="37"/>
        <v>0</v>
      </c>
      <c r="K207" s="5">
        <v>0</v>
      </c>
      <c r="L207" s="5">
        <f>INDEX('2017 Lockdown Update'!F$5:F$249,MATCH(B207,'2017 Lockdown Update'!B$5:B$249,0))</f>
        <v>0</v>
      </c>
      <c r="M207" s="5">
        <f t="shared" si="38"/>
        <v>0</v>
      </c>
      <c r="N207" s="5">
        <v>15230.64</v>
      </c>
      <c r="O207" s="105">
        <f t="shared" si="51"/>
        <v>15230.64</v>
      </c>
      <c r="P207" s="105">
        <f t="shared" si="39"/>
        <v>0</v>
      </c>
      <c r="Q207" s="103">
        <f t="shared" si="40"/>
        <v>271.4909090909091</v>
      </c>
      <c r="R207" s="6">
        <f t="shared" si="41"/>
        <v>271.4909090909091</v>
      </c>
      <c r="S207" s="5">
        <f t="shared" si="42"/>
        <v>15230.64</v>
      </c>
      <c r="T207" s="140">
        <v>0.26525000000000004</v>
      </c>
      <c r="U207" s="105">
        <f t="shared" si="43"/>
        <v>3920.8568699137832</v>
      </c>
      <c r="V207" s="105">
        <f t="shared" si="44"/>
        <v>2893.5795735601378</v>
      </c>
      <c r="W207" s="105">
        <f t="shared" si="45"/>
        <v>312.00218542338934</v>
      </c>
      <c r="X207" s="105">
        <f t="shared" si="46"/>
        <v>227.81302599041902</v>
      </c>
      <c r="Y207" s="105">
        <f t="shared" si="47"/>
        <v>7354.2516548877293</v>
      </c>
      <c r="Z207" s="112">
        <f t="shared" si="48"/>
        <v>0.4828590036195281</v>
      </c>
      <c r="AA207" s="104">
        <f t="shared" si="49"/>
        <v>7372.7445177768323</v>
      </c>
      <c r="AB207" s="105"/>
      <c r="AC207" s="104">
        <v>7295.4263419445133</v>
      </c>
      <c r="AD207" s="5">
        <f t="shared" si="52"/>
        <v>77.318175832318957</v>
      </c>
      <c r="AE207" s="105"/>
      <c r="AF207" s="104">
        <f t="shared" si="50"/>
        <v>13.146346310428839</v>
      </c>
    </row>
    <row r="208" spans="2:32" x14ac:dyDescent="0.25">
      <c r="B208">
        <v>775</v>
      </c>
      <c r="C208" s="27">
        <v>8</v>
      </c>
      <c r="D208" s="39" t="s">
        <v>481</v>
      </c>
      <c r="E208" s="162">
        <v>224.96988220877736</v>
      </c>
      <c r="F208" s="162">
        <f>INDEX('2017 Lockdown Update'!H$5:H$249,MATCH(B208,'2017 Lockdown Update'!B$5:B$249,0))</f>
        <v>224.96988220877736</v>
      </c>
      <c r="G208" s="162">
        <f t="shared" si="36"/>
        <v>0</v>
      </c>
      <c r="H208" s="5">
        <v>28443.79</v>
      </c>
      <c r="I208" s="5">
        <f>INDEX('2017 Lockdown Update'!E$5:E$249,MATCH(B208,'2017 Lockdown Update'!B$5:B$249,0))</f>
        <v>28443.79</v>
      </c>
      <c r="J208" s="5">
        <f t="shared" si="37"/>
        <v>0</v>
      </c>
      <c r="K208" s="5">
        <v>0</v>
      </c>
      <c r="L208" s="5">
        <f>INDEX('2017 Lockdown Update'!F$5:F$249,MATCH(B208,'2017 Lockdown Update'!B$5:B$249,0))</f>
        <v>0</v>
      </c>
      <c r="M208" s="5">
        <f t="shared" si="38"/>
        <v>0</v>
      </c>
      <c r="N208" s="5">
        <v>28443.79</v>
      </c>
      <c r="O208" s="105">
        <f t="shared" si="51"/>
        <v>28443.79</v>
      </c>
      <c r="P208" s="105">
        <f t="shared" si="39"/>
        <v>0</v>
      </c>
      <c r="Q208" s="103">
        <f t="shared" si="40"/>
        <v>126.43376847041014</v>
      </c>
      <c r="R208" s="6">
        <f t="shared" si="41"/>
        <v>126.43376847041014</v>
      </c>
      <c r="S208" s="5">
        <f t="shared" si="42"/>
        <v>28443.79</v>
      </c>
      <c r="T208" s="140">
        <v>0.68566666666666665</v>
      </c>
      <c r="U208" s="105">
        <f t="shared" si="43"/>
        <v>7322.3468894206017</v>
      </c>
      <c r="V208" s="105">
        <f t="shared" si="44"/>
        <v>11603.71222505434</v>
      </c>
      <c r="W208" s="105">
        <f t="shared" si="45"/>
        <v>1506.2067551538175</v>
      </c>
      <c r="X208" s="105">
        <f t="shared" si="46"/>
        <v>425.44934884785027</v>
      </c>
      <c r="Y208" s="105">
        <f t="shared" si="47"/>
        <v>20857.715218476609</v>
      </c>
      <c r="Z208" s="112">
        <f t="shared" si="48"/>
        <v>0.73329592218465289</v>
      </c>
      <c r="AA208" s="104">
        <f t="shared" si="49"/>
        <v>20910.163636863123</v>
      </c>
      <c r="AB208" s="105"/>
      <c r="AC208" s="104">
        <v>20737.45238965004</v>
      </c>
      <c r="AD208" s="5">
        <f t="shared" si="52"/>
        <v>172.71124721308297</v>
      </c>
      <c r="AE208" s="105"/>
      <c r="AF208" s="104">
        <f t="shared" si="50"/>
        <v>37.284928552065089</v>
      </c>
    </row>
    <row r="209" spans="2:32" x14ac:dyDescent="0.25">
      <c r="B209">
        <v>790</v>
      </c>
      <c r="C209" s="27">
        <v>8</v>
      </c>
      <c r="D209" s="39" t="s">
        <v>482</v>
      </c>
      <c r="E209" s="162">
        <v>19.904487402564385</v>
      </c>
      <c r="F209" s="162">
        <f>INDEX('2017 Lockdown Update'!H$5:H$249,MATCH(B209,'2017 Lockdown Update'!B$5:B$249,0))</f>
        <v>19.904487402564385</v>
      </c>
      <c r="G209" s="162">
        <f t="shared" si="36"/>
        <v>0</v>
      </c>
      <c r="H209" s="5">
        <v>11267.83</v>
      </c>
      <c r="I209" s="5">
        <f>INDEX('2017 Lockdown Update'!E$5:E$249,MATCH(B209,'2017 Lockdown Update'!B$5:B$249,0))</f>
        <v>11267.83</v>
      </c>
      <c r="J209" s="5">
        <f t="shared" si="37"/>
        <v>0</v>
      </c>
      <c r="K209" s="5">
        <v>0</v>
      </c>
      <c r="L209" s="5">
        <f>INDEX('2017 Lockdown Update'!F$5:F$249,MATCH(B209,'2017 Lockdown Update'!B$5:B$249,0))</f>
        <v>0</v>
      </c>
      <c r="M209" s="5">
        <f t="shared" si="38"/>
        <v>0</v>
      </c>
      <c r="N209" s="5">
        <v>11267.83</v>
      </c>
      <c r="O209" s="105">
        <f t="shared" si="51"/>
        <v>11267.83</v>
      </c>
      <c r="P209" s="105">
        <f t="shared" si="39"/>
        <v>0</v>
      </c>
      <c r="Q209" s="103">
        <f t="shared" si="40"/>
        <v>566.09496000124648</v>
      </c>
      <c r="R209" s="6">
        <f t="shared" si="41"/>
        <v>566.09496000124648</v>
      </c>
      <c r="S209" s="5">
        <f t="shared" si="42"/>
        <v>11267.83</v>
      </c>
      <c r="T209" s="140">
        <v>0.23725000000000002</v>
      </c>
      <c r="U209" s="105">
        <f t="shared" si="43"/>
        <v>2900.7020495869269</v>
      </c>
      <c r="V209" s="105">
        <f t="shared" si="44"/>
        <v>1026.6527303074045</v>
      </c>
      <c r="W209" s="105">
        <f t="shared" si="45"/>
        <v>206.45746837934951</v>
      </c>
      <c r="X209" s="105">
        <f t="shared" si="46"/>
        <v>168.53910594995506</v>
      </c>
      <c r="Y209" s="105">
        <f t="shared" si="47"/>
        <v>4302.351354223636</v>
      </c>
      <c r="Z209" s="112">
        <f t="shared" si="48"/>
        <v>0.38182607957553816</v>
      </c>
      <c r="AA209" s="104">
        <f t="shared" si="49"/>
        <v>4313.1699660182876</v>
      </c>
      <c r="AB209" s="105"/>
      <c r="AC209" s="104">
        <v>4257.2811664790725</v>
      </c>
      <c r="AD209" s="5">
        <f t="shared" si="52"/>
        <v>55.888799539215142</v>
      </c>
      <c r="AE209" s="105"/>
      <c r="AF209" s="104">
        <f t="shared" si="50"/>
        <v>7.6908166195503771</v>
      </c>
    </row>
    <row r="210" spans="2:32" x14ac:dyDescent="0.25">
      <c r="B210">
        <v>795</v>
      </c>
      <c r="C210" s="27">
        <v>8</v>
      </c>
      <c r="D210" s="39" t="s">
        <v>575</v>
      </c>
      <c r="E210" s="162">
        <v>54.951852431979624</v>
      </c>
      <c r="F210" s="162">
        <f>INDEX('2017 Lockdown Update'!H$5:H$249,MATCH(B210,'2017 Lockdown Update'!B$5:B$249,0))</f>
        <v>54.951852431979624</v>
      </c>
      <c r="G210" s="162">
        <f t="shared" si="36"/>
        <v>0</v>
      </c>
      <c r="H210" s="5">
        <v>115302.87</v>
      </c>
      <c r="I210" s="5">
        <f>INDEX('2017 Lockdown Update'!E$5:E$249,MATCH(B210,'2017 Lockdown Update'!B$5:B$249,0))</f>
        <v>115302.87</v>
      </c>
      <c r="J210" s="5">
        <f t="shared" si="37"/>
        <v>0</v>
      </c>
      <c r="K210" s="5">
        <v>44679.360000000001</v>
      </c>
      <c r="L210" s="5">
        <f>INDEX('2017 Lockdown Update'!F$5:F$249,MATCH(B210,'2017 Lockdown Update'!B$5:B$249,0))</f>
        <v>44679.360000000001</v>
      </c>
      <c r="M210" s="5">
        <f t="shared" si="38"/>
        <v>0</v>
      </c>
      <c r="N210" s="5">
        <v>70623.509999999995</v>
      </c>
      <c r="O210" s="105">
        <f t="shared" si="51"/>
        <v>70623.509999999995</v>
      </c>
      <c r="P210" s="105">
        <f t="shared" si="39"/>
        <v>0</v>
      </c>
      <c r="Q210" s="103">
        <f t="shared" si="40"/>
        <v>1285.1888858054244</v>
      </c>
      <c r="R210" s="6">
        <f t="shared" si="41"/>
        <v>1285.1888858054244</v>
      </c>
      <c r="S210" s="5">
        <f t="shared" si="42"/>
        <v>70623.509999999995</v>
      </c>
      <c r="T210" s="140">
        <v>0.41816666666666669</v>
      </c>
      <c r="U210" s="105">
        <f t="shared" si="43"/>
        <v>18180.764193817515</v>
      </c>
      <c r="V210" s="105">
        <f t="shared" si="44"/>
        <v>2834.3593177623393</v>
      </c>
      <c r="W210" s="105">
        <f t="shared" si="45"/>
        <v>2280.7768681144071</v>
      </c>
      <c r="X210" s="105">
        <f t="shared" si="46"/>
        <v>1056.3545273977074</v>
      </c>
      <c r="Y210" s="105">
        <f t="shared" si="47"/>
        <v>24352.25490709197</v>
      </c>
      <c r="Z210" s="112">
        <f t="shared" si="48"/>
        <v>0.34481796369356282</v>
      </c>
      <c r="AA210" s="104">
        <f t="shared" si="49"/>
        <v>24413.490629252505</v>
      </c>
      <c r="AB210" s="105"/>
      <c r="AC210" s="104">
        <v>24046.001614964069</v>
      </c>
      <c r="AD210" s="5">
        <f t="shared" si="52"/>
        <v>367.48901428843601</v>
      </c>
      <c r="AE210" s="105"/>
      <c r="AF210" s="104">
        <f t="shared" si="50"/>
        <v>43.531713554525965</v>
      </c>
    </row>
    <row r="211" spans="2:32" x14ac:dyDescent="0.25">
      <c r="B211">
        <v>796</v>
      </c>
      <c r="C211" s="44">
        <v>8</v>
      </c>
      <c r="D211" s="39" t="s">
        <v>483</v>
      </c>
      <c r="E211" s="162">
        <v>19.498273373940624</v>
      </c>
      <c r="F211" s="162">
        <f>INDEX('2017 Lockdown Update'!H$5:H$249,MATCH(B211,'2017 Lockdown Update'!B$5:B$249,0))</f>
        <v>19.498273373940624</v>
      </c>
      <c r="G211" s="162">
        <f t="shared" si="36"/>
        <v>0</v>
      </c>
      <c r="H211" s="5">
        <v>19373.02</v>
      </c>
      <c r="I211" s="5">
        <f>INDEX('2017 Lockdown Update'!E$5:E$249,MATCH(B211,'2017 Lockdown Update'!B$5:B$249,0))</f>
        <v>19373.02</v>
      </c>
      <c r="J211" s="5">
        <f t="shared" si="37"/>
        <v>0</v>
      </c>
      <c r="K211" s="5">
        <v>0</v>
      </c>
      <c r="L211" s="5">
        <f>INDEX('2017 Lockdown Update'!F$5:F$249,MATCH(B211,'2017 Lockdown Update'!B$5:B$249,0))</f>
        <v>0</v>
      </c>
      <c r="M211" s="5">
        <f t="shared" si="38"/>
        <v>0</v>
      </c>
      <c r="N211" s="5">
        <v>19373.02</v>
      </c>
      <c r="O211" s="105">
        <f t="shared" si="51"/>
        <v>19373.02</v>
      </c>
      <c r="P211" s="105">
        <f t="shared" si="39"/>
        <v>0</v>
      </c>
      <c r="Q211" s="103">
        <f t="shared" si="40"/>
        <v>993.57618125777105</v>
      </c>
      <c r="R211" s="6">
        <f t="shared" si="41"/>
        <v>993.57618125777105</v>
      </c>
      <c r="S211" s="5">
        <f t="shared" si="42"/>
        <v>19373.02</v>
      </c>
      <c r="T211" s="140">
        <v>0.27191666666666664</v>
      </c>
      <c r="U211" s="105">
        <f t="shared" si="43"/>
        <v>4987.2387869437616</v>
      </c>
      <c r="V211" s="105">
        <f t="shared" si="44"/>
        <v>1005.7006337705188</v>
      </c>
      <c r="W211" s="105">
        <f t="shared" si="45"/>
        <v>406.83400404493727</v>
      </c>
      <c r="X211" s="105">
        <f t="shared" si="46"/>
        <v>289.77287289128418</v>
      </c>
      <c r="Y211" s="105">
        <f t="shared" si="47"/>
        <v>6689.5462976505023</v>
      </c>
      <c r="Z211" s="112">
        <f t="shared" si="48"/>
        <v>0.34530219334159062</v>
      </c>
      <c r="AA211" s="104">
        <f t="shared" si="49"/>
        <v>6706.3677049503931</v>
      </c>
      <c r="AB211" s="105"/>
      <c r="AC211" s="104">
        <v>6609.9101072409821</v>
      </c>
      <c r="AD211" s="5">
        <f t="shared" si="52"/>
        <v>96.457597709410948</v>
      </c>
      <c r="AE211" s="105"/>
      <c r="AF211" s="104">
        <f t="shared" si="50"/>
        <v>11.958129312873389</v>
      </c>
    </row>
    <row r="212" spans="2:32" x14ac:dyDescent="0.25">
      <c r="B212">
        <v>797</v>
      </c>
      <c r="C212" s="27">
        <v>8</v>
      </c>
      <c r="D212" s="39" t="s">
        <v>484</v>
      </c>
      <c r="E212" s="162">
        <v>30.721683870330171</v>
      </c>
      <c r="F212" s="162">
        <f>INDEX('2017 Lockdown Update'!H$5:H$249,MATCH(B212,'2017 Lockdown Update'!B$5:B$249,0))</f>
        <v>30.721683870330171</v>
      </c>
      <c r="G212" s="162">
        <f t="shared" si="36"/>
        <v>0</v>
      </c>
      <c r="H212" s="5">
        <v>30616.75</v>
      </c>
      <c r="I212" s="5">
        <f>INDEX('2017 Lockdown Update'!E$5:E$249,MATCH(B212,'2017 Lockdown Update'!B$5:B$249,0))</f>
        <v>30616.75</v>
      </c>
      <c r="J212" s="5">
        <f t="shared" si="37"/>
        <v>0</v>
      </c>
      <c r="K212" s="5">
        <v>980</v>
      </c>
      <c r="L212" s="5">
        <f>INDEX('2017 Lockdown Update'!F$5:F$249,MATCH(B212,'2017 Lockdown Update'!B$5:B$249,0))</f>
        <v>980</v>
      </c>
      <c r="M212" s="5">
        <f t="shared" si="38"/>
        <v>0</v>
      </c>
      <c r="N212" s="5">
        <v>29636.75</v>
      </c>
      <c r="O212" s="105">
        <f t="shared" si="51"/>
        <v>29636.75</v>
      </c>
      <c r="P212" s="105">
        <f t="shared" si="39"/>
        <v>0</v>
      </c>
      <c r="Q212" s="103">
        <f t="shared" si="40"/>
        <v>964.68507797588666</v>
      </c>
      <c r="R212" s="6">
        <f t="shared" si="41"/>
        <v>964.68507797588666</v>
      </c>
      <c r="S212" s="5">
        <f t="shared" si="42"/>
        <v>29636.75</v>
      </c>
      <c r="T212" s="140">
        <v>0.16075</v>
      </c>
      <c r="U212" s="105">
        <f t="shared" si="43"/>
        <v>7629.4531838069397</v>
      </c>
      <c r="V212" s="105">
        <f t="shared" si="44"/>
        <v>1584.5924583343913</v>
      </c>
      <c r="W212" s="105">
        <f t="shared" si="45"/>
        <v>367.93037978908967</v>
      </c>
      <c r="X212" s="105">
        <f t="shared" si="46"/>
        <v>443.29310508432684</v>
      </c>
      <c r="Y212" s="105">
        <f t="shared" si="47"/>
        <v>10025.269127014748</v>
      </c>
      <c r="Z212" s="112">
        <f t="shared" si="48"/>
        <v>0.33827154215677319</v>
      </c>
      <c r="AA212" s="104">
        <f t="shared" si="49"/>
        <v>10050.478480201489</v>
      </c>
      <c r="AB212" s="105"/>
      <c r="AC212" s="104">
        <v>9907.5233045247332</v>
      </c>
      <c r="AD212" s="5">
        <f t="shared" si="52"/>
        <v>142.95517567675597</v>
      </c>
      <c r="AE212" s="105"/>
      <c r="AF212" s="104">
        <f t="shared" si="50"/>
        <v>17.92101575846856</v>
      </c>
    </row>
    <row r="213" spans="2:32" x14ac:dyDescent="0.25">
      <c r="B213">
        <v>801</v>
      </c>
      <c r="C213" s="27">
        <v>8</v>
      </c>
      <c r="D213" s="39" t="s">
        <v>485</v>
      </c>
      <c r="E213" s="162">
        <v>143.04840559045437</v>
      </c>
      <c r="F213" s="162">
        <f>INDEX('2017 Lockdown Update'!H$5:H$249,MATCH(B213,'2017 Lockdown Update'!B$5:B$249,0))</f>
        <v>143.04840559045437</v>
      </c>
      <c r="G213" s="162">
        <f t="shared" si="36"/>
        <v>0</v>
      </c>
      <c r="H213" s="5">
        <v>96218.880000000005</v>
      </c>
      <c r="I213" s="5">
        <f>INDEX('2017 Lockdown Update'!E$5:E$249,MATCH(B213,'2017 Lockdown Update'!B$5:B$249,0))</f>
        <v>96218.880000000005</v>
      </c>
      <c r="J213" s="5">
        <f t="shared" si="37"/>
        <v>0</v>
      </c>
      <c r="K213" s="5">
        <v>0</v>
      </c>
      <c r="L213" s="5">
        <f>INDEX('2017 Lockdown Update'!F$5:F$249,MATCH(B213,'2017 Lockdown Update'!B$5:B$249,0))</f>
        <v>0</v>
      </c>
      <c r="M213" s="5">
        <f t="shared" si="38"/>
        <v>0</v>
      </c>
      <c r="N213" s="5">
        <v>96218.880000000005</v>
      </c>
      <c r="O213" s="105">
        <f t="shared" si="51"/>
        <v>96218.880000000005</v>
      </c>
      <c r="P213" s="105">
        <f t="shared" si="39"/>
        <v>0</v>
      </c>
      <c r="Q213" s="103">
        <f t="shared" si="40"/>
        <v>672.63161447233006</v>
      </c>
      <c r="R213" s="6">
        <f t="shared" si="41"/>
        <v>672.63161447233006</v>
      </c>
      <c r="S213" s="5">
        <f t="shared" si="42"/>
        <v>96218.880000000005</v>
      </c>
      <c r="T213" s="140">
        <v>0.63675000000000004</v>
      </c>
      <c r="U213" s="105">
        <f t="shared" si="43"/>
        <v>24769.836110853514</v>
      </c>
      <c r="V213" s="105">
        <f t="shared" si="44"/>
        <v>7378.2877798018653</v>
      </c>
      <c r="W213" s="105">
        <f t="shared" si="45"/>
        <v>4731.6579430757929</v>
      </c>
      <c r="X213" s="105">
        <f t="shared" si="46"/>
        <v>1439.1984979100689</v>
      </c>
      <c r="Y213" s="105">
        <f t="shared" si="47"/>
        <v>38318.980331641236</v>
      </c>
      <c r="Z213" s="112">
        <f t="shared" si="48"/>
        <v>0.39824803959099536</v>
      </c>
      <c r="AA213" s="104">
        <f t="shared" si="49"/>
        <v>38415.336518861499</v>
      </c>
      <c r="AB213" s="105"/>
      <c r="AC213" s="104">
        <v>37859.513145210607</v>
      </c>
      <c r="AD213" s="5">
        <f t="shared" si="52"/>
        <v>555.82337365089188</v>
      </c>
      <c r="AE213" s="105"/>
      <c r="AF213" s="104">
        <f t="shared" si="50"/>
        <v>68.498415520968109</v>
      </c>
    </row>
    <row r="214" spans="2:32" x14ac:dyDescent="0.25">
      <c r="B214">
        <v>810</v>
      </c>
      <c r="C214" s="27">
        <v>8</v>
      </c>
      <c r="D214" s="39" t="s">
        <v>486</v>
      </c>
      <c r="E214" s="162">
        <v>125.74000000000001</v>
      </c>
      <c r="F214" s="162">
        <f>INDEX('2017 Lockdown Update'!H$5:H$249,MATCH(B214,'2017 Lockdown Update'!B$5:B$249,0))</f>
        <v>125.74000000000001</v>
      </c>
      <c r="G214" s="162">
        <f t="shared" si="36"/>
        <v>0</v>
      </c>
      <c r="H214" s="5">
        <v>111927.06</v>
      </c>
      <c r="I214" s="5">
        <f>INDEX('2017 Lockdown Update'!E$5:E$249,MATCH(B214,'2017 Lockdown Update'!B$5:B$249,0))</f>
        <v>111927.06</v>
      </c>
      <c r="J214" s="5">
        <f t="shared" si="37"/>
        <v>0</v>
      </c>
      <c r="K214" s="5">
        <v>0</v>
      </c>
      <c r="L214" s="5">
        <f>INDEX('2017 Lockdown Update'!F$5:F$249,MATCH(B214,'2017 Lockdown Update'!B$5:B$249,0))</f>
        <v>0</v>
      </c>
      <c r="M214" s="5">
        <f t="shared" si="38"/>
        <v>0</v>
      </c>
      <c r="N214" s="5">
        <v>111927.06</v>
      </c>
      <c r="O214" s="105">
        <f t="shared" si="51"/>
        <v>111927.06</v>
      </c>
      <c r="P214" s="105">
        <f t="shared" si="39"/>
        <v>0</v>
      </c>
      <c r="Q214" s="103">
        <f t="shared" si="40"/>
        <v>890.14681087959275</v>
      </c>
      <c r="R214" s="6">
        <f t="shared" si="41"/>
        <v>890.14681087959275</v>
      </c>
      <c r="S214" s="5">
        <f t="shared" si="42"/>
        <v>111927.06</v>
      </c>
      <c r="T214" s="140">
        <v>0.64875000000000005</v>
      </c>
      <c r="U214" s="105">
        <f t="shared" si="43"/>
        <v>28813.627144378192</v>
      </c>
      <c r="V214" s="105">
        <f t="shared" si="44"/>
        <v>6485.5382456230273</v>
      </c>
      <c r="W214" s="105">
        <f t="shared" si="45"/>
        <v>5607.8521829746051</v>
      </c>
      <c r="X214" s="105">
        <f t="shared" si="46"/>
        <v>1674.1543512820992</v>
      </c>
      <c r="Y214" s="105">
        <f t="shared" si="47"/>
        <v>42581.17192425792</v>
      </c>
      <c r="Z214" s="112">
        <f t="shared" si="48"/>
        <v>0.38043679450043555</v>
      </c>
      <c r="AA214" s="104">
        <f t="shared" si="49"/>
        <v>42688.24573829164</v>
      </c>
      <c r="AB214" s="105"/>
      <c r="AC214" s="104">
        <v>42057.222125864122</v>
      </c>
      <c r="AD214" s="5">
        <f t="shared" si="52"/>
        <v>631.02361242751795</v>
      </c>
      <c r="AE214" s="105"/>
      <c r="AF214" s="104">
        <f t="shared" si="50"/>
        <v>76.117443172911095</v>
      </c>
    </row>
    <row r="215" spans="2:32" x14ac:dyDescent="0.25">
      <c r="B215">
        <v>812</v>
      </c>
      <c r="C215" s="27">
        <v>8</v>
      </c>
      <c r="D215" s="39" t="s">
        <v>487</v>
      </c>
      <c r="E215" s="162">
        <v>55.821931813477519</v>
      </c>
      <c r="F215" s="162">
        <f>INDEX('2017 Lockdown Update'!H$5:H$249,MATCH(B215,'2017 Lockdown Update'!B$5:B$249,0))</f>
        <v>55.821931813477519</v>
      </c>
      <c r="G215" s="162">
        <f t="shared" si="36"/>
        <v>0</v>
      </c>
      <c r="H215" s="5">
        <v>82675.56</v>
      </c>
      <c r="I215" s="5">
        <f>INDEX('2017 Lockdown Update'!E$5:E$249,MATCH(B215,'2017 Lockdown Update'!B$5:B$249,0))</f>
        <v>82675.56</v>
      </c>
      <c r="J215" s="5">
        <f t="shared" si="37"/>
        <v>0</v>
      </c>
      <c r="K215" s="5">
        <v>265.60000000000002</v>
      </c>
      <c r="L215" s="5">
        <f>INDEX('2017 Lockdown Update'!F$5:F$249,MATCH(B215,'2017 Lockdown Update'!B$5:B$249,0))</f>
        <v>265.60000000000002</v>
      </c>
      <c r="M215" s="5">
        <f t="shared" si="38"/>
        <v>0</v>
      </c>
      <c r="N215" s="5">
        <v>82409.959999999992</v>
      </c>
      <c r="O215" s="105">
        <f t="shared" si="51"/>
        <v>82409.959999999992</v>
      </c>
      <c r="P215" s="105">
        <f t="shared" si="39"/>
        <v>0</v>
      </c>
      <c r="Q215" s="103">
        <f t="shared" si="40"/>
        <v>1476.3007535347087</v>
      </c>
      <c r="R215" s="6">
        <f t="shared" si="41"/>
        <v>1476.3007535347087</v>
      </c>
      <c r="S215" s="5">
        <f t="shared" si="42"/>
        <v>82409.959999999992</v>
      </c>
      <c r="T215" s="140">
        <v>0.58304166666666668</v>
      </c>
      <c r="U215" s="105">
        <f t="shared" si="43"/>
        <v>21214.97572100188</v>
      </c>
      <c r="V215" s="105">
        <f t="shared" si="44"/>
        <v>2879.2371060988485</v>
      </c>
      <c r="W215" s="105">
        <f t="shared" si="45"/>
        <v>3710.7644407997414</v>
      </c>
      <c r="X215" s="105">
        <f t="shared" si="46"/>
        <v>1232.650916793345</v>
      </c>
      <c r="Y215" s="105">
        <f t="shared" si="47"/>
        <v>29037.628184693811</v>
      </c>
      <c r="Z215" s="112">
        <f t="shared" si="48"/>
        <v>0.35235580971879871</v>
      </c>
      <c r="AA215" s="104">
        <f t="shared" si="49"/>
        <v>29110.645658373465</v>
      </c>
      <c r="AB215" s="105"/>
      <c r="AC215" s="104">
        <v>28652.964367306464</v>
      </c>
      <c r="AD215" s="5">
        <f t="shared" si="52"/>
        <v>457.68129106700144</v>
      </c>
      <c r="AE215" s="105"/>
      <c r="AF215" s="104">
        <f t="shared" si="50"/>
        <v>51.907214229709638</v>
      </c>
    </row>
    <row r="216" spans="2:32" x14ac:dyDescent="0.25">
      <c r="B216">
        <v>818</v>
      </c>
      <c r="C216" s="27">
        <v>8</v>
      </c>
      <c r="D216" s="39" t="s">
        <v>488</v>
      </c>
      <c r="E216" s="162">
        <v>40.59703002065887</v>
      </c>
      <c r="F216" s="162">
        <f>INDEX('2017 Lockdown Update'!H$5:H$249,MATCH(B216,'2017 Lockdown Update'!B$5:B$249,0))</f>
        <v>40.59703002065887</v>
      </c>
      <c r="G216" s="162">
        <f t="shared" si="36"/>
        <v>0</v>
      </c>
      <c r="H216" s="5">
        <v>18460.29</v>
      </c>
      <c r="I216" s="5">
        <f>INDEX('2017 Lockdown Update'!E$5:E$249,MATCH(B216,'2017 Lockdown Update'!B$5:B$249,0))</f>
        <v>18460.29</v>
      </c>
      <c r="J216" s="5">
        <f t="shared" si="37"/>
        <v>0</v>
      </c>
      <c r="K216" s="5">
        <v>0</v>
      </c>
      <c r="L216" s="5">
        <f>INDEX('2017 Lockdown Update'!F$5:F$249,MATCH(B216,'2017 Lockdown Update'!B$5:B$249,0))</f>
        <v>0</v>
      </c>
      <c r="M216" s="5">
        <f t="shared" si="38"/>
        <v>0</v>
      </c>
      <c r="N216" s="5">
        <v>18460.29</v>
      </c>
      <c r="O216" s="105">
        <f t="shared" si="51"/>
        <v>18460.29</v>
      </c>
      <c r="P216" s="105">
        <f t="shared" si="39"/>
        <v>0</v>
      </c>
      <c r="Q216" s="103">
        <f t="shared" si="40"/>
        <v>454.72020959676104</v>
      </c>
      <c r="R216" s="6">
        <f t="shared" si="41"/>
        <v>454.72020959676104</v>
      </c>
      <c r="S216" s="5">
        <f t="shared" si="42"/>
        <v>18460.29</v>
      </c>
      <c r="T216" s="140">
        <v>0.23033333333333333</v>
      </c>
      <c r="U216" s="105">
        <f t="shared" si="43"/>
        <v>4752.2727125781139</v>
      </c>
      <c r="V216" s="105">
        <f t="shared" si="44"/>
        <v>2093.9525278963674</v>
      </c>
      <c r="W216" s="105">
        <f t="shared" si="45"/>
        <v>328.38204443914765</v>
      </c>
      <c r="X216" s="105">
        <f t="shared" si="46"/>
        <v>276.12067027785258</v>
      </c>
      <c r="Y216" s="105">
        <f t="shared" si="47"/>
        <v>7450.7279551914817</v>
      </c>
      <c r="Z216" s="112">
        <f t="shared" si="48"/>
        <v>0.40360839159035322</v>
      </c>
      <c r="AA216" s="104">
        <f t="shared" si="49"/>
        <v>7469.4634155707563</v>
      </c>
      <c r="AB216" s="105"/>
      <c r="AC216" s="104">
        <v>7377.7803419617485</v>
      </c>
      <c r="AD216" s="5">
        <f t="shared" si="52"/>
        <v>91.683073609007806</v>
      </c>
      <c r="AE216" s="105"/>
      <c r="AF216" s="104">
        <f t="shared" si="50"/>
        <v>13.318805850033948</v>
      </c>
    </row>
    <row r="217" spans="2:32" x14ac:dyDescent="0.25">
      <c r="B217">
        <v>833</v>
      </c>
      <c r="C217" s="27">
        <v>8</v>
      </c>
      <c r="D217" s="39" t="s">
        <v>489</v>
      </c>
      <c r="E217" s="162">
        <v>72.202285870646477</v>
      </c>
      <c r="F217" s="162">
        <f>INDEX('2017 Lockdown Update'!H$5:H$249,MATCH(B217,'2017 Lockdown Update'!B$5:B$249,0))</f>
        <v>72.202285870646477</v>
      </c>
      <c r="G217" s="162">
        <f t="shared" si="36"/>
        <v>0</v>
      </c>
      <c r="H217" s="5">
        <v>52482.54</v>
      </c>
      <c r="I217" s="5">
        <f>INDEX('2017 Lockdown Update'!E$5:E$249,MATCH(B217,'2017 Lockdown Update'!B$5:B$249,0))</f>
        <v>52482.54</v>
      </c>
      <c r="J217" s="5">
        <f t="shared" si="37"/>
        <v>0</v>
      </c>
      <c r="K217" s="5">
        <v>0</v>
      </c>
      <c r="L217" s="5">
        <f>INDEX('2017 Lockdown Update'!F$5:F$249,MATCH(B217,'2017 Lockdown Update'!B$5:B$249,0))</f>
        <v>0</v>
      </c>
      <c r="M217" s="5">
        <f t="shared" si="38"/>
        <v>0</v>
      </c>
      <c r="N217" s="5">
        <v>52482.54</v>
      </c>
      <c r="O217" s="105">
        <f t="shared" si="51"/>
        <v>52482.54</v>
      </c>
      <c r="P217" s="105">
        <f t="shared" si="39"/>
        <v>0</v>
      </c>
      <c r="Q217" s="103">
        <f t="shared" si="40"/>
        <v>726.88197287859759</v>
      </c>
      <c r="R217" s="6">
        <f t="shared" si="41"/>
        <v>726.88197287859759</v>
      </c>
      <c r="S217" s="5">
        <f t="shared" si="42"/>
        <v>52482.54</v>
      </c>
      <c r="T217" s="140">
        <v>0.46533333333333338</v>
      </c>
      <c r="U217" s="105">
        <f t="shared" si="43"/>
        <v>13510.694725206882</v>
      </c>
      <c r="V217" s="105">
        <f t="shared" si="44"/>
        <v>3724.1187087282078</v>
      </c>
      <c r="W217" s="105">
        <f t="shared" si="45"/>
        <v>1886.0929836388809</v>
      </c>
      <c r="X217" s="105">
        <f t="shared" si="46"/>
        <v>785.01010128682753</v>
      </c>
      <c r="Y217" s="105">
        <f t="shared" si="47"/>
        <v>19905.916518860802</v>
      </c>
      <c r="Z217" s="112">
        <f t="shared" si="48"/>
        <v>0.37928645448297282</v>
      </c>
      <c r="AA217" s="104">
        <f t="shared" si="49"/>
        <v>19955.971562139144</v>
      </c>
      <c r="AB217" s="105"/>
      <c r="AC217" s="104">
        <v>19675.015289179435</v>
      </c>
      <c r="AD217" s="5">
        <f t="shared" si="52"/>
        <v>280.95627295970917</v>
      </c>
      <c r="AE217" s="105"/>
      <c r="AF217" s="104">
        <f t="shared" si="50"/>
        <v>35.583507943939836</v>
      </c>
    </row>
    <row r="218" spans="2:32" x14ac:dyDescent="0.25">
      <c r="B218">
        <v>834</v>
      </c>
      <c r="C218" s="27">
        <v>8</v>
      </c>
      <c r="D218" s="39" t="s">
        <v>490</v>
      </c>
      <c r="E218" s="162">
        <v>109.27</v>
      </c>
      <c r="F218" s="162">
        <f>INDEX('2017 Lockdown Update'!H$5:H$249,MATCH(B218,'2017 Lockdown Update'!B$5:B$249,0))</f>
        <v>109.27</v>
      </c>
      <c r="G218" s="162">
        <f t="shared" si="36"/>
        <v>0</v>
      </c>
      <c r="H218" s="5">
        <v>49019.92</v>
      </c>
      <c r="I218" s="5">
        <f>INDEX('2017 Lockdown Update'!E$5:E$249,MATCH(B218,'2017 Lockdown Update'!B$5:B$249,0))</f>
        <v>49019.92</v>
      </c>
      <c r="J218" s="5">
        <f t="shared" si="37"/>
        <v>0</v>
      </c>
      <c r="K218" s="5">
        <v>7882.9</v>
      </c>
      <c r="L218" s="5">
        <f>INDEX('2017 Lockdown Update'!F$5:F$249,MATCH(B218,'2017 Lockdown Update'!B$5:B$249,0))</f>
        <v>7882.9</v>
      </c>
      <c r="M218" s="5">
        <f t="shared" si="38"/>
        <v>0</v>
      </c>
      <c r="N218" s="5">
        <v>41137.019999999997</v>
      </c>
      <c r="O218" s="105">
        <f t="shared" si="51"/>
        <v>41137.019999999997</v>
      </c>
      <c r="P218" s="105">
        <f t="shared" si="39"/>
        <v>0</v>
      </c>
      <c r="Q218" s="103">
        <f t="shared" si="40"/>
        <v>376.4713096000732</v>
      </c>
      <c r="R218" s="6">
        <f t="shared" si="41"/>
        <v>376.4713096000732</v>
      </c>
      <c r="S218" s="5">
        <f t="shared" si="42"/>
        <v>41137.019999999997</v>
      </c>
      <c r="T218" s="140">
        <v>0.73249999999999993</v>
      </c>
      <c r="U218" s="105">
        <f t="shared" si="43"/>
        <v>10589.992769494958</v>
      </c>
      <c r="V218" s="105">
        <f t="shared" si="44"/>
        <v>5636.0327986259581</v>
      </c>
      <c r="W218" s="105">
        <f t="shared" si="45"/>
        <v>2327.1509110965171</v>
      </c>
      <c r="X218" s="105">
        <f t="shared" si="46"/>
        <v>615.30894344744456</v>
      </c>
      <c r="Y218" s="105">
        <f t="shared" si="47"/>
        <v>19168.485422664879</v>
      </c>
      <c r="Z218" s="112">
        <f t="shared" si="48"/>
        <v>0.46596679639567667</v>
      </c>
      <c r="AA218" s="104">
        <f t="shared" si="49"/>
        <v>19216.686135578682</v>
      </c>
      <c r="AB218" s="105"/>
      <c r="AC218" s="104">
        <v>18976.730695386286</v>
      </c>
      <c r="AD218" s="5">
        <f t="shared" si="52"/>
        <v>239.95544019239605</v>
      </c>
      <c r="AE218" s="105"/>
      <c r="AF218" s="104">
        <f t="shared" si="50"/>
        <v>34.265287542245034</v>
      </c>
    </row>
    <row r="219" spans="2:32" x14ac:dyDescent="0.25">
      <c r="B219">
        <v>837</v>
      </c>
      <c r="C219" s="27">
        <v>8</v>
      </c>
      <c r="D219" s="39" t="s">
        <v>491</v>
      </c>
      <c r="E219" s="162">
        <v>177.75</v>
      </c>
      <c r="F219" s="162">
        <f>INDEX('2017 Lockdown Update'!H$5:H$249,MATCH(B219,'2017 Lockdown Update'!B$5:B$249,0))</f>
        <v>177.75</v>
      </c>
      <c r="G219" s="162">
        <f t="shared" ref="G219:G270" si="53">F219-E219</f>
        <v>0</v>
      </c>
      <c r="H219" s="5">
        <v>97723.08</v>
      </c>
      <c r="I219" s="5">
        <f>INDEX('2017 Lockdown Update'!E$5:E$249,MATCH(B219,'2017 Lockdown Update'!B$5:B$249,0))</f>
        <v>97723.08</v>
      </c>
      <c r="J219" s="5">
        <f t="shared" ref="J219:J270" si="54">I219-H219</f>
        <v>0</v>
      </c>
      <c r="K219" s="5">
        <v>0</v>
      </c>
      <c r="L219" s="5">
        <f>INDEX('2017 Lockdown Update'!F$5:F$249,MATCH(B219,'2017 Lockdown Update'!B$5:B$249,0))</f>
        <v>0</v>
      </c>
      <c r="M219" s="5">
        <f t="shared" ref="M219:M270" si="55">L219-K219</f>
        <v>0</v>
      </c>
      <c r="N219" s="5">
        <v>97723.08</v>
      </c>
      <c r="O219" s="105">
        <f t="shared" si="51"/>
        <v>97723.08</v>
      </c>
      <c r="P219" s="105">
        <f t="shared" ref="P219:P270" si="56">O219-N219</f>
        <v>0</v>
      </c>
      <c r="Q219" s="103">
        <f t="shared" ref="Q219:Q270" si="57">IFERROR(O219/F219,"n.a.")</f>
        <v>549.77822784810132</v>
      </c>
      <c r="R219" s="6">
        <f t="shared" ref="R219:R270" si="58">MIN(Q219,INDEX($V$3:$V$11,MATCH(C219,$S$3:$S$11,0)))</f>
        <v>549.77822784810132</v>
      </c>
      <c r="S219" s="5">
        <f t="shared" ref="S219:S270" si="59">F219*R219</f>
        <v>97723.080000000016</v>
      </c>
      <c r="T219" s="140">
        <v>0.57008333333333339</v>
      </c>
      <c r="U219" s="105">
        <f t="shared" ref="U219:U267" si="60">$E$14*(S219/$S$24)</f>
        <v>25157.065597186614</v>
      </c>
      <c r="V219" s="105">
        <f t="shared" ref="V219:V267" si="61">$E$15*(F219/$F$24)</f>
        <v>9168.1598787934854</v>
      </c>
      <c r="W219" s="105">
        <f t="shared" ref="W219:W267" si="62">IFERROR(T219*$E$16*(S219/$S$24),0)</f>
        <v>4302.4871437588408</v>
      </c>
      <c r="X219" s="105">
        <f t="shared" ref="X219:X267" si="63">($W$23+$E$9)*(S219/$S$24)</f>
        <v>1461.6976413272064</v>
      </c>
      <c r="Y219" s="105">
        <f t="shared" ref="Y219:Y267" si="64">U219+V219+W219+X219</f>
        <v>40089.41026106615</v>
      </c>
      <c r="Z219" s="112">
        <f t="shared" ref="Z219:Z270" si="65">IFERROR((Y219/S219),0)</f>
        <v>0.41023482130389405</v>
      </c>
      <c r="AA219" s="104">
        <f t="shared" ref="AA219:AA270" si="66">IF(Z219&gt;$Z$19,$Z$19*S219,Y219+($Z$23*Y219/$Z$22))</f>
        <v>40190.218338087856</v>
      </c>
      <c r="AB219" s="105"/>
      <c r="AC219" s="104">
        <v>39647.347407641617</v>
      </c>
      <c r="AD219" s="5">
        <f t="shared" si="52"/>
        <v>542.87093044623907</v>
      </c>
      <c r="AE219" s="105"/>
      <c r="AF219" s="104">
        <f t="shared" ref="AF219:AF270" si="67">(AA219/E$17)*I$9</f>
        <v>71.663208631508368</v>
      </c>
    </row>
    <row r="220" spans="2:32" x14ac:dyDescent="0.25">
      <c r="B220">
        <v>845</v>
      </c>
      <c r="C220" s="27">
        <v>8</v>
      </c>
      <c r="D220" s="39" t="s">
        <v>576</v>
      </c>
      <c r="E220" s="162">
        <v>2.3479170854453502</v>
      </c>
      <c r="F220" s="162">
        <f>INDEX('2017 Lockdown Update'!H$5:H$249,MATCH(B220,'2017 Lockdown Update'!B$5:B$249,0))</f>
        <v>2.3479170854453502</v>
      </c>
      <c r="G220" s="162">
        <f t="shared" si="53"/>
        <v>0</v>
      </c>
      <c r="H220" s="5">
        <v>4119.76</v>
      </c>
      <c r="I220" s="5">
        <f>INDEX('2017 Lockdown Update'!E$5:E$249,MATCH(B220,'2017 Lockdown Update'!B$5:B$249,0))</f>
        <v>4119.76</v>
      </c>
      <c r="J220" s="5">
        <f t="shared" si="54"/>
        <v>0</v>
      </c>
      <c r="K220" s="5">
        <v>0</v>
      </c>
      <c r="L220" s="5">
        <f>INDEX('2017 Lockdown Update'!F$5:F$249,MATCH(B220,'2017 Lockdown Update'!B$5:B$249,0))</f>
        <v>0</v>
      </c>
      <c r="M220" s="5">
        <f t="shared" si="55"/>
        <v>0</v>
      </c>
      <c r="N220" s="5">
        <v>4119.76</v>
      </c>
      <c r="O220" s="105">
        <f t="shared" ref="O220:O267" si="68">I220-L220</f>
        <v>4119.76</v>
      </c>
      <c r="P220" s="105">
        <f t="shared" si="56"/>
        <v>0</v>
      </c>
      <c r="Q220" s="103">
        <f t="shared" si="57"/>
        <v>1754.6445849975869</v>
      </c>
      <c r="R220" s="6">
        <f t="shared" si="58"/>
        <v>1747.012700944284</v>
      </c>
      <c r="S220" s="5">
        <f t="shared" si="59"/>
        <v>4101.8409690371127</v>
      </c>
      <c r="T220" s="140">
        <v>0.49350000000000005</v>
      </c>
      <c r="U220" s="105">
        <f t="shared" si="60"/>
        <v>1055.9458658823908</v>
      </c>
      <c r="V220" s="105">
        <f t="shared" si="61"/>
        <v>121.10311798319999</v>
      </c>
      <c r="W220" s="105">
        <f t="shared" si="62"/>
        <v>156.33278544388796</v>
      </c>
      <c r="X220" s="105">
        <f t="shared" si="63"/>
        <v>61.353482407030661</v>
      </c>
      <c r="Y220" s="105">
        <f t="shared" si="64"/>
        <v>1394.7352517165095</v>
      </c>
      <c r="Z220" s="112">
        <f t="shared" si="65"/>
        <v>0.34002665199473026</v>
      </c>
      <c r="AA220" s="104">
        <f t="shared" si="66"/>
        <v>1398.2424267476292</v>
      </c>
      <c r="AB220" s="105"/>
      <c r="AC220" s="104">
        <v>1378.9266569658848</v>
      </c>
      <c r="AD220" s="5">
        <f t="shared" ref="AD220:AD267" si="69">AA220-AC220</f>
        <v>19.315769781744393</v>
      </c>
      <c r="AE220" s="105"/>
      <c r="AF220" s="104">
        <f t="shared" si="67"/>
        <v>2.4932071257368862</v>
      </c>
    </row>
    <row r="221" spans="2:32" x14ac:dyDescent="0.25">
      <c r="B221">
        <v>847</v>
      </c>
      <c r="C221" s="27">
        <v>8</v>
      </c>
      <c r="D221" s="39" t="s">
        <v>492</v>
      </c>
      <c r="E221" s="162">
        <v>69.978173383271198</v>
      </c>
      <c r="F221" s="162">
        <f>INDEX('2017 Lockdown Update'!H$5:H$249,MATCH(B221,'2017 Lockdown Update'!B$5:B$249,0))</f>
        <v>69.978173383271198</v>
      </c>
      <c r="G221" s="162">
        <f t="shared" si="53"/>
        <v>0</v>
      </c>
      <c r="H221" s="5">
        <v>85855.54</v>
      </c>
      <c r="I221" s="5">
        <f>INDEX('2017 Lockdown Update'!E$5:E$249,MATCH(B221,'2017 Lockdown Update'!B$5:B$249,0))</f>
        <v>85855.54</v>
      </c>
      <c r="J221" s="5">
        <f t="shared" si="54"/>
        <v>0</v>
      </c>
      <c r="K221" s="5">
        <v>0</v>
      </c>
      <c r="L221" s="5">
        <f>INDEX('2017 Lockdown Update'!F$5:F$249,MATCH(B221,'2017 Lockdown Update'!B$5:B$249,0))</f>
        <v>0</v>
      </c>
      <c r="M221" s="5">
        <f t="shared" si="55"/>
        <v>0</v>
      </c>
      <c r="N221" s="5">
        <v>85855.54</v>
      </c>
      <c r="O221" s="105">
        <f t="shared" si="68"/>
        <v>85855.54</v>
      </c>
      <c r="P221" s="105">
        <f t="shared" si="56"/>
        <v>0</v>
      </c>
      <c r="Q221" s="103">
        <f t="shared" si="57"/>
        <v>1226.8902694811466</v>
      </c>
      <c r="R221" s="6">
        <f t="shared" si="58"/>
        <v>1226.8902694811466</v>
      </c>
      <c r="S221" s="5">
        <f t="shared" si="59"/>
        <v>85855.54</v>
      </c>
      <c r="T221" s="140">
        <v>0.18174999999999999</v>
      </c>
      <c r="U221" s="105">
        <f t="shared" si="60"/>
        <v>22101.978894462587</v>
      </c>
      <c r="V221" s="105">
        <f t="shared" si="61"/>
        <v>3609.4013029747466</v>
      </c>
      <c r="W221" s="105">
        <f t="shared" si="62"/>
        <v>1205.1103992205724</v>
      </c>
      <c r="X221" s="105">
        <f t="shared" si="63"/>
        <v>1284.1883443795837</v>
      </c>
      <c r="Y221" s="105">
        <f t="shared" si="64"/>
        <v>28200.678941037491</v>
      </c>
      <c r="Z221" s="112">
        <f t="shared" si="65"/>
        <v>0.32846661893964552</v>
      </c>
      <c r="AA221" s="104">
        <f t="shared" si="66"/>
        <v>28271.591837890788</v>
      </c>
      <c r="AB221" s="105"/>
      <c r="AC221" s="104">
        <v>27854.513041849925</v>
      </c>
      <c r="AD221" s="5">
        <f t="shared" si="69"/>
        <v>417.07879604086338</v>
      </c>
      <c r="AE221" s="105"/>
      <c r="AF221" s="104">
        <f t="shared" si="67"/>
        <v>50.411096729563333</v>
      </c>
    </row>
    <row r="222" spans="2:32" x14ac:dyDescent="0.25">
      <c r="B222">
        <v>866</v>
      </c>
      <c r="C222" s="27">
        <v>8</v>
      </c>
      <c r="D222" s="39" t="s">
        <v>493</v>
      </c>
      <c r="E222" s="162">
        <v>125.71511757848218</v>
      </c>
      <c r="F222" s="162">
        <f>INDEX('2017 Lockdown Update'!H$5:H$249,MATCH(B222,'2017 Lockdown Update'!B$5:B$249,0))</f>
        <v>125.71511757848218</v>
      </c>
      <c r="G222" s="162">
        <f t="shared" si="53"/>
        <v>0</v>
      </c>
      <c r="H222" s="5">
        <v>58460.25</v>
      </c>
      <c r="I222" s="5">
        <f>INDEX('2017 Lockdown Update'!E$5:E$249,MATCH(B222,'2017 Lockdown Update'!B$5:B$249,0))</f>
        <v>58460.25</v>
      </c>
      <c r="J222" s="5">
        <f t="shared" si="54"/>
        <v>0</v>
      </c>
      <c r="K222" s="5">
        <v>0</v>
      </c>
      <c r="L222" s="5">
        <f>INDEX('2017 Lockdown Update'!F$5:F$249,MATCH(B222,'2017 Lockdown Update'!B$5:B$249,0))</f>
        <v>0</v>
      </c>
      <c r="M222" s="5">
        <f t="shared" si="55"/>
        <v>0</v>
      </c>
      <c r="N222" s="5">
        <v>58460.25</v>
      </c>
      <c r="O222" s="105">
        <f t="shared" si="68"/>
        <v>58460.25</v>
      </c>
      <c r="P222" s="105">
        <f t="shared" si="56"/>
        <v>0</v>
      </c>
      <c r="Q222" s="103">
        <f t="shared" si="57"/>
        <v>465.02163881367801</v>
      </c>
      <c r="R222" s="6">
        <f t="shared" si="58"/>
        <v>465.02163881367801</v>
      </c>
      <c r="S222" s="5">
        <f t="shared" si="59"/>
        <v>58460.25</v>
      </c>
      <c r="T222" s="140">
        <v>0.69741666666666668</v>
      </c>
      <c r="U222" s="105">
        <f t="shared" si="60"/>
        <v>15049.549646592479</v>
      </c>
      <c r="V222" s="105">
        <f t="shared" si="61"/>
        <v>6484.254836235421</v>
      </c>
      <c r="W222" s="105">
        <f t="shared" si="62"/>
        <v>3148.7420248083117</v>
      </c>
      <c r="X222" s="105">
        <f t="shared" si="63"/>
        <v>874.42198441144922</v>
      </c>
      <c r="Y222" s="105">
        <f t="shared" si="64"/>
        <v>25556.968492047661</v>
      </c>
      <c r="Z222" s="112">
        <f t="shared" si="65"/>
        <v>0.43716830653388689</v>
      </c>
      <c r="AA222" s="104">
        <f t="shared" si="66"/>
        <v>25621.233564330094</v>
      </c>
      <c r="AB222" s="105"/>
      <c r="AC222" s="104">
        <v>25285.587273632969</v>
      </c>
      <c r="AD222" s="5">
        <f t="shared" si="69"/>
        <v>335.64629069712464</v>
      </c>
      <c r="AE222" s="105"/>
      <c r="AF222" s="104">
        <f t="shared" si="67"/>
        <v>45.685240892984645</v>
      </c>
    </row>
    <row r="223" spans="2:32" x14ac:dyDescent="0.25">
      <c r="B223">
        <v>871</v>
      </c>
      <c r="C223" s="27">
        <v>8</v>
      </c>
      <c r="D223" s="39" t="s">
        <v>494</v>
      </c>
      <c r="E223" s="162">
        <v>16.527144824886271</v>
      </c>
      <c r="F223" s="162">
        <f>INDEX('2017 Lockdown Update'!H$5:H$249,MATCH(B223,'2017 Lockdown Update'!B$5:B$249,0))</f>
        <v>16.527144824886271</v>
      </c>
      <c r="G223" s="162">
        <f t="shared" si="53"/>
        <v>0</v>
      </c>
      <c r="H223" s="5">
        <v>10418.42</v>
      </c>
      <c r="I223" s="5">
        <f>INDEX('2017 Lockdown Update'!E$5:E$249,MATCH(B223,'2017 Lockdown Update'!B$5:B$249,0))</f>
        <v>10418.42</v>
      </c>
      <c r="J223" s="5">
        <f t="shared" si="54"/>
        <v>0</v>
      </c>
      <c r="K223" s="5">
        <v>0</v>
      </c>
      <c r="L223" s="5">
        <f>INDEX('2017 Lockdown Update'!F$5:F$249,MATCH(B223,'2017 Lockdown Update'!B$5:B$249,0))</f>
        <v>0</v>
      </c>
      <c r="M223" s="5">
        <f t="shared" si="55"/>
        <v>0</v>
      </c>
      <c r="N223" s="5">
        <v>10418.42</v>
      </c>
      <c r="O223" s="105">
        <f t="shared" si="68"/>
        <v>10418.42</v>
      </c>
      <c r="P223" s="105">
        <f t="shared" si="56"/>
        <v>0</v>
      </c>
      <c r="Q223" s="103">
        <f t="shared" si="57"/>
        <v>630.38232619055498</v>
      </c>
      <c r="R223" s="6">
        <f t="shared" si="58"/>
        <v>630.38232619055498</v>
      </c>
      <c r="S223" s="5">
        <f t="shared" si="59"/>
        <v>10418.42</v>
      </c>
      <c r="T223" s="140">
        <v>0.44458333333333333</v>
      </c>
      <c r="U223" s="105">
        <f t="shared" si="60"/>
        <v>2682.0365809084292</v>
      </c>
      <c r="V223" s="105">
        <f t="shared" si="61"/>
        <v>852.45291755010805</v>
      </c>
      <c r="W223" s="105">
        <f t="shared" si="62"/>
        <v>357.71662897866179</v>
      </c>
      <c r="X223" s="105">
        <f t="shared" si="63"/>
        <v>155.83401526390892</v>
      </c>
      <c r="Y223" s="105">
        <f t="shared" si="64"/>
        <v>4048.0401427011079</v>
      </c>
      <c r="Z223" s="112">
        <f t="shared" si="65"/>
        <v>0.38854645356024309</v>
      </c>
      <c r="AA223" s="104">
        <f t="shared" si="66"/>
        <v>4058.2192683064718</v>
      </c>
      <c r="AB223" s="105"/>
      <c r="AC223" s="104">
        <v>4002.6057495205437</v>
      </c>
      <c r="AD223" s="5">
        <f t="shared" si="69"/>
        <v>55.613518785928136</v>
      </c>
      <c r="AE223" s="105"/>
      <c r="AF223" s="104">
        <f t="shared" si="67"/>
        <v>7.2362138381677337</v>
      </c>
    </row>
    <row r="224" spans="2:32" x14ac:dyDescent="0.25">
      <c r="B224">
        <v>873</v>
      </c>
      <c r="C224" s="27">
        <v>8</v>
      </c>
      <c r="D224" s="39" t="s">
        <v>495</v>
      </c>
      <c r="E224" s="162">
        <v>163.97</v>
      </c>
      <c r="F224" s="162">
        <f>INDEX('2017 Lockdown Update'!H$5:H$249,MATCH(B224,'2017 Lockdown Update'!B$5:B$249,0))</f>
        <v>163.97</v>
      </c>
      <c r="G224" s="162">
        <f t="shared" si="53"/>
        <v>0</v>
      </c>
      <c r="H224" s="5">
        <v>67478.509999999995</v>
      </c>
      <c r="I224" s="5">
        <f>INDEX('2017 Lockdown Update'!E$5:E$249,MATCH(B224,'2017 Lockdown Update'!B$5:B$249,0))</f>
        <v>67478.509999999995</v>
      </c>
      <c r="J224" s="5">
        <f t="shared" si="54"/>
        <v>0</v>
      </c>
      <c r="K224" s="5">
        <v>0</v>
      </c>
      <c r="L224" s="5">
        <f>INDEX('2017 Lockdown Update'!F$5:F$249,MATCH(B224,'2017 Lockdown Update'!B$5:B$249,0))</f>
        <v>0</v>
      </c>
      <c r="M224" s="5">
        <f t="shared" si="55"/>
        <v>0</v>
      </c>
      <c r="N224" s="5">
        <v>67478.509999999995</v>
      </c>
      <c r="O224" s="105">
        <f t="shared" si="68"/>
        <v>67478.509999999995</v>
      </c>
      <c r="P224" s="105">
        <f t="shared" si="56"/>
        <v>0</v>
      </c>
      <c r="Q224" s="103">
        <f t="shared" si="57"/>
        <v>411.52960907483072</v>
      </c>
      <c r="R224" s="6">
        <f t="shared" si="58"/>
        <v>411.52960907483072</v>
      </c>
      <c r="S224" s="5">
        <f t="shared" si="59"/>
        <v>67478.509999999995</v>
      </c>
      <c r="T224" s="140">
        <v>0.60287500000000005</v>
      </c>
      <c r="U224" s="105">
        <f t="shared" si="60"/>
        <v>17371.139985256425</v>
      </c>
      <c r="V224" s="105">
        <f t="shared" si="61"/>
        <v>8457.4018302434197</v>
      </c>
      <c r="W224" s="105">
        <f t="shared" si="62"/>
        <v>3141.7878055834408</v>
      </c>
      <c r="X224" s="105">
        <f t="shared" si="63"/>
        <v>1009.3130395324655</v>
      </c>
      <c r="Y224" s="105">
        <f t="shared" si="64"/>
        <v>29979.642660615751</v>
      </c>
      <c r="Z224" s="112">
        <f t="shared" si="65"/>
        <v>0.44428430118886375</v>
      </c>
      <c r="AA224" s="104">
        <f t="shared" si="66"/>
        <v>30055.028906178697</v>
      </c>
      <c r="AB224" s="105"/>
      <c r="AC224" s="104">
        <v>29667.915253378098</v>
      </c>
      <c r="AD224" s="5">
        <f t="shared" si="69"/>
        <v>387.11365280059908</v>
      </c>
      <c r="AE224" s="105"/>
      <c r="AF224" s="104">
        <f t="shared" si="67"/>
        <v>53.591144711157924</v>
      </c>
    </row>
    <row r="225" spans="2:32" x14ac:dyDescent="0.25">
      <c r="B225">
        <v>895</v>
      </c>
      <c r="C225" s="27">
        <v>8</v>
      </c>
      <c r="D225" s="39" t="s">
        <v>496</v>
      </c>
      <c r="E225" s="162">
        <v>33.271276233906718</v>
      </c>
      <c r="F225" s="162">
        <f>INDEX('2017 Lockdown Update'!H$5:H$249,MATCH(B225,'2017 Lockdown Update'!B$5:B$249,0))</f>
        <v>33.271276233906718</v>
      </c>
      <c r="G225" s="162">
        <f t="shared" si="53"/>
        <v>0</v>
      </c>
      <c r="H225" s="5">
        <v>12929.53</v>
      </c>
      <c r="I225" s="5">
        <f>INDEX('2017 Lockdown Update'!E$5:E$249,MATCH(B225,'2017 Lockdown Update'!B$5:B$249,0))</f>
        <v>12929.53</v>
      </c>
      <c r="J225" s="5">
        <f t="shared" si="54"/>
        <v>0</v>
      </c>
      <c r="K225" s="5">
        <v>0</v>
      </c>
      <c r="L225" s="5">
        <f>INDEX('2017 Lockdown Update'!F$5:F$249,MATCH(B225,'2017 Lockdown Update'!B$5:B$249,0))</f>
        <v>0</v>
      </c>
      <c r="M225" s="5">
        <f t="shared" si="55"/>
        <v>0</v>
      </c>
      <c r="N225" s="5">
        <v>12929.53</v>
      </c>
      <c r="O225" s="105">
        <f t="shared" si="68"/>
        <v>12929.53</v>
      </c>
      <c r="P225" s="105">
        <f t="shared" si="56"/>
        <v>0</v>
      </c>
      <c r="Q225" s="103">
        <f t="shared" si="57"/>
        <v>388.60937912635683</v>
      </c>
      <c r="R225" s="6">
        <f t="shared" si="58"/>
        <v>388.60937912635683</v>
      </c>
      <c r="S225" s="5">
        <f t="shared" si="59"/>
        <v>12929.53</v>
      </c>
      <c r="T225" s="140">
        <v>0.177375</v>
      </c>
      <c r="U225" s="105">
        <f t="shared" si="60"/>
        <v>3328.4771043932733</v>
      </c>
      <c r="V225" s="105">
        <f t="shared" si="61"/>
        <v>1716.0977771249441</v>
      </c>
      <c r="W225" s="105">
        <f t="shared" si="62"/>
        <v>177.11658791752708</v>
      </c>
      <c r="X225" s="105">
        <f t="shared" si="63"/>
        <v>193.39406314730721</v>
      </c>
      <c r="Y225" s="105">
        <f t="shared" si="64"/>
        <v>5415.0855325830516</v>
      </c>
      <c r="Z225" s="112">
        <f t="shared" si="65"/>
        <v>0.41881534228878015</v>
      </c>
      <c r="AA225" s="104">
        <f t="shared" si="66"/>
        <v>5428.7022048137705</v>
      </c>
      <c r="AB225" s="105"/>
      <c r="AC225" s="104">
        <v>5366.130575414285</v>
      </c>
      <c r="AD225" s="5">
        <f t="shared" si="69"/>
        <v>62.571629399485573</v>
      </c>
      <c r="AE225" s="105"/>
      <c r="AF225" s="104">
        <f t="shared" si="67"/>
        <v>9.6799229959199113</v>
      </c>
    </row>
    <row r="226" spans="2:32" x14ac:dyDescent="0.25">
      <c r="B226">
        <v>897</v>
      </c>
      <c r="C226" s="27">
        <v>8</v>
      </c>
      <c r="D226" s="39" t="s">
        <v>497</v>
      </c>
      <c r="E226" s="162">
        <v>67.748375693871196</v>
      </c>
      <c r="F226" s="162">
        <f>INDEX('2017 Lockdown Update'!H$5:H$249,MATCH(B226,'2017 Lockdown Update'!B$5:B$249,0))</f>
        <v>67.748375693871196</v>
      </c>
      <c r="G226" s="162">
        <f t="shared" si="53"/>
        <v>0</v>
      </c>
      <c r="H226" s="5">
        <v>261720.97</v>
      </c>
      <c r="I226" s="5">
        <f>INDEX('2017 Lockdown Update'!E$5:E$249,MATCH(B226,'2017 Lockdown Update'!B$5:B$249,0))</f>
        <v>261720.97</v>
      </c>
      <c r="J226" s="5">
        <f t="shared" si="54"/>
        <v>0</v>
      </c>
      <c r="K226" s="5">
        <v>119</v>
      </c>
      <c r="L226" s="5">
        <f>INDEX('2017 Lockdown Update'!F$5:F$249,MATCH(B226,'2017 Lockdown Update'!B$5:B$249,0))</f>
        <v>119</v>
      </c>
      <c r="M226" s="5">
        <f t="shared" si="55"/>
        <v>0</v>
      </c>
      <c r="N226" s="5">
        <v>261601.97</v>
      </c>
      <c r="O226" s="105">
        <f t="shared" si="68"/>
        <v>261601.97</v>
      </c>
      <c r="P226" s="105">
        <f t="shared" si="56"/>
        <v>0</v>
      </c>
      <c r="Q226" s="103">
        <f t="shared" si="57"/>
        <v>3861.3762665259828</v>
      </c>
      <c r="R226" s="6">
        <f t="shared" si="58"/>
        <v>1747.012700944284</v>
      </c>
      <c r="S226" s="5">
        <f t="shared" si="59"/>
        <v>118357.272805538</v>
      </c>
      <c r="T226" s="140">
        <v>0.40833333333333333</v>
      </c>
      <c r="U226" s="105">
        <f t="shared" si="60"/>
        <v>30468.970849803649</v>
      </c>
      <c r="V226" s="105">
        <f t="shared" si="61"/>
        <v>3494.3906604218155</v>
      </c>
      <c r="W226" s="105">
        <f t="shared" si="62"/>
        <v>3732.4489291009468</v>
      </c>
      <c r="X226" s="105">
        <f t="shared" si="63"/>
        <v>1770.3345667551164</v>
      </c>
      <c r="Y226" s="105">
        <f t="shared" si="64"/>
        <v>39466.145006081526</v>
      </c>
      <c r="Z226" s="112">
        <f t="shared" si="65"/>
        <v>0.33344925977573625</v>
      </c>
      <c r="AA226" s="104">
        <f t="shared" si="66"/>
        <v>39565.385832015716</v>
      </c>
      <c r="AB226" s="105"/>
      <c r="AC226" s="104">
        <v>38994.880644082885</v>
      </c>
      <c r="AD226" s="5">
        <f t="shared" si="69"/>
        <v>570.50518793283118</v>
      </c>
      <c r="AE226" s="105"/>
      <c r="AF226" s="104">
        <f t="shared" si="67"/>
        <v>70.549069318660685</v>
      </c>
    </row>
    <row r="227" spans="2:32" x14ac:dyDescent="0.25">
      <c r="B227">
        <v>905</v>
      </c>
      <c r="C227" s="44">
        <v>8</v>
      </c>
      <c r="D227" s="39" t="s">
        <v>498</v>
      </c>
      <c r="E227" s="162">
        <v>105.28369884343577</v>
      </c>
      <c r="F227" s="162">
        <f>INDEX('2017 Lockdown Update'!H$5:H$249,MATCH(B227,'2017 Lockdown Update'!B$5:B$249,0))</f>
        <v>105.28369884343577</v>
      </c>
      <c r="G227" s="162">
        <f t="shared" si="53"/>
        <v>0</v>
      </c>
      <c r="H227" s="5">
        <v>52773.440000000002</v>
      </c>
      <c r="I227" s="5">
        <f>INDEX('2017 Lockdown Update'!E$5:E$249,MATCH(B227,'2017 Lockdown Update'!B$5:B$249,0))</f>
        <v>52773.440000000002</v>
      </c>
      <c r="J227" s="5">
        <f t="shared" si="54"/>
        <v>0</v>
      </c>
      <c r="K227" s="5">
        <v>0</v>
      </c>
      <c r="L227" s="5">
        <f>INDEX('2017 Lockdown Update'!F$5:F$249,MATCH(B227,'2017 Lockdown Update'!B$5:B$249,0))</f>
        <v>0</v>
      </c>
      <c r="M227" s="5">
        <f t="shared" si="55"/>
        <v>0</v>
      </c>
      <c r="N227" s="5">
        <v>52773.440000000002</v>
      </c>
      <c r="O227" s="105">
        <f t="shared" si="68"/>
        <v>52773.440000000002</v>
      </c>
      <c r="P227" s="105">
        <f t="shared" si="56"/>
        <v>0</v>
      </c>
      <c r="Q227" s="103">
        <f t="shared" si="57"/>
        <v>501.24986659594663</v>
      </c>
      <c r="R227" s="6">
        <f t="shared" si="58"/>
        <v>501.24986659594663</v>
      </c>
      <c r="S227" s="5">
        <f t="shared" si="59"/>
        <v>52773.440000000002</v>
      </c>
      <c r="T227" s="140">
        <v>0.37908333333333333</v>
      </c>
      <c r="U227" s="105">
        <f t="shared" si="60"/>
        <v>13585.581746596523</v>
      </c>
      <c r="V227" s="105">
        <f t="shared" si="61"/>
        <v>5430.423536581513</v>
      </c>
      <c r="W227" s="105">
        <f t="shared" si="62"/>
        <v>1545.0202841316896</v>
      </c>
      <c r="X227" s="105">
        <f t="shared" si="63"/>
        <v>789.36125194501483</v>
      </c>
      <c r="Y227" s="105">
        <f t="shared" si="64"/>
        <v>21350.386819254738</v>
      </c>
      <c r="Z227" s="112">
        <f t="shared" si="65"/>
        <v>0.40456689613666907</v>
      </c>
      <c r="AA227" s="104">
        <f t="shared" si="66"/>
        <v>21404.074100382164</v>
      </c>
      <c r="AB227" s="105"/>
      <c r="AC227" s="104">
        <v>21119.869885507753</v>
      </c>
      <c r="AD227" s="5">
        <f t="shared" si="69"/>
        <v>284.20421487441126</v>
      </c>
      <c r="AE227" s="105"/>
      <c r="AF227" s="104">
        <f t="shared" si="67"/>
        <v>38.165620672090391</v>
      </c>
    </row>
    <row r="228" spans="2:32" x14ac:dyDescent="0.25">
      <c r="B228">
        <v>907</v>
      </c>
      <c r="C228" s="27">
        <v>8</v>
      </c>
      <c r="D228" s="39" t="s">
        <v>499</v>
      </c>
      <c r="E228" s="162">
        <v>12.115084280824727</v>
      </c>
      <c r="F228" s="162">
        <f>INDEX('2017 Lockdown Update'!H$5:H$249,MATCH(B228,'2017 Lockdown Update'!B$5:B$249,0))</f>
        <v>12.115084280824727</v>
      </c>
      <c r="G228" s="162">
        <f t="shared" si="53"/>
        <v>0</v>
      </c>
      <c r="H228" s="5">
        <v>18116.95</v>
      </c>
      <c r="I228" s="5">
        <f>INDEX('2017 Lockdown Update'!E$5:E$249,MATCH(B228,'2017 Lockdown Update'!B$5:B$249,0))</f>
        <v>18116.95</v>
      </c>
      <c r="J228" s="5">
        <f t="shared" si="54"/>
        <v>0</v>
      </c>
      <c r="K228" s="5">
        <v>6332.79</v>
      </c>
      <c r="L228" s="5">
        <f>INDEX('2017 Lockdown Update'!F$5:F$249,MATCH(B228,'2017 Lockdown Update'!B$5:B$249,0))</f>
        <v>0</v>
      </c>
      <c r="M228" s="5">
        <f t="shared" si="55"/>
        <v>-6332.79</v>
      </c>
      <c r="N228" s="5">
        <v>11784.16</v>
      </c>
      <c r="O228" s="105">
        <f t="shared" si="68"/>
        <v>18116.95</v>
      </c>
      <c r="P228" s="105">
        <f t="shared" si="56"/>
        <v>6332.7900000000009</v>
      </c>
      <c r="Q228" s="103">
        <f t="shared" si="57"/>
        <v>1495.404371942735</v>
      </c>
      <c r="R228" s="6">
        <f t="shared" si="58"/>
        <v>1495.404371942735</v>
      </c>
      <c r="S228" s="5">
        <f t="shared" si="59"/>
        <v>18116.95</v>
      </c>
      <c r="T228" s="140">
        <v>0.16950000000000001</v>
      </c>
      <c r="U228" s="105">
        <f t="shared" si="60"/>
        <v>4663.8859476282369</v>
      </c>
      <c r="V228" s="105">
        <f t="shared" si="61"/>
        <v>624.88342971397412</v>
      </c>
      <c r="W228" s="105">
        <f t="shared" si="62"/>
        <v>237.15860043689588</v>
      </c>
      <c r="X228" s="105">
        <f t="shared" si="63"/>
        <v>270.98514581246246</v>
      </c>
      <c r="Y228" s="105">
        <f t="shared" si="64"/>
        <v>5796.9131235915684</v>
      </c>
      <c r="Z228" s="112">
        <f t="shared" si="65"/>
        <v>0.3199718011912363</v>
      </c>
      <c r="AA228" s="104">
        <f t="shared" si="66"/>
        <v>5811.4899323010413</v>
      </c>
      <c r="AB228" s="105"/>
      <c r="AC228" s="104">
        <v>3940.4600507805171</v>
      </c>
      <c r="AD228" s="5">
        <f t="shared" si="69"/>
        <v>1871.0298815205242</v>
      </c>
      <c r="AE228" s="105"/>
      <c r="AF228" s="104">
        <f t="shared" si="67"/>
        <v>10.362472081514314</v>
      </c>
    </row>
    <row r="229" spans="2:32" x14ac:dyDescent="0.25">
      <c r="B229">
        <v>918</v>
      </c>
      <c r="C229" s="27">
        <v>8</v>
      </c>
      <c r="D229" s="39" t="s">
        <v>500</v>
      </c>
      <c r="E229" s="162">
        <v>59.047271200750195</v>
      </c>
      <c r="F229" s="162">
        <f>INDEX('2017 Lockdown Update'!H$5:H$249,MATCH(B229,'2017 Lockdown Update'!B$5:B$249,0))</f>
        <v>59.047271200750195</v>
      </c>
      <c r="G229" s="162">
        <f t="shared" si="53"/>
        <v>0</v>
      </c>
      <c r="H229" s="5">
        <v>37834.36</v>
      </c>
      <c r="I229" s="5">
        <f>INDEX('2017 Lockdown Update'!E$5:E$249,MATCH(B229,'2017 Lockdown Update'!B$5:B$249,0))</f>
        <v>37834.36</v>
      </c>
      <c r="J229" s="5">
        <f t="shared" si="54"/>
        <v>0</v>
      </c>
      <c r="K229" s="5">
        <v>0</v>
      </c>
      <c r="L229" s="5">
        <f>INDEX('2017 Lockdown Update'!F$5:F$249,MATCH(B229,'2017 Lockdown Update'!B$5:B$249,0))</f>
        <v>0</v>
      </c>
      <c r="M229" s="5">
        <f t="shared" si="55"/>
        <v>0</v>
      </c>
      <c r="N229" s="5">
        <v>37834.36</v>
      </c>
      <c r="O229" s="105">
        <f t="shared" si="68"/>
        <v>37834.36</v>
      </c>
      <c r="P229" s="105">
        <f t="shared" si="56"/>
        <v>0</v>
      </c>
      <c r="Q229" s="103">
        <f t="shared" si="57"/>
        <v>640.74696815996663</v>
      </c>
      <c r="R229" s="6">
        <f t="shared" si="58"/>
        <v>640.74696815996663</v>
      </c>
      <c r="S229" s="5">
        <f t="shared" si="59"/>
        <v>37834.36</v>
      </c>
      <c r="T229" s="140">
        <v>0.3056666666666667</v>
      </c>
      <c r="U229" s="105">
        <f t="shared" si="60"/>
        <v>9739.7818033116964</v>
      </c>
      <c r="V229" s="105">
        <f t="shared" si="61"/>
        <v>3045.5967526017221</v>
      </c>
      <c r="W229" s="105">
        <f t="shared" si="62"/>
        <v>893.13799136368266</v>
      </c>
      <c r="X229" s="105">
        <f t="shared" si="63"/>
        <v>565.90924859433824</v>
      </c>
      <c r="Y229" s="105">
        <f t="shared" si="64"/>
        <v>14244.425795871441</v>
      </c>
      <c r="Z229" s="112">
        <f t="shared" si="65"/>
        <v>0.37649442982176623</v>
      </c>
      <c r="AA229" s="104">
        <f t="shared" si="66"/>
        <v>14280.244561061776</v>
      </c>
      <c r="AB229" s="105"/>
      <c r="AC229" s="104">
        <v>14085.588009108322</v>
      </c>
      <c r="AD229" s="5">
        <f t="shared" si="69"/>
        <v>194.65655195345425</v>
      </c>
      <c r="AE229" s="105"/>
      <c r="AF229" s="104">
        <f t="shared" si="67"/>
        <v>25.463114847487589</v>
      </c>
    </row>
    <row r="230" spans="2:32" x14ac:dyDescent="0.25">
      <c r="B230">
        <v>922</v>
      </c>
      <c r="C230" s="27">
        <v>8</v>
      </c>
      <c r="D230" s="39" t="s">
        <v>501</v>
      </c>
      <c r="E230" s="162">
        <v>157.44</v>
      </c>
      <c r="F230" s="162">
        <f>INDEX('2017 Lockdown Update'!H$5:H$249,MATCH(B230,'2017 Lockdown Update'!B$5:B$249,0))</f>
        <v>157.44</v>
      </c>
      <c r="G230" s="162">
        <f t="shared" si="53"/>
        <v>0</v>
      </c>
      <c r="H230" s="5">
        <v>122591.46</v>
      </c>
      <c r="I230" s="5">
        <f>INDEX('2017 Lockdown Update'!E$5:E$249,MATCH(B230,'2017 Lockdown Update'!B$5:B$249,0))</f>
        <v>122591.46</v>
      </c>
      <c r="J230" s="5">
        <f t="shared" si="54"/>
        <v>0</v>
      </c>
      <c r="K230" s="5">
        <v>18794.579999999998</v>
      </c>
      <c r="L230" s="5">
        <f>INDEX('2017 Lockdown Update'!F$5:F$249,MATCH(B230,'2017 Lockdown Update'!B$5:B$249,0))</f>
        <v>18794.579999999998</v>
      </c>
      <c r="M230" s="5">
        <f t="shared" si="55"/>
        <v>0</v>
      </c>
      <c r="N230" s="5">
        <v>103796.88</v>
      </c>
      <c r="O230" s="105">
        <f t="shared" si="68"/>
        <v>103796.88</v>
      </c>
      <c r="P230" s="105">
        <f t="shared" si="56"/>
        <v>0</v>
      </c>
      <c r="Q230" s="103">
        <f t="shared" si="57"/>
        <v>659.27896341463418</v>
      </c>
      <c r="R230" s="6">
        <f t="shared" si="58"/>
        <v>659.27896341463418</v>
      </c>
      <c r="S230" s="5">
        <f t="shared" si="59"/>
        <v>103796.88</v>
      </c>
      <c r="T230" s="140">
        <v>0.6905</v>
      </c>
      <c r="U230" s="105">
        <f t="shared" si="60"/>
        <v>26720.657176823603</v>
      </c>
      <c r="V230" s="105">
        <f t="shared" si="61"/>
        <v>8120.5912310393614</v>
      </c>
      <c r="W230" s="105">
        <f t="shared" si="62"/>
        <v>5535.1841341790087</v>
      </c>
      <c r="X230" s="105">
        <f t="shared" si="63"/>
        <v>1552.5467952209763</v>
      </c>
      <c r="Y230" s="105">
        <f t="shared" si="64"/>
        <v>41928.979337262943</v>
      </c>
      <c r="Z230" s="112">
        <f t="shared" si="65"/>
        <v>0.40395221260275782</v>
      </c>
      <c r="AA230" s="104">
        <f t="shared" si="66"/>
        <v>42034.413160084157</v>
      </c>
      <c r="AB230" s="105"/>
      <c r="AC230" s="104">
        <v>41441.333411906162</v>
      </c>
      <c r="AD230" s="5">
        <f t="shared" si="69"/>
        <v>593.0797481779955</v>
      </c>
      <c r="AE230" s="105"/>
      <c r="AF230" s="104">
        <f t="shared" si="67"/>
        <v>74.95159380956602</v>
      </c>
    </row>
    <row r="231" spans="2:32" x14ac:dyDescent="0.25">
      <c r="B231">
        <v>924</v>
      </c>
      <c r="C231" s="27">
        <v>8</v>
      </c>
      <c r="D231" s="39" t="s">
        <v>502</v>
      </c>
      <c r="E231" s="162">
        <v>114.91247851438976</v>
      </c>
      <c r="F231" s="162">
        <f>INDEX('2017 Lockdown Update'!H$5:H$249,MATCH(B231,'2017 Lockdown Update'!B$5:B$249,0))</f>
        <v>114.91247851438976</v>
      </c>
      <c r="G231" s="162">
        <f t="shared" si="53"/>
        <v>0</v>
      </c>
      <c r="H231" s="5">
        <v>66408.98</v>
      </c>
      <c r="I231" s="5">
        <f>INDEX('2017 Lockdown Update'!E$5:E$249,MATCH(B231,'2017 Lockdown Update'!B$5:B$249,0))</f>
        <v>54438.720000000001</v>
      </c>
      <c r="J231" s="5">
        <f t="shared" si="54"/>
        <v>-11970.259999999995</v>
      </c>
      <c r="K231" s="5">
        <v>0</v>
      </c>
      <c r="L231" s="5">
        <f>INDEX('2017 Lockdown Update'!F$5:F$249,MATCH(B231,'2017 Lockdown Update'!B$5:B$249,0))</f>
        <v>0</v>
      </c>
      <c r="M231" s="5">
        <f t="shared" si="55"/>
        <v>0</v>
      </c>
      <c r="N231" s="5">
        <v>66408.98</v>
      </c>
      <c r="O231" s="105">
        <f t="shared" si="68"/>
        <v>54438.720000000001</v>
      </c>
      <c r="P231" s="105">
        <f t="shared" si="56"/>
        <v>-11970.259999999995</v>
      </c>
      <c r="Q231" s="103">
        <f t="shared" si="57"/>
        <v>473.74071731629203</v>
      </c>
      <c r="R231" s="6">
        <f t="shared" si="58"/>
        <v>473.74071731629203</v>
      </c>
      <c r="S231" s="5">
        <f t="shared" si="59"/>
        <v>54438.720000000001</v>
      </c>
      <c r="T231" s="140">
        <v>0.4064166666666667</v>
      </c>
      <c r="U231" s="105">
        <f t="shared" si="60"/>
        <v>14014.278408610073</v>
      </c>
      <c r="V231" s="105">
        <f t="shared" si="61"/>
        <v>5927.0659639288142</v>
      </c>
      <c r="W231" s="105">
        <f t="shared" si="62"/>
        <v>1708.6908949697831</v>
      </c>
      <c r="X231" s="105">
        <f t="shared" si="63"/>
        <v>814.26975716353002</v>
      </c>
      <c r="Y231" s="105">
        <f t="shared" si="64"/>
        <v>22464.305024672198</v>
      </c>
      <c r="Z231" s="112">
        <f t="shared" si="65"/>
        <v>0.41265307164959419</v>
      </c>
      <c r="AA231" s="104">
        <f t="shared" si="66"/>
        <v>22520.793343567861</v>
      </c>
      <c r="AB231" s="105"/>
      <c r="AC231" s="104">
        <v>25820.605807927524</v>
      </c>
      <c r="AD231" s="5">
        <f t="shared" si="69"/>
        <v>-3299.8124643596639</v>
      </c>
      <c r="AE231" s="105"/>
      <c r="AF231" s="104">
        <f t="shared" si="67"/>
        <v>40.156843596883391</v>
      </c>
    </row>
    <row r="232" spans="2:32" x14ac:dyDescent="0.25">
      <c r="B232">
        <v>929</v>
      </c>
      <c r="C232" s="27">
        <v>8</v>
      </c>
      <c r="D232" s="39" t="s">
        <v>503</v>
      </c>
      <c r="E232" s="162">
        <v>48.975680260617573</v>
      </c>
      <c r="F232" s="162">
        <f>INDEX('2017 Lockdown Update'!H$5:H$249,MATCH(B232,'2017 Lockdown Update'!B$5:B$249,0))</f>
        <v>48.975680260617573</v>
      </c>
      <c r="G232" s="162">
        <f t="shared" si="53"/>
        <v>0</v>
      </c>
      <c r="H232" s="5">
        <v>52171.61</v>
      </c>
      <c r="I232" s="5">
        <f>INDEX('2017 Lockdown Update'!E$5:E$249,MATCH(B232,'2017 Lockdown Update'!B$5:B$249,0))</f>
        <v>52171.61</v>
      </c>
      <c r="J232" s="5">
        <f t="shared" si="54"/>
        <v>0</v>
      </c>
      <c r="K232" s="5">
        <v>0</v>
      </c>
      <c r="L232" s="5">
        <f>INDEX('2017 Lockdown Update'!F$5:F$249,MATCH(B232,'2017 Lockdown Update'!B$5:B$249,0))</f>
        <v>0</v>
      </c>
      <c r="M232" s="5">
        <f t="shared" si="55"/>
        <v>0</v>
      </c>
      <c r="N232" s="5">
        <v>52171.61</v>
      </c>
      <c r="O232" s="105">
        <f t="shared" si="68"/>
        <v>52171.61</v>
      </c>
      <c r="P232" s="105">
        <f t="shared" si="56"/>
        <v>0</v>
      </c>
      <c r="Q232" s="103">
        <f t="shared" si="57"/>
        <v>1065.255443566597</v>
      </c>
      <c r="R232" s="6">
        <f t="shared" si="58"/>
        <v>1065.255443566597</v>
      </c>
      <c r="S232" s="5">
        <f t="shared" si="59"/>
        <v>52171.61</v>
      </c>
      <c r="T232" s="140">
        <v>0.45333333333333337</v>
      </c>
      <c r="U232" s="105">
        <f t="shared" si="60"/>
        <v>13430.651337236168</v>
      </c>
      <c r="V232" s="105">
        <f t="shared" si="61"/>
        <v>2526.1145811646252</v>
      </c>
      <c r="W232" s="105">
        <f t="shared" si="62"/>
        <v>1826.5685818641189</v>
      </c>
      <c r="X232" s="105">
        <f t="shared" si="63"/>
        <v>780.35935094598835</v>
      </c>
      <c r="Y232" s="105">
        <f t="shared" si="64"/>
        <v>18563.693851210901</v>
      </c>
      <c r="Z232" s="112">
        <f t="shared" si="65"/>
        <v>0.35581983862891908</v>
      </c>
      <c r="AA232" s="104">
        <f t="shared" si="66"/>
        <v>18610.373766614335</v>
      </c>
      <c r="AB232" s="105"/>
      <c r="AC232" s="104">
        <v>18325.172108276991</v>
      </c>
      <c r="AD232" s="5">
        <f t="shared" si="69"/>
        <v>285.20165833734427</v>
      </c>
      <c r="AE232" s="105"/>
      <c r="AF232" s="104">
        <f t="shared" si="67"/>
        <v>33.184171499842776</v>
      </c>
    </row>
    <row r="233" spans="2:32" x14ac:dyDescent="0.25">
      <c r="B233">
        <v>955</v>
      </c>
      <c r="C233" s="44">
        <v>8</v>
      </c>
      <c r="D233" s="39" t="s">
        <v>504</v>
      </c>
      <c r="E233" s="162">
        <v>48.241978039358088</v>
      </c>
      <c r="F233" s="162">
        <f>INDEX('2017 Lockdown Update'!H$5:H$249,MATCH(B233,'2017 Lockdown Update'!B$5:B$249,0))</f>
        <v>48.241978039358088</v>
      </c>
      <c r="G233" s="162">
        <f t="shared" si="53"/>
        <v>0</v>
      </c>
      <c r="H233" s="5">
        <v>22749.54</v>
      </c>
      <c r="I233" s="5">
        <f>INDEX('2017 Lockdown Update'!E$5:E$249,MATCH(B233,'2017 Lockdown Update'!B$5:B$249,0))</f>
        <v>22749.54</v>
      </c>
      <c r="J233" s="5">
        <f t="shared" si="54"/>
        <v>0</v>
      </c>
      <c r="K233" s="5">
        <v>0</v>
      </c>
      <c r="L233" s="5">
        <f>INDEX('2017 Lockdown Update'!F$5:F$249,MATCH(B233,'2017 Lockdown Update'!B$5:B$249,0))</f>
        <v>0</v>
      </c>
      <c r="M233" s="5">
        <f t="shared" si="55"/>
        <v>0</v>
      </c>
      <c r="N233" s="5">
        <v>22749.54</v>
      </c>
      <c r="O233" s="105">
        <f t="shared" si="68"/>
        <v>22749.54</v>
      </c>
      <c r="P233" s="105">
        <f t="shared" si="56"/>
        <v>0</v>
      </c>
      <c r="Q233" s="103">
        <f t="shared" si="57"/>
        <v>471.57145964122469</v>
      </c>
      <c r="R233" s="6">
        <f t="shared" si="58"/>
        <v>471.57145964122469</v>
      </c>
      <c r="S233" s="5">
        <f t="shared" si="59"/>
        <v>22749.54</v>
      </c>
      <c r="T233" s="140">
        <v>0.16825000000000001</v>
      </c>
      <c r="U233" s="105">
        <f t="shared" si="60"/>
        <v>5856.4636939996235</v>
      </c>
      <c r="V233" s="105">
        <f t="shared" si="61"/>
        <v>2488.2709847205583</v>
      </c>
      <c r="W233" s="105">
        <f t="shared" si="62"/>
        <v>295.605004954631</v>
      </c>
      <c r="X233" s="105">
        <f t="shared" si="63"/>
        <v>340.27733222570282</v>
      </c>
      <c r="Y233" s="105">
        <f t="shared" si="64"/>
        <v>8980.617015900516</v>
      </c>
      <c r="Z233" s="112">
        <f t="shared" si="65"/>
        <v>0.39476037827140747</v>
      </c>
      <c r="AA233" s="104">
        <f t="shared" si="66"/>
        <v>9003.1995065369665</v>
      </c>
      <c r="AB233" s="105"/>
      <c r="AC233" s="104">
        <v>8891.4827927640181</v>
      </c>
      <c r="AD233" s="5">
        <f t="shared" si="69"/>
        <v>111.71671377294842</v>
      </c>
      <c r="AE233" s="105"/>
      <c r="AF233" s="104">
        <f t="shared" si="67"/>
        <v>16.053611830633034</v>
      </c>
    </row>
    <row r="234" spans="2:32" x14ac:dyDescent="0.25">
      <c r="B234">
        <v>973</v>
      </c>
      <c r="C234" s="44">
        <v>8</v>
      </c>
      <c r="D234" s="39" t="s">
        <v>505</v>
      </c>
      <c r="E234" s="162">
        <v>7.0843726591984275</v>
      </c>
      <c r="F234" s="162">
        <f>INDEX('2017 Lockdown Update'!H$5:H$249,MATCH(B234,'2017 Lockdown Update'!B$5:B$249,0))</f>
        <v>7.0843726591984275</v>
      </c>
      <c r="G234" s="162">
        <f t="shared" si="53"/>
        <v>0</v>
      </c>
      <c r="H234" s="5">
        <v>7075.91</v>
      </c>
      <c r="I234" s="5">
        <f>INDEX('2017 Lockdown Update'!E$5:E$249,MATCH(B234,'2017 Lockdown Update'!B$5:B$249,0))</f>
        <v>7075.91</v>
      </c>
      <c r="J234" s="5">
        <f t="shared" si="54"/>
        <v>0</v>
      </c>
      <c r="K234" s="5">
        <v>0</v>
      </c>
      <c r="L234" s="5">
        <f>INDEX('2017 Lockdown Update'!F$5:F$249,MATCH(B234,'2017 Lockdown Update'!B$5:B$249,0))</f>
        <v>0</v>
      </c>
      <c r="M234" s="5">
        <f t="shared" si="55"/>
        <v>0</v>
      </c>
      <c r="N234" s="5">
        <v>7075.91</v>
      </c>
      <c r="O234" s="105">
        <f t="shared" si="68"/>
        <v>7075.91</v>
      </c>
      <c r="P234" s="105">
        <f t="shared" si="56"/>
        <v>0</v>
      </c>
      <c r="Q234" s="103">
        <f t="shared" si="57"/>
        <v>998.80544691738658</v>
      </c>
      <c r="R234" s="6">
        <f t="shared" si="58"/>
        <v>998.80544691738658</v>
      </c>
      <c r="S234" s="5">
        <f t="shared" si="59"/>
        <v>7075.91</v>
      </c>
      <c r="T234" s="140">
        <v>5.6500000000000002E-2</v>
      </c>
      <c r="U234" s="105">
        <f t="shared" si="60"/>
        <v>1821.566942320982</v>
      </c>
      <c r="V234" s="105">
        <f t="shared" si="61"/>
        <v>365.40456360328858</v>
      </c>
      <c r="W234" s="105">
        <f t="shared" si="62"/>
        <v>30.875559672340643</v>
      </c>
      <c r="X234" s="105">
        <f t="shared" si="63"/>
        <v>105.83826213053858</v>
      </c>
      <c r="Y234" s="105">
        <f t="shared" si="64"/>
        <v>2323.6853277271503</v>
      </c>
      <c r="Z234" s="112">
        <f t="shared" si="65"/>
        <v>0.32839385008107086</v>
      </c>
      <c r="AA234" s="104">
        <f t="shared" si="66"/>
        <v>2329.5284231472697</v>
      </c>
      <c r="AB234" s="105"/>
      <c r="AC234" s="104">
        <v>2296.459520926122</v>
      </c>
      <c r="AD234" s="5">
        <f t="shared" si="69"/>
        <v>33.068902221147709</v>
      </c>
      <c r="AE234" s="105"/>
      <c r="AF234" s="104">
        <f t="shared" si="67"/>
        <v>4.1537838883254539</v>
      </c>
    </row>
    <row r="235" spans="2:32" x14ac:dyDescent="0.25">
      <c r="B235">
        <v>974</v>
      </c>
      <c r="C235" s="27">
        <v>8</v>
      </c>
      <c r="D235" s="39" t="s">
        <v>506</v>
      </c>
      <c r="E235" s="162">
        <v>19.13</v>
      </c>
      <c r="F235" s="162">
        <f>INDEX('2017 Lockdown Update'!H$5:H$249,MATCH(B235,'2017 Lockdown Update'!B$5:B$249,0))</f>
        <v>19.13</v>
      </c>
      <c r="G235" s="162">
        <f t="shared" si="53"/>
        <v>0</v>
      </c>
      <c r="H235" s="5">
        <v>13013.02</v>
      </c>
      <c r="I235" s="5">
        <f>INDEX('2017 Lockdown Update'!E$5:E$249,MATCH(B235,'2017 Lockdown Update'!B$5:B$249,0))</f>
        <v>13013.02</v>
      </c>
      <c r="J235" s="5">
        <f t="shared" si="54"/>
        <v>0</v>
      </c>
      <c r="K235" s="5">
        <v>0</v>
      </c>
      <c r="L235" s="5">
        <f>INDEX('2017 Lockdown Update'!F$5:F$249,MATCH(B235,'2017 Lockdown Update'!B$5:B$249,0))</f>
        <v>0</v>
      </c>
      <c r="M235" s="5">
        <f t="shared" si="55"/>
        <v>0</v>
      </c>
      <c r="N235" s="5">
        <v>13013.02</v>
      </c>
      <c r="O235" s="105">
        <f t="shared" si="68"/>
        <v>13013.02</v>
      </c>
      <c r="P235" s="105">
        <f t="shared" si="56"/>
        <v>0</v>
      </c>
      <c r="Q235" s="103">
        <f t="shared" si="57"/>
        <v>680.24150548876116</v>
      </c>
      <c r="R235" s="6">
        <f t="shared" si="58"/>
        <v>680.24150548876116</v>
      </c>
      <c r="S235" s="5">
        <f t="shared" si="59"/>
        <v>13013.02</v>
      </c>
      <c r="T235" s="140">
        <v>0.19650000000000001</v>
      </c>
      <c r="U235" s="105">
        <f t="shared" si="60"/>
        <v>3349.9701171668075</v>
      </c>
      <c r="V235" s="105">
        <f t="shared" si="61"/>
        <v>986.70547668815402</v>
      </c>
      <c r="W235" s="105">
        <f t="shared" si="62"/>
        <v>197.48073840698333</v>
      </c>
      <c r="X235" s="105">
        <f t="shared" si="63"/>
        <v>194.64286881403822</v>
      </c>
      <c r="Y235" s="105">
        <f t="shared" si="64"/>
        <v>4728.7992010759835</v>
      </c>
      <c r="Z235" s="112">
        <f t="shared" si="65"/>
        <v>0.36338983580106565</v>
      </c>
      <c r="AA235" s="104">
        <f t="shared" si="66"/>
        <v>4740.6901506054955</v>
      </c>
      <c r="AB235" s="105"/>
      <c r="AC235" s="104">
        <v>4676.0868080118717</v>
      </c>
      <c r="AD235" s="5">
        <f t="shared" si="69"/>
        <v>64.603342593623893</v>
      </c>
      <c r="AE235" s="105"/>
      <c r="AF235" s="104">
        <f t="shared" si="67"/>
        <v>8.4531281831384586</v>
      </c>
    </row>
    <row r="236" spans="2:32" x14ac:dyDescent="0.25">
      <c r="B236">
        <v>978</v>
      </c>
      <c r="C236" s="27">
        <v>8</v>
      </c>
      <c r="D236" s="39" t="s">
        <v>507</v>
      </c>
      <c r="E236" s="162">
        <v>33.756385778634701</v>
      </c>
      <c r="F236" s="162">
        <f>INDEX('2017 Lockdown Update'!H$5:H$249,MATCH(B236,'2017 Lockdown Update'!B$5:B$249,0))</f>
        <v>33.756385778634701</v>
      </c>
      <c r="G236" s="162">
        <f t="shared" si="53"/>
        <v>0</v>
      </c>
      <c r="H236" s="5">
        <v>53507.31</v>
      </c>
      <c r="I236" s="5">
        <f>INDEX('2017 Lockdown Update'!E$5:E$249,MATCH(B236,'2017 Lockdown Update'!B$5:B$249,0))</f>
        <v>53507.31</v>
      </c>
      <c r="J236" s="5">
        <f t="shared" si="54"/>
        <v>0</v>
      </c>
      <c r="K236" s="5">
        <v>1358.34</v>
      </c>
      <c r="L236" s="5">
        <f>INDEX('2017 Lockdown Update'!F$5:F$249,MATCH(B236,'2017 Lockdown Update'!B$5:B$249,0))</f>
        <v>1358.34</v>
      </c>
      <c r="M236" s="5">
        <f t="shared" si="55"/>
        <v>0</v>
      </c>
      <c r="N236" s="5">
        <v>52148.97</v>
      </c>
      <c r="O236" s="105">
        <f t="shared" si="68"/>
        <v>52148.97</v>
      </c>
      <c r="P236" s="105">
        <f t="shared" si="56"/>
        <v>0</v>
      </c>
      <c r="Q236" s="103">
        <f t="shared" si="57"/>
        <v>1544.8623659528873</v>
      </c>
      <c r="R236" s="6">
        <f t="shared" si="58"/>
        <v>1544.8623659528873</v>
      </c>
      <c r="S236" s="5">
        <f t="shared" si="59"/>
        <v>52148.97</v>
      </c>
      <c r="T236" s="140">
        <v>0.39300000000000002</v>
      </c>
      <c r="U236" s="105">
        <f t="shared" si="60"/>
        <v>13424.82307266325</v>
      </c>
      <c r="V236" s="105">
        <f t="shared" si="61"/>
        <v>1741.1192222152106</v>
      </c>
      <c r="W236" s="105">
        <f t="shared" si="62"/>
        <v>1582.7866402669972</v>
      </c>
      <c r="X236" s="105">
        <f t="shared" si="63"/>
        <v>780.02071206354981</v>
      </c>
      <c r="Y236" s="105">
        <f t="shared" si="64"/>
        <v>17528.74964720901</v>
      </c>
      <c r="Z236" s="112">
        <f t="shared" si="65"/>
        <v>0.33612839615449758</v>
      </c>
      <c r="AA236" s="104">
        <f t="shared" si="66"/>
        <v>17572.827111382787</v>
      </c>
      <c r="AB236" s="105"/>
      <c r="AC236" s="104">
        <v>17293.12789947895</v>
      </c>
      <c r="AD236" s="5">
        <f t="shared" si="69"/>
        <v>279.69921190383684</v>
      </c>
      <c r="AE236" s="105"/>
      <c r="AF236" s="104">
        <f t="shared" si="67"/>
        <v>31.334121276345542</v>
      </c>
    </row>
    <row r="237" spans="2:32" x14ac:dyDescent="0.25">
      <c r="B237">
        <v>985</v>
      </c>
      <c r="C237" s="27">
        <v>8</v>
      </c>
      <c r="D237" s="39" t="s">
        <v>508</v>
      </c>
      <c r="E237" s="162">
        <v>19.498273373940624</v>
      </c>
      <c r="F237" s="162">
        <f>INDEX('2017 Lockdown Update'!H$5:H$249,MATCH(B237,'2017 Lockdown Update'!B$5:B$249,0))</f>
        <v>21.698658413417423</v>
      </c>
      <c r="G237" s="162">
        <f t="shared" si="53"/>
        <v>2.2003850394767994</v>
      </c>
      <c r="H237" s="5">
        <v>49440</v>
      </c>
      <c r="I237" s="5">
        <f>INDEX('2017 Lockdown Update'!E$5:E$249,MATCH(B237,'2017 Lockdown Update'!B$5:B$249,0))</f>
        <v>49440</v>
      </c>
      <c r="J237" s="5">
        <f t="shared" si="54"/>
        <v>0</v>
      </c>
      <c r="K237" s="5">
        <v>0</v>
      </c>
      <c r="L237" s="5">
        <f>INDEX('2017 Lockdown Update'!F$5:F$249,MATCH(B237,'2017 Lockdown Update'!B$5:B$249,0))</f>
        <v>0</v>
      </c>
      <c r="M237" s="5">
        <f t="shared" si="55"/>
        <v>0</v>
      </c>
      <c r="N237" s="5">
        <v>49440</v>
      </c>
      <c r="O237" s="105">
        <f t="shared" si="68"/>
        <v>49440</v>
      </c>
      <c r="P237" s="105">
        <f t="shared" si="56"/>
        <v>0</v>
      </c>
      <c r="Q237" s="103">
        <f t="shared" si="57"/>
        <v>2278.4818792957562</v>
      </c>
      <c r="R237" s="6">
        <f t="shared" si="58"/>
        <v>1747.012700944284</v>
      </c>
      <c r="S237" s="5">
        <f t="shared" si="59"/>
        <v>37907.831841691783</v>
      </c>
      <c r="T237" s="140">
        <v>8.4166666666666667E-2</v>
      </c>
      <c r="U237" s="105">
        <f t="shared" si="60"/>
        <v>9758.6958197445219</v>
      </c>
      <c r="V237" s="105">
        <f t="shared" si="61"/>
        <v>1119.1942024727896</v>
      </c>
      <c r="W237" s="105">
        <f t="shared" si="62"/>
        <v>246.40706944854918</v>
      </c>
      <c r="X237" s="105">
        <f t="shared" si="63"/>
        <v>567.00820717919703</v>
      </c>
      <c r="Y237" s="105">
        <f t="shared" si="64"/>
        <v>11691.305298845056</v>
      </c>
      <c r="Z237" s="112">
        <f t="shared" si="65"/>
        <v>0.30841398019463429</v>
      </c>
      <c r="AA237" s="104">
        <f t="shared" si="66"/>
        <v>11720.704035253879</v>
      </c>
      <c r="AB237" s="105"/>
      <c r="AC237" s="104">
        <v>10393.441500222896</v>
      </c>
      <c r="AD237" s="5">
        <f t="shared" si="69"/>
        <v>1327.2625350309827</v>
      </c>
      <c r="AE237" s="105"/>
      <c r="AF237" s="104">
        <f t="shared" si="67"/>
        <v>20.899196205424822</v>
      </c>
    </row>
    <row r="238" spans="2:32" x14ac:dyDescent="0.25">
      <c r="B238">
        <v>990</v>
      </c>
      <c r="C238" s="27">
        <v>8</v>
      </c>
      <c r="D238" s="39" t="s">
        <v>0</v>
      </c>
      <c r="E238" s="162">
        <v>4.3126083596667133</v>
      </c>
      <c r="F238" s="162">
        <f>INDEX('2017 Lockdown Update'!H$5:H$249,MATCH(B238,'2017 Lockdown Update'!B$5:B$249,0))</f>
        <v>4.3126083596667133</v>
      </c>
      <c r="G238" s="162">
        <f t="shared" si="53"/>
        <v>0</v>
      </c>
      <c r="H238" s="5">
        <v>4506.8</v>
      </c>
      <c r="I238" s="5">
        <f>INDEX('2017 Lockdown Update'!E$5:E$249,MATCH(B238,'2017 Lockdown Update'!B$5:B$249,0))</f>
        <v>4506.8</v>
      </c>
      <c r="J238" s="5">
        <f t="shared" si="54"/>
        <v>0</v>
      </c>
      <c r="K238" s="5">
        <v>0</v>
      </c>
      <c r="L238" s="5">
        <f>INDEX('2017 Lockdown Update'!F$5:F$249,MATCH(B238,'2017 Lockdown Update'!B$5:B$249,0))</f>
        <v>0</v>
      </c>
      <c r="M238" s="5">
        <f t="shared" si="55"/>
        <v>0</v>
      </c>
      <c r="N238" s="5">
        <v>4506.8</v>
      </c>
      <c r="O238" s="105">
        <f t="shared" si="68"/>
        <v>4506.8</v>
      </c>
      <c r="P238" s="105">
        <f t="shared" si="56"/>
        <v>0</v>
      </c>
      <c r="Q238" s="103">
        <f t="shared" si="57"/>
        <v>1045.028814150955</v>
      </c>
      <c r="R238" s="6">
        <f t="shared" si="58"/>
        <v>1045.028814150955</v>
      </c>
      <c r="S238" s="5">
        <f t="shared" si="59"/>
        <v>4506.8</v>
      </c>
      <c r="T238" s="140">
        <v>8.3500000000000005E-2</v>
      </c>
      <c r="U238" s="105">
        <f t="shared" si="60"/>
        <v>1160.1953523507509</v>
      </c>
      <c r="V238" s="105">
        <f t="shared" si="61"/>
        <v>222.43984774146693</v>
      </c>
      <c r="W238" s="105">
        <f t="shared" si="62"/>
        <v>29.062893576386308</v>
      </c>
      <c r="X238" s="105">
        <f t="shared" si="63"/>
        <v>67.410676474108811</v>
      </c>
      <c r="Y238" s="105">
        <f t="shared" si="64"/>
        <v>1479.1087701427132</v>
      </c>
      <c r="Z238" s="112">
        <f t="shared" si="65"/>
        <v>0.32819489885122771</v>
      </c>
      <c r="AA238" s="104">
        <f t="shared" si="66"/>
        <v>1482.82810923633</v>
      </c>
      <c r="AB238" s="105"/>
      <c r="AC238" s="104">
        <v>1461.8722661056672</v>
      </c>
      <c r="AD238" s="5">
        <f t="shared" si="69"/>
        <v>20.955843130662743</v>
      </c>
      <c r="AE238" s="105"/>
      <c r="AF238" s="104">
        <f t="shared" si="67"/>
        <v>2.6440319199799598</v>
      </c>
    </row>
    <row r="239" spans="2:32" x14ac:dyDescent="0.25">
      <c r="B239">
        <v>100</v>
      </c>
      <c r="C239" s="27">
        <v>9</v>
      </c>
      <c r="D239" s="39" t="s">
        <v>509</v>
      </c>
      <c r="E239" s="162">
        <v>31.847179844103021</v>
      </c>
      <c r="F239" s="162">
        <f>INDEX('2017 Lockdown Update'!H$5:H$249,MATCH(B239,'2017 Lockdown Update'!B$5:B$249,0))</f>
        <v>31.847179844103021</v>
      </c>
      <c r="G239" s="162">
        <f t="shared" si="53"/>
        <v>0</v>
      </c>
      <c r="H239" s="5">
        <v>29893.4</v>
      </c>
      <c r="I239" s="5">
        <f>INDEX('2017 Lockdown Update'!E$5:E$249,MATCH(B239,'2017 Lockdown Update'!B$5:B$249,0))</f>
        <v>29893.4</v>
      </c>
      <c r="J239" s="5">
        <f t="shared" si="54"/>
        <v>0</v>
      </c>
      <c r="K239" s="5">
        <v>0</v>
      </c>
      <c r="L239" s="5">
        <f>INDEX('2017 Lockdown Update'!F$5:F$249,MATCH(B239,'2017 Lockdown Update'!B$5:B$249,0))</f>
        <v>0</v>
      </c>
      <c r="M239" s="5">
        <f t="shared" si="55"/>
        <v>0</v>
      </c>
      <c r="N239" s="5">
        <v>29893.4</v>
      </c>
      <c r="O239" s="105">
        <f t="shared" si="68"/>
        <v>29893.4</v>
      </c>
      <c r="P239" s="105">
        <f t="shared" si="56"/>
        <v>0</v>
      </c>
      <c r="Q239" s="103">
        <f t="shared" si="57"/>
        <v>938.65140167301843</v>
      </c>
      <c r="R239" s="6">
        <f t="shared" si="58"/>
        <v>938.65140167301843</v>
      </c>
      <c r="S239" s="5">
        <f t="shared" si="59"/>
        <v>29893.4</v>
      </c>
      <c r="T239" s="140">
        <v>0.113</v>
      </c>
      <c r="U239" s="105">
        <f t="shared" si="60"/>
        <v>7695.5231530047786</v>
      </c>
      <c r="V239" s="105">
        <f t="shared" si="61"/>
        <v>1642.6443684918477</v>
      </c>
      <c r="W239" s="105">
        <f t="shared" si="62"/>
        <v>260.878234886862</v>
      </c>
      <c r="X239" s="105">
        <f t="shared" si="63"/>
        <v>447.13195972999119</v>
      </c>
      <c r="Y239" s="105">
        <f t="shared" si="64"/>
        <v>10046.177716113481</v>
      </c>
      <c r="Z239" s="112">
        <f t="shared" si="65"/>
        <v>0.33606674771399309</v>
      </c>
      <c r="AA239" s="104">
        <f t="shared" si="66"/>
        <v>10071.439645645112</v>
      </c>
      <c r="AB239" s="105"/>
      <c r="AC239" s="104">
        <v>9927.2145856343432</v>
      </c>
      <c r="AD239" s="5">
        <f t="shared" si="69"/>
        <v>144.22506001076908</v>
      </c>
      <c r="AE239" s="105"/>
      <c r="AF239" s="104">
        <f t="shared" si="67"/>
        <v>17.958391628380728</v>
      </c>
    </row>
    <row r="240" spans="2:32" x14ac:dyDescent="0.25">
      <c r="B240">
        <v>159</v>
      </c>
      <c r="C240" s="27">
        <v>9</v>
      </c>
      <c r="D240" s="39" t="s">
        <v>510</v>
      </c>
      <c r="E240" s="162">
        <v>827.75861293351329</v>
      </c>
      <c r="F240" s="162">
        <f>INDEX('2017 Lockdown Update'!H$5:H$249,MATCH(B240,'2017 Lockdown Update'!B$5:B$249,0))</f>
        <v>827.75861293351329</v>
      </c>
      <c r="G240" s="162">
        <f t="shared" si="53"/>
        <v>0</v>
      </c>
      <c r="H240" s="5">
        <v>161334.24</v>
      </c>
      <c r="I240" s="5">
        <f>INDEX('2017 Lockdown Update'!E$5:E$249,MATCH(B240,'2017 Lockdown Update'!B$5:B$249,0))</f>
        <v>161334.24</v>
      </c>
      <c r="J240" s="5">
        <f t="shared" si="54"/>
        <v>0</v>
      </c>
      <c r="K240" s="5">
        <v>0</v>
      </c>
      <c r="L240" s="5">
        <f>INDEX('2017 Lockdown Update'!F$5:F$249,MATCH(B240,'2017 Lockdown Update'!B$5:B$249,0))</f>
        <v>0</v>
      </c>
      <c r="M240" s="5">
        <f t="shared" si="55"/>
        <v>0</v>
      </c>
      <c r="N240" s="5">
        <v>161334.24</v>
      </c>
      <c r="O240" s="105">
        <f t="shared" si="68"/>
        <v>161334.24</v>
      </c>
      <c r="P240" s="105">
        <f t="shared" si="56"/>
        <v>0</v>
      </c>
      <c r="Q240" s="103">
        <f t="shared" si="57"/>
        <v>194.90493663151841</v>
      </c>
      <c r="R240" s="6">
        <f t="shared" si="58"/>
        <v>194.90493663151841</v>
      </c>
      <c r="S240" s="5">
        <f t="shared" si="59"/>
        <v>161334.24</v>
      </c>
      <c r="T240" s="140">
        <v>0.69366666666666665</v>
      </c>
      <c r="U240" s="105">
        <f t="shared" si="60"/>
        <v>41532.625238093678</v>
      </c>
      <c r="V240" s="105">
        <f t="shared" si="61"/>
        <v>42694.927169748429</v>
      </c>
      <c r="W240" s="105">
        <f t="shared" si="62"/>
        <v>8642.9393120472942</v>
      </c>
      <c r="X240" s="105">
        <f t="shared" si="63"/>
        <v>2413.1646083332353</v>
      </c>
      <c r="Y240" s="105">
        <f t="shared" si="64"/>
        <v>95283.656328222627</v>
      </c>
      <c r="Z240" s="112">
        <f t="shared" si="65"/>
        <v>0.59059785652582264</v>
      </c>
      <c r="AA240" s="104">
        <f t="shared" si="66"/>
        <v>95523.254818285059</v>
      </c>
      <c r="AB240" s="105"/>
      <c r="AC240" s="104">
        <v>94571.636839146158</v>
      </c>
      <c r="AD240" s="5">
        <f t="shared" si="69"/>
        <v>951.61797913890041</v>
      </c>
      <c r="AE240" s="105"/>
      <c r="AF240" s="104">
        <f t="shared" si="67"/>
        <v>170.32758771345334</v>
      </c>
    </row>
    <row r="241" spans="2:32" x14ac:dyDescent="0.25">
      <c r="B241">
        <v>173</v>
      </c>
      <c r="C241" s="27">
        <v>9</v>
      </c>
      <c r="D241" s="39" t="s">
        <v>511</v>
      </c>
      <c r="E241" s="162">
        <v>352.88</v>
      </c>
      <c r="F241" s="162">
        <f>INDEX('2017 Lockdown Update'!H$5:H$249,MATCH(B241,'2017 Lockdown Update'!B$5:B$249,0))</f>
        <v>352.88</v>
      </c>
      <c r="G241" s="162">
        <f t="shared" si="53"/>
        <v>0</v>
      </c>
      <c r="H241" s="5">
        <v>161973.89000000001</v>
      </c>
      <c r="I241" s="5">
        <f>INDEX('2017 Lockdown Update'!E$5:E$249,MATCH(B241,'2017 Lockdown Update'!B$5:B$249,0))</f>
        <v>161973.89000000001</v>
      </c>
      <c r="J241" s="5">
        <f t="shared" si="54"/>
        <v>0</v>
      </c>
      <c r="K241" s="5">
        <v>80</v>
      </c>
      <c r="L241" s="5">
        <f>INDEX('2017 Lockdown Update'!F$5:F$249,MATCH(B241,'2017 Lockdown Update'!B$5:B$249,0))</f>
        <v>80</v>
      </c>
      <c r="M241" s="5">
        <f t="shared" si="55"/>
        <v>0</v>
      </c>
      <c r="N241" s="5">
        <v>161893.89000000001</v>
      </c>
      <c r="O241" s="105">
        <f t="shared" si="68"/>
        <v>161893.89000000001</v>
      </c>
      <c r="P241" s="105">
        <f t="shared" si="56"/>
        <v>0</v>
      </c>
      <c r="Q241" s="103">
        <f t="shared" si="57"/>
        <v>458.77887667195654</v>
      </c>
      <c r="R241" s="6">
        <f t="shared" si="58"/>
        <v>458.77887667195654</v>
      </c>
      <c r="S241" s="5">
        <f t="shared" si="59"/>
        <v>161893.89000000001</v>
      </c>
      <c r="T241" s="140">
        <v>0.84308333333333341</v>
      </c>
      <c r="U241" s="105">
        <f t="shared" si="60"/>
        <v>41676.69715806863</v>
      </c>
      <c r="V241" s="105">
        <f t="shared" si="61"/>
        <v>18201.182886237104</v>
      </c>
      <c r="W241" s="105">
        <f t="shared" si="62"/>
        <v>10541.07862870451</v>
      </c>
      <c r="X241" s="105">
        <f t="shared" si="63"/>
        <v>2421.5355999655985</v>
      </c>
      <c r="Y241" s="105">
        <f t="shared" si="64"/>
        <v>72840.494272975848</v>
      </c>
      <c r="Z241" s="112">
        <f t="shared" si="65"/>
        <v>0.44992738313333408</v>
      </c>
      <c r="AA241" s="104">
        <f t="shared" si="66"/>
        <v>73023.657609855873</v>
      </c>
      <c r="AB241" s="105"/>
      <c r="AC241" s="104">
        <v>72035.280164857439</v>
      </c>
      <c r="AD241" s="5">
        <f t="shared" si="69"/>
        <v>988.37744499843393</v>
      </c>
      <c r="AE241" s="105"/>
      <c r="AF241" s="104">
        <f t="shared" si="67"/>
        <v>130.20853896112257</v>
      </c>
    </row>
    <row r="242" spans="2:32" x14ac:dyDescent="0.25">
      <c r="B242">
        <v>204</v>
      </c>
      <c r="C242" s="27">
        <v>9</v>
      </c>
      <c r="D242" s="39" t="s">
        <v>512</v>
      </c>
      <c r="E242" s="162">
        <v>770.93000000000006</v>
      </c>
      <c r="F242" s="162">
        <f>INDEX('2017 Lockdown Update'!H$5:H$249,MATCH(B242,'2017 Lockdown Update'!B$5:B$249,0))</f>
        <v>695.26117999658322</v>
      </c>
      <c r="G242" s="162">
        <f t="shared" si="53"/>
        <v>-75.66882000341684</v>
      </c>
      <c r="H242" s="5">
        <v>477390.88</v>
      </c>
      <c r="I242" s="5">
        <f>INDEX('2017 Lockdown Update'!E$5:E$249,MATCH(B242,'2017 Lockdown Update'!B$5:B$249,0))</f>
        <v>583867.55000000005</v>
      </c>
      <c r="J242" s="5">
        <f t="shared" si="54"/>
        <v>106476.67000000004</v>
      </c>
      <c r="K242" s="5">
        <v>23253.81</v>
      </c>
      <c r="L242" s="5">
        <f>INDEX('2017 Lockdown Update'!F$5:F$249,MATCH(B242,'2017 Lockdown Update'!B$5:B$249,0))</f>
        <v>36940.740000000005</v>
      </c>
      <c r="M242" s="5">
        <f t="shared" si="55"/>
        <v>13686.930000000004</v>
      </c>
      <c r="N242" s="5">
        <v>454137.07</v>
      </c>
      <c r="O242" s="105">
        <f t="shared" si="68"/>
        <v>546926.81000000006</v>
      </c>
      <c r="P242" s="105">
        <f t="shared" si="56"/>
        <v>92789.740000000049</v>
      </c>
      <c r="Q242" s="103">
        <f t="shared" si="57"/>
        <v>786.64942864016632</v>
      </c>
      <c r="R242" s="6">
        <f t="shared" si="58"/>
        <v>786.64942864016632</v>
      </c>
      <c r="S242" s="5">
        <f t="shared" si="59"/>
        <v>546926.81000000006</v>
      </c>
      <c r="T242" s="140">
        <v>0.3695</v>
      </c>
      <c r="U242" s="105">
        <f t="shared" si="60"/>
        <v>140796.56142673787</v>
      </c>
      <c r="V242" s="105">
        <f t="shared" si="61"/>
        <v>35860.847570898964</v>
      </c>
      <c r="W242" s="105">
        <f t="shared" si="62"/>
        <v>15607.298834153893</v>
      </c>
      <c r="X242" s="105">
        <f t="shared" si="63"/>
        <v>8180.6839096313097</v>
      </c>
      <c r="Y242" s="105">
        <f t="shared" si="64"/>
        <v>200445.39174142203</v>
      </c>
      <c r="Z242" s="112">
        <f t="shared" si="65"/>
        <v>0.36649399531433102</v>
      </c>
      <c r="AA242" s="104">
        <f t="shared" si="66"/>
        <v>200949.42795342236</v>
      </c>
      <c r="AB242" s="105"/>
      <c r="AC242" s="104">
        <v>174524.81706189743</v>
      </c>
      <c r="AD242" s="5">
        <f t="shared" si="69"/>
        <v>26424.610891524935</v>
      </c>
      <c r="AE242" s="105"/>
      <c r="AF242" s="104">
        <f t="shared" si="67"/>
        <v>358.31307654681217</v>
      </c>
    </row>
    <row r="243" spans="2:32" x14ac:dyDescent="0.25">
      <c r="B243">
        <v>218</v>
      </c>
      <c r="C243" s="27">
        <v>9</v>
      </c>
      <c r="D243" s="39" t="s">
        <v>513</v>
      </c>
      <c r="E243" s="162">
        <v>301.22258431659509</v>
      </c>
      <c r="F243" s="162">
        <f>INDEX('2017 Lockdown Update'!H$5:H$249,MATCH(B243,'2017 Lockdown Update'!B$5:B$249,0))</f>
        <v>324.80179312584204</v>
      </c>
      <c r="G243" s="162">
        <f t="shared" si="53"/>
        <v>23.57920880924695</v>
      </c>
      <c r="H243" s="5">
        <v>203428.09</v>
      </c>
      <c r="I243" s="5">
        <f>INDEX('2017 Lockdown Update'!E$5:E$249,MATCH(B243,'2017 Lockdown Update'!B$5:B$249,0))</f>
        <v>203212.92</v>
      </c>
      <c r="J243" s="5">
        <f t="shared" si="54"/>
        <v>-215.1699999999837</v>
      </c>
      <c r="K243" s="5">
        <v>138</v>
      </c>
      <c r="L243" s="5">
        <f>INDEX('2017 Lockdown Update'!F$5:F$249,MATCH(B243,'2017 Lockdown Update'!B$5:B$249,0))</f>
        <v>138</v>
      </c>
      <c r="M243" s="5">
        <f t="shared" si="55"/>
        <v>0</v>
      </c>
      <c r="N243" s="5">
        <v>203290.09</v>
      </c>
      <c r="O243" s="105">
        <f t="shared" si="68"/>
        <v>203074.92</v>
      </c>
      <c r="P243" s="105">
        <f t="shared" si="56"/>
        <v>-215.1699999999837</v>
      </c>
      <c r="Q243" s="103">
        <f t="shared" si="57"/>
        <v>625.22721332797619</v>
      </c>
      <c r="R243" s="6">
        <f t="shared" si="58"/>
        <v>625.22721332797619</v>
      </c>
      <c r="S243" s="5">
        <f t="shared" si="59"/>
        <v>203074.92000000004</v>
      </c>
      <c r="T243" s="140">
        <v>0.65316666666666667</v>
      </c>
      <c r="U243" s="105">
        <f t="shared" si="60"/>
        <v>52278.019517839843</v>
      </c>
      <c r="V243" s="105">
        <f t="shared" si="61"/>
        <v>16752.938218264568</v>
      </c>
      <c r="W243" s="105">
        <f t="shared" si="62"/>
        <v>10243.877924520717</v>
      </c>
      <c r="X243" s="105">
        <f t="shared" si="63"/>
        <v>3037.502825092201</v>
      </c>
      <c r="Y243" s="105">
        <f t="shared" si="64"/>
        <v>82312.338485717322</v>
      </c>
      <c r="Z243" s="112">
        <f t="shared" si="65"/>
        <v>0.40532990723678386</v>
      </c>
      <c r="AA243" s="104">
        <f t="shared" si="66"/>
        <v>82519.319543903737</v>
      </c>
      <c r="AB243" s="105"/>
      <c r="AC243" s="104">
        <v>80187.544709783077</v>
      </c>
      <c r="AD243" s="5">
        <f t="shared" si="69"/>
        <v>2331.7748341206607</v>
      </c>
      <c r="AE243" s="105"/>
      <c r="AF243" s="104">
        <f t="shared" si="67"/>
        <v>147.14026091768264</v>
      </c>
    </row>
    <row r="244" spans="2:32" x14ac:dyDescent="0.25">
      <c r="B244">
        <v>230</v>
      </c>
      <c r="C244" s="27">
        <v>9</v>
      </c>
      <c r="D244" s="39" t="s">
        <v>514</v>
      </c>
      <c r="E244" s="162">
        <v>146.57443758263469</v>
      </c>
      <c r="F244" s="162">
        <f>INDEX('2017 Lockdown Update'!H$5:H$249,MATCH(B244,'2017 Lockdown Update'!B$5:B$249,0))</f>
        <v>146.57443758263469</v>
      </c>
      <c r="G244" s="162">
        <f t="shared" si="53"/>
        <v>0</v>
      </c>
      <c r="H244" s="5">
        <v>92506.27</v>
      </c>
      <c r="I244" s="5">
        <f>INDEX('2017 Lockdown Update'!E$5:E$249,MATCH(B244,'2017 Lockdown Update'!B$5:B$249,0))</f>
        <v>69106.73</v>
      </c>
      <c r="J244" s="5">
        <f t="shared" si="54"/>
        <v>-23399.540000000008</v>
      </c>
      <c r="K244" s="5">
        <v>4871.54</v>
      </c>
      <c r="L244" s="5">
        <f>INDEX('2017 Lockdown Update'!F$5:F$249,MATCH(B244,'2017 Lockdown Update'!B$5:B$249,0))</f>
        <v>4871.54</v>
      </c>
      <c r="M244" s="5">
        <f t="shared" si="55"/>
        <v>0</v>
      </c>
      <c r="N244" s="5">
        <v>87634.73000000001</v>
      </c>
      <c r="O244" s="105">
        <f t="shared" si="68"/>
        <v>64235.189999999995</v>
      </c>
      <c r="P244" s="105">
        <f t="shared" si="56"/>
        <v>-23399.540000000015</v>
      </c>
      <c r="Q244" s="103">
        <f t="shared" si="57"/>
        <v>438.2427868009791</v>
      </c>
      <c r="R244" s="6">
        <f t="shared" si="58"/>
        <v>438.2427868009791</v>
      </c>
      <c r="S244" s="5">
        <f t="shared" si="59"/>
        <v>64235.189999999995</v>
      </c>
      <c r="T244" s="140">
        <v>0.17358333333333334</v>
      </c>
      <c r="U244" s="105">
        <f t="shared" si="60"/>
        <v>16536.205044680799</v>
      </c>
      <c r="V244" s="105">
        <f t="shared" si="61"/>
        <v>7560.1568377036938</v>
      </c>
      <c r="W244" s="105">
        <f t="shared" si="62"/>
        <v>861.1228777017526</v>
      </c>
      <c r="X244" s="105">
        <f t="shared" si="63"/>
        <v>960.80092556645729</v>
      </c>
      <c r="Y244" s="105">
        <f t="shared" si="64"/>
        <v>25918.285685652703</v>
      </c>
      <c r="Z244" s="112">
        <f t="shared" si="65"/>
        <v>0.40349044948186041</v>
      </c>
      <c r="AA244" s="104">
        <f t="shared" si="66"/>
        <v>25983.459319354351</v>
      </c>
      <c r="AB244" s="105"/>
      <c r="AC244" s="104">
        <v>32253.333462369315</v>
      </c>
      <c r="AD244" s="5">
        <f t="shared" si="69"/>
        <v>-6269.8741430149639</v>
      </c>
      <c r="AE244" s="105"/>
      <c r="AF244" s="104">
        <f t="shared" si="67"/>
        <v>46.331125909971689</v>
      </c>
    </row>
    <row r="245" spans="2:32" x14ac:dyDescent="0.25">
      <c r="B245">
        <v>277</v>
      </c>
      <c r="C245" s="27">
        <v>9</v>
      </c>
      <c r="D245" s="39" t="s">
        <v>515</v>
      </c>
      <c r="E245" s="162">
        <v>118.22152392243591</v>
      </c>
      <c r="F245" s="162">
        <f>INDEX('2017 Lockdown Update'!H$5:H$249,MATCH(B245,'2017 Lockdown Update'!B$5:B$249,0))</f>
        <v>118.22152392243591</v>
      </c>
      <c r="G245" s="162">
        <f t="shared" si="53"/>
        <v>0</v>
      </c>
      <c r="H245" s="5">
        <v>69536.61</v>
      </c>
      <c r="I245" s="5">
        <f>INDEX('2017 Lockdown Update'!E$5:E$249,MATCH(B245,'2017 Lockdown Update'!B$5:B$249,0))</f>
        <v>69536.61</v>
      </c>
      <c r="J245" s="5">
        <f t="shared" si="54"/>
        <v>0</v>
      </c>
      <c r="K245" s="5">
        <v>0</v>
      </c>
      <c r="L245" s="5">
        <f>INDEX('2017 Lockdown Update'!F$5:F$249,MATCH(B245,'2017 Lockdown Update'!B$5:B$249,0))</f>
        <v>0</v>
      </c>
      <c r="M245" s="5">
        <f t="shared" si="55"/>
        <v>0</v>
      </c>
      <c r="N245" s="5">
        <v>69536.61</v>
      </c>
      <c r="O245" s="105">
        <f t="shared" si="68"/>
        <v>69536.61</v>
      </c>
      <c r="P245" s="105">
        <f t="shared" si="56"/>
        <v>0</v>
      </c>
      <c r="Q245" s="103">
        <f t="shared" si="57"/>
        <v>588.18908514174075</v>
      </c>
      <c r="R245" s="6">
        <f t="shared" si="58"/>
        <v>588.18908514174075</v>
      </c>
      <c r="S245" s="5">
        <f t="shared" si="59"/>
        <v>69536.61</v>
      </c>
      <c r="T245" s="140">
        <v>0.39208333333333334</v>
      </c>
      <c r="U245" s="105">
        <f t="shared" si="60"/>
        <v>17900.961156524972</v>
      </c>
      <c r="V245" s="105">
        <f t="shared" si="61"/>
        <v>6097.743079805914</v>
      </c>
      <c r="W245" s="105">
        <f t="shared" si="62"/>
        <v>2105.6005560362496</v>
      </c>
      <c r="X245" s="105">
        <f t="shared" si="63"/>
        <v>1040.0971686820535</v>
      </c>
      <c r="Y245" s="105">
        <f t="shared" si="64"/>
        <v>27144.401961049189</v>
      </c>
      <c r="Z245" s="112">
        <f t="shared" si="65"/>
        <v>0.39036130695829419</v>
      </c>
      <c r="AA245" s="104">
        <f t="shared" si="66"/>
        <v>27212.658763675568</v>
      </c>
      <c r="AB245" s="105"/>
      <c r="AC245" s="104">
        <v>26842.297816001697</v>
      </c>
      <c r="AD245" s="5">
        <f t="shared" si="69"/>
        <v>370.36094767387112</v>
      </c>
      <c r="AE245" s="105"/>
      <c r="AF245" s="104">
        <f t="shared" si="67"/>
        <v>48.522912366245933</v>
      </c>
    </row>
    <row r="246" spans="2:32" x14ac:dyDescent="0.25">
      <c r="B246">
        <v>279</v>
      </c>
      <c r="C246" s="27">
        <v>9</v>
      </c>
      <c r="D246" s="39" t="s">
        <v>516</v>
      </c>
      <c r="E246" s="162">
        <v>540.1157723406485</v>
      </c>
      <c r="F246" s="162">
        <f>INDEX('2017 Lockdown Update'!H$5:H$249,MATCH(B246,'2017 Lockdown Update'!B$5:B$249,0))</f>
        <v>540.1157723406485</v>
      </c>
      <c r="G246" s="162">
        <f t="shared" si="53"/>
        <v>0</v>
      </c>
      <c r="H246" s="5">
        <v>142483.69</v>
      </c>
      <c r="I246" s="5">
        <f>INDEX('2017 Lockdown Update'!E$5:E$249,MATCH(B246,'2017 Lockdown Update'!B$5:B$249,0))</f>
        <v>141933.18</v>
      </c>
      <c r="J246" s="5">
        <f t="shared" si="54"/>
        <v>-550.51000000000931</v>
      </c>
      <c r="K246" s="5">
        <v>746</v>
      </c>
      <c r="L246" s="5">
        <f>INDEX('2017 Lockdown Update'!F$5:F$249,MATCH(B246,'2017 Lockdown Update'!B$5:B$249,0))</f>
        <v>746</v>
      </c>
      <c r="M246" s="5">
        <f t="shared" si="55"/>
        <v>0</v>
      </c>
      <c r="N246" s="5">
        <v>141737.69</v>
      </c>
      <c r="O246" s="105">
        <f t="shared" si="68"/>
        <v>141187.18</v>
      </c>
      <c r="P246" s="105">
        <f t="shared" si="56"/>
        <v>-550.51000000000931</v>
      </c>
      <c r="Q246" s="103">
        <f t="shared" si="57"/>
        <v>261.40169798810075</v>
      </c>
      <c r="R246" s="6">
        <f t="shared" si="58"/>
        <v>261.40169798810075</v>
      </c>
      <c r="S246" s="5">
        <f t="shared" si="59"/>
        <v>141187.18</v>
      </c>
      <c r="T246" s="140">
        <v>0.48658333333333331</v>
      </c>
      <c r="U246" s="105">
        <f t="shared" si="60"/>
        <v>36346.123645937005</v>
      </c>
      <c r="V246" s="105">
        <f t="shared" si="61"/>
        <v>27858.609023218509</v>
      </c>
      <c r="W246" s="105">
        <f t="shared" si="62"/>
        <v>5305.6253992156544</v>
      </c>
      <c r="X246" s="105">
        <f t="shared" si="63"/>
        <v>2111.8139951344115</v>
      </c>
      <c r="Y246" s="105">
        <f t="shared" si="64"/>
        <v>71622.172063505568</v>
      </c>
      <c r="Z246" s="112">
        <f t="shared" si="65"/>
        <v>0.50728523697056327</v>
      </c>
      <c r="AA246" s="104">
        <f t="shared" si="66"/>
        <v>71802.271830272439</v>
      </c>
      <c r="AB246" s="105"/>
      <c r="AC246" s="104">
        <v>71194.934201450844</v>
      </c>
      <c r="AD246" s="5">
        <f t="shared" si="69"/>
        <v>607.33762882159499</v>
      </c>
      <c r="AE246" s="105"/>
      <c r="AF246" s="104">
        <f t="shared" si="67"/>
        <v>128.03068505633561</v>
      </c>
    </row>
    <row r="247" spans="2:32" x14ac:dyDescent="0.25">
      <c r="B247">
        <v>331</v>
      </c>
      <c r="C247" s="27">
        <v>9</v>
      </c>
      <c r="D247" s="39" t="s">
        <v>517</v>
      </c>
      <c r="E247" s="162">
        <v>398.65860170051161</v>
      </c>
      <c r="F247" s="162">
        <f>INDEX('2017 Lockdown Update'!H$5:H$249,MATCH(B247,'2017 Lockdown Update'!B$5:B$249,0))</f>
        <v>398.65860170051161</v>
      </c>
      <c r="G247" s="162">
        <f t="shared" si="53"/>
        <v>0</v>
      </c>
      <c r="H247" s="5">
        <v>162650.39000000001</v>
      </c>
      <c r="I247" s="5">
        <f>INDEX('2017 Lockdown Update'!E$5:E$249,MATCH(B247,'2017 Lockdown Update'!B$5:B$249,0))</f>
        <v>161705.39000000001</v>
      </c>
      <c r="J247" s="5">
        <f t="shared" si="54"/>
        <v>-945</v>
      </c>
      <c r="K247" s="5">
        <v>23223.75</v>
      </c>
      <c r="L247" s="5">
        <f>INDEX('2017 Lockdown Update'!F$5:F$249,MATCH(B247,'2017 Lockdown Update'!B$5:B$249,0))</f>
        <v>23223.75</v>
      </c>
      <c r="M247" s="5">
        <f t="shared" si="55"/>
        <v>0</v>
      </c>
      <c r="N247" s="5">
        <v>139426.64000000001</v>
      </c>
      <c r="O247" s="105">
        <f t="shared" si="68"/>
        <v>138481.64000000001</v>
      </c>
      <c r="P247" s="105">
        <f t="shared" si="56"/>
        <v>-945</v>
      </c>
      <c r="Q247" s="103">
        <f t="shared" si="57"/>
        <v>347.3690004663012</v>
      </c>
      <c r="R247" s="6">
        <f t="shared" si="58"/>
        <v>347.3690004663012</v>
      </c>
      <c r="S247" s="5">
        <f t="shared" si="59"/>
        <v>138481.64000000001</v>
      </c>
      <c r="T247" s="140">
        <v>0.52187499999999998</v>
      </c>
      <c r="U247" s="105">
        <f t="shared" si="60"/>
        <v>35649.630583542617</v>
      </c>
      <c r="V247" s="105">
        <f t="shared" si="61"/>
        <v>20562.395484931327</v>
      </c>
      <c r="W247" s="105">
        <f t="shared" si="62"/>
        <v>5581.3952882358908</v>
      </c>
      <c r="X247" s="105">
        <f t="shared" si="63"/>
        <v>2071.3457512301429</v>
      </c>
      <c r="Y247" s="105">
        <f t="shared" si="64"/>
        <v>63864.767107939988</v>
      </c>
      <c r="Z247" s="112">
        <f t="shared" si="65"/>
        <v>0.46117858734154205</v>
      </c>
      <c r="AA247" s="104">
        <f t="shared" si="66"/>
        <v>64025.360250110571</v>
      </c>
      <c r="AB247" s="105"/>
      <c r="AC247" s="104">
        <v>63535.076180130098</v>
      </c>
      <c r="AD247" s="5">
        <f t="shared" si="69"/>
        <v>490.28406998047285</v>
      </c>
      <c r="AE247" s="105"/>
      <c r="AF247" s="104">
        <f t="shared" si="67"/>
        <v>114.16366815213114</v>
      </c>
    </row>
    <row r="248" spans="2:32" x14ac:dyDescent="0.25">
      <c r="B248">
        <v>369</v>
      </c>
      <c r="C248" s="27">
        <v>9</v>
      </c>
      <c r="D248" s="39" t="s">
        <v>518</v>
      </c>
      <c r="E248" s="162">
        <v>468.64581619145497</v>
      </c>
      <c r="F248" s="162">
        <f>INDEX('2017 Lockdown Update'!H$5:H$249,MATCH(B248,'2017 Lockdown Update'!B$5:B$249,0))</f>
        <v>468.64581619145497</v>
      </c>
      <c r="G248" s="162">
        <f t="shared" si="53"/>
        <v>0</v>
      </c>
      <c r="H248" s="5">
        <v>387832.75</v>
      </c>
      <c r="I248" s="5">
        <f>INDEX('2017 Lockdown Update'!E$5:E$249,MATCH(B248,'2017 Lockdown Update'!B$5:B$249,0))</f>
        <v>387832.75</v>
      </c>
      <c r="J248" s="5">
        <f t="shared" si="54"/>
        <v>0</v>
      </c>
      <c r="K248" s="5">
        <v>0</v>
      </c>
      <c r="L248" s="5">
        <f>INDEX('2017 Lockdown Update'!F$5:F$249,MATCH(B248,'2017 Lockdown Update'!B$5:B$249,0))</f>
        <v>0</v>
      </c>
      <c r="M248" s="5">
        <f t="shared" si="55"/>
        <v>0</v>
      </c>
      <c r="N248" s="5">
        <v>387832.75</v>
      </c>
      <c r="O248" s="105">
        <f t="shared" si="68"/>
        <v>387832.75</v>
      </c>
      <c r="P248" s="105">
        <f t="shared" si="56"/>
        <v>0</v>
      </c>
      <c r="Q248" s="103">
        <f t="shared" si="57"/>
        <v>827.56046592243433</v>
      </c>
      <c r="R248" s="6">
        <f t="shared" si="58"/>
        <v>827.56046592243433</v>
      </c>
      <c r="S248" s="5">
        <f t="shared" si="59"/>
        <v>387832.75</v>
      </c>
      <c r="T248" s="140">
        <v>0.67125000000000001</v>
      </c>
      <c r="U248" s="105">
        <f t="shared" si="60"/>
        <v>99840.630611389599</v>
      </c>
      <c r="V248" s="105">
        <f t="shared" si="61"/>
        <v>24172.263118823765</v>
      </c>
      <c r="W248" s="105">
        <f t="shared" si="62"/>
        <v>20105.406989368581</v>
      </c>
      <c r="X248" s="105">
        <f t="shared" si="63"/>
        <v>5801.0269007530669</v>
      </c>
      <c r="Y248" s="105">
        <f t="shared" si="64"/>
        <v>149919.32762033501</v>
      </c>
      <c r="Z248" s="112">
        <f t="shared" si="65"/>
        <v>0.38655664747326007</v>
      </c>
      <c r="AA248" s="104">
        <f t="shared" si="66"/>
        <v>150296.31194181478</v>
      </c>
      <c r="AB248" s="105"/>
      <c r="AC248" s="104">
        <v>148047.62885728764</v>
      </c>
      <c r="AD248" s="5">
        <f t="shared" si="69"/>
        <v>2248.683084527147</v>
      </c>
      <c r="AE248" s="105"/>
      <c r="AF248" s="104">
        <f t="shared" si="67"/>
        <v>267.99346718216856</v>
      </c>
    </row>
    <row r="249" spans="2:32" x14ac:dyDescent="0.25">
      <c r="B249">
        <v>416</v>
      </c>
      <c r="C249" s="27">
        <v>9</v>
      </c>
      <c r="D249" s="39" t="s">
        <v>519</v>
      </c>
      <c r="E249" s="162">
        <v>79.001198840183932</v>
      </c>
      <c r="F249" s="162">
        <f>INDEX('2017 Lockdown Update'!H$5:H$249,MATCH(B249,'2017 Lockdown Update'!B$5:B$249,0))</f>
        <v>79.001198840183932</v>
      </c>
      <c r="G249" s="162">
        <f t="shared" si="53"/>
        <v>0</v>
      </c>
      <c r="H249" s="5">
        <v>47802.65</v>
      </c>
      <c r="I249" s="5">
        <f>INDEX('2017 Lockdown Update'!E$5:E$249,MATCH(B249,'2017 Lockdown Update'!B$5:B$249,0))</f>
        <v>47802.65</v>
      </c>
      <c r="J249" s="5">
        <f t="shared" si="54"/>
        <v>0</v>
      </c>
      <c r="K249" s="5">
        <v>134.5</v>
      </c>
      <c r="L249" s="5">
        <f>INDEX('2017 Lockdown Update'!F$5:F$249,MATCH(B249,'2017 Lockdown Update'!B$5:B$249,0))</f>
        <v>134.5</v>
      </c>
      <c r="M249" s="5">
        <f t="shared" si="55"/>
        <v>0</v>
      </c>
      <c r="N249" s="5">
        <v>47668.15</v>
      </c>
      <c r="O249" s="105">
        <f t="shared" si="68"/>
        <v>47668.15</v>
      </c>
      <c r="P249" s="105">
        <f t="shared" si="56"/>
        <v>0</v>
      </c>
      <c r="Q249" s="103">
        <f t="shared" si="57"/>
        <v>603.38514731188627</v>
      </c>
      <c r="R249" s="6">
        <f t="shared" si="58"/>
        <v>603.38514731188627</v>
      </c>
      <c r="S249" s="5">
        <f t="shared" si="59"/>
        <v>47668.15</v>
      </c>
      <c r="T249" s="140">
        <v>0.58683333333333343</v>
      </c>
      <c r="U249" s="105">
        <f t="shared" si="60"/>
        <v>12271.315808369231</v>
      </c>
      <c r="V249" s="105">
        <f t="shared" si="61"/>
        <v>4074.7995588363478</v>
      </c>
      <c r="W249" s="105">
        <f t="shared" si="62"/>
        <v>2160.3651480634035</v>
      </c>
      <c r="X249" s="105">
        <f t="shared" si="63"/>
        <v>712.99863268156787</v>
      </c>
      <c r="Y249" s="105">
        <f t="shared" si="64"/>
        <v>19219.479147950547</v>
      </c>
      <c r="Z249" s="112">
        <f t="shared" si="65"/>
        <v>0.40319330932604991</v>
      </c>
      <c r="AA249" s="104">
        <f t="shared" si="66"/>
        <v>19267.808088726841</v>
      </c>
      <c r="AB249" s="105"/>
      <c r="AC249" s="104">
        <v>19000.175059583507</v>
      </c>
      <c r="AD249" s="5">
        <f t="shared" si="69"/>
        <v>267.63302914333326</v>
      </c>
      <c r="AE249" s="105"/>
      <c r="AF249" s="104">
        <f t="shared" si="67"/>
        <v>34.356443135461475</v>
      </c>
    </row>
    <row r="250" spans="2:32" x14ac:dyDescent="0.25">
      <c r="B250">
        <v>420</v>
      </c>
      <c r="C250" s="27">
        <v>9</v>
      </c>
      <c r="D250" s="39" t="s">
        <v>520</v>
      </c>
      <c r="E250" s="162">
        <v>423.29939066767844</v>
      </c>
      <c r="F250" s="162">
        <f>INDEX('2017 Lockdown Update'!H$5:H$249,MATCH(B250,'2017 Lockdown Update'!B$5:B$249,0))</f>
        <v>423.29939066767844</v>
      </c>
      <c r="G250" s="162">
        <f t="shared" si="53"/>
        <v>0</v>
      </c>
      <c r="H250" s="5">
        <v>188843.04</v>
      </c>
      <c r="I250" s="5">
        <f>INDEX('2017 Lockdown Update'!E$5:E$249,MATCH(B250,'2017 Lockdown Update'!B$5:B$249,0))</f>
        <v>188843.04</v>
      </c>
      <c r="J250" s="5">
        <f t="shared" si="54"/>
        <v>0</v>
      </c>
      <c r="K250" s="5">
        <v>627.58000000000004</v>
      </c>
      <c r="L250" s="5">
        <f>INDEX('2017 Lockdown Update'!F$5:F$249,MATCH(B250,'2017 Lockdown Update'!B$5:B$249,0))</f>
        <v>627.58000000000004</v>
      </c>
      <c r="M250" s="5">
        <f t="shared" si="55"/>
        <v>0</v>
      </c>
      <c r="N250" s="5">
        <v>188215.46000000002</v>
      </c>
      <c r="O250" s="105">
        <f t="shared" si="68"/>
        <v>188215.46000000002</v>
      </c>
      <c r="P250" s="105">
        <f t="shared" si="56"/>
        <v>0</v>
      </c>
      <c r="Q250" s="103">
        <f t="shared" si="57"/>
        <v>444.6390997707889</v>
      </c>
      <c r="R250" s="6">
        <f t="shared" si="58"/>
        <v>444.6390997707889</v>
      </c>
      <c r="S250" s="5">
        <f t="shared" si="59"/>
        <v>188215.46000000002</v>
      </c>
      <c r="T250" s="140">
        <v>0.50916666666666666</v>
      </c>
      <c r="U250" s="105">
        <f t="shared" si="60"/>
        <v>48452.716324788918</v>
      </c>
      <c r="V250" s="105">
        <f t="shared" si="61"/>
        <v>21833.341717227224</v>
      </c>
      <c r="W250" s="105">
        <f t="shared" si="62"/>
        <v>7401.1524186115066</v>
      </c>
      <c r="X250" s="105">
        <f t="shared" si="63"/>
        <v>2815.2417416982271</v>
      </c>
      <c r="Y250" s="105">
        <f t="shared" si="64"/>
        <v>80502.452202325876</v>
      </c>
      <c r="Z250" s="112">
        <f t="shared" si="65"/>
        <v>0.42771434505075123</v>
      </c>
      <c r="AA250" s="104">
        <f t="shared" si="66"/>
        <v>80704.882154505278</v>
      </c>
      <c r="AB250" s="105"/>
      <c r="AC250" s="104">
        <v>79682.882896801617</v>
      </c>
      <c r="AD250" s="5">
        <f t="shared" si="69"/>
        <v>1021.999257703661</v>
      </c>
      <c r="AE250" s="105"/>
      <c r="AF250" s="104">
        <f t="shared" si="67"/>
        <v>143.9049362401343</v>
      </c>
    </row>
    <row r="251" spans="2:32" x14ac:dyDescent="0.25">
      <c r="B251">
        <v>508</v>
      </c>
      <c r="C251" s="44">
        <v>9</v>
      </c>
      <c r="D251" s="39" t="s">
        <v>521</v>
      </c>
      <c r="E251" s="162">
        <v>96.676564339446884</v>
      </c>
      <c r="F251" s="162">
        <f>INDEX('2017 Lockdown Update'!H$5:H$249,MATCH(B251,'2017 Lockdown Update'!B$5:B$249,0))</f>
        <v>96.676564339446884</v>
      </c>
      <c r="G251" s="162">
        <f t="shared" si="53"/>
        <v>0</v>
      </c>
      <c r="H251" s="5">
        <v>60727.65</v>
      </c>
      <c r="I251" s="5">
        <f>INDEX('2017 Lockdown Update'!E$5:E$249,MATCH(B251,'2017 Lockdown Update'!B$5:B$249,0))</f>
        <v>60727.65</v>
      </c>
      <c r="J251" s="5">
        <f t="shared" si="54"/>
        <v>0</v>
      </c>
      <c r="K251" s="5">
        <v>0</v>
      </c>
      <c r="L251" s="5">
        <f>INDEX('2017 Lockdown Update'!F$5:F$249,MATCH(B251,'2017 Lockdown Update'!B$5:B$249,0))</f>
        <v>0</v>
      </c>
      <c r="M251" s="5">
        <f t="shared" si="55"/>
        <v>0</v>
      </c>
      <c r="N251" s="5">
        <v>60727.65</v>
      </c>
      <c r="O251" s="105">
        <f t="shared" si="68"/>
        <v>60727.65</v>
      </c>
      <c r="P251" s="105">
        <f t="shared" si="56"/>
        <v>0</v>
      </c>
      <c r="Q251" s="103">
        <f t="shared" si="57"/>
        <v>628.15275258205816</v>
      </c>
      <c r="R251" s="6">
        <f t="shared" si="58"/>
        <v>628.15275258205816</v>
      </c>
      <c r="S251" s="5">
        <f t="shared" si="59"/>
        <v>60727.65</v>
      </c>
      <c r="T251" s="140">
        <v>0.50783333333333336</v>
      </c>
      <c r="U251" s="105">
        <f t="shared" si="60"/>
        <v>15633.25137329881</v>
      </c>
      <c r="V251" s="105">
        <f t="shared" si="61"/>
        <v>4986.4765029339751</v>
      </c>
      <c r="W251" s="105">
        <f t="shared" si="62"/>
        <v>2381.725846722074</v>
      </c>
      <c r="X251" s="105">
        <f t="shared" si="63"/>
        <v>908.33672831785611</v>
      </c>
      <c r="Y251" s="105">
        <f t="shared" si="64"/>
        <v>23909.790451272715</v>
      </c>
      <c r="Z251" s="112">
        <f t="shared" si="65"/>
        <v>0.39372164823227501</v>
      </c>
      <c r="AA251" s="104">
        <f t="shared" si="66"/>
        <v>23969.913560634726</v>
      </c>
      <c r="AB251" s="105"/>
      <c r="AC251" s="104">
        <v>23637.018264891718</v>
      </c>
      <c r="AD251" s="5">
        <f t="shared" si="69"/>
        <v>332.89529574300832</v>
      </c>
      <c r="AE251" s="105"/>
      <c r="AF251" s="104">
        <f t="shared" si="67"/>
        <v>42.740770948912306</v>
      </c>
    </row>
    <row r="252" spans="2:32" x14ac:dyDescent="0.25">
      <c r="B252">
        <v>512</v>
      </c>
      <c r="C252" s="27">
        <v>9</v>
      </c>
      <c r="D252" s="39" t="s">
        <v>522</v>
      </c>
      <c r="E252" s="162">
        <v>240.37592968230376</v>
      </c>
      <c r="F252" s="162">
        <f>INDEX('2017 Lockdown Update'!H$5:H$249,MATCH(B252,'2017 Lockdown Update'!B$5:B$249,0))</f>
        <v>240.37592968230376</v>
      </c>
      <c r="G252" s="162">
        <f t="shared" si="53"/>
        <v>0</v>
      </c>
      <c r="H252" s="5">
        <v>282778.59999999998</v>
      </c>
      <c r="I252" s="5">
        <f>INDEX('2017 Lockdown Update'!E$5:E$249,MATCH(B252,'2017 Lockdown Update'!B$5:B$249,0))</f>
        <v>282778.59999999998</v>
      </c>
      <c r="J252" s="5">
        <f t="shared" si="54"/>
        <v>0</v>
      </c>
      <c r="K252" s="5">
        <v>11398.92</v>
      </c>
      <c r="L252" s="5">
        <f>INDEX('2017 Lockdown Update'!F$5:F$249,MATCH(B252,'2017 Lockdown Update'!B$5:B$249,0))</f>
        <v>11398.92</v>
      </c>
      <c r="M252" s="5">
        <f t="shared" si="55"/>
        <v>0</v>
      </c>
      <c r="N252" s="5">
        <v>271379.68</v>
      </c>
      <c r="O252" s="105">
        <f t="shared" si="68"/>
        <v>271379.68</v>
      </c>
      <c r="P252" s="105">
        <f t="shared" si="56"/>
        <v>0</v>
      </c>
      <c r="Q252" s="103">
        <f t="shared" si="57"/>
        <v>1128.9802617037103</v>
      </c>
      <c r="R252" s="6">
        <f t="shared" si="58"/>
        <v>1006.5321510108211</v>
      </c>
      <c r="S252" s="5">
        <f t="shared" si="59"/>
        <v>241946.10155435506</v>
      </c>
      <c r="T252" s="140">
        <v>0.61550000000000005</v>
      </c>
      <c r="U252" s="105">
        <f t="shared" si="60"/>
        <v>62284.712554971484</v>
      </c>
      <c r="V252" s="105">
        <f t="shared" si="61"/>
        <v>12398.340108810022</v>
      </c>
      <c r="W252" s="105">
        <f t="shared" si="62"/>
        <v>11500.872173275486</v>
      </c>
      <c r="X252" s="105">
        <f t="shared" si="63"/>
        <v>3618.920381657163</v>
      </c>
      <c r="Y252" s="105">
        <f t="shared" si="64"/>
        <v>89802.845218714152</v>
      </c>
      <c r="Z252" s="112">
        <f t="shared" si="65"/>
        <v>0.37116880429891635</v>
      </c>
      <c r="AA252" s="104">
        <f t="shared" si="66"/>
        <v>90028.661764246324</v>
      </c>
      <c r="AB252" s="105"/>
      <c r="AC252" s="104">
        <v>86253.207885824246</v>
      </c>
      <c r="AD252" s="5">
        <f t="shared" si="69"/>
        <v>3775.4538784220786</v>
      </c>
      <c r="AE252" s="105"/>
      <c r="AF252" s="104">
        <f t="shared" si="67"/>
        <v>160.53017469458322</v>
      </c>
    </row>
    <row r="253" spans="2:32" x14ac:dyDescent="0.25">
      <c r="B253">
        <v>516</v>
      </c>
      <c r="C253" s="46">
        <v>9</v>
      </c>
      <c r="D253" s="39" t="s">
        <v>523</v>
      </c>
      <c r="E253" s="162">
        <v>318.38260667853939</v>
      </c>
      <c r="F253" s="162">
        <f>INDEX('2017 Lockdown Update'!H$5:H$249,MATCH(B253,'2017 Lockdown Update'!B$5:B$249,0))</f>
        <v>318.38260667853939</v>
      </c>
      <c r="G253" s="162">
        <f t="shared" si="53"/>
        <v>0</v>
      </c>
      <c r="H253" s="5">
        <v>149463.49</v>
      </c>
      <c r="I253" s="5">
        <f>INDEX('2017 Lockdown Update'!E$5:E$249,MATCH(B253,'2017 Lockdown Update'!B$5:B$249,0))</f>
        <v>149463.49</v>
      </c>
      <c r="J253" s="5">
        <f t="shared" si="54"/>
        <v>0</v>
      </c>
      <c r="K253" s="5">
        <v>40.049999999999997</v>
      </c>
      <c r="L253" s="5">
        <f>INDEX('2017 Lockdown Update'!F$5:F$249,MATCH(B253,'2017 Lockdown Update'!B$5:B$249,0))</f>
        <v>40.049999999999997</v>
      </c>
      <c r="M253" s="5">
        <f t="shared" si="55"/>
        <v>0</v>
      </c>
      <c r="N253" s="5">
        <v>149423.44</v>
      </c>
      <c r="O253" s="105">
        <f t="shared" si="68"/>
        <v>149423.44</v>
      </c>
      <c r="P253" s="105">
        <f t="shared" si="56"/>
        <v>0</v>
      </c>
      <c r="Q253" s="103">
        <f t="shared" si="57"/>
        <v>469.32036130625693</v>
      </c>
      <c r="R253" s="6">
        <f t="shared" si="58"/>
        <v>469.32036130625693</v>
      </c>
      <c r="S253" s="5">
        <f t="shared" si="59"/>
        <v>149423.44</v>
      </c>
      <c r="T253" s="140">
        <v>0.42841666666666667</v>
      </c>
      <c r="U253" s="105">
        <f t="shared" si="60"/>
        <v>38466.402019229012</v>
      </c>
      <c r="V253" s="105">
        <f t="shared" si="61"/>
        <v>16421.843266699703</v>
      </c>
      <c r="W253" s="105">
        <f t="shared" si="62"/>
        <v>4943.8943195214088</v>
      </c>
      <c r="X253" s="105">
        <f t="shared" si="63"/>
        <v>2235.0082478673139</v>
      </c>
      <c r="Y253" s="105">
        <f t="shared" si="64"/>
        <v>62067.147853317438</v>
      </c>
      <c r="Z253" s="112">
        <f t="shared" si="65"/>
        <v>0.41537758636340749</v>
      </c>
      <c r="AA253" s="104">
        <f t="shared" si="66"/>
        <v>62223.220735920833</v>
      </c>
      <c r="AB253" s="105"/>
      <c r="AC253" s="104">
        <v>61425.884522020555</v>
      </c>
      <c r="AD253" s="5">
        <f t="shared" si="69"/>
        <v>797.33621390027838</v>
      </c>
      <c r="AE253" s="105"/>
      <c r="AF253" s="104">
        <f t="shared" si="67"/>
        <v>110.95027182514295</v>
      </c>
    </row>
    <row r="254" spans="2:32" x14ac:dyDescent="0.25">
      <c r="B254">
        <v>521</v>
      </c>
      <c r="C254" s="46">
        <v>9</v>
      </c>
      <c r="D254" s="39" t="s">
        <v>524</v>
      </c>
      <c r="E254" s="162">
        <v>130.45414260299998</v>
      </c>
      <c r="F254" s="162">
        <f>INDEX('2017 Lockdown Update'!H$5:H$249,MATCH(B254,'2017 Lockdown Update'!B$5:B$249,0))</f>
        <v>130.45414260299998</v>
      </c>
      <c r="G254" s="162">
        <f t="shared" si="53"/>
        <v>0</v>
      </c>
      <c r="H254" s="5">
        <v>324197.18</v>
      </c>
      <c r="I254" s="5">
        <f>INDEX('2017 Lockdown Update'!E$5:E$249,MATCH(B254,'2017 Lockdown Update'!B$5:B$249,0))</f>
        <v>324197.18</v>
      </c>
      <c r="J254" s="5">
        <f t="shared" si="54"/>
        <v>0</v>
      </c>
      <c r="K254" s="5">
        <v>0</v>
      </c>
      <c r="L254" s="5">
        <f>INDEX('2017 Lockdown Update'!F$5:F$249,MATCH(B254,'2017 Lockdown Update'!B$5:B$249,0))</f>
        <v>0</v>
      </c>
      <c r="M254" s="5">
        <f t="shared" si="55"/>
        <v>0</v>
      </c>
      <c r="N254" s="5">
        <v>324197.18</v>
      </c>
      <c r="O254" s="105">
        <f t="shared" si="68"/>
        <v>324197.18</v>
      </c>
      <c r="P254" s="105">
        <f t="shared" si="56"/>
        <v>0</v>
      </c>
      <c r="Q254" s="103">
        <f t="shared" si="57"/>
        <v>2485.142851972143</v>
      </c>
      <c r="R254" s="6">
        <f t="shared" si="58"/>
        <v>1006.5321510108211</v>
      </c>
      <c r="S254" s="5">
        <f t="shared" si="59"/>
        <v>131306.28876246995</v>
      </c>
      <c r="T254" s="140">
        <v>0.33945833333333331</v>
      </c>
      <c r="U254" s="105">
        <f t="shared" si="60"/>
        <v>33802.464266584553</v>
      </c>
      <c r="V254" s="105">
        <f t="shared" si="61"/>
        <v>6728.6888114499488</v>
      </c>
      <c r="W254" s="105">
        <f t="shared" si="62"/>
        <v>3442.3584547483042</v>
      </c>
      <c r="X254" s="105">
        <f t="shared" si="63"/>
        <v>1964.0200920348743</v>
      </c>
      <c r="Y254" s="105">
        <f t="shared" si="64"/>
        <v>45937.531624817682</v>
      </c>
      <c r="Z254" s="112">
        <f t="shared" si="65"/>
        <v>0.34985020182786231</v>
      </c>
      <c r="AA254" s="104">
        <f t="shared" si="66"/>
        <v>46053.045277826415</v>
      </c>
      <c r="AB254" s="105"/>
      <c r="AC254" s="104">
        <v>44157.12741943141</v>
      </c>
      <c r="AD254" s="5">
        <f t="shared" si="69"/>
        <v>1895.9178583950052</v>
      </c>
      <c r="AE254" s="105"/>
      <c r="AF254" s="104">
        <f t="shared" si="67"/>
        <v>82.11721976970469</v>
      </c>
    </row>
    <row r="255" spans="2:32" x14ac:dyDescent="0.25">
      <c r="B255">
        <v>522</v>
      </c>
      <c r="C255" s="46">
        <v>9</v>
      </c>
      <c r="D255" s="39" t="s">
        <v>525</v>
      </c>
      <c r="E255" s="162">
        <v>100.03985639352658</v>
      </c>
      <c r="F255" s="162">
        <f>INDEX('2017 Lockdown Update'!H$5:H$249,MATCH(B255,'2017 Lockdown Update'!B$5:B$249,0))</f>
        <v>100.03985639352658</v>
      </c>
      <c r="G255" s="162">
        <f t="shared" si="53"/>
        <v>0</v>
      </c>
      <c r="H255" s="5">
        <v>96784.89</v>
      </c>
      <c r="I255" s="5">
        <f>INDEX('2017 Lockdown Update'!E$5:E$249,MATCH(B255,'2017 Lockdown Update'!B$5:B$249,0))</f>
        <v>96784.89</v>
      </c>
      <c r="J255" s="5">
        <f t="shared" si="54"/>
        <v>0</v>
      </c>
      <c r="K255" s="5">
        <v>36</v>
      </c>
      <c r="L255" s="5">
        <f>INDEX('2017 Lockdown Update'!F$5:F$249,MATCH(B255,'2017 Lockdown Update'!B$5:B$249,0))</f>
        <v>36</v>
      </c>
      <c r="M255" s="5">
        <f t="shared" si="55"/>
        <v>0</v>
      </c>
      <c r="N255" s="5">
        <v>96748.89</v>
      </c>
      <c r="O255" s="105">
        <f t="shared" si="68"/>
        <v>96748.89</v>
      </c>
      <c r="P255" s="105">
        <f t="shared" si="56"/>
        <v>0</v>
      </c>
      <c r="Q255" s="103">
        <f t="shared" si="57"/>
        <v>967.1034474441775</v>
      </c>
      <c r="R255" s="6">
        <f t="shared" si="58"/>
        <v>967.1034474441775</v>
      </c>
      <c r="S255" s="5">
        <f t="shared" si="59"/>
        <v>96748.89</v>
      </c>
      <c r="T255" s="140">
        <v>0.61304166666666671</v>
      </c>
      <c r="U255" s="105">
        <f t="shared" si="60"/>
        <v>24906.27774099007</v>
      </c>
      <c r="V255" s="105">
        <f t="shared" si="61"/>
        <v>5159.9516043172571</v>
      </c>
      <c r="W255" s="105">
        <f t="shared" si="62"/>
        <v>4580.5758050398363</v>
      </c>
      <c r="X255" s="105">
        <f t="shared" si="63"/>
        <v>1447.1261478253175</v>
      </c>
      <c r="Y255" s="105">
        <f t="shared" si="64"/>
        <v>36093.93129817248</v>
      </c>
      <c r="Z255" s="112">
        <f t="shared" si="65"/>
        <v>0.37306816954874089</v>
      </c>
      <c r="AA255" s="104">
        <f t="shared" si="66"/>
        <v>36184.69241894297</v>
      </c>
      <c r="AB255" s="105"/>
      <c r="AC255" s="104">
        <v>35625.950888004743</v>
      </c>
      <c r="AD255" s="5">
        <f t="shared" si="69"/>
        <v>558.74153093822679</v>
      </c>
      <c r="AE255" s="105"/>
      <c r="AF255" s="104">
        <f t="shared" si="67"/>
        <v>64.520952343973832</v>
      </c>
    </row>
    <row r="256" spans="2:32" x14ac:dyDescent="0.25">
      <c r="B256">
        <v>523</v>
      </c>
      <c r="C256" s="46">
        <v>9</v>
      </c>
      <c r="D256" s="39" t="s">
        <v>526</v>
      </c>
      <c r="E256" s="162">
        <v>1100.2666392830195</v>
      </c>
      <c r="F256" s="162">
        <f>INDEX('2017 Lockdown Update'!H$5:H$249,MATCH(B256,'2017 Lockdown Update'!B$5:B$249,0))</f>
        <v>1100.2666392830195</v>
      </c>
      <c r="G256" s="162">
        <f t="shared" si="53"/>
        <v>0</v>
      </c>
      <c r="H256" s="5">
        <v>241124.1</v>
      </c>
      <c r="I256" s="5">
        <f>INDEX('2017 Lockdown Update'!E$5:E$249,MATCH(B256,'2017 Lockdown Update'!B$5:B$249,0))</f>
        <v>241124.1</v>
      </c>
      <c r="J256" s="5">
        <f t="shared" si="54"/>
        <v>0</v>
      </c>
      <c r="K256" s="5">
        <v>310</v>
      </c>
      <c r="L256" s="5">
        <f>INDEX('2017 Lockdown Update'!F$5:F$249,MATCH(B256,'2017 Lockdown Update'!B$5:B$249,0))</f>
        <v>310</v>
      </c>
      <c r="M256" s="5">
        <f t="shared" si="55"/>
        <v>0</v>
      </c>
      <c r="N256" s="5">
        <v>240814.1</v>
      </c>
      <c r="O256" s="105">
        <f t="shared" si="68"/>
        <v>240814.1</v>
      </c>
      <c r="P256" s="105">
        <f t="shared" si="56"/>
        <v>0</v>
      </c>
      <c r="Q256" s="103">
        <f t="shared" si="57"/>
        <v>218.86885542301337</v>
      </c>
      <c r="R256" s="6">
        <f t="shared" si="58"/>
        <v>218.86885542301337</v>
      </c>
      <c r="S256" s="5">
        <f t="shared" si="59"/>
        <v>240814.09999999998</v>
      </c>
      <c r="T256" s="140">
        <v>0.85316666666666663</v>
      </c>
      <c r="U256" s="105">
        <f t="shared" si="60"/>
        <v>61993.298926184645</v>
      </c>
      <c r="V256" s="105">
        <f t="shared" si="61"/>
        <v>56750.607360053589</v>
      </c>
      <c r="W256" s="105">
        <f t="shared" si="62"/>
        <v>15867.184860156958</v>
      </c>
      <c r="X256" s="105">
        <f t="shared" si="63"/>
        <v>3601.9884142858982</v>
      </c>
      <c r="Y256" s="105">
        <f t="shared" si="64"/>
        <v>138213.0795606811</v>
      </c>
      <c r="Z256" s="112">
        <f t="shared" si="65"/>
        <v>0.57394097588422399</v>
      </c>
      <c r="AA256" s="104">
        <f t="shared" si="66"/>
        <v>138560.62757096678</v>
      </c>
      <c r="AB256" s="105"/>
      <c r="AC256" s="104">
        <v>137053.63746914698</v>
      </c>
      <c r="AD256" s="5">
        <f t="shared" si="69"/>
        <v>1506.9901018197997</v>
      </c>
      <c r="AE256" s="105"/>
      <c r="AF256" s="104">
        <f t="shared" si="67"/>
        <v>247.06755952904717</v>
      </c>
    </row>
    <row r="257" spans="2:41" x14ac:dyDescent="0.25">
      <c r="B257">
        <v>527</v>
      </c>
      <c r="C257" s="46">
        <v>9</v>
      </c>
      <c r="D257" s="39" t="s">
        <v>527</v>
      </c>
      <c r="E257" s="162">
        <v>202.44848299718456</v>
      </c>
      <c r="F257" s="162">
        <f>INDEX('2017 Lockdown Update'!H$5:H$249,MATCH(B257,'2017 Lockdown Update'!B$5:B$249,0))</f>
        <v>202.44848299718456</v>
      </c>
      <c r="G257" s="162">
        <f t="shared" si="53"/>
        <v>0</v>
      </c>
      <c r="H257" s="5">
        <v>102100.27</v>
      </c>
      <c r="I257" s="5">
        <f>INDEX('2017 Lockdown Update'!E$5:E$249,MATCH(B257,'2017 Lockdown Update'!B$5:B$249,0))</f>
        <v>102100.27</v>
      </c>
      <c r="J257" s="5">
        <f t="shared" si="54"/>
        <v>0</v>
      </c>
      <c r="K257" s="5">
        <v>90</v>
      </c>
      <c r="L257" s="5">
        <f>INDEX('2017 Lockdown Update'!F$5:F$249,MATCH(B257,'2017 Lockdown Update'!B$5:B$249,0))</f>
        <v>90</v>
      </c>
      <c r="M257" s="5">
        <f t="shared" si="55"/>
        <v>0</v>
      </c>
      <c r="N257" s="5">
        <v>102010.27</v>
      </c>
      <c r="O257" s="105">
        <f t="shared" si="68"/>
        <v>102010.27</v>
      </c>
      <c r="P257" s="105">
        <f t="shared" si="56"/>
        <v>0</v>
      </c>
      <c r="Q257" s="103">
        <f t="shared" si="57"/>
        <v>503.88260998438136</v>
      </c>
      <c r="R257" s="6">
        <f t="shared" si="58"/>
        <v>503.88260998438136</v>
      </c>
      <c r="S257" s="5">
        <f t="shared" si="59"/>
        <v>102010.27</v>
      </c>
      <c r="T257" s="140">
        <v>0.72025000000000006</v>
      </c>
      <c r="U257" s="105">
        <f t="shared" si="60"/>
        <v>26260.72626831571</v>
      </c>
      <c r="V257" s="105">
        <f t="shared" si="61"/>
        <v>10442.081909071127</v>
      </c>
      <c r="W257" s="105">
        <f t="shared" si="62"/>
        <v>5674.2864284263178</v>
      </c>
      <c r="X257" s="105">
        <f t="shared" si="63"/>
        <v>1525.823490726566</v>
      </c>
      <c r="Y257" s="105">
        <f t="shared" si="64"/>
        <v>43902.918096539717</v>
      </c>
      <c r="Z257" s="112">
        <f t="shared" si="65"/>
        <v>0.43037743255203337</v>
      </c>
      <c r="AA257" s="104">
        <f t="shared" si="66"/>
        <v>44013.315548638224</v>
      </c>
      <c r="AB257" s="105"/>
      <c r="AC257" s="104">
        <v>43409.465432567828</v>
      </c>
      <c r="AD257" s="5">
        <f t="shared" si="69"/>
        <v>603.85011607039633</v>
      </c>
      <c r="AE257" s="105"/>
      <c r="AF257" s="104">
        <f t="shared" si="67"/>
        <v>78.480176151153955</v>
      </c>
    </row>
    <row r="258" spans="2:41" x14ac:dyDescent="0.25">
      <c r="B258">
        <v>543</v>
      </c>
      <c r="C258" s="46">
        <v>9</v>
      </c>
      <c r="D258" s="39" t="s">
        <v>528</v>
      </c>
      <c r="E258" s="162">
        <v>87.043542053499934</v>
      </c>
      <c r="F258" s="162">
        <f>INDEX('2017 Lockdown Update'!H$5:H$249,MATCH(B258,'2017 Lockdown Update'!B$5:B$249,0))</f>
        <v>96.866427600564279</v>
      </c>
      <c r="G258" s="162">
        <f t="shared" si="53"/>
        <v>9.8228855470643452</v>
      </c>
      <c r="H258" s="5">
        <v>35958.870000000003</v>
      </c>
      <c r="I258" s="5">
        <f>INDEX('2017 Lockdown Update'!E$5:E$249,MATCH(B258,'2017 Lockdown Update'!B$5:B$249,0))</f>
        <v>35958.870000000003</v>
      </c>
      <c r="J258" s="5">
        <f t="shared" si="54"/>
        <v>0</v>
      </c>
      <c r="K258" s="5">
        <v>0</v>
      </c>
      <c r="L258" s="5">
        <f>INDEX('2017 Lockdown Update'!F$5:F$249,MATCH(B258,'2017 Lockdown Update'!B$5:B$249,0))</f>
        <v>0</v>
      </c>
      <c r="M258" s="5">
        <f t="shared" si="55"/>
        <v>0</v>
      </c>
      <c r="N258" s="5">
        <v>35958.870000000003</v>
      </c>
      <c r="O258" s="105">
        <f t="shared" si="68"/>
        <v>35958.870000000003</v>
      </c>
      <c r="P258" s="105">
        <f t="shared" si="56"/>
        <v>0</v>
      </c>
      <c r="Q258" s="103">
        <f t="shared" si="57"/>
        <v>371.22118458088499</v>
      </c>
      <c r="R258" s="6">
        <f t="shared" si="58"/>
        <v>371.22118458088499</v>
      </c>
      <c r="S258" s="5">
        <f t="shared" si="59"/>
        <v>35958.870000000003</v>
      </c>
      <c r="T258" s="140">
        <v>0.27208333333333334</v>
      </c>
      <c r="U258" s="105">
        <f t="shared" si="60"/>
        <v>9256.9703225758512</v>
      </c>
      <c r="V258" s="105">
        <f t="shared" si="61"/>
        <v>4996.2694522056108</v>
      </c>
      <c r="W258" s="105">
        <f t="shared" si="62"/>
        <v>755.60020258025395</v>
      </c>
      <c r="X258" s="105">
        <f t="shared" si="63"/>
        <v>537.85651725049638</v>
      </c>
      <c r="Y258" s="105">
        <f t="shared" si="64"/>
        <v>15546.696494612212</v>
      </c>
      <c r="Z258" s="112">
        <f t="shared" si="65"/>
        <v>0.43234663643802518</v>
      </c>
      <c r="AA258" s="104">
        <f t="shared" si="66"/>
        <v>15585.789925207871</v>
      </c>
      <c r="AB258" s="105"/>
      <c r="AC258" s="104">
        <v>14896.735116850248</v>
      </c>
      <c r="AD258" s="5">
        <f t="shared" si="69"/>
        <v>689.05480835762319</v>
      </c>
      <c r="AE258" s="105"/>
      <c r="AF258" s="104">
        <f t="shared" si="67"/>
        <v>27.791033770984324</v>
      </c>
    </row>
    <row r="259" spans="2:41" x14ac:dyDescent="0.25">
      <c r="B259">
        <v>547</v>
      </c>
      <c r="C259" s="46">
        <v>9</v>
      </c>
      <c r="D259" s="39" t="s">
        <v>529</v>
      </c>
      <c r="E259" s="162">
        <v>243.74826284405572</v>
      </c>
      <c r="F259" s="162">
        <f>INDEX('2017 Lockdown Update'!H$5:H$249,MATCH(B259,'2017 Lockdown Update'!B$5:B$249,0))</f>
        <v>243.74826284405572</v>
      </c>
      <c r="G259" s="162">
        <f t="shared" si="53"/>
        <v>0</v>
      </c>
      <c r="H259" s="5">
        <v>97156.09</v>
      </c>
      <c r="I259" s="5">
        <f>INDEX('2017 Lockdown Update'!E$5:E$249,MATCH(B259,'2017 Lockdown Update'!B$5:B$249,0))</f>
        <v>97156.09</v>
      </c>
      <c r="J259" s="5">
        <f t="shared" si="54"/>
        <v>0</v>
      </c>
      <c r="K259" s="5">
        <v>0</v>
      </c>
      <c r="L259" s="5">
        <f>INDEX('2017 Lockdown Update'!F$5:F$249,MATCH(B259,'2017 Lockdown Update'!B$5:B$249,0))</f>
        <v>0</v>
      </c>
      <c r="M259" s="5">
        <f t="shared" si="55"/>
        <v>0</v>
      </c>
      <c r="N259" s="5">
        <v>97156.09</v>
      </c>
      <c r="O259" s="105">
        <f t="shared" si="68"/>
        <v>97156.09</v>
      </c>
      <c r="P259" s="105">
        <f t="shared" si="56"/>
        <v>0</v>
      </c>
      <c r="Q259" s="103">
        <f t="shared" si="57"/>
        <v>398.59192786189465</v>
      </c>
      <c r="R259" s="6">
        <f t="shared" si="58"/>
        <v>398.59192786189465</v>
      </c>
      <c r="S259" s="5">
        <f t="shared" si="59"/>
        <v>97156.09</v>
      </c>
      <c r="T259" s="140">
        <v>0.68933333333333346</v>
      </c>
      <c r="U259" s="105">
        <f t="shared" si="60"/>
        <v>25011.104125004716</v>
      </c>
      <c r="V259" s="105">
        <f t="shared" si="61"/>
        <v>12572.281541111002</v>
      </c>
      <c r="W259" s="105">
        <f t="shared" si="62"/>
        <v>5172.2963330509765</v>
      </c>
      <c r="X259" s="105">
        <f t="shared" si="63"/>
        <v>1453.2168612939108</v>
      </c>
      <c r="Y259" s="105">
        <f t="shared" si="64"/>
        <v>44208.898860460606</v>
      </c>
      <c r="Z259" s="112">
        <f t="shared" si="65"/>
        <v>0.45502962151379917</v>
      </c>
      <c r="AA259" s="104">
        <f t="shared" si="66"/>
        <v>44320.065726033034</v>
      </c>
      <c r="AB259" s="105"/>
      <c r="AC259" s="104">
        <v>43753.522490688891</v>
      </c>
      <c r="AD259" s="5">
        <f t="shared" si="69"/>
        <v>566.54323534414289</v>
      </c>
      <c r="AE259" s="105"/>
      <c r="AF259" s="104">
        <f t="shared" si="67"/>
        <v>79.027142623828311</v>
      </c>
    </row>
    <row r="260" spans="2:41" x14ac:dyDescent="0.25">
      <c r="B260">
        <v>552</v>
      </c>
      <c r="C260" s="46">
        <v>9</v>
      </c>
      <c r="D260" s="39" t="s">
        <v>530</v>
      </c>
      <c r="E260" s="162">
        <v>129.99</v>
      </c>
      <c r="F260" s="162">
        <f>INDEX('2017 Lockdown Update'!H$5:H$249,MATCH(B260,'2017 Lockdown Update'!B$5:B$249,0))</f>
        <v>129.99</v>
      </c>
      <c r="G260" s="162">
        <f t="shared" si="53"/>
        <v>0</v>
      </c>
      <c r="H260" s="5">
        <v>103061.3</v>
      </c>
      <c r="I260" s="5">
        <f>INDEX('2017 Lockdown Update'!E$5:E$249,MATCH(B260,'2017 Lockdown Update'!B$5:B$249,0))</f>
        <v>103061.3</v>
      </c>
      <c r="J260" s="5">
        <f t="shared" si="54"/>
        <v>0</v>
      </c>
      <c r="K260" s="5">
        <v>0</v>
      </c>
      <c r="L260" s="5">
        <f>INDEX('2017 Lockdown Update'!F$5:F$249,MATCH(B260,'2017 Lockdown Update'!B$5:B$249,0))</f>
        <v>0</v>
      </c>
      <c r="M260" s="5">
        <f t="shared" si="55"/>
        <v>0</v>
      </c>
      <c r="N260" s="5">
        <v>103061.3</v>
      </c>
      <c r="O260" s="105">
        <f t="shared" si="68"/>
        <v>103061.3</v>
      </c>
      <c r="P260" s="105">
        <f t="shared" si="56"/>
        <v>0</v>
      </c>
      <c r="Q260" s="103">
        <f t="shared" si="57"/>
        <v>792.84021847834447</v>
      </c>
      <c r="R260" s="6">
        <f t="shared" si="58"/>
        <v>792.84021847834447</v>
      </c>
      <c r="S260" s="5">
        <f t="shared" si="59"/>
        <v>103061.3</v>
      </c>
      <c r="T260" s="140">
        <v>0.42549999999999999</v>
      </c>
      <c r="U260" s="105">
        <f t="shared" si="60"/>
        <v>26531.295213283582</v>
      </c>
      <c r="V260" s="105">
        <f t="shared" si="61"/>
        <v>6704.7488193775835</v>
      </c>
      <c r="W260" s="105">
        <f t="shared" si="62"/>
        <v>3386.7198339756492</v>
      </c>
      <c r="X260" s="105">
        <f t="shared" si="63"/>
        <v>1541.5443222022434</v>
      </c>
      <c r="Y260" s="105">
        <f t="shared" si="64"/>
        <v>38164.308188839059</v>
      </c>
      <c r="Z260" s="112">
        <f t="shared" si="65"/>
        <v>0.370306877449043</v>
      </c>
      <c r="AA260" s="104">
        <f t="shared" si="66"/>
        <v>38260.275440398182</v>
      </c>
      <c r="AB260" s="105"/>
      <c r="AC260" s="104">
        <v>37718.323148925701</v>
      </c>
      <c r="AD260" s="5">
        <f t="shared" si="69"/>
        <v>541.95229147248028</v>
      </c>
      <c r="AE260" s="105"/>
      <c r="AF260" s="104">
        <f t="shared" si="67"/>
        <v>68.221925995007695</v>
      </c>
    </row>
    <row r="261" spans="2:41" x14ac:dyDescent="0.25">
      <c r="B261">
        <v>567</v>
      </c>
      <c r="C261" s="46">
        <v>9</v>
      </c>
      <c r="D261" s="39" t="s">
        <v>531</v>
      </c>
      <c r="E261" s="162">
        <v>357.89224720630364</v>
      </c>
      <c r="F261" s="162">
        <f>INDEX('2017 Lockdown Update'!H$5:H$249,MATCH(B261,'2017 Lockdown Update'!B$5:B$249,0))</f>
        <v>357.89224720630364</v>
      </c>
      <c r="G261" s="162">
        <f t="shared" si="53"/>
        <v>0</v>
      </c>
      <c r="H261" s="5">
        <v>192252.35</v>
      </c>
      <c r="I261" s="5">
        <f>INDEX('2017 Lockdown Update'!E$5:E$249,MATCH(B261,'2017 Lockdown Update'!B$5:B$249,0))</f>
        <v>192252.35</v>
      </c>
      <c r="J261" s="5">
        <f t="shared" si="54"/>
        <v>0</v>
      </c>
      <c r="K261" s="5">
        <v>160</v>
      </c>
      <c r="L261" s="5">
        <f>INDEX('2017 Lockdown Update'!F$5:F$249,MATCH(B261,'2017 Lockdown Update'!B$5:B$249,0))</f>
        <v>160</v>
      </c>
      <c r="M261" s="5">
        <f t="shared" si="55"/>
        <v>0</v>
      </c>
      <c r="N261" s="5">
        <v>192092.35</v>
      </c>
      <c r="O261" s="105">
        <f t="shared" si="68"/>
        <v>192092.35</v>
      </c>
      <c r="P261" s="105">
        <f t="shared" si="56"/>
        <v>0</v>
      </c>
      <c r="Q261" s="103">
        <f t="shared" si="57"/>
        <v>536.73235869026848</v>
      </c>
      <c r="R261" s="6">
        <f t="shared" si="58"/>
        <v>536.73235869026848</v>
      </c>
      <c r="S261" s="5">
        <f t="shared" si="59"/>
        <v>192092.35</v>
      </c>
      <c r="T261" s="140">
        <v>0.68016666666666681</v>
      </c>
      <c r="U261" s="105">
        <f t="shared" si="60"/>
        <v>49450.752572142934</v>
      </c>
      <c r="V261" s="105">
        <f t="shared" si="61"/>
        <v>18459.709377035575</v>
      </c>
      <c r="W261" s="105">
        <f t="shared" si="62"/>
        <v>10090.426062345769</v>
      </c>
      <c r="X261" s="105">
        <f t="shared" si="63"/>
        <v>2873.2305092307793</v>
      </c>
      <c r="Y261" s="105">
        <f t="shared" si="64"/>
        <v>80874.118520755059</v>
      </c>
      <c r="Z261" s="112">
        <f t="shared" si="65"/>
        <v>0.42101686257029525</v>
      </c>
      <c r="AA261" s="104">
        <f t="shared" si="66"/>
        <v>81077.483058068305</v>
      </c>
      <c r="AB261" s="105"/>
      <c r="AC261" s="104">
        <v>79962.360478612012</v>
      </c>
      <c r="AD261" s="5">
        <f t="shared" si="69"/>
        <v>1115.1225794562924</v>
      </c>
      <c r="AE261" s="105"/>
      <c r="AF261" s="104">
        <f t="shared" si="67"/>
        <v>144.56932119230612</v>
      </c>
    </row>
    <row r="262" spans="2:41" x14ac:dyDescent="0.25">
      <c r="B262">
        <v>629</v>
      </c>
      <c r="C262" s="46">
        <v>9</v>
      </c>
      <c r="D262" s="39" t="s">
        <v>532</v>
      </c>
      <c r="E262" s="162">
        <v>240.14990199049728</v>
      </c>
      <c r="F262" s="162">
        <f>INDEX('2017 Lockdown Update'!H$5:H$249,MATCH(B262,'2017 Lockdown Update'!B$5:B$249,0))</f>
        <v>240.14990199049728</v>
      </c>
      <c r="G262" s="162">
        <f t="shared" si="53"/>
        <v>0</v>
      </c>
      <c r="H262" s="5">
        <v>159462.06</v>
      </c>
      <c r="I262" s="5">
        <f>INDEX('2017 Lockdown Update'!E$5:E$249,MATCH(B262,'2017 Lockdown Update'!B$5:B$249,0))</f>
        <v>176268.94</v>
      </c>
      <c r="J262" s="5">
        <f t="shared" si="54"/>
        <v>16806.880000000005</v>
      </c>
      <c r="K262" s="5">
        <v>5167.2699999999995</v>
      </c>
      <c r="L262" s="5">
        <f>INDEX('2017 Lockdown Update'!F$5:F$249,MATCH(B262,'2017 Lockdown Update'!B$5:B$249,0))</f>
        <v>5167.2699999999995</v>
      </c>
      <c r="M262" s="5">
        <f t="shared" si="55"/>
        <v>0</v>
      </c>
      <c r="N262" s="5">
        <v>154294.79</v>
      </c>
      <c r="O262" s="105">
        <f t="shared" si="68"/>
        <v>171101.67</v>
      </c>
      <c r="P262" s="105">
        <f t="shared" si="56"/>
        <v>16806.880000000005</v>
      </c>
      <c r="Q262" s="103">
        <f t="shared" si="57"/>
        <v>712.47861682146549</v>
      </c>
      <c r="R262" s="6">
        <f t="shared" si="58"/>
        <v>712.47861682146549</v>
      </c>
      <c r="S262" s="5">
        <f t="shared" si="59"/>
        <v>171101.67</v>
      </c>
      <c r="T262" s="140">
        <v>0.51433333333333342</v>
      </c>
      <c r="U262" s="105">
        <f t="shared" si="60"/>
        <v>44047.076043634486</v>
      </c>
      <c r="V262" s="105">
        <f t="shared" si="61"/>
        <v>12386.681835867597</v>
      </c>
      <c r="W262" s="105">
        <f t="shared" si="62"/>
        <v>6796.4638335328027</v>
      </c>
      <c r="X262" s="105">
        <f t="shared" si="63"/>
        <v>2559.2614095477343</v>
      </c>
      <c r="Y262" s="105">
        <f t="shared" si="64"/>
        <v>65789.48312258262</v>
      </c>
      <c r="Z262" s="112">
        <f t="shared" si="65"/>
        <v>0.38450520747449524</v>
      </c>
      <c r="AA262" s="104">
        <f t="shared" si="66"/>
        <v>65954.916119442642</v>
      </c>
      <c r="AB262" s="105"/>
      <c r="AC262" s="104">
        <v>59827.149554175914</v>
      </c>
      <c r="AD262" s="5">
        <f t="shared" si="69"/>
        <v>6127.7665652667274</v>
      </c>
      <c r="AE262" s="105"/>
      <c r="AF262" s="104">
        <f t="shared" si="67"/>
        <v>117.60426067807545</v>
      </c>
    </row>
    <row r="263" spans="2:41" x14ac:dyDescent="0.25">
      <c r="B263">
        <v>630</v>
      </c>
      <c r="C263" s="46">
        <v>9</v>
      </c>
      <c r="D263" s="39" t="s">
        <v>533</v>
      </c>
      <c r="E263" s="162">
        <v>160.09993466033154</v>
      </c>
      <c r="F263" s="162">
        <f>INDEX('2017 Lockdown Update'!H$5:H$249,MATCH(B263,'2017 Lockdown Update'!B$5:B$249,0))</f>
        <v>160.09993466033154</v>
      </c>
      <c r="G263" s="162">
        <f t="shared" si="53"/>
        <v>0</v>
      </c>
      <c r="H263" s="5">
        <v>192209.49</v>
      </c>
      <c r="I263" s="5">
        <f>INDEX('2017 Lockdown Update'!E$5:E$249,MATCH(B263,'2017 Lockdown Update'!B$5:B$249,0))</f>
        <v>192209.49</v>
      </c>
      <c r="J263" s="5">
        <f t="shared" si="54"/>
        <v>0</v>
      </c>
      <c r="K263" s="5">
        <v>4898.67</v>
      </c>
      <c r="L263" s="5">
        <f>INDEX('2017 Lockdown Update'!F$5:F$249,MATCH(B263,'2017 Lockdown Update'!B$5:B$249,0))</f>
        <v>4898.67</v>
      </c>
      <c r="M263" s="5">
        <f t="shared" si="55"/>
        <v>0</v>
      </c>
      <c r="N263" s="5">
        <v>187310.81999999998</v>
      </c>
      <c r="O263" s="105">
        <f t="shared" si="68"/>
        <v>187310.81999999998</v>
      </c>
      <c r="P263" s="105">
        <f t="shared" si="56"/>
        <v>0</v>
      </c>
      <c r="Q263" s="103">
        <f t="shared" si="57"/>
        <v>1169.961876607877</v>
      </c>
      <c r="R263" s="6">
        <f t="shared" si="58"/>
        <v>1006.5321510108211</v>
      </c>
      <c r="S263" s="5">
        <f t="shared" si="59"/>
        <v>161145.7316103554</v>
      </c>
      <c r="T263" s="140">
        <v>0.57500000000000007</v>
      </c>
      <c r="U263" s="105">
        <f t="shared" si="60"/>
        <v>41484.097112251664</v>
      </c>
      <c r="V263" s="105">
        <f t="shared" si="61"/>
        <v>8257.7878905783982</v>
      </c>
      <c r="W263" s="105">
        <f t="shared" si="62"/>
        <v>7156.0067518634123</v>
      </c>
      <c r="X263" s="105">
        <f t="shared" si="63"/>
        <v>2410.3449850823727</v>
      </c>
      <c r="Y263" s="105">
        <f t="shared" si="64"/>
        <v>59308.23673977585</v>
      </c>
      <c r="Z263" s="112">
        <f t="shared" si="65"/>
        <v>0.36804100330240852</v>
      </c>
      <c r="AA263" s="104">
        <f t="shared" si="66"/>
        <v>59457.372116384053</v>
      </c>
      <c r="AB263" s="105"/>
      <c r="AC263" s="104">
        <v>56953.455484862214</v>
      </c>
      <c r="AD263" s="5">
        <f t="shared" si="69"/>
        <v>2503.916631521839</v>
      </c>
      <c r="AE263" s="105"/>
      <c r="AF263" s="104">
        <f t="shared" si="67"/>
        <v>106.01848506554745</v>
      </c>
    </row>
    <row r="264" spans="2:41" x14ac:dyDescent="0.25">
      <c r="B264">
        <v>695</v>
      </c>
      <c r="C264" s="46">
        <v>9</v>
      </c>
      <c r="D264" s="39" t="s">
        <v>534</v>
      </c>
      <c r="E264" s="162">
        <v>31.83905556353054</v>
      </c>
      <c r="F264" s="162">
        <f>INDEX('2017 Lockdown Update'!H$5:H$249,MATCH(B264,'2017 Lockdown Update'!B$5:B$249,0))</f>
        <v>31.83905556353054</v>
      </c>
      <c r="G264" s="162">
        <f t="shared" si="53"/>
        <v>0</v>
      </c>
      <c r="H264" s="5">
        <v>14871.19</v>
      </c>
      <c r="I264" s="5">
        <f>INDEX('2017 Lockdown Update'!E$5:E$249,MATCH(B264,'2017 Lockdown Update'!B$5:B$249,0))</f>
        <v>14871.19</v>
      </c>
      <c r="J264" s="5">
        <f t="shared" si="54"/>
        <v>0</v>
      </c>
      <c r="K264" s="5">
        <v>0</v>
      </c>
      <c r="L264" s="5">
        <f>INDEX('2017 Lockdown Update'!F$5:F$249,MATCH(B264,'2017 Lockdown Update'!B$5:B$249,0))</f>
        <v>0</v>
      </c>
      <c r="M264" s="5">
        <f t="shared" si="55"/>
        <v>0</v>
      </c>
      <c r="N264" s="5">
        <v>14871.19</v>
      </c>
      <c r="O264" s="105">
        <f t="shared" si="68"/>
        <v>14871.19</v>
      </c>
      <c r="P264" s="105">
        <f t="shared" si="56"/>
        <v>0</v>
      </c>
      <c r="Q264" s="103">
        <f t="shared" si="57"/>
        <v>467.0738417578545</v>
      </c>
      <c r="R264" s="6">
        <f t="shared" si="58"/>
        <v>467.0738417578545</v>
      </c>
      <c r="S264" s="5">
        <f t="shared" si="59"/>
        <v>14871.19</v>
      </c>
      <c r="T264" s="140">
        <v>8.3500000000000005E-2</v>
      </c>
      <c r="U264" s="105">
        <f t="shared" si="60"/>
        <v>3828.3228725314993</v>
      </c>
      <c r="V264" s="105">
        <f t="shared" si="61"/>
        <v>1642.2253265611096</v>
      </c>
      <c r="W264" s="105">
        <f t="shared" si="62"/>
        <v>95.899487956914058</v>
      </c>
      <c r="X264" s="105">
        <f t="shared" si="63"/>
        <v>222.43653542979544</v>
      </c>
      <c r="Y264" s="105">
        <f t="shared" si="64"/>
        <v>5788.8842224793179</v>
      </c>
      <c r="Z264" s="112">
        <f t="shared" si="65"/>
        <v>0.38926839227252946</v>
      </c>
      <c r="AA264" s="104">
        <f t="shared" si="66"/>
        <v>5803.4408418650655</v>
      </c>
      <c r="AB264" s="105"/>
      <c r="AC264" s="104">
        <v>5733.7298216888094</v>
      </c>
      <c r="AD264" s="5">
        <f t="shared" si="69"/>
        <v>69.71102017625617</v>
      </c>
      <c r="AE264" s="105"/>
      <c r="AF264" s="104">
        <f t="shared" si="67"/>
        <v>10.348119742287022</v>
      </c>
    </row>
    <row r="265" spans="2:41" x14ac:dyDescent="0.25">
      <c r="B265">
        <v>771</v>
      </c>
      <c r="C265" s="46">
        <v>9</v>
      </c>
      <c r="D265" s="39" t="s">
        <v>535</v>
      </c>
      <c r="E265" s="162">
        <v>386.09146203607395</v>
      </c>
      <c r="F265" s="162">
        <f>INDEX('2017 Lockdown Update'!H$5:H$249,MATCH(B265,'2017 Lockdown Update'!B$5:B$249,0))</f>
        <v>193.04573101803697</v>
      </c>
      <c r="G265" s="162">
        <f t="shared" si="53"/>
        <v>-193.04573101803697</v>
      </c>
      <c r="H265" s="5">
        <v>56478.67</v>
      </c>
      <c r="I265" s="5">
        <f>INDEX('2017 Lockdown Update'!E$5:E$249,MATCH(B265,'2017 Lockdown Update'!B$5:B$249,0))</f>
        <v>56478.67</v>
      </c>
      <c r="J265" s="5">
        <f t="shared" si="54"/>
        <v>0</v>
      </c>
      <c r="K265" s="5">
        <v>24</v>
      </c>
      <c r="L265" s="5">
        <f>INDEX('2017 Lockdown Update'!F$5:F$249,MATCH(B265,'2017 Lockdown Update'!B$5:B$249,0))</f>
        <v>24</v>
      </c>
      <c r="M265" s="5">
        <f t="shared" si="55"/>
        <v>0</v>
      </c>
      <c r="N265" s="5">
        <v>56454.67</v>
      </c>
      <c r="O265" s="105">
        <f t="shared" si="68"/>
        <v>56454.67</v>
      </c>
      <c r="P265" s="105">
        <f t="shared" si="56"/>
        <v>0</v>
      </c>
      <c r="Q265" s="103">
        <f t="shared" si="57"/>
        <v>292.44194990629052</v>
      </c>
      <c r="R265" s="6">
        <f t="shared" si="58"/>
        <v>292.44194990629052</v>
      </c>
      <c r="S265" s="5">
        <f t="shared" si="59"/>
        <v>56454.670000000006</v>
      </c>
      <c r="T265" s="140">
        <v>0.40525</v>
      </c>
      <c r="U265" s="105">
        <f t="shared" si="60"/>
        <v>14533.248813458635</v>
      </c>
      <c r="V265" s="105">
        <f t="shared" si="61"/>
        <v>9957.0977546662489</v>
      </c>
      <c r="W265" s="105">
        <f t="shared" si="62"/>
        <v>1766.8797244962334</v>
      </c>
      <c r="X265" s="105">
        <f t="shared" si="63"/>
        <v>844.42342567288915</v>
      </c>
      <c r="Y265" s="105">
        <f t="shared" si="64"/>
        <v>27101.649718294007</v>
      </c>
      <c r="Z265" s="112">
        <f t="shared" si="65"/>
        <v>0.48006036911196193</v>
      </c>
      <c r="AA265" s="104">
        <f t="shared" si="66"/>
        <v>27169.79901693486</v>
      </c>
      <c r="AB265" s="105"/>
      <c r="AC265" s="104">
        <v>36844.065369464763</v>
      </c>
      <c r="AD265" s="5">
        <f t="shared" si="69"/>
        <v>-9674.2663525299031</v>
      </c>
      <c r="AE265" s="105"/>
      <c r="AF265" s="104">
        <f t="shared" si="67"/>
        <v>48.446489119506253</v>
      </c>
    </row>
    <row r="266" spans="2:41" x14ac:dyDescent="0.25">
      <c r="B266" s="31">
        <v>830</v>
      </c>
      <c r="C266" s="31">
        <v>9</v>
      </c>
      <c r="D266" s="39" t="s">
        <v>536</v>
      </c>
      <c r="E266" s="162">
        <v>23.769072070364334</v>
      </c>
      <c r="F266" s="162">
        <f>INDEX('2017 Lockdown Update'!H$5:H$249,MATCH(B266,'2017 Lockdown Update'!B$5:B$249,0))</f>
        <v>23.769072070364334</v>
      </c>
      <c r="G266" s="162">
        <f t="shared" si="53"/>
        <v>0</v>
      </c>
      <c r="H266" s="5">
        <v>24300.39</v>
      </c>
      <c r="I266" s="5">
        <f>INDEX('2017 Lockdown Update'!E$5:E$249,MATCH(B266,'2017 Lockdown Update'!B$5:B$249,0))</f>
        <v>24300.39</v>
      </c>
      <c r="J266" s="5">
        <f t="shared" si="54"/>
        <v>0</v>
      </c>
      <c r="K266" s="5">
        <v>0</v>
      </c>
      <c r="L266" s="5">
        <f>INDEX('2017 Lockdown Update'!F$5:F$249,MATCH(B266,'2017 Lockdown Update'!B$5:B$249,0))</f>
        <v>0</v>
      </c>
      <c r="M266" s="5">
        <f t="shared" si="55"/>
        <v>0</v>
      </c>
      <c r="N266" s="5">
        <v>24300.39</v>
      </c>
      <c r="O266" s="105">
        <f t="shared" si="68"/>
        <v>24300.39</v>
      </c>
      <c r="P266" s="105">
        <f t="shared" si="56"/>
        <v>0</v>
      </c>
      <c r="Q266" s="103">
        <f t="shared" si="57"/>
        <v>1022.3533307511033</v>
      </c>
      <c r="R266" s="6">
        <f t="shared" si="58"/>
        <v>1006.5321510108211</v>
      </c>
      <c r="S266" s="5">
        <f t="shared" si="59"/>
        <v>23924.335238515043</v>
      </c>
      <c r="T266" s="140">
        <v>0.18858333333333333</v>
      </c>
      <c r="U266" s="105">
        <f t="shared" si="60"/>
        <v>6158.8937942234952</v>
      </c>
      <c r="V266" s="105">
        <f t="shared" si="61"/>
        <v>1225.9839826254015</v>
      </c>
      <c r="W266" s="105">
        <f t="shared" si="62"/>
        <v>348.43941640819423</v>
      </c>
      <c r="X266" s="105">
        <f t="shared" si="63"/>
        <v>357.84938817379481</v>
      </c>
      <c r="Y266" s="105">
        <f t="shared" si="64"/>
        <v>8091.1665814308853</v>
      </c>
      <c r="Z266" s="112">
        <f t="shared" si="65"/>
        <v>0.33819817774519262</v>
      </c>
      <c r="AA266" s="104">
        <f t="shared" si="66"/>
        <v>8111.5124767340267</v>
      </c>
      <c r="AB266" s="105"/>
      <c r="AC266" s="104">
        <v>7782.4071437408502</v>
      </c>
      <c r="AD266" s="5">
        <f t="shared" si="69"/>
        <v>329.10533299317649</v>
      </c>
      <c r="AE266" s="105"/>
      <c r="AF266" s="104">
        <f t="shared" si="67"/>
        <v>14.463644015249965</v>
      </c>
    </row>
    <row r="267" spans="2:41" x14ac:dyDescent="0.25">
      <c r="B267" s="25">
        <v>936</v>
      </c>
      <c r="C267" s="46">
        <v>9</v>
      </c>
      <c r="D267" s="39" t="s">
        <v>537</v>
      </c>
      <c r="E267" s="162">
        <v>37.809912285379859</v>
      </c>
      <c r="F267" s="162">
        <f>INDEX('2017 Lockdown Update'!H$5:H$249,MATCH(B267,'2017 Lockdown Update'!B$5:B$249,0))</f>
        <v>37.809912285379859</v>
      </c>
      <c r="G267" s="162">
        <f t="shared" si="53"/>
        <v>0</v>
      </c>
      <c r="H267" s="5">
        <v>55239.58</v>
      </c>
      <c r="I267" s="5">
        <f>INDEX('2017 Lockdown Update'!E$5:E$249,MATCH(B267,'2017 Lockdown Update'!B$5:B$249,0))</f>
        <v>55239.58</v>
      </c>
      <c r="J267" s="5">
        <f t="shared" si="54"/>
        <v>0</v>
      </c>
      <c r="K267" s="5">
        <v>0</v>
      </c>
      <c r="L267" s="5">
        <f>INDEX('2017 Lockdown Update'!F$5:F$249,MATCH(B267,'2017 Lockdown Update'!B$5:B$249,0))</f>
        <v>0</v>
      </c>
      <c r="M267" s="5">
        <f t="shared" si="55"/>
        <v>0</v>
      </c>
      <c r="N267" s="5">
        <v>55239.58</v>
      </c>
      <c r="O267" s="105">
        <f t="shared" si="68"/>
        <v>55239.58</v>
      </c>
      <c r="P267" s="105">
        <f t="shared" si="56"/>
        <v>0</v>
      </c>
      <c r="Q267" s="103">
        <f t="shared" si="57"/>
        <v>1460.9814374353828</v>
      </c>
      <c r="R267" s="6">
        <f t="shared" si="58"/>
        <v>1006.5321510108211</v>
      </c>
      <c r="S267" s="5">
        <f t="shared" si="59"/>
        <v>38056.892342133855</v>
      </c>
      <c r="T267" s="140">
        <v>0.61575000000000002</v>
      </c>
      <c r="U267" s="105">
        <f t="shared" si="60"/>
        <v>9797.0687894418606</v>
      </c>
      <c r="V267" s="105">
        <f t="shared" si="61"/>
        <v>1950.1958978088358</v>
      </c>
      <c r="W267" s="105">
        <f t="shared" si="62"/>
        <v>1809.763532129648</v>
      </c>
      <c r="X267" s="105">
        <f t="shared" si="63"/>
        <v>569.23778674127414</v>
      </c>
      <c r="Y267" s="105">
        <f t="shared" si="64"/>
        <v>14126.266006121617</v>
      </c>
      <c r="Z267" s="112">
        <f t="shared" si="65"/>
        <v>0.37118811171247507</v>
      </c>
      <c r="AA267" s="104">
        <f t="shared" si="66"/>
        <v>14161.787648927053</v>
      </c>
      <c r="AB267" s="105"/>
      <c r="AC267" s="104">
        <v>13567.191310735212</v>
      </c>
      <c r="AD267" s="5">
        <f t="shared" si="69"/>
        <v>594.59633819184091</v>
      </c>
      <c r="AE267" s="105"/>
      <c r="AF267" s="104">
        <f t="shared" si="67"/>
        <v>25.251894238115831</v>
      </c>
    </row>
    <row r="268" spans="2:41" x14ac:dyDescent="0.25">
      <c r="B268" s="25">
        <v>952</v>
      </c>
      <c r="C268" s="46">
        <v>9</v>
      </c>
      <c r="D268" s="39" t="s">
        <v>538</v>
      </c>
      <c r="E268" s="162">
        <v>68.811870493550018</v>
      </c>
      <c r="F268" s="162">
        <f>INDEX('2017 Lockdown Update'!H$5:H$249,MATCH(B268,'2017 Lockdown Update'!B$5:B$249,0))</f>
        <v>68.811870493550018</v>
      </c>
      <c r="G268" s="162">
        <f t="shared" si="53"/>
        <v>0</v>
      </c>
      <c r="H268" s="5">
        <v>91119.41</v>
      </c>
      <c r="I268" s="5">
        <f>INDEX('2017 Lockdown Update'!E$5:E$249,MATCH(B268,'2017 Lockdown Update'!B$5:B$249,0))</f>
        <v>91119.41</v>
      </c>
      <c r="J268" s="5">
        <f t="shared" si="54"/>
        <v>0</v>
      </c>
      <c r="K268" s="5">
        <v>3493</v>
      </c>
      <c r="L268" s="5">
        <f>INDEX('2017 Lockdown Update'!F$5:F$249,MATCH(B268,'2017 Lockdown Update'!B$5:B$249,0))</f>
        <v>3493</v>
      </c>
      <c r="M268" s="5">
        <f t="shared" si="55"/>
        <v>0</v>
      </c>
      <c r="N268" s="5">
        <v>87626.41</v>
      </c>
      <c r="O268" s="105">
        <f>I268-L268</f>
        <v>87626.41</v>
      </c>
      <c r="P268" s="105">
        <f t="shared" si="56"/>
        <v>0</v>
      </c>
      <c r="Q268" s="103">
        <f t="shared" si="57"/>
        <v>1273.4199691347374</v>
      </c>
      <c r="R268" s="6">
        <f t="shared" si="58"/>
        <v>1006.5321510108211</v>
      </c>
      <c r="S268" s="5">
        <f t="shared" si="59"/>
        <v>69261.360022950947</v>
      </c>
      <c r="T268" s="140">
        <v>0.66949999999999998</v>
      </c>
      <c r="U268" s="105">
        <f>$E$14*(S268/$S$24)</f>
        <v>17830.10295467289</v>
      </c>
      <c r="V268" s="105">
        <f>$E$15*(F268/$F$24)</f>
        <v>3549.2446145918348</v>
      </c>
      <c r="W268" s="105">
        <f>IFERROR(T268*$E$16*(S268/$S$24),0)</f>
        <v>3581.17617844605</v>
      </c>
      <c r="X268" s="105">
        <f>($W$23+$E$9)*(S268/$S$24)</f>
        <v>1035.9801039903966</v>
      </c>
      <c r="Y268" s="105">
        <f>U268+V268+W268+X268</f>
        <v>25996.503851701174</v>
      </c>
      <c r="Z268" s="112">
        <f t="shared" si="65"/>
        <v>0.3753392056275936</v>
      </c>
      <c r="AA268" s="104">
        <f t="shared" si="66"/>
        <v>26061.874171332001</v>
      </c>
      <c r="AB268" s="105"/>
      <c r="AC268" s="104">
        <v>24963.149344870006</v>
      </c>
      <c r="AD268" s="5">
        <f>AA268-AC268</f>
        <v>1098.7248264619957</v>
      </c>
      <c r="AE268" s="105"/>
      <c r="AF268" s="104">
        <f t="shared" si="67"/>
        <v>46.470947491676249</v>
      </c>
      <c r="AG268" s="17"/>
      <c r="AH268" s="17"/>
      <c r="AI268" s="17"/>
      <c r="AJ268" s="17"/>
      <c r="AK268" s="17"/>
      <c r="AL268" s="17"/>
      <c r="AM268" s="17"/>
      <c r="AN268" s="17"/>
      <c r="AO268" s="17"/>
    </row>
    <row r="269" spans="2:41" x14ac:dyDescent="0.25">
      <c r="B269" s="25">
        <v>982</v>
      </c>
      <c r="C269" s="46">
        <v>9</v>
      </c>
      <c r="D269" s="39" t="s">
        <v>539</v>
      </c>
      <c r="E269" s="162">
        <v>93.22611956915361</v>
      </c>
      <c r="F269" s="162">
        <f>INDEX('2017 Lockdown Update'!H$5:H$249,MATCH(B269,'2017 Lockdown Update'!B$5:B$249,0))</f>
        <v>93.22611956915361</v>
      </c>
      <c r="G269" s="162">
        <f t="shared" si="53"/>
        <v>0</v>
      </c>
      <c r="H269" s="5">
        <v>21464.959999999999</v>
      </c>
      <c r="I269" s="5">
        <f>INDEX('2017 Lockdown Update'!E$5:E$249,MATCH(B269,'2017 Lockdown Update'!B$5:B$249,0))</f>
        <v>21464.959999999999</v>
      </c>
      <c r="J269" s="5">
        <f t="shared" si="54"/>
        <v>0</v>
      </c>
      <c r="K269" s="5">
        <v>0</v>
      </c>
      <c r="L269" s="5">
        <f>INDEX('2017 Lockdown Update'!F$5:F$249,MATCH(B269,'2017 Lockdown Update'!B$5:B$249,0))</f>
        <v>0</v>
      </c>
      <c r="M269" s="5">
        <f t="shared" si="55"/>
        <v>0</v>
      </c>
      <c r="N269" s="5">
        <v>21464.959999999999</v>
      </c>
      <c r="O269" s="105">
        <f>I269-L269</f>
        <v>21464.959999999999</v>
      </c>
      <c r="P269" s="105">
        <f t="shared" si="56"/>
        <v>0</v>
      </c>
      <c r="Q269" s="103">
        <f t="shared" si="57"/>
        <v>230.24620245056582</v>
      </c>
      <c r="R269" s="6">
        <f t="shared" si="58"/>
        <v>230.24620245056582</v>
      </c>
      <c r="S269" s="5">
        <f t="shared" si="59"/>
        <v>21464.959999999999</v>
      </c>
      <c r="T269" s="140">
        <v>0.12525</v>
      </c>
      <c r="U269" s="105">
        <f>$E$14*(S269/$S$24)</f>
        <v>5525.7714632099878</v>
      </c>
      <c r="V269" s="105">
        <f>$E$15*(F269/$F$24)</f>
        <v>4808.5061552152929</v>
      </c>
      <c r="W269" s="105">
        <f>IFERROR(T269*$E$16*(S269/$S$24),0)</f>
        <v>207.63086273011527</v>
      </c>
      <c r="X269" s="105">
        <f>($W$23+$E$9)*(S269/$S$24)</f>
        <v>321.06316545879264</v>
      </c>
      <c r="Y269" s="105">
        <f>U269+V269+W269+X269</f>
        <v>10862.971646614187</v>
      </c>
      <c r="Z269" s="112">
        <f t="shared" si="65"/>
        <v>0.50607928673587965</v>
      </c>
      <c r="AA269" s="104">
        <f t="shared" si="66"/>
        <v>10890.287470800804</v>
      </c>
      <c r="AB269" s="105"/>
      <c r="AC269" s="104">
        <v>10786.794587869095</v>
      </c>
      <c r="AD269" s="5">
        <f>AA269-AC269</f>
        <v>103.49288293170866</v>
      </c>
      <c r="AE269" s="105"/>
      <c r="AF269" s="104">
        <f t="shared" si="67"/>
        <v>19.418479803019419</v>
      </c>
      <c r="AG269" s="17"/>
      <c r="AH269" s="17"/>
      <c r="AI269" s="17"/>
      <c r="AJ269" s="17"/>
      <c r="AK269" s="17"/>
      <c r="AL269" s="17"/>
      <c r="AM269" s="17"/>
      <c r="AN269" s="17"/>
      <c r="AO269" s="17"/>
    </row>
    <row r="270" spans="2:41" x14ac:dyDescent="0.25">
      <c r="B270" s="25">
        <v>987</v>
      </c>
      <c r="C270" s="46">
        <v>9</v>
      </c>
      <c r="D270" s="39" t="s">
        <v>540</v>
      </c>
      <c r="E270" s="162">
        <v>301.89162628434212</v>
      </c>
      <c r="F270" s="162">
        <f>INDEX('2017 Lockdown Update'!H$5:H$249,MATCH(B270,'2017 Lockdown Update'!B$5:B$249,0))</f>
        <v>301.89162628434212</v>
      </c>
      <c r="G270" s="162">
        <f t="shared" si="53"/>
        <v>0</v>
      </c>
      <c r="H270" s="5">
        <v>82615.17</v>
      </c>
      <c r="I270" s="5">
        <f>INDEX('2017 Lockdown Update'!E$5:E$249,MATCH(B270,'2017 Lockdown Update'!B$5:B$249,0))</f>
        <v>82615.17</v>
      </c>
      <c r="J270" s="5">
        <f t="shared" si="54"/>
        <v>0</v>
      </c>
      <c r="K270" s="5">
        <v>0</v>
      </c>
      <c r="L270" s="5">
        <f>INDEX('2017 Lockdown Update'!F$5:F$249,MATCH(B270,'2017 Lockdown Update'!B$5:B$249,0))</f>
        <v>0</v>
      </c>
      <c r="M270" s="5">
        <f t="shared" si="55"/>
        <v>0</v>
      </c>
      <c r="N270" s="5">
        <v>82615.17</v>
      </c>
      <c r="O270" s="105">
        <f>I270-L270</f>
        <v>82615.17</v>
      </c>
      <c r="P270" s="105">
        <f t="shared" si="56"/>
        <v>0</v>
      </c>
      <c r="Q270" s="103">
        <f t="shared" si="57"/>
        <v>273.65836878889576</v>
      </c>
      <c r="R270" s="6">
        <f t="shared" si="58"/>
        <v>273.65836878889576</v>
      </c>
      <c r="S270" s="5">
        <f t="shared" si="59"/>
        <v>82615.17</v>
      </c>
      <c r="T270" s="140">
        <v>0.622</v>
      </c>
      <c r="U270" s="105">
        <f>$E$14*(S270/$S$24)</f>
        <v>21267.803378820267</v>
      </c>
      <c r="V270" s="105">
        <f>$E$15*(F270/$F$24)</f>
        <v>15571.25567282038</v>
      </c>
      <c r="W270" s="105">
        <f>IFERROR(T270*$E$16*(S270/$S$24),0)</f>
        <v>3968.5721104878617</v>
      </c>
      <c r="X270" s="105">
        <f>($W$23+$E$9)*(S270/$S$24)</f>
        <v>1235.7203551796174</v>
      </c>
      <c r="Y270" s="105">
        <f>U270+V270+W270+X270</f>
        <v>42043.351517308125</v>
      </c>
      <c r="Z270" s="112">
        <f t="shared" si="65"/>
        <v>0.50890594932272282</v>
      </c>
      <c r="AA270" s="104">
        <f t="shared" si="66"/>
        <v>42149.072938262114</v>
      </c>
      <c r="AB270" s="105"/>
      <c r="AC270" s="104">
        <v>41673.190962706925</v>
      </c>
      <c r="AD270" s="5">
        <f>AA270-AC270</f>
        <v>475.88197555518855</v>
      </c>
      <c r="AE270" s="105"/>
      <c r="AF270" s="104">
        <f t="shared" si="67"/>
        <v>75.156043746515536</v>
      </c>
      <c r="AG270" s="17"/>
      <c r="AH270" s="17"/>
      <c r="AI270" s="17"/>
      <c r="AJ270" s="17"/>
      <c r="AK270" s="17"/>
      <c r="AL270" s="17"/>
      <c r="AM270" s="17"/>
      <c r="AN270" s="17"/>
      <c r="AO270" s="17"/>
    </row>
  </sheetData>
  <mergeCells count="7">
    <mergeCell ref="B2:K2"/>
    <mergeCell ref="U18:AA18"/>
    <mergeCell ref="Z24:AA24"/>
    <mergeCell ref="D13:K13"/>
    <mergeCell ref="D4:K4"/>
    <mergeCell ref="G8:H8"/>
    <mergeCell ref="G9:H9"/>
  </mergeCells>
  <conditionalFormatting sqref="B173:D185 B187:D192 B236:D258 B105:D171 B100:D102 B194:D204 B206:D234 AB100:AB103 AB206:AB234 AB173:AB185 AB236:AB266 AB194:AB204 AB187:AB192 AB105:AB171 AB27:AB69 B26:D69 F26:AB26 B71:D97 AB71:AB97 AC26:AD97 AC99:AD270 E27:F97 W97 U97:V98 X97:X98 E99:F270 Y97:Z99 U100:Z270 U27:Z96 U99:X99 R27:T270 Z27:AA270 H99:I270 H27:I97 G27:G270 K27:L97 K99:L270 J27:J270 N99:O270 M27:M270 N27:Q29 N30:O97 Q30:Q97 Q99:Q270 P30:P270">
    <cfRule type="expression" dxfId="38" priority="24">
      <formula>$C26&lt;&gt;$C25</formula>
    </cfRule>
  </conditionalFormatting>
  <conditionalFormatting sqref="Z26:Z270">
    <cfRule type="expression" dxfId="37" priority="23">
      <formula>Z26&gt;75%</formula>
    </cfRule>
  </conditionalFormatting>
  <conditionalFormatting sqref="B70:D70 B186:D186 B235:D235 B103:D103 B205:D205 AB205 AB235 AB186 AB70 AB267:AB270 B98:F98 K98:L98 W98 Z98 AB98:AD98 H98:I98 N98:O98 Q98">
    <cfRule type="expression" dxfId="36" priority="25">
      <formula>$C70&lt;&gt;$C68</formula>
    </cfRule>
  </conditionalFormatting>
  <conditionalFormatting sqref="B172:D172 B193:D193 AB193 AB172">
    <cfRule type="expression" dxfId="35" priority="27">
      <formula>$C172&lt;&gt;#REF!</formula>
    </cfRule>
  </conditionalFormatting>
  <conditionalFormatting sqref="B104:D104 AB104 AB99 B99:D99">
    <cfRule type="expression" dxfId="34" priority="29">
      <formula>$C99&lt;&gt;$C96</formula>
    </cfRule>
  </conditionalFormatting>
  <conditionalFormatting sqref="V3:V11">
    <cfRule type="expression" dxfId="33" priority="21">
      <formula>$C3&lt;&gt;$C2</formula>
    </cfRule>
  </conditionalFormatting>
  <conditionalFormatting sqref="Q26:Q270">
    <cfRule type="expression" dxfId="32" priority="17">
      <formula>$Q26&lt;=$Q$22=TRUE</formula>
    </cfRule>
    <cfRule type="expression" dxfId="31" priority="18">
      <formula>$Q26&gt;=Q$23</formula>
    </cfRule>
  </conditionalFormatting>
  <conditionalFormatting sqref="E26">
    <cfRule type="expression" dxfId="30" priority="13">
      <formula>$C26&lt;&gt;$C25</formula>
    </cfRule>
  </conditionalFormatting>
  <conditionalFormatting sqref="T3:T11">
    <cfRule type="expression" dxfId="29" priority="10">
      <formula>$C3&lt;&gt;$C2</formula>
    </cfRule>
  </conditionalFormatting>
  <conditionalFormatting sqref="E24:G24">
    <cfRule type="expression" dxfId="28" priority="9">
      <formula>$C24&lt;&gt;$C23</formula>
    </cfRule>
  </conditionalFormatting>
  <conditionalFormatting sqref="E19">
    <cfRule type="expression" dxfId="27" priority="7">
      <formula>$C19&lt;&gt;$C18</formula>
    </cfRule>
  </conditionalFormatting>
  <conditionalFormatting sqref="AF26:AF270">
    <cfRule type="expression" dxfId="26" priority="5">
      <formula>$C26&lt;&gt;$C25</formula>
    </cfRule>
  </conditionalFormatting>
  <conditionalFormatting sqref="AE100:AE103 AE206:AE234 AE173:AE185 AE236:AE266 AE194:AE204 AE187:AE192 AE105:AE171 AE26:AE69 AE71:AE97">
    <cfRule type="expression" dxfId="25" priority="1">
      <formula>$C26&lt;&gt;$C25</formula>
    </cfRule>
  </conditionalFormatting>
  <conditionalFormatting sqref="AE205 AE235 AE186 AE70 AE267:AE270 AE98">
    <cfRule type="expression" dxfId="24" priority="2">
      <formula>$C70&lt;&gt;$C68</formula>
    </cfRule>
  </conditionalFormatting>
  <conditionalFormatting sqref="AE193 AE172">
    <cfRule type="expression" dxfId="23" priority="3">
      <formula>$C172&lt;&gt;#REF!</formula>
    </cfRule>
  </conditionalFormatting>
  <conditionalFormatting sqref="AE104 AE99">
    <cfRule type="expression" dxfId="22" priority="4">
      <formula>$C99&lt;&gt;$C96</formula>
    </cfRule>
  </conditionalFormatting>
  <pageMargins left="0.7" right="0.7" top="0.75" bottom="0.75" header="0.3" footer="0.3"/>
  <pageSetup orientation="portrait" r:id="rId1"/>
  <ignoredErrors>
    <ignoredError sqref="W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7FA-0727-4359-B7CB-736870E05FA6}">
  <sheetPr codeName="Sheet12">
    <tabColor rgb="FFFFCCFF"/>
  </sheetPr>
  <dimension ref="B2:S250"/>
  <sheetViews>
    <sheetView workbookViewId="0"/>
  </sheetViews>
  <sheetFormatPr defaultRowHeight="15" x14ac:dyDescent="0.25"/>
  <cols>
    <col min="1" max="1" width="5.7109375" customWidth="1"/>
    <col min="2" max="3" width="6.7109375" style="1" customWidth="1"/>
    <col min="4" max="4" width="61" style="194" bestFit="1" customWidth="1"/>
    <col min="5" max="11" width="14.7109375" customWidth="1"/>
    <col min="12" max="12" width="5.7109375" customWidth="1"/>
    <col min="13" max="19" width="12.7109375" customWidth="1"/>
  </cols>
  <sheetData>
    <row r="2" spans="2:19" x14ac:dyDescent="0.25">
      <c r="B2" s="22" t="s">
        <v>589</v>
      </c>
      <c r="E2" s="21"/>
      <c r="F2" s="150"/>
      <c r="G2" s="21"/>
      <c r="I2" t="s">
        <v>13</v>
      </c>
      <c r="J2" s="20">
        <v>0</v>
      </c>
    </row>
    <row r="3" spans="2:19" x14ac:dyDescent="0.25">
      <c r="D3" s="195"/>
      <c r="E3" s="19"/>
      <c r="F3" s="19"/>
      <c r="G3" s="19"/>
      <c r="H3" s="18"/>
      <c r="K3" s="16"/>
    </row>
    <row r="4" spans="2:19" ht="15.75" thickBot="1" x14ac:dyDescent="0.3">
      <c r="E4" s="162">
        <f>SUM(E6:E265)</f>
        <v>822833.11032573413</v>
      </c>
      <c r="F4" s="16">
        <f>SUM(F6:F265)</f>
        <v>351426496.13999999</v>
      </c>
      <c r="G4" s="16">
        <f>SUM(G6:G265)</f>
        <v>112335663.32999998</v>
      </c>
      <c r="H4" s="16">
        <f>SUM(H6:H265)</f>
        <v>239090832.80999985</v>
      </c>
      <c r="J4" t="s">
        <v>12</v>
      </c>
      <c r="K4" s="16">
        <f>SUM(K6:K265)</f>
        <v>235517646.1066291</v>
      </c>
      <c r="Q4" s="15">
        <v>0.1</v>
      </c>
      <c r="R4" s="14">
        <f>100%-Q4</f>
        <v>0.9</v>
      </c>
    </row>
    <row r="5" spans="2:19" ht="60.75" thickBot="1" x14ac:dyDescent="0.3">
      <c r="B5" s="13" t="s">
        <v>11</v>
      </c>
      <c r="C5" s="13" t="s">
        <v>10</v>
      </c>
      <c r="D5" s="196" t="s">
        <v>9</v>
      </c>
      <c r="E5" s="13" t="str">
        <f>"2017"&amp;CHAR(10)&amp;"Marketed Tonnes"&amp;CHAR(10)&amp;TEXT(SUM(E6:E278),"#,##0")&amp;" T"</f>
        <v>2017
Marketed Tonnes
822,833 T</v>
      </c>
      <c r="F5" s="13" t="str">
        <f>"2017 Reported Gross Cost"&amp;CHAR(10)&amp;TEXT(SUM(F6:F248),"$#,##0")</f>
        <v>2017 Reported Gross Cost
$351,322,416</v>
      </c>
      <c r="G5" s="13" t="str">
        <f>"2017 Reported Revenue"&amp;CHAR(10)&amp;TEXT(SUM(G6:G248),"$#,##0")</f>
        <v>2017 Reported Revenue
$112,335,663</v>
      </c>
      <c r="H5" s="13" t="str">
        <f>"2017 Reported Net Cost"&amp;CHAR(10)&amp;TEXT(SUM(H6:H248),"$#,##0")</f>
        <v>2017 Reported Net Cost
$238,986,753</v>
      </c>
      <c r="I5" s="13" t="s">
        <v>8</v>
      </c>
      <c r="J5" s="13" t="s">
        <v>1</v>
      </c>
      <c r="K5" s="13" t="str">
        <f>"Adjusted Net Cost"&amp;CHAR(10)&amp;TEXT(SUM(K6:K248),"$#,##0")</f>
        <v>Adjusted Net Cost
$235,413,566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 s="11">
        <v>1</v>
      </c>
      <c r="C6" s="11">
        <v>1</v>
      </c>
      <c r="D6" s="197" t="s">
        <v>299</v>
      </c>
      <c r="E6" s="162">
        <f>INDEX('2017 Lockdown Update'!H$5:H$249,MATCH(B6,'2017 Lockdown Update'!B$5:B$249,0))</f>
        <v>43741.089999999989</v>
      </c>
      <c r="F6" s="7">
        <f>INDEX('2017 Lockdown Update'!E$5:E$249,MATCH(B6,'2017 Lockdown Update'!B$5:B$249,0))</f>
        <v>9441139.5399999991</v>
      </c>
      <c r="G6" s="7">
        <f>INDEX('2017 Lockdown Update'!F$5:F$249,MATCH(B6,'2017 Lockdown Update'!B$5:B$249,0))</f>
        <v>1552688.8099999998</v>
      </c>
      <c r="H6" s="7">
        <f t="shared" ref="H6:H69" si="0">F6-G6</f>
        <v>7888450.7299999995</v>
      </c>
      <c r="I6" s="6">
        <f t="shared" ref="I6:I69" si="1">H6/E6</f>
        <v>180.34417363627659</v>
      </c>
      <c r="J6" s="6">
        <f>IF(ISERROR(IF($J$2=1,MAX(MIN(I6,R6),Q6),MIN(I6,R6))),R6,IF($J$2=1,MAX(MIN(I6,R6),Q6),MIN(I6,R6)))</f>
        <v>180.34417363627659</v>
      </c>
      <c r="K6" s="5">
        <f t="shared" ref="K6:K69" si="2">J6*E6</f>
        <v>7888450.7299999995</v>
      </c>
      <c r="L6" s="4">
        <f t="shared" ref="L6:L69" si="3">IF(ISERROR(I6),1,0)</f>
        <v>0</v>
      </c>
      <c r="M6" s="2" cm="1">
        <f t="array" ref="M6">SUMPRODUCT(--($L$6:$L$298&lt;&gt;1),--($C$6:$C$298=$C6),$H$6:$H$298)/SUMPRODUCT(--($L$6:$L$298&lt;&gt;1),--($C$6:$C$298=$C6),$E$6:$E$298)</f>
        <v>310.09213402456299</v>
      </c>
      <c r="N6" s="1">
        <f t="shared" ref="N6:N69" si="4">SUMPRODUCT(--($L$6:$L$298&lt;&gt;1),--($C$6:$C$298=$C6),--($L$6:$L$298&lt;&gt;1))</f>
        <v>6</v>
      </c>
      <c r="O6" s="3">
        <f t="shared" ref="O6:O69" si="5">IF(ISERROR((I6-M6)^2),0,(I6-M6)^2)</f>
        <v>16834.533224920338</v>
      </c>
      <c r="P6" s="2">
        <f t="shared" ref="P6:P69" si="6">SQRT(SUMPRODUCT(--($L$6:$L$298&lt;&gt;1),--($C$6:$C$298=$C6),$E$6:$E$298,$O$6:$O$298)/((N6-1)*SUMPRODUCT(--($L$6:$L$298&lt;&gt;1),--($C$6:$C$298=$C6),$E$6:$E$298)/N6))</f>
        <v>86.028006280332832</v>
      </c>
      <c r="Q6" s="2">
        <f t="shared" ref="Q6:R25" si="7">NORMINV(Q$4,$M6,$P6)</f>
        <v>199.84280789532173</v>
      </c>
      <c r="R6" s="2">
        <f t="shared" si="7"/>
        <v>420.34146015380429</v>
      </c>
      <c r="S6" s="2">
        <f t="shared" ref="S6:S69" si="8">IF(ISERROR(MAX(MIN(I6,R6),Q6)),R6,MAX(MIN(I6,R6),Q6))</f>
        <v>199.84280789532173</v>
      </c>
    </row>
    <row r="7" spans="2:19" x14ac:dyDescent="0.25">
      <c r="B7" s="10">
        <v>20</v>
      </c>
      <c r="C7" s="10">
        <v>1</v>
      </c>
      <c r="D7" s="198" t="s">
        <v>300</v>
      </c>
      <c r="E7" s="162">
        <f>INDEX('2017 Lockdown Update'!H$5:H$249,MATCH(B7,'2017 Lockdown Update'!B$5:B$249,0))</f>
        <v>120692.16</v>
      </c>
      <c r="F7" s="7">
        <f>INDEX('2017 Lockdown Update'!E$5:E$249,MATCH(B7,'2017 Lockdown Update'!B$5:B$249,0))</f>
        <v>69057219.019999996</v>
      </c>
      <c r="G7" s="7">
        <f>INDEX('2017 Lockdown Update'!F$5:F$249,MATCH(B7,'2017 Lockdown Update'!B$5:B$249,0))</f>
        <v>19755178.539999999</v>
      </c>
      <c r="H7" s="7">
        <f t="shared" si="0"/>
        <v>49302040.479999997</v>
      </c>
      <c r="I7" s="6">
        <f t="shared" si="1"/>
        <v>408.4941431158411</v>
      </c>
      <c r="J7" s="6">
        <f t="shared" ref="J7:J70" si="9">IF(ISERROR(IF($J$2=1,MAX(MIN(I7,R7),Q7),MIN(I7,R7))),R7,IF($J$2=1,MAX(MIN(I7,R7),Q7),MIN(I7,R7)))</f>
        <v>408.4941431158411</v>
      </c>
      <c r="K7" s="5">
        <f t="shared" si="2"/>
        <v>49302040.479999997</v>
      </c>
      <c r="L7" s="4">
        <f t="shared" si="3"/>
        <v>0</v>
      </c>
      <c r="M7" s="2">
        <f t="shared" ref="M7:M69" si="10">SUMPRODUCT(--($L$6:$L$298&lt;&gt;1),--($C$6:$C$298=$C7),$H$6:$H$298)/SUMPRODUCT(--($L$6:$L$298&lt;&gt;1),--($C$6:$C$298=$C7),$E$6:$E$298)</f>
        <v>310.09213402456299</v>
      </c>
      <c r="N7" s="1">
        <f t="shared" si="4"/>
        <v>6</v>
      </c>
      <c r="O7" s="3">
        <f t="shared" si="5"/>
        <v>9682.9553931999781</v>
      </c>
      <c r="P7" s="2">
        <f t="shared" si="6"/>
        <v>86.028006280332832</v>
      </c>
      <c r="Q7" s="2">
        <f t="shared" si="7"/>
        <v>199.84280789532173</v>
      </c>
      <c r="R7" s="2">
        <f t="shared" si="7"/>
        <v>420.34146015380429</v>
      </c>
      <c r="S7" s="2">
        <f t="shared" si="8"/>
        <v>408.4941431158411</v>
      </c>
    </row>
    <row r="8" spans="2:19" x14ac:dyDescent="0.25">
      <c r="B8" s="10">
        <v>50</v>
      </c>
      <c r="C8" s="10">
        <v>1</v>
      </c>
      <c r="D8" s="198" t="s">
        <v>301</v>
      </c>
      <c r="E8" s="162">
        <f>INDEX('2017 Lockdown Update'!H$5:H$249,MATCH(B8,'2017 Lockdown Update'!B$5:B$249,0))</f>
        <v>22747.62</v>
      </c>
      <c r="F8" s="7">
        <f>INDEX('2017 Lockdown Update'!E$5:E$249,MATCH(B8,'2017 Lockdown Update'!B$5:B$249,0))</f>
        <v>9780998.0399999991</v>
      </c>
      <c r="G8" s="7">
        <f>INDEX('2017 Lockdown Update'!F$5:F$249,MATCH(B8,'2017 Lockdown Update'!B$5:B$249,0))</f>
        <v>3906984.9000000004</v>
      </c>
      <c r="H8" s="7">
        <f t="shared" si="0"/>
        <v>5874013.1399999987</v>
      </c>
      <c r="I8" s="6">
        <f t="shared" si="1"/>
        <v>258.22539412914404</v>
      </c>
      <c r="J8" s="6">
        <f t="shared" si="9"/>
        <v>258.22539412914404</v>
      </c>
      <c r="K8" s="5">
        <f t="shared" si="2"/>
        <v>5874013.1399999987</v>
      </c>
      <c r="L8" s="4">
        <f t="shared" si="3"/>
        <v>0</v>
      </c>
      <c r="M8" s="2">
        <f t="shared" si="10"/>
        <v>310.09213402456299</v>
      </c>
      <c r="N8" s="1">
        <f t="shared" si="4"/>
        <v>6</v>
      </c>
      <c r="O8" s="3">
        <f t="shared" si="5"/>
        <v>2690.1587073790447</v>
      </c>
      <c r="P8" s="2">
        <f t="shared" si="6"/>
        <v>86.028006280332832</v>
      </c>
      <c r="Q8" s="2">
        <f t="shared" si="7"/>
        <v>199.84280789532173</v>
      </c>
      <c r="R8" s="2">
        <f t="shared" si="7"/>
        <v>420.34146015380429</v>
      </c>
      <c r="S8" s="2">
        <f t="shared" si="8"/>
        <v>258.22539412914404</v>
      </c>
    </row>
    <row r="9" spans="2:19" x14ac:dyDescent="0.25">
      <c r="B9" s="10">
        <v>97</v>
      </c>
      <c r="C9" s="10">
        <v>1</v>
      </c>
      <c r="D9" s="198" t="s">
        <v>302</v>
      </c>
      <c r="E9" s="162">
        <f>INDEX('2017 Lockdown Update'!H$5:H$249,MATCH(B9,'2017 Lockdown Update'!B$5:B$249,0))</f>
        <v>65618.490000000005</v>
      </c>
      <c r="F9" s="7">
        <f>INDEX('2017 Lockdown Update'!E$5:E$249,MATCH(B9,'2017 Lockdown Update'!B$5:B$249,0))</f>
        <v>25692503.82</v>
      </c>
      <c r="G9" s="7">
        <f>INDEX('2017 Lockdown Update'!F$5:F$249,MATCH(B9,'2017 Lockdown Update'!B$5:B$249,0))</f>
        <v>9202443.370000001</v>
      </c>
      <c r="H9" s="7">
        <f t="shared" si="0"/>
        <v>16490060.449999999</v>
      </c>
      <c r="I9" s="6">
        <f t="shared" si="1"/>
        <v>251.3020407814931</v>
      </c>
      <c r="J9" s="6">
        <f t="shared" si="9"/>
        <v>251.3020407814931</v>
      </c>
      <c r="K9" s="5">
        <f t="shared" si="2"/>
        <v>16490060.449999999</v>
      </c>
      <c r="L9" s="4">
        <f t="shared" si="3"/>
        <v>0</v>
      </c>
      <c r="M9" s="2">
        <f t="shared" si="10"/>
        <v>310.09213402456299</v>
      </c>
      <c r="N9" s="1">
        <f t="shared" si="4"/>
        <v>6</v>
      </c>
      <c r="O9" s="3">
        <f t="shared" si="5"/>
        <v>3456.2750635288521</v>
      </c>
      <c r="P9" s="2">
        <f t="shared" si="6"/>
        <v>86.028006280332832</v>
      </c>
      <c r="Q9" s="2">
        <f t="shared" si="7"/>
        <v>199.84280789532173</v>
      </c>
      <c r="R9" s="2">
        <f t="shared" si="7"/>
        <v>420.34146015380429</v>
      </c>
      <c r="S9" s="2">
        <f t="shared" si="8"/>
        <v>251.3020407814931</v>
      </c>
    </row>
    <row r="10" spans="2:19" x14ac:dyDescent="0.25">
      <c r="B10" s="10">
        <v>172</v>
      </c>
      <c r="C10" s="10">
        <v>1</v>
      </c>
      <c r="D10" s="198" t="s">
        <v>303</v>
      </c>
      <c r="E10" s="162">
        <f>INDEX('2017 Lockdown Update'!H$5:H$249,MATCH(B10,'2017 Lockdown Update'!B$5:B$249,0))</f>
        <v>35538.149999999994</v>
      </c>
      <c r="F10" s="7">
        <f>INDEX('2017 Lockdown Update'!E$5:E$249,MATCH(B10,'2017 Lockdown Update'!B$5:B$249,0))</f>
        <v>14723683.560000001</v>
      </c>
      <c r="G10" s="7">
        <f>INDEX('2017 Lockdown Update'!F$5:F$249,MATCH(B10,'2017 Lockdown Update'!B$5:B$249,0))</f>
        <v>5464143.8599999994</v>
      </c>
      <c r="H10" s="7">
        <f t="shared" si="0"/>
        <v>9259539.7000000011</v>
      </c>
      <c r="I10" s="6">
        <f t="shared" si="1"/>
        <v>260.55210245890692</v>
      </c>
      <c r="J10" s="6">
        <f t="shared" si="9"/>
        <v>260.55210245890692</v>
      </c>
      <c r="K10" s="5">
        <f t="shared" si="2"/>
        <v>9259539.7000000011</v>
      </c>
      <c r="L10" s="4">
        <f t="shared" si="3"/>
        <v>0</v>
      </c>
      <c r="M10" s="2">
        <f t="shared" si="10"/>
        <v>310.09213402456299</v>
      </c>
      <c r="N10" s="1">
        <f t="shared" si="4"/>
        <v>6</v>
      </c>
      <c r="O10" s="3">
        <f t="shared" si="5"/>
        <v>2454.2147275262009</v>
      </c>
      <c r="P10" s="2">
        <f t="shared" si="6"/>
        <v>86.028006280332832</v>
      </c>
      <c r="Q10" s="2">
        <f t="shared" si="7"/>
        <v>199.84280789532173</v>
      </c>
      <c r="R10" s="2">
        <f t="shared" si="7"/>
        <v>420.34146015380429</v>
      </c>
      <c r="S10" s="2">
        <f t="shared" si="8"/>
        <v>260.55210245890692</v>
      </c>
    </row>
    <row r="11" spans="2:19" x14ac:dyDescent="0.25">
      <c r="B11" s="10">
        <v>270</v>
      </c>
      <c r="C11" s="10">
        <v>1</v>
      </c>
      <c r="D11" s="198" t="s">
        <v>304</v>
      </c>
      <c r="E11" s="162">
        <f>INDEX('2017 Lockdown Update'!H$5:H$249,MATCH(B11,'2017 Lockdown Update'!B$5:B$249,0))</f>
        <v>82092.200000000026</v>
      </c>
      <c r="F11" s="7">
        <f>INDEX('2017 Lockdown Update'!E$5:E$249,MATCH(B11,'2017 Lockdown Update'!B$5:B$249,0))</f>
        <v>37087418.170000002</v>
      </c>
      <c r="G11" s="7">
        <f>INDEX('2017 Lockdown Update'!F$5:F$249,MATCH(B11,'2017 Lockdown Update'!B$5:B$249,0))</f>
        <v>11034183.389999999</v>
      </c>
      <c r="H11" s="7">
        <f t="shared" si="0"/>
        <v>26053234.780000001</v>
      </c>
      <c r="I11" s="6">
        <f t="shared" si="1"/>
        <v>317.36553265718294</v>
      </c>
      <c r="J11" s="6">
        <f t="shared" si="9"/>
        <v>317.36553265718294</v>
      </c>
      <c r="K11" s="5">
        <f t="shared" si="2"/>
        <v>26053234.780000001</v>
      </c>
      <c r="L11" s="4">
        <f t="shared" si="3"/>
        <v>0</v>
      </c>
      <c r="M11" s="2">
        <f t="shared" si="10"/>
        <v>310.09213402456299</v>
      </c>
      <c r="N11" s="1">
        <f t="shared" si="4"/>
        <v>6</v>
      </c>
      <c r="O11" s="3">
        <f t="shared" si="5"/>
        <v>52.902327668997671</v>
      </c>
      <c r="P11" s="2">
        <f t="shared" si="6"/>
        <v>86.028006280332832</v>
      </c>
      <c r="Q11" s="2">
        <f t="shared" si="7"/>
        <v>199.84280789532173</v>
      </c>
      <c r="R11" s="2">
        <f t="shared" si="7"/>
        <v>420.34146015380429</v>
      </c>
      <c r="S11" s="2">
        <f t="shared" si="8"/>
        <v>317.36553265718294</v>
      </c>
    </row>
    <row r="12" spans="2:19" x14ac:dyDescent="0.25">
      <c r="B12" s="10">
        <v>6</v>
      </c>
      <c r="C12" s="10">
        <v>2</v>
      </c>
      <c r="D12" s="198" t="s">
        <v>305</v>
      </c>
      <c r="E12" s="162">
        <f>INDEX('2017 Lockdown Update'!H$5:H$249,MATCH(B12,'2017 Lockdown Update'!B$5:B$249,0))</f>
        <v>43390.189999999995</v>
      </c>
      <c r="F12" s="7">
        <f>INDEX('2017 Lockdown Update'!E$5:E$249,MATCH(B12,'2017 Lockdown Update'!B$5:B$249,0))</f>
        <v>18925384.940000001</v>
      </c>
      <c r="G12" s="7">
        <f>INDEX('2017 Lockdown Update'!F$5:F$249,MATCH(B12,'2017 Lockdown Update'!B$5:B$249,0))</f>
        <v>6221539.9700000007</v>
      </c>
      <c r="H12" s="7">
        <f t="shared" si="0"/>
        <v>12703844.970000001</v>
      </c>
      <c r="I12" s="6">
        <f t="shared" si="1"/>
        <v>292.78150130248338</v>
      </c>
      <c r="J12" s="6">
        <f t="shared" si="9"/>
        <v>269.03475307959195</v>
      </c>
      <c r="K12" s="5">
        <f t="shared" si="2"/>
        <v>11673469.052726578</v>
      </c>
      <c r="L12" s="4">
        <f t="shared" si="3"/>
        <v>0</v>
      </c>
      <c r="M12" s="2">
        <f t="shared" si="10"/>
        <v>182.19940004067703</v>
      </c>
      <c r="N12" s="1">
        <f t="shared" si="4"/>
        <v>6</v>
      </c>
      <c r="O12" s="3">
        <f t="shared" si="5"/>
        <v>12228.401119476392</v>
      </c>
      <c r="P12" s="2">
        <f t="shared" si="6"/>
        <v>67.757986001924039</v>
      </c>
      <c r="Q12" s="2">
        <f t="shared" si="7"/>
        <v>95.364047001762145</v>
      </c>
      <c r="R12" s="2">
        <f t="shared" si="7"/>
        <v>269.03475307959195</v>
      </c>
      <c r="S12" s="2">
        <f t="shared" si="8"/>
        <v>269.03475307959195</v>
      </c>
    </row>
    <row r="13" spans="2:19" x14ac:dyDescent="0.25">
      <c r="B13" s="10">
        <v>18</v>
      </c>
      <c r="C13" s="10">
        <v>2</v>
      </c>
      <c r="D13" s="198" t="s">
        <v>306</v>
      </c>
      <c r="E13" s="162">
        <f>INDEX('2017 Lockdown Update'!H$5:H$249,MATCH(B13,'2017 Lockdown Update'!B$5:B$249,0))</f>
        <v>23534.330000000005</v>
      </c>
      <c r="F13" s="7">
        <f>INDEX('2017 Lockdown Update'!E$5:E$249,MATCH(B13,'2017 Lockdown Update'!B$5:B$249,0))</f>
        <v>7710688.1500000004</v>
      </c>
      <c r="G13" s="7">
        <f>INDEX('2017 Lockdown Update'!F$5:F$249,MATCH(B13,'2017 Lockdown Update'!B$5:B$249,0))</f>
        <v>4165073.71</v>
      </c>
      <c r="H13" s="7">
        <f t="shared" si="0"/>
        <v>3545614.4400000004</v>
      </c>
      <c r="I13" s="6">
        <f t="shared" si="1"/>
        <v>150.65712259494958</v>
      </c>
      <c r="J13" s="6">
        <f t="shared" si="9"/>
        <v>150.65712259494958</v>
      </c>
      <c r="K13" s="5">
        <f t="shared" si="2"/>
        <v>3545614.4400000009</v>
      </c>
      <c r="L13" s="4">
        <f t="shared" si="3"/>
        <v>0</v>
      </c>
      <c r="M13" s="2">
        <f t="shared" si="10"/>
        <v>182.19940004067703</v>
      </c>
      <c r="N13" s="1">
        <f t="shared" si="4"/>
        <v>6</v>
      </c>
      <c r="O13" s="3">
        <f t="shared" si="5"/>
        <v>994.91526646324655</v>
      </c>
      <c r="P13" s="2">
        <f t="shared" si="6"/>
        <v>67.757986001924039</v>
      </c>
      <c r="Q13" s="2">
        <f t="shared" si="7"/>
        <v>95.364047001762145</v>
      </c>
      <c r="R13" s="2">
        <f t="shared" si="7"/>
        <v>269.03475307959195</v>
      </c>
      <c r="S13" s="2">
        <f t="shared" si="8"/>
        <v>150.65712259494958</v>
      </c>
    </row>
    <row r="14" spans="2:19" x14ac:dyDescent="0.25">
      <c r="B14" s="10">
        <v>53</v>
      </c>
      <c r="C14" s="10">
        <v>2</v>
      </c>
      <c r="D14" s="198" t="s">
        <v>307</v>
      </c>
      <c r="E14" s="162">
        <f>INDEX('2017 Lockdown Update'!H$5:H$249,MATCH(B14,'2017 Lockdown Update'!B$5:B$249,0))</f>
        <v>36088.47</v>
      </c>
      <c r="F14" s="7">
        <f>INDEX('2017 Lockdown Update'!E$5:E$249,MATCH(B14,'2017 Lockdown Update'!B$5:B$249,0))</f>
        <v>11731139.85</v>
      </c>
      <c r="G14" s="7">
        <f>INDEX('2017 Lockdown Update'!F$5:F$249,MATCH(B14,'2017 Lockdown Update'!B$5:B$249,0))</f>
        <v>5054300.95</v>
      </c>
      <c r="H14" s="7">
        <f t="shared" si="0"/>
        <v>6676838.8999999994</v>
      </c>
      <c r="I14" s="6">
        <f t="shared" si="1"/>
        <v>185.01307758405937</v>
      </c>
      <c r="J14" s="6">
        <f t="shared" si="9"/>
        <v>185.01307758405937</v>
      </c>
      <c r="K14" s="5">
        <f t="shared" si="2"/>
        <v>6676838.8999999994</v>
      </c>
      <c r="L14" s="4">
        <f t="shared" si="3"/>
        <v>0</v>
      </c>
      <c r="M14" s="2">
        <f t="shared" si="10"/>
        <v>182.19940004067703</v>
      </c>
      <c r="N14" s="1">
        <f t="shared" si="4"/>
        <v>6</v>
      </c>
      <c r="O14" s="3">
        <f t="shared" si="5"/>
        <v>7.9167813181340811</v>
      </c>
      <c r="P14" s="2">
        <f t="shared" si="6"/>
        <v>67.757986001924039</v>
      </c>
      <c r="Q14" s="2">
        <f t="shared" si="7"/>
        <v>95.364047001762145</v>
      </c>
      <c r="R14" s="2">
        <f t="shared" si="7"/>
        <v>269.03475307959195</v>
      </c>
      <c r="S14" s="2">
        <f t="shared" si="8"/>
        <v>185.01307758405937</v>
      </c>
    </row>
    <row r="15" spans="2:19" x14ac:dyDescent="0.25">
      <c r="B15" s="10">
        <v>335</v>
      </c>
      <c r="C15" s="10">
        <v>2</v>
      </c>
      <c r="D15" s="198" t="s">
        <v>308</v>
      </c>
      <c r="E15" s="162">
        <f>INDEX('2017 Lockdown Update'!H$5:H$249,MATCH(B15,'2017 Lockdown Update'!B$5:B$249,0))</f>
        <v>24460.199999999997</v>
      </c>
      <c r="F15" s="7">
        <f>INDEX('2017 Lockdown Update'!E$5:E$249,MATCH(B15,'2017 Lockdown Update'!B$5:B$249,0))</f>
        <v>9859566.0800000001</v>
      </c>
      <c r="G15" s="7">
        <f>INDEX('2017 Lockdown Update'!F$5:F$249,MATCH(B15,'2017 Lockdown Update'!B$5:B$249,0))</f>
        <v>4583108.9400000004</v>
      </c>
      <c r="H15" s="7">
        <f t="shared" si="0"/>
        <v>5276457.1399999997</v>
      </c>
      <c r="I15" s="6">
        <f t="shared" si="1"/>
        <v>215.71602603412893</v>
      </c>
      <c r="J15" s="6">
        <f t="shared" si="9"/>
        <v>215.71602603412893</v>
      </c>
      <c r="K15" s="5">
        <f t="shared" si="2"/>
        <v>5276457.1399999997</v>
      </c>
      <c r="L15" s="4">
        <f t="shared" si="3"/>
        <v>0</v>
      </c>
      <c r="M15" s="2">
        <f t="shared" si="10"/>
        <v>182.19940004067703</v>
      </c>
      <c r="N15" s="1">
        <f t="shared" si="4"/>
        <v>6</v>
      </c>
      <c r="O15" s="3">
        <f t="shared" si="5"/>
        <v>1123.3642179849353</v>
      </c>
      <c r="P15" s="2">
        <f t="shared" si="6"/>
        <v>67.757986001924039</v>
      </c>
      <c r="Q15" s="2">
        <f t="shared" si="7"/>
        <v>95.364047001762145</v>
      </c>
      <c r="R15" s="2">
        <f t="shared" si="7"/>
        <v>269.03475307959195</v>
      </c>
      <c r="S15" s="2">
        <f t="shared" si="8"/>
        <v>215.71602603412893</v>
      </c>
    </row>
    <row r="16" spans="2:19" x14ac:dyDescent="0.25">
      <c r="B16" s="10">
        <v>357</v>
      </c>
      <c r="C16" s="10">
        <v>2</v>
      </c>
      <c r="D16" s="198" t="s">
        <v>309</v>
      </c>
      <c r="E16" s="162">
        <f>INDEX('2017 Lockdown Update'!H$5:H$249,MATCH(B16,'2017 Lockdown Update'!B$5:B$249,0))</f>
        <v>36671.049999999996</v>
      </c>
      <c r="F16" s="7">
        <f>INDEX('2017 Lockdown Update'!E$5:E$249,MATCH(B16,'2017 Lockdown Update'!B$5:B$249,0))</f>
        <v>12281303.27</v>
      </c>
      <c r="G16" s="7">
        <f>INDEX('2017 Lockdown Update'!F$5:F$249,MATCH(B16,'2017 Lockdown Update'!B$5:B$249,0))</f>
        <v>6866116.8200000003</v>
      </c>
      <c r="H16" s="7">
        <f t="shared" si="0"/>
        <v>5415186.4499999993</v>
      </c>
      <c r="I16" s="6">
        <f t="shared" si="1"/>
        <v>147.66924999420525</v>
      </c>
      <c r="J16" s="6">
        <f t="shared" si="9"/>
        <v>147.66924999420525</v>
      </c>
      <c r="K16" s="5">
        <f t="shared" si="2"/>
        <v>5415186.4499999993</v>
      </c>
      <c r="L16" s="4">
        <f t="shared" si="3"/>
        <v>0</v>
      </c>
      <c r="M16" s="2">
        <f t="shared" si="10"/>
        <v>182.19940004067703</v>
      </c>
      <c r="N16" s="1">
        <f t="shared" si="4"/>
        <v>6</v>
      </c>
      <c r="O16" s="3">
        <f t="shared" si="5"/>
        <v>1192.3312622318556</v>
      </c>
      <c r="P16" s="2">
        <f t="shared" si="6"/>
        <v>67.757986001924039</v>
      </c>
      <c r="Q16" s="2">
        <f t="shared" si="7"/>
        <v>95.364047001762145</v>
      </c>
      <c r="R16" s="2">
        <f t="shared" si="7"/>
        <v>269.03475307959195</v>
      </c>
      <c r="S16" s="2">
        <f t="shared" si="8"/>
        <v>147.66924999420525</v>
      </c>
    </row>
    <row r="17" spans="2:19" x14ac:dyDescent="0.25">
      <c r="B17" s="10">
        <v>441</v>
      </c>
      <c r="C17" s="10">
        <v>2</v>
      </c>
      <c r="D17" s="198" t="s">
        <v>310</v>
      </c>
      <c r="E17" s="162">
        <f>INDEX('2017 Lockdown Update'!H$5:H$249,MATCH(B17,'2017 Lockdown Update'!B$5:B$249,0))</f>
        <v>59667.6</v>
      </c>
      <c r="F17" s="7">
        <f>INDEX('2017 Lockdown Update'!E$5:E$249,MATCH(B17,'2017 Lockdown Update'!B$5:B$249,0))</f>
        <v>18938888.59</v>
      </c>
      <c r="G17" s="7">
        <f>INDEX('2017 Lockdown Update'!F$5:F$249,MATCH(B17,'2017 Lockdown Update'!B$5:B$249,0))</f>
        <v>11778447.52</v>
      </c>
      <c r="H17" s="7">
        <f t="shared" si="0"/>
        <v>7160441.0700000003</v>
      </c>
      <c r="I17" s="6">
        <f t="shared" si="1"/>
        <v>120.00551505339583</v>
      </c>
      <c r="J17" s="6">
        <f t="shared" si="9"/>
        <v>120.00551505339583</v>
      </c>
      <c r="K17" s="5">
        <f t="shared" si="2"/>
        <v>7160441.0700000003</v>
      </c>
      <c r="L17" s="4">
        <f t="shared" si="3"/>
        <v>0</v>
      </c>
      <c r="M17" s="2">
        <f t="shared" si="10"/>
        <v>182.19940004067703</v>
      </c>
      <c r="N17" s="1">
        <f t="shared" si="4"/>
        <v>6</v>
      </c>
      <c r="O17" s="3">
        <f t="shared" si="5"/>
        <v>3868.079329811163</v>
      </c>
      <c r="P17" s="2">
        <f t="shared" si="6"/>
        <v>67.757986001924039</v>
      </c>
      <c r="Q17" s="2">
        <f t="shared" si="7"/>
        <v>95.364047001762145</v>
      </c>
      <c r="R17" s="2">
        <f t="shared" si="7"/>
        <v>269.03475307959195</v>
      </c>
      <c r="S17" s="2">
        <f t="shared" si="8"/>
        <v>120.00551505339583</v>
      </c>
    </row>
    <row r="18" spans="2:19" x14ac:dyDescent="0.25">
      <c r="B18" s="10">
        <v>14</v>
      </c>
      <c r="C18" s="10">
        <v>3</v>
      </c>
      <c r="D18" s="198" t="s">
        <v>311</v>
      </c>
      <c r="E18" s="162">
        <f>INDEX('2017 Lockdown Update'!H$5:H$249,MATCH(B18,'2017 Lockdown Update'!B$5:B$249,0))</f>
        <v>11944.66</v>
      </c>
      <c r="F18" s="7">
        <f>INDEX('2017 Lockdown Update'!E$5:E$249,MATCH(B18,'2017 Lockdown Update'!B$5:B$249,0))</f>
        <v>2611555.13</v>
      </c>
      <c r="G18" s="7">
        <f>INDEX('2017 Lockdown Update'!F$5:F$249,MATCH(B18,'2017 Lockdown Update'!B$5:B$249,0))</f>
        <v>371291.85</v>
      </c>
      <c r="H18" s="7">
        <f t="shared" si="0"/>
        <v>2240263.2799999998</v>
      </c>
      <c r="I18" s="6">
        <f t="shared" si="1"/>
        <v>187.55354108028189</v>
      </c>
      <c r="J18" s="6">
        <f t="shared" si="9"/>
        <v>187.55354108028189</v>
      </c>
      <c r="K18" s="5">
        <f t="shared" si="2"/>
        <v>2240263.2799999998</v>
      </c>
      <c r="L18" s="4">
        <f t="shared" si="3"/>
        <v>0</v>
      </c>
      <c r="M18" s="2">
        <f t="shared" si="10"/>
        <v>257.21583840869823</v>
      </c>
      <c r="N18" s="1">
        <f t="shared" si="4"/>
        <v>7</v>
      </c>
      <c r="O18" s="3">
        <f t="shared" si="5"/>
        <v>4852.8356690726832</v>
      </c>
      <c r="P18" s="2">
        <f t="shared" si="6"/>
        <v>156.61813269895558</v>
      </c>
      <c r="Q18" s="2">
        <f t="shared" si="7"/>
        <v>56.501625255679699</v>
      </c>
      <c r="R18" s="2">
        <f t="shared" si="7"/>
        <v>457.93005156171677</v>
      </c>
      <c r="S18" s="2">
        <f t="shared" si="8"/>
        <v>187.55354108028189</v>
      </c>
    </row>
    <row r="19" spans="2:19" x14ac:dyDescent="0.25">
      <c r="B19" s="10">
        <v>36</v>
      </c>
      <c r="C19" s="10">
        <v>3</v>
      </c>
      <c r="D19" s="198" t="s">
        <v>312</v>
      </c>
      <c r="E19" s="162">
        <f>INDEX('2017 Lockdown Update'!H$5:H$249,MATCH(B19,'2017 Lockdown Update'!B$5:B$249,0))</f>
        <v>8403.0400000000009</v>
      </c>
      <c r="F19" s="7">
        <f>INDEX('2017 Lockdown Update'!E$5:E$249,MATCH(B19,'2017 Lockdown Update'!B$5:B$249,0))</f>
        <v>6199296.2199999997</v>
      </c>
      <c r="G19" s="7">
        <f>INDEX('2017 Lockdown Update'!F$5:F$249,MATCH(B19,'2017 Lockdown Update'!B$5:B$249,0))</f>
        <v>1477647.7100000002</v>
      </c>
      <c r="H19" s="7">
        <f t="shared" si="0"/>
        <v>4721648.51</v>
      </c>
      <c r="I19" s="6">
        <f t="shared" si="1"/>
        <v>561.8976596565052</v>
      </c>
      <c r="J19" s="6">
        <f t="shared" si="9"/>
        <v>457.93005156171677</v>
      </c>
      <c r="K19" s="5">
        <f t="shared" si="2"/>
        <v>3848004.5404751687</v>
      </c>
      <c r="L19" s="4">
        <f t="shared" si="3"/>
        <v>0</v>
      </c>
      <c r="M19" s="2">
        <f t="shared" si="10"/>
        <v>257.21583840869823</v>
      </c>
      <c r="N19" s="1">
        <f t="shared" si="4"/>
        <v>7</v>
      </c>
      <c r="O19" s="3">
        <f t="shared" si="5"/>
        <v>92831.012198880591</v>
      </c>
      <c r="P19" s="2">
        <f t="shared" si="6"/>
        <v>156.61813269895558</v>
      </c>
      <c r="Q19" s="2">
        <f t="shared" si="7"/>
        <v>56.501625255679699</v>
      </c>
      <c r="R19" s="2">
        <f t="shared" si="7"/>
        <v>457.93005156171677</v>
      </c>
      <c r="S19" s="2">
        <f t="shared" si="8"/>
        <v>457.93005156171677</v>
      </c>
    </row>
    <row r="20" spans="2:19" x14ac:dyDescent="0.25">
      <c r="B20" s="10">
        <v>55</v>
      </c>
      <c r="C20" s="10">
        <v>3</v>
      </c>
      <c r="D20" s="198" t="s">
        <v>313</v>
      </c>
      <c r="E20" s="162">
        <f>INDEX('2017 Lockdown Update'!H$5:H$249,MATCH(B20,'2017 Lockdown Update'!B$5:B$249,0))</f>
        <v>4130.9700000000012</v>
      </c>
      <c r="F20" s="7">
        <f>INDEX('2017 Lockdown Update'!E$5:E$249,MATCH(B20,'2017 Lockdown Update'!B$5:B$249,0))</f>
        <v>1452092.17</v>
      </c>
      <c r="G20" s="7">
        <f>INDEX('2017 Lockdown Update'!F$5:F$249,MATCH(B20,'2017 Lockdown Update'!B$5:B$249,0))</f>
        <v>244179.87</v>
      </c>
      <c r="H20" s="7">
        <f t="shared" si="0"/>
        <v>1207912.2999999998</v>
      </c>
      <c r="I20" s="6">
        <f t="shared" si="1"/>
        <v>292.40403585598528</v>
      </c>
      <c r="J20" s="6">
        <f t="shared" si="9"/>
        <v>292.40403585598528</v>
      </c>
      <c r="K20" s="5">
        <f t="shared" si="2"/>
        <v>1207912.2999999998</v>
      </c>
      <c r="L20" s="4">
        <f t="shared" si="3"/>
        <v>0</v>
      </c>
      <c r="M20" s="2">
        <f t="shared" si="10"/>
        <v>257.21583840869823</v>
      </c>
      <c r="N20" s="1">
        <f t="shared" si="4"/>
        <v>7</v>
      </c>
      <c r="O20" s="3">
        <f t="shared" si="5"/>
        <v>1238.2092395892591</v>
      </c>
      <c r="P20" s="2">
        <f t="shared" si="6"/>
        <v>156.61813269895558</v>
      </c>
      <c r="Q20" s="2">
        <f t="shared" si="7"/>
        <v>56.501625255679699</v>
      </c>
      <c r="R20" s="2">
        <f t="shared" si="7"/>
        <v>457.93005156171677</v>
      </c>
      <c r="S20" s="2">
        <f t="shared" si="8"/>
        <v>292.40403585598528</v>
      </c>
    </row>
    <row r="21" spans="2:19" x14ac:dyDescent="0.25">
      <c r="B21" s="10">
        <v>103</v>
      </c>
      <c r="C21" s="10">
        <v>3</v>
      </c>
      <c r="D21" s="198" t="s">
        <v>314</v>
      </c>
      <c r="E21" s="162">
        <f>INDEX('2017 Lockdown Update'!H$5:H$249,MATCH(B21,'2017 Lockdown Update'!B$5:B$249,0))</f>
        <v>4390.6400000000003</v>
      </c>
      <c r="F21" s="7">
        <f>INDEX('2017 Lockdown Update'!E$5:E$249,MATCH(B21,'2017 Lockdown Update'!B$5:B$249,0))</f>
        <v>1477231.12</v>
      </c>
      <c r="G21" s="7">
        <f>INDEX('2017 Lockdown Update'!F$5:F$249,MATCH(B21,'2017 Lockdown Update'!B$5:B$249,0))</f>
        <v>390505.4200000001</v>
      </c>
      <c r="H21" s="7">
        <f t="shared" si="0"/>
        <v>1086725.7</v>
      </c>
      <c r="I21" s="6">
        <f t="shared" si="1"/>
        <v>247.50963413078728</v>
      </c>
      <c r="J21" s="6">
        <f t="shared" si="9"/>
        <v>247.50963413078728</v>
      </c>
      <c r="K21" s="5">
        <f t="shared" si="2"/>
        <v>1086725.7</v>
      </c>
      <c r="L21" s="4">
        <f t="shared" si="3"/>
        <v>0</v>
      </c>
      <c r="M21" s="2">
        <f t="shared" si="10"/>
        <v>257.21583840869823</v>
      </c>
      <c r="N21" s="1">
        <f t="shared" si="4"/>
        <v>7</v>
      </c>
      <c r="O21" s="3">
        <f t="shared" si="5"/>
        <v>94.210401484536945</v>
      </c>
      <c r="P21" s="2">
        <f t="shared" si="6"/>
        <v>156.61813269895558</v>
      </c>
      <c r="Q21" s="2">
        <f t="shared" si="7"/>
        <v>56.501625255679699</v>
      </c>
      <c r="R21" s="2">
        <f t="shared" si="7"/>
        <v>457.93005156171677</v>
      </c>
      <c r="S21" s="2">
        <f t="shared" si="8"/>
        <v>247.50963413078728</v>
      </c>
    </row>
    <row r="22" spans="2:19" x14ac:dyDescent="0.25">
      <c r="B22" s="10">
        <v>123</v>
      </c>
      <c r="C22" s="10">
        <v>3</v>
      </c>
      <c r="D22" s="198" t="s">
        <v>315</v>
      </c>
      <c r="E22" s="162">
        <f>INDEX('2017 Lockdown Update'!H$5:H$249,MATCH(B22,'2017 Lockdown Update'!B$5:B$249,0))</f>
        <v>6452.95</v>
      </c>
      <c r="F22" s="7">
        <f>INDEX('2017 Lockdown Update'!E$5:E$249,MATCH(B22,'2017 Lockdown Update'!B$5:B$249,0))</f>
        <v>1280665.4099999999</v>
      </c>
      <c r="G22" s="7">
        <f>INDEX('2017 Lockdown Update'!F$5:F$249,MATCH(B22,'2017 Lockdown Update'!B$5:B$249,0))</f>
        <v>0</v>
      </c>
      <c r="H22" s="7">
        <f t="shared" si="0"/>
        <v>1280665.4099999999</v>
      </c>
      <c r="I22" s="6">
        <f t="shared" si="1"/>
        <v>198.46200729898729</v>
      </c>
      <c r="J22" s="6">
        <f t="shared" si="9"/>
        <v>198.46200729898729</v>
      </c>
      <c r="K22" s="5">
        <f t="shared" si="2"/>
        <v>1280665.4099999999</v>
      </c>
      <c r="L22" s="4">
        <f t="shared" si="3"/>
        <v>0</v>
      </c>
      <c r="M22" s="2">
        <f t="shared" si="10"/>
        <v>257.21583840869823</v>
      </c>
      <c r="N22" s="1">
        <f t="shared" si="4"/>
        <v>7</v>
      </c>
      <c r="O22" s="3">
        <f t="shared" si="5"/>
        <v>3452.0126700684377</v>
      </c>
      <c r="P22" s="2">
        <f t="shared" si="6"/>
        <v>156.61813269895558</v>
      </c>
      <c r="Q22" s="2">
        <f t="shared" si="7"/>
        <v>56.501625255679699</v>
      </c>
      <c r="R22" s="2">
        <f t="shared" si="7"/>
        <v>457.93005156171677</v>
      </c>
      <c r="S22" s="2">
        <f t="shared" si="8"/>
        <v>198.46200729898729</v>
      </c>
    </row>
    <row r="23" spans="2:19" x14ac:dyDescent="0.25">
      <c r="B23" s="10">
        <v>179</v>
      </c>
      <c r="C23" s="10">
        <v>3</v>
      </c>
      <c r="D23" s="198" t="s">
        <v>316</v>
      </c>
      <c r="E23" s="162">
        <f>INDEX('2017 Lockdown Update'!H$5:H$249,MATCH(B23,'2017 Lockdown Update'!B$5:B$249,0))</f>
        <v>6470.7699999999995</v>
      </c>
      <c r="F23" s="7">
        <f>INDEX('2017 Lockdown Update'!E$5:E$249,MATCH(B23,'2017 Lockdown Update'!B$5:B$249,0))</f>
        <v>2375493.86</v>
      </c>
      <c r="G23" s="7">
        <f>INDEX('2017 Lockdown Update'!F$5:F$249,MATCH(B23,'2017 Lockdown Update'!B$5:B$249,0))</f>
        <v>1060798.6800000002</v>
      </c>
      <c r="H23" s="7">
        <f t="shared" si="0"/>
        <v>1314695.1799999997</v>
      </c>
      <c r="I23" s="6">
        <f t="shared" si="1"/>
        <v>203.17445682662185</v>
      </c>
      <c r="J23" s="6">
        <f t="shared" si="9"/>
        <v>203.17445682662185</v>
      </c>
      <c r="K23" s="5">
        <f t="shared" si="2"/>
        <v>1314695.1799999997</v>
      </c>
      <c r="L23" s="4">
        <f t="shared" si="3"/>
        <v>0</v>
      </c>
      <c r="M23" s="2">
        <f t="shared" si="10"/>
        <v>257.21583840869823</v>
      </c>
      <c r="N23" s="1">
        <f t="shared" si="4"/>
        <v>7</v>
      </c>
      <c r="O23" s="3">
        <f t="shared" si="5"/>
        <v>2920.4709232995847</v>
      </c>
      <c r="P23" s="2">
        <f t="shared" si="6"/>
        <v>156.61813269895558</v>
      </c>
      <c r="Q23" s="2">
        <f t="shared" si="7"/>
        <v>56.501625255679699</v>
      </c>
      <c r="R23" s="2">
        <f t="shared" si="7"/>
        <v>457.93005156171677</v>
      </c>
      <c r="S23" s="2">
        <f t="shared" si="8"/>
        <v>203.17445682662185</v>
      </c>
    </row>
    <row r="24" spans="2:19" x14ac:dyDescent="0.25">
      <c r="B24" s="10">
        <v>293</v>
      </c>
      <c r="C24" s="10">
        <v>3</v>
      </c>
      <c r="D24" s="198" t="s">
        <v>317</v>
      </c>
      <c r="E24" s="162">
        <f>INDEX('2017 Lockdown Update'!H$5:H$249,MATCH(B24,'2017 Lockdown Update'!B$5:B$249,0))</f>
        <v>7745.28</v>
      </c>
      <c r="F24" s="7">
        <f>INDEX('2017 Lockdown Update'!E$5:E$249,MATCH(B24,'2017 Lockdown Update'!B$5:B$249,0))</f>
        <v>2246062.3199999998</v>
      </c>
      <c r="G24" s="7">
        <f>INDEX('2017 Lockdown Update'!F$5:F$249,MATCH(B24,'2017 Lockdown Update'!B$5:B$249,0))</f>
        <v>1355934.76</v>
      </c>
      <c r="H24" s="7">
        <f t="shared" si="0"/>
        <v>890127.55999999982</v>
      </c>
      <c r="I24" s="6">
        <f t="shared" si="1"/>
        <v>114.92516216327878</v>
      </c>
      <c r="J24" s="6">
        <f t="shared" si="9"/>
        <v>114.92516216327878</v>
      </c>
      <c r="K24" s="5">
        <f t="shared" si="2"/>
        <v>890127.55999999982</v>
      </c>
      <c r="L24" s="4">
        <f t="shared" si="3"/>
        <v>0</v>
      </c>
      <c r="M24" s="2">
        <f t="shared" si="10"/>
        <v>257.21583840869823</v>
      </c>
      <c r="N24" s="1">
        <f t="shared" si="4"/>
        <v>7</v>
      </c>
      <c r="O24" s="3">
        <f t="shared" si="5"/>
        <v>20246.63654637877</v>
      </c>
      <c r="P24" s="2">
        <f t="shared" si="6"/>
        <v>156.61813269895558</v>
      </c>
      <c r="Q24" s="2">
        <f t="shared" si="7"/>
        <v>56.501625255679699</v>
      </c>
      <c r="R24" s="2">
        <f t="shared" si="7"/>
        <v>457.93005156171677</v>
      </c>
      <c r="S24" s="2">
        <f t="shared" si="8"/>
        <v>114.92516216327878</v>
      </c>
    </row>
    <row r="25" spans="2:19" x14ac:dyDescent="0.25">
      <c r="B25" s="10">
        <v>12</v>
      </c>
      <c r="C25" s="10">
        <v>4</v>
      </c>
      <c r="D25" s="198" t="s">
        <v>318</v>
      </c>
      <c r="E25" s="162">
        <f>INDEX('2017 Lockdown Update'!H$5:H$249,MATCH(B25,'2017 Lockdown Update'!B$5:B$249,0))</f>
        <v>6061.0499999999993</v>
      </c>
      <c r="F25" s="7">
        <f>INDEX('2017 Lockdown Update'!E$5:E$249,MATCH(B25,'2017 Lockdown Update'!B$5:B$249,0))</f>
        <v>3099070.13</v>
      </c>
      <c r="G25" s="7">
        <f>INDEX('2017 Lockdown Update'!F$5:F$249,MATCH(B25,'2017 Lockdown Update'!B$5:B$249,0))</f>
        <v>783502.69</v>
      </c>
      <c r="H25" s="7">
        <f t="shared" si="0"/>
        <v>2315567.44</v>
      </c>
      <c r="I25" s="6">
        <f t="shared" si="1"/>
        <v>382.04064312289131</v>
      </c>
      <c r="J25" s="6">
        <f t="shared" si="9"/>
        <v>382.04064312289131</v>
      </c>
      <c r="K25" s="5">
        <f t="shared" si="2"/>
        <v>2315567.44</v>
      </c>
      <c r="L25" s="4">
        <f t="shared" si="3"/>
        <v>0</v>
      </c>
      <c r="M25" s="2">
        <f t="shared" si="10"/>
        <v>352.71236570924077</v>
      </c>
      <c r="N25" s="1">
        <f t="shared" si="4"/>
        <v>15</v>
      </c>
      <c r="O25" s="3">
        <f t="shared" si="5"/>
        <v>860.1478560520444</v>
      </c>
      <c r="P25" s="2">
        <f t="shared" si="6"/>
        <v>131.20241040169878</v>
      </c>
      <c r="Q25" s="2">
        <f t="shared" si="7"/>
        <v>184.56971125571852</v>
      </c>
      <c r="R25" s="2">
        <f t="shared" si="7"/>
        <v>520.85502016276303</v>
      </c>
      <c r="S25" s="2">
        <f t="shared" si="8"/>
        <v>382.04064312289131</v>
      </c>
    </row>
    <row r="26" spans="2:19" x14ac:dyDescent="0.25">
      <c r="B26" s="10">
        <v>21</v>
      </c>
      <c r="C26" s="10">
        <v>4</v>
      </c>
      <c r="D26" s="198" t="s">
        <v>319</v>
      </c>
      <c r="E26" s="162">
        <f>INDEX('2017 Lockdown Update'!H$5:H$249,MATCH(B26,'2017 Lockdown Update'!B$5:B$249,0))</f>
        <v>5307.0800000000008</v>
      </c>
      <c r="F26" s="7">
        <f>INDEX('2017 Lockdown Update'!E$5:E$249,MATCH(B26,'2017 Lockdown Update'!B$5:B$249,0))</f>
        <v>2877654.83</v>
      </c>
      <c r="G26" s="7">
        <f>INDEX('2017 Lockdown Update'!F$5:F$249,MATCH(B26,'2017 Lockdown Update'!B$5:B$249,0))</f>
        <v>827724.42999999982</v>
      </c>
      <c r="H26" s="7">
        <f t="shared" si="0"/>
        <v>2049930.4000000004</v>
      </c>
      <c r="I26" s="6">
        <f t="shared" si="1"/>
        <v>386.26333124806865</v>
      </c>
      <c r="J26" s="6">
        <f t="shared" si="9"/>
        <v>386.26333124806865</v>
      </c>
      <c r="K26" s="5">
        <f t="shared" si="2"/>
        <v>2049930.4000000006</v>
      </c>
      <c r="L26" s="4">
        <f t="shared" si="3"/>
        <v>0</v>
      </c>
      <c r="M26" s="2">
        <f t="shared" si="10"/>
        <v>352.71236570924077</v>
      </c>
      <c r="N26" s="1">
        <f t="shared" si="4"/>
        <v>15</v>
      </c>
      <c r="O26" s="3">
        <f t="shared" si="5"/>
        <v>1125.667288587616</v>
      </c>
      <c r="P26" s="2">
        <f t="shared" si="6"/>
        <v>131.20241040169878</v>
      </c>
      <c r="Q26" s="2">
        <f t="shared" ref="Q26:R45" si="11">NORMINV(Q$4,$M26,$P26)</f>
        <v>184.56971125571852</v>
      </c>
      <c r="R26" s="2">
        <f t="shared" si="11"/>
        <v>520.85502016276303</v>
      </c>
      <c r="S26" s="2">
        <f t="shared" si="8"/>
        <v>386.26333124806865</v>
      </c>
    </row>
    <row r="27" spans="2:19" x14ac:dyDescent="0.25">
      <c r="B27" s="10">
        <v>34</v>
      </c>
      <c r="C27" s="10">
        <v>4</v>
      </c>
      <c r="D27" s="198" t="s">
        <v>320</v>
      </c>
      <c r="E27" s="162">
        <f>INDEX('2017 Lockdown Update'!H$5:H$249,MATCH(B27,'2017 Lockdown Update'!B$5:B$249,0))</f>
        <v>4735.1400000000003</v>
      </c>
      <c r="F27" s="7">
        <f>INDEX('2017 Lockdown Update'!E$5:E$249,MATCH(B27,'2017 Lockdown Update'!B$5:B$249,0))</f>
        <v>2531654.36</v>
      </c>
      <c r="G27" s="7">
        <f>INDEX('2017 Lockdown Update'!F$5:F$249,MATCH(B27,'2017 Lockdown Update'!B$5:B$249,0))</f>
        <v>716928.97</v>
      </c>
      <c r="H27" s="7">
        <f t="shared" si="0"/>
        <v>1814725.39</v>
      </c>
      <c r="I27" s="6">
        <f t="shared" si="1"/>
        <v>383.24640665323511</v>
      </c>
      <c r="J27" s="6">
        <f t="shared" si="9"/>
        <v>383.24640665323511</v>
      </c>
      <c r="K27" s="5">
        <f t="shared" si="2"/>
        <v>1814725.39</v>
      </c>
      <c r="L27" s="4">
        <f t="shared" si="3"/>
        <v>0</v>
      </c>
      <c r="M27" s="2">
        <f t="shared" si="10"/>
        <v>352.71236570924077</v>
      </c>
      <c r="N27" s="1">
        <f t="shared" si="4"/>
        <v>15</v>
      </c>
      <c r="O27" s="3">
        <f t="shared" si="5"/>
        <v>932.32765636952286</v>
      </c>
      <c r="P27" s="2">
        <f t="shared" si="6"/>
        <v>131.20241040169878</v>
      </c>
      <c r="Q27" s="2">
        <f t="shared" si="11"/>
        <v>184.56971125571852</v>
      </c>
      <c r="R27" s="2">
        <f t="shared" si="11"/>
        <v>520.85502016276303</v>
      </c>
      <c r="S27" s="2">
        <f t="shared" si="8"/>
        <v>383.24640665323511</v>
      </c>
    </row>
    <row r="28" spans="2:19" x14ac:dyDescent="0.25">
      <c r="B28" s="10">
        <v>87</v>
      </c>
      <c r="C28" s="10">
        <v>4</v>
      </c>
      <c r="D28" s="198" t="s">
        <v>321</v>
      </c>
      <c r="E28" s="162">
        <f>INDEX('2017 Lockdown Update'!H$5:H$249,MATCH(B28,'2017 Lockdown Update'!B$5:B$249,0))</f>
        <v>11432.019999999997</v>
      </c>
      <c r="F28" s="7">
        <f>INDEX('2017 Lockdown Update'!E$5:E$249,MATCH(B28,'2017 Lockdown Update'!B$5:B$249,0))</f>
        <v>4885516.33</v>
      </c>
      <c r="G28" s="7">
        <f>INDEX('2017 Lockdown Update'!F$5:F$249,MATCH(B28,'2017 Lockdown Update'!B$5:B$249,0))</f>
        <v>1799892.97</v>
      </c>
      <c r="H28" s="7">
        <f t="shared" si="0"/>
        <v>3085623.3600000003</v>
      </c>
      <c r="I28" s="6">
        <f t="shared" si="1"/>
        <v>269.91059847690968</v>
      </c>
      <c r="J28" s="6">
        <f t="shared" si="9"/>
        <v>269.91059847690968</v>
      </c>
      <c r="K28" s="5">
        <f t="shared" si="2"/>
        <v>3085623.3600000003</v>
      </c>
      <c r="L28" s="4">
        <f t="shared" si="3"/>
        <v>0</v>
      </c>
      <c r="M28" s="2">
        <f t="shared" si="10"/>
        <v>352.71236570924077</v>
      </c>
      <c r="N28" s="1">
        <f t="shared" si="4"/>
        <v>15</v>
      </c>
      <c r="O28" s="3">
        <f t="shared" si="5"/>
        <v>6856.1326567971382</v>
      </c>
      <c r="P28" s="2">
        <f t="shared" si="6"/>
        <v>131.20241040169878</v>
      </c>
      <c r="Q28" s="2">
        <f t="shared" si="11"/>
        <v>184.56971125571852</v>
      </c>
      <c r="R28" s="2">
        <f t="shared" si="11"/>
        <v>520.85502016276303</v>
      </c>
      <c r="S28" s="2">
        <f t="shared" si="8"/>
        <v>269.91059847690968</v>
      </c>
    </row>
    <row r="29" spans="2:19" x14ac:dyDescent="0.25">
      <c r="B29" s="10">
        <v>88</v>
      </c>
      <c r="C29" s="10">
        <v>4</v>
      </c>
      <c r="D29" s="198" t="s">
        <v>322</v>
      </c>
      <c r="E29" s="162">
        <f>INDEX('2017 Lockdown Update'!H$5:H$249,MATCH(B29,'2017 Lockdown Update'!B$5:B$249,0))</f>
        <v>5008.41</v>
      </c>
      <c r="F29" s="7">
        <f>INDEX('2017 Lockdown Update'!E$5:E$249,MATCH(B29,'2017 Lockdown Update'!B$5:B$249,0))</f>
        <v>2105518.15</v>
      </c>
      <c r="G29" s="7">
        <f>INDEX('2017 Lockdown Update'!F$5:F$249,MATCH(B29,'2017 Lockdown Update'!B$5:B$249,0))</f>
        <v>782435.3</v>
      </c>
      <c r="H29" s="7">
        <f t="shared" si="0"/>
        <v>1323082.8499999999</v>
      </c>
      <c r="I29" s="6">
        <f t="shared" si="1"/>
        <v>264.17223230526253</v>
      </c>
      <c r="J29" s="6">
        <f t="shared" si="9"/>
        <v>264.17223230526253</v>
      </c>
      <c r="K29" s="5">
        <f t="shared" si="2"/>
        <v>1323082.8499999999</v>
      </c>
      <c r="L29" s="4">
        <f t="shared" si="3"/>
        <v>0</v>
      </c>
      <c r="M29" s="2">
        <f t="shared" si="10"/>
        <v>352.71236570924077</v>
      </c>
      <c r="N29" s="1">
        <f t="shared" si="4"/>
        <v>15</v>
      </c>
      <c r="O29" s="3">
        <f t="shared" si="5"/>
        <v>7839.355223194264</v>
      </c>
      <c r="P29" s="2">
        <f t="shared" si="6"/>
        <v>131.20241040169878</v>
      </c>
      <c r="Q29" s="2">
        <f t="shared" si="11"/>
        <v>184.56971125571852</v>
      </c>
      <c r="R29" s="2">
        <f t="shared" si="11"/>
        <v>520.85502016276303</v>
      </c>
      <c r="S29" s="2">
        <f t="shared" si="8"/>
        <v>264.17223230526253</v>
      </c>
    </row>
    <row r="30" spans="2:19" x14ac:dyDescent="0.25">
      <c r="B30" s="10">
        <v>89</v>
      </c>
      <c r="C30" s="10">
        <v>4</v>
      </c>
      <c r="D30" s="198" t="s">
        <v>323</v>
      </c>
      <c r="E30" s="162">
        <f>INDEX('2017 Lockdown Update'!H$5:H$249,MATCH(B30,'2017 Lockdown Update'!B$5:B$249,0))</f>
        <v>5649.21</v>
      </c>
      <c r="F30" s="7">
        <f>INDEX('2017 Lockdown Update'!E$5:E$249,MATCH(B30,'2017 Lockdown Update'!B$5:B$249,0))</f>
        <v>3518610.54</v>
      </c>
      <c r="G30" s="7">
        <f>INDEX('2017 Lockdown Update'!F$5:F$249,MATCH(B30,'2017 Lockdown Update'!B$5:B$249,0))</f>
        <v>652661.15999999992</v>
      </c>
      <c r="H30" s="7">
        <f t="shared" si="0"/>
        <v>2865949.38</v>
      </c>
      <c r="I30" s="6">
        <f t="shared" si="1"/>
        <v>507.318612690978</v>
      </c>
      <c r="J30" s="6">
        <f t="shared" si="9"/>
        <v>507.318612690978</v>
      </c>
      <c r="K30" s="5">
        <f t="shared" si="2"/>
        <v>2865949.38</v>
      </c>
      <c r="L30" s="4">
        <f t="shared" si="3"/>
        <v>0</v>
      </c>
      <c r="M30" s="2">
        <f t="shared" si="10"/>
        <v>352.71236570924077</v>
      </c>
      <c r="N30" s="1">
        <f t="shared" si="4"/>
        <v>15</v>
      </c>
      <c r="O30" s="3">
        <f t="shared" si="5"/>
        <v>23903.091605777932</v>
      </c>
      <c r="P30" s="2">
        <f t="shared" si="6"/>
        <v>131.20241040169878</v>
      </c>
      <c r="Q30" s="2">
        <f t="shared" si="11"/>
        <v>184.56971125571852</v>
      </c>
      <c r="R30" s="2">
        <f t="shared" si="11"/>
        <v>520.85502016276303</v>
      </c>
      <c r="S30" s="2">
        <f t="shared" si="8"/>
        <v>507.318612690978</v>
      </c>
    </row>
    <row r="31" spans="2:19" x14ac:dyDescent="0.25">
      <c r="B31" s="10">
        <v>143</v>
      </c>
      <c r="C31" s="10">
        <v>4</v>
      </c>
      <c r="D31" s="198" t="s">
        <v>324</v>
      </c>
      <c r="E31" s="162">
        <f>INDEX('2017 Lockdown Update'!H$5:H$249,MATCH(B31,'2017 Lockdown Update'!B$5:B$249,0))</f>
        <v>3054.17</v>
      </c>
      <c r="F31" s="7">
        <f>INDEX('2017 Lockdown Update'!E$5:E$249,MATCH(B31,'2017 Lockdown Update'!B$5:B$249,0))</f>
        <v>975888.65</v>
      </c>
      <c r="G31" s="7">
        <f>INDEX('2017 Lockdown Update'!F$5:F$249,MATCH(B31,'2017 Lockdown Update'!B$5:B$249,0))</f>
        <v>393302.16</v>
      </c>
      <c r="H31" s="7">
        <f t="shared" si="0"/>
        <v>582586.49</v>
      </c>
      <c r="I31" s="6">
        <f t="shared" si="1"/>
        <v>190.75116643801752</v>
      </c>
      <c r="J31" s="6">
        <f t="shared" si="9"/>
        <v>190.75116643801752</v>
      </c>
      <c r="K31" s="5">
        <f t="shared" si="2"/>
        <v>582586.49</v>
      </c>
      <c r="L31" s="4">
        <f t="shared" si="3"/>
        <v>0</v>
      </c>
      <c r="M31" s="2">
        <f t="shared" si="10"/>
        <v>352.71236570924077</v>
      </c>
      <c r="N31" s="1">
        <f t="shared" si="4"/>
        <v>15</v>
      </c>
      <c r="O31" s="3">
        <f t="shared" si="5"/>
        <v>26231.430069372887</v>
      </c>
      <c r="P31" s="2">
        <f t="shared" si="6"/>
        <v>131.20241040169878</v>
      </c>
      <c r="Q31" s="2">
        <f t="shared" si="11"/>
        <v>184.56971125571852</v>
      </c>
      <c r="R31" s="2">
        <f t="shared" si="11"/>
        <v>520.85502016276303</v>
      </c>
      <c r="S31" s="2">
        <f t="shared" si="8"/>
        <v>190.75116643801752</v>
      </c>
    </row>
    <row r="32" spans="2:19" x14ac:dyDescent="0.25">
      <c r="B32" s="10">
        <v>183</v>
      </c>
      <c r="C32" s="10">
        <v>4</v>
      </c>
      <c r="D32" s="198" t="s">
        <v>325</v>
      </c>
      <c r="E32" s="162">
        <f>INDEX('2017 Lockdown Update'!H$5:H$249,MATCH(B32,'2017 Lockdown Update'!B$5:B$249,0))</f>
        <v>11921.288399999999</v>
      </c>
      <c r="F32" s="7">
        <f>INDEX('2017 Lockdown Update'!E$5:E$249,MATCH(B32,'2017 Lockdown Update'!B$5:B$249,0))</f>
        <v>7022821.2999999998</v>
      </c>
      <c r="G32" s="7">
        <f>INDEX('2017 Lockdown Update'!F$5:F$249,MATCH(B32,'2017 Lockdown Update'!B$5:B$249,0))</f>
        <v>656113.0199999999</v>
      </c>
      <c r="H32" s="7">
        <f t="shared" si="0"/>
        <v>6366708.2800000003</v>
      </c>
      <c r="I32" s="6">
        <f t="shared" si="1"/>
        <v>534.06209684516989</v>
      </c>
      <c r="J32" s="6">
        <f t="shared" si="9"/>
        <v>520.85502016276303</v>
      </c>
      <c r="K32" s="5">
        <f t="shared" si="2"/>
        <v>6209262.9099481124</v>
      </c>
      <c r="L32" s="4">
        <f t="shared" si="3"/>
        <v>0</v>
      </c>
      <c r="M32" s="2">
        <f t="shared" si="10"/>
        <v>352.71236570924077</v>
      </c>
      <c r="N32" s="1">
        <f t="shared" si="4"/>
        <v>15</v>
      </c>
      <c r="O32" s="3">
        <f t="shared" si="5"/>
        <v>32887.724983073778</v>
      </c>
      <c r="P32" s="2">
        <f t="shared" si="6"/>
        <v>131.20241040169878</v>
      </c>
      <c r="Q32" s="2">
        <f t="shared" si="11"/>
        <v>184.56971125571852</v>
      </c>
      <c r="R32" s="2">
        <f t="shared" si="11"/>
        <v>520.85502016276303</v>
      </c>
      <c r="S32" s="2">
        <f t="shared" si="8"/>
        <v>520.85502016276303</v>
      </c>
    </row>
    <row r="33" spans="2:19" x14ac:dyDescent="0.25">
      <c r="B33" s="10">
        <v>186</v>
      </c>
      <c r="C33" s="10">
        <v>4</v>
      </c>
      <c r="D33" s="198" t="s">
        <v>326</v>
      </c>
      <c r="E33" s="162">
        <f>INDEX('2017 Lockdown Update'!H$5:H$249,MATCH(B33,'2017 Lockdown Update'!B$5:B$249,0))</f>
        <v>11753.909999999998</v>
      </c>
      <c r="F33" s="7">
        <f>INDEX('2017 Lockdown Update'!E$5:E$249,MATCH(B33,'2017 Lockdown Update'!B$5:B$249,0))</f>
        <v>7142685.9100000001</v>
      </c>
      <c r="G33" s="7">
        <f>INDEX('2017 Lockdown Update'!F$5:F$249,MATCH(B33,'2017 Lockdown Update'!B$5:B$249,0))</f>
        <v>1669583.4900000002</v>
      </c>
      <c r="H33" s="7">
        <f t="shared" si="0"/>
        <v>5473102.4199999999</v>
      </c>
      <c r="I33" s="6">
        <f t="shared" si="1"/>
        <v>465.64100116471889</v>
      </c>
      <c r="J33" s="6">
        <f t="shared" si="9"/>
        <v>465.64100116471889</v>
      </c>
      <c r="K33" s="5">
        <f t="shared" si="2"/>
        <v>5473102.4199999999</v>
      </c>
      <c r="L33" s="4">
        <f t="shared" si="3"/>
        <v>0</v>
      </c>
      <c r="M33" s="2">
        <f t="shared" si="10"/>
        <v>352.71236570924077</v>
      </c>
      <c r="N33" s="1">
        <f t="shared" si="4"/>
        <v>15</v>
      </c>
      <c r="O33" s="3">
        <f t="shared" si="5"/>
        <v>12752.876705836268</v>
      </c>
      <c r="P33" s="2">
        <f t="shared" si="6"/>
        <v>131.20241040169878</v>
      </c>
      <c r="Q33" s="2">
        <f t="shared" si="11"/>
        <v>184.56971125571852</v>
      </c>
      <c r="R33" s="2">
        <f t="shared" si="11"/>
        <v>520.85502016276303</v>
      </c>
      <c r="S33" s="2">
        <f t="shared" si="8"/>
        <v>465.64100116471889</v>
      </c>
    </row>
    <row r="34" spans="2:19" x14ac:dyDescent="0.25">
      <c r="B34" s="10">
        <v>190</v>
      </c>
      <c r="C34" s="10">
        <v>4</v>
      </c>
      <c r="D34" s="198" t="s">
        <v>327</v>
      </c>
      <c r="E34" s="162">
        <f>INDEX('2017 Lockdown Update'!H$5:H$249,MATCH(B34,'2017 Lockdown Update'!B$5:B$249,0))</f>
        <v>3149.7200000000003</v>
      </c>
      <c r="F34" s="7">
        <f>INDEX('2017 Lockdown Update'!E$5:E$249,MATCH(B34,'2017 Lockdown Update'!B$5:B$249,0))</f>
        <v>1959680.03</v>
      </c>
      <c r="G34" s="7">
        <f>INDEX('2017 Lockdown Update'!F$5:F$249,MATCH(B34,'2017 Lockdown Update'!B$5:B$249,0))</f>
        <v>576911.32999999996</v>
      </c>
      <c r="H34" s="7">
        <f t="shared" si="0"/>
        <v>1382768.7000000002</v>
      </c>
      <c r="I34" s="6">
        <f t="shared" si="1"/>
        <v>439.01321387297924</v>
      </c>
      <c r="J34" s="6">
        <f t="shared" si="9"/>
        <v>439.01321387297924</v>
      </c>
      <c r="K34" s="5">
        <f t="shared" si="2"/>
        <v>1382768.7000000002</v>
      </c>
      <c r="L34" s="4">
        <f t="shared" si="3"/>
        <v>0</v>
      </c>
      <c r="M34" s="2">
        <f t="shared" si="10"/>
        <v>352.71236570924077</v>
      </c>
      <c r="N34" s="1">
        <f t="shared" si="4"/>
        <v>15</v>
      </c>
      <c r="O34" s="3">
        <f t="shared" si="5"/>
        <v>7447.8363937806407</v>
      </c>
      <c r="P34" s="2">
        <f t="shared" si="6"/>
        <v>131.20241040169878</v>
      </c>
      <c r="Q34" s="2">
        <f t="shared" si="11"/>
        <v>184.56971125571852</v>
      </c>
      <c r="R34" s="2">
        <f t="shared" si="11"/>
        <v>520.85502016276303</v>
      </c>
      <c r="S34" s="2">
        <f t="shared" si="8"/>
        <v>439.01321387297924</v>
      </c>
    </row>
    <row r="35" spans="2:19" x14ac:dyDescent="0.25">
      <c r="B35" s="10">
        <v>324</v>
      </c>
      <c r="C35" s="10">
        <v>4</v>
      </c>
      <c r="D35" s="198" t="s">
        <v>328</v>
      </c>
      <c r="E35" s="162">
        <f>INDEX('2017 Lockdown Update'!H$5:H$249,MATCH(B35,'2017 Lockdown Update'!B$5:B$249,0))</f>
        <v>8276.9499999999971</v>
      </c>
      <c r="F35" s="7">
        <f>INDEX('2017 Lockdown Update'!E$5:E$249,MATCH(B35,'2017 Lockdown Update'!B$5:B$249,0))</f>
        <v>4083823.39</v>
      </c>
      <c r="G35" s="7">
        <f>INDEX('2017 Lockdown Update'!F$5:F$249,MATCH(B35,'2017 Lockdown Update'!B$5:B$249,0))</f>
        <v>1467151.12</v>
      </c>
      <c r="H35" s="7">
        <f t="shared" si="0"/>
        <v>2616672.27</v>
      </c>
      <c r="I35" s="6">
        <f t="shared" si="1"/>
        <v>316.13967343043038</v>
      </c>
      <c r="J35" s="6">
        <f t="shared" si="9"/>
        <v>316.13967343043038</v>
      </c>
      <c r="K35" s="5">
        <f t="shared" si="2"/>
        <v>2616672.27</v>
      </c>
      <c r="L35" s="4">
        <f t="shared" si="3"/>
        <v>0</v>
      </c>
      <c r="M35" s="2">
        <f t="shared" si="10"/>
        <v>352.71236570924077</v>
      </c>
      <c r="N35" s="1">
        <f t="shared" si="4"/>
        <v>15</v>
      </c>
      <c r="O35" s="3">
        <f t="shared" si="5"/>
        <v>1337.5618205205574</v>
      </c>
      <c r="P35" s="2">
        <f t="shared" si="6"/>
        <v>131.20241040169878</v>
      </c>
      <c r="Q35" s="2">
        <f t="shared" si="11"/>
        <v>184.56971125571852</v>
      </c>
      <c r="R35" s="2">
        <f t="shared" si="11"/>
        <v>520.85502016276303</v>
      </c>
      <c r="S35" s="2">
        <f t="shared" si="8"/>
        <v>316.13967343043038</v>
      </c>
    </row>
    <row r="36" spans="2:19" x14ac:dyDescent="0.25">
      <c r="B36" s="10">
        <v>429</v>
      </c>
      <c r="C36" s="10">
        <v>4</v>
      </c>
      <c r="D36" s="198" t="s">
        <v>329</v>
      </c>
      <c r="E36" s="162">
        <f>INDEX('2017 Lockdown Update'!H$5:H$249,MATCH(B36,'2017 Lockdown Update'!B$5:B$249,0))</f>
        <v>4436.7299999999996</v>
      </c>
      <c r="F36" s="7">
        <f>INDEX('2017 Lockdown Update'!E$5:E$249,MATCH(B36,'2017 Lockdown Update'!B$5:B$249,0))</f>
        <v>1634027.55</v>
      </c>
      <c r="G36" s="7">
        <f>INDEX('2017 Lockdown Update'!F$5:F$249,MATCH(B36,'2017 Lockdown Update'!B$5:B$249,0))</f>
        <v>574685.66</v>
      </c>
      <c r="H36" s="7">
        <f t="shared" si="0"/>
        <v>1059341.8900000001</v>
      </c>
      <c r="I36" s="6">
        <f t="shared" si="1"/>
        <v>238.76636396625449</v>
      </c>
      <c r="J36" s="6">
        <f t="shared" si="9"/>
        <v>238.76636396625449</v>
      </c>
      <c r="K36" s="5">
        <f t="shared" si="2"/>
        <v>1059341.8900000001</v>
      </c>
      <c r="L36" s="4">
        <f t="shared" si="3"/>
        <v>0</v>
      </c>
      <c r="M36" s="2">
        <f t="shared" si="10"/>
        <v>352.71236570924077</v>
      </c>
      <c r="N36" s="1">
        <f t="shared" si="4"/>
        <v>15</v>
      </c>
      <c r="O36" s="3">
        <f t="shared" si="5"/>
        <v>12983.691313212634</v>
      </c>
      <c r="P36" s="2">
        <f t="shared" si="6"/>
        <v>131.20241040169878</v>
      </c>
      <c r="Q36" s="2">
        <f t="shared" si="11"/>
        <v>184.56971125571852</v>
      </c>
      <c r="R36" s="2">
        <f t="shared" si="11"/>
        <v>520.85502016276303</v>
      </c>
      <c r="S36" s="2">
        <f t="shared" si="8"/>
        <v>238.76636396625449</v>
      </c>
    </row>
    <row r="37" spans="2:19" x14ac:dyDescent="0.25">
      <c r="B37" s="10">
        <v>601</v>
      </c>
      <c r="C37" s="10">
        <v>4</v>
      </c>
      <c r="D37" s="198" t="s">
        <v>330</v>
      </c>
      <c r="E37" s="162">
        <f>INDEX('2017 Lockdown Update'!H$5:H$249,MATCH(B37,'2017 Lockdown Update'!B$5:B$249,0))</f>
        <v>5722.57</v>
      </c>
      <c r="F37" s="7">
        <f>INDEX('2017 Lockdown Update'!E$5:E$249,MATCH(B37,'2017 Lockdown Update'!B$5:B$249,0))</f>
        <v>2724212.74</v>
      </c>
      <c r="G37" s="7">
        <f>INDEX('2017 Lockdown Update'!F$5:F$249,MATCH(B37,'2017 Lockdown Update'!B$5:B$249,0))</f>
        <v>460929.09000000008</v>
      </c>
      <c r="H37" s="7">
        <f t="shared" si="0"/>
        <v>2263283.6500000004</v>
      </c>
      <c r="I37" s="6">
        <f t="shared" si="1"/>
        <v>395.50126079715938</v>
      </c>
      <c r="J37" s="6">
        <f t="shared" si="9"/>
        <v>395.50126079715938</v>
      </c>
      <c r="K37" s="5">
        <f t="shared" si="2"/>
        <v>2263283.6500000004</v>
      </c>
      <c r="L37" s="4">
        <f t="shared" si="3"/>
        <v>0</v>
      </c>
      <c r="M37" s="2">
        <f t="shared" si="10"/>
        <v>352.71236570924077</v>
      </c>
      <c r="N37" s="1">
        <f t="shared" si="4"/>
        <v>15</v>
      </c>
      <c r="O37" s="3">
        <f t="shared" si="5"/>
        <v>1830.8895428449048</v>
      </c>
      <c r="P37" s="2">
        <f t="shared" si="6"/>
        <v>131.20241040169878</v>
      </c>
      <c r="Q37" s="2">
        <f t="shared" si="11"/>
        <v>184.56971125571852</v>
      </c>
      <c r="R37" s="2">
        <f t="shared" si="11"/>
        <v>520.85502016276303</v>
      </c>
      <c r="S37" s="2">
        <f t="shared" si="8"/>
        <v>395.50126079715938</v>
      </c>
    </row>
    <row r="38" spans="2:19" x14ac:dyDescent="0.25">
      <c r="B38" s="10">
        <v>760</v>
      </c>
      <c r="C38" s="10">
        <v>4</v>
      </c>
      <c r="D38" s="198" t="s">
        <v>331</v>
      </c>
      <c r="E38" s="162">
        <f>INDEX('2017 Lockdown Update'!H$5:H$249,MATCH(B38,'2017 Lockdown Update'!B$5:B$249,0))</f>
        <v>5279.67</v>
      </c>
      <c r="F38" s="7">
        <f>INDEX('2017 Lockdown Update'!E$5:E$249,MATCH(B38,'2017 Lockdown Update'!B$5:B$249,0))</f>
        <v>1383723.61</v>
      </c>
      <c r="G38" s="7">
        <f>INDEX('2017 Lockdown Update'!F$5:F$249,MATCH(B38,'2017 Lockdown Update'!B$5:B$249,0))</f>
        <v>1018311.7500000002</v>
      </c>
      <c r="H38" s="7">
        <f t="shared" si="0"/>
        <v>365411.85999999987</v>
      </c>
      <c r="I38" s="6">
        <f t="shared" si="1"/>
        <v>69.211117361501735</v>
      </c>
      <c r="J38" s="6">
        <f t="shared" si="9"/>
        <v>69.211117361501735</v>
      </c>
      <c r="K38" s="5">
        <f t="shared" si="2"/>
        <v>365411.85999999987</v>
      </c>
      <c r="L38" s="4">
        <f t="shared" si="3"/>
        <v>0</v>
      </c>
      <c r="M38" s="2">
        <f t="shared" si="10"/>
        <v>352.71236570924077</v>
      </c>
      <c r="N38" s="1">
        <f t="shared" si="4"/>
        <v>15</v>
      </c>
      <c r="O38" s="3">
        <f t="shared" si="5"/>
        <v>80372.957814726396</v>
      </c>
      <c r="P38" s="2">
        <f t="shared" si="6"/>
        <v>131.20241040169878</v>
      </c>
      <c r="Q38" s="2">
        <f t="shared" si="11"/>
        <v>184.56971125571852</v>
      </c>
      <c r="R38" s="2">
        <f t="shared" si="11"/>
        <v>520.85502016276303</v>
      </c>
      <c r="S38" s="2">
        <f t="shared" si="8"/>
        <v>184.56971125571852</v>
      </c>
    </row>
    <row r="39" spans="2:19" x14ac:dyDescent="0.25">
      <c r="B39" s="10">
        <v>878</v>
      </c>
      <c r="C39" s="10">
        <v>4</v>
      </c>
      <c r="D39" s="198" t="s">
        <v>332</v>
      </c>
      <c r="E39" s="162">
        <f>INDEX('2017 Lockdown Update'!H$5:H$249,MATCH(B39,'2017 Lockdown Update'!B$5:B$249,0))</f>
        <v>7770.5700000000015</v>
      </c>
      <c r="F39" s="7">
        <f>INDEX('2017 Lockdown Update'!E$5:E$249,MATCH(B39,'2017 Lockdown Update'!B$5:B$249,0))</f>
        <v>2784486.68</v>
      </c>
      <c r="G39" s="7">
        <f>INDEX('2017 Lockdown Update'!F$5:F$249,MATCH(B39,'2017 Lockdown Update'!B$5:B$249,0))</f>
        <v>1233731.0899999999</v>
      </c>
      <c r="H39" s="7">
        <f t="shared" si="0"/>
        <v>1550755.5900000003</v>
      </c>
      <c r="I39" s="6">
        <f t="shared" si="1"/>
        <v>199.56780390627713</v>
      </c>
      <c r="J39" s="6">
        <f t="shared" si="9"/>
        <v>199.56780390627713</v>
      </c>
      <c r="K39" s="5">
        <f t="shared" si="2"/>
        <v>1550755.5900000003</v>
      </c>
      <c r="L39" s="4">
        <f t="shared" si="3"/>
        <v>0</v>
      </c>
      <c r="M39" s="2">
        <f t="shared" si="10"/>
        <v>352.71236570924077</v>
      </c>
      <c r="N39" s="1">
        <f t="shared" si="4"/>
        <v>15</v>
      </c>
      <c r="O39" s="3">
        <f t="shared" si="5"/>
        <v>23453.256809821749</v>
      </c>
      <c r="P39" s="2">
        <f t="shared" si="6"/>
        <v>131.20241040169878</v>
      </c>
      <c r="Q39" s="2">
        <f t="shared" si="11"/>
        <v>184.56971125571852</v>
      </c>
      <c r="R39" s="2">
        <f t="shared" si="11"/>
        <v>520.85502016276303</v>
      </c>
      <c r="S39" s="2">
        <f t="shared" si="8"/>
        <v>199.56780390627713</v>
      </c>
    </row>
    <row r="40" spans="2:19" x14ac:dyDescent="0.25">
      <c r="B40" s="10">
        <v>8</v>
      </c>
      <c r="C40" s="10">
        <v>5</v>
      </c>
      <c r="D40" s="198" t="s">
        <v>333</v>
      </c>
      <c r="E40" s="162">
        <f>INDEX('2017 Lockdown Update'!H$5:H$249,MATCH(B40,'2017 Lockdown Update'!B$5:B$249,0))</f>
        <v>2267.96</v>
      </c>
      <c r="F40" s="7">
        <f>INDEX('2017 Lockdown Update'!E$5:E$249,MATCH(B40,'2017 Lockdown Update'!B$5:B$249,0))</f>
        <v>612861.15</v>
      </c>
      <c r="G40" s="7">
        <f>INDEX('2017 Lockdown Update'!F$5:F$249,MATCH(B40,'2017 Lockdown Update'!B$5:B$249,0))</f>
        <v>115862.97</v>
      </c>
      <c r="H40" s="7">
        <f t="shared" si="0"/>
        <v>496998.18000000005</v>
      </c>
      <c r="I40" s="6">
        <f t="shared" si="1"/>
        <v>219.13886488297857</v>
      </c>
      <c r="J40" s="6">
        <f t="shared" si="9"/>
        <v>219.13886488297857</v>
      </c>
      <c r="K40" s="5">
        <f t="shared" si="2"/>
        <v>496998.18000000005</v>
      </c>
      <c r="L40" s="4">
        <f t="shared" si="3"/>
        <v>0</v>
      </c>
      <c r="M40" s="2">
        <f t="shared" si="10"/>
        <v>257.43063833406859</v>
      </c>
      <c r="N40" s="1">
        <f t="shared" si="4"/>
        <v>21</v>
      </c>
      <c r="O40" s="3">
        <f t="shared" si="5"/>
        <v>1466.2599140296027</v>
      </c>
      <c r="P40" s="2">
        <f t="shared" si="6"/>
        <v>123.53487089103122</v>
      </c>
      <c r="Q40" s="2">
        <f t="shared" si="11"/>
        <v>99.114331144317418</v>
      </c>
      <c r="R40" s="2">
        <f t="shared" si="11"/>
        <v>415.74694552381976</v>
      </c>
      <c r="S40" s="2">
        <f t="shared" si="8"/>
        <v>219.13886488297857</v>
      </c>
    </row>
    <row r="41" spans="2:19" x14ac:dyDescent="0.25">
      <c r="B41" s="10">
        <v>41</v>
      </c>
      <c r="C41" s="10">
        <v>5</v>
      </c>
      <c r="D41" s="198" t="s">
        <v>334</v>
      </c>
      <c r="E41" s="162">
        <f>INDEX('2017 Lockdown Update'!H$5:H$249,MATCH(B41,'2017 Lockdown Update'!B$5:B$249,0))</f>
        <v>1693.7200000000003</v>
      </c>
      <c r="F41" s="7">
        <f>INDEX('2017 Lockdown Update'!E$5:E$249,MATCH(B41,'2017 Lockdown Update'!B$5:B$249,0))</f>
        <v>622722.11</v>
      </c>
      <c r="G41" s="7">
        <f>INDEX('2017 Lockdown Update'!F$5:F$249,MATCH(B41,'2017 Lockdown Update'!B$5:B$249,0))</f>
        <v>293926.43000000005</v>
      </c>
      <c r="H41" s="7">
        <f t="shared" si="0"/>
        <v>328795.67999999993</v>
      </c>
      <c r="I41" s="6">
        <f t="shared" si="1"/>
        <v>194.12634910138624</v>
      </c>
      <c r="J41" s="6">
        <f t="shared" si="9"/>
        <v>194.12634910138624</v>
      </c>
      <c r="K41" s="5">
        <f t="shared" si="2"/>
        <v>328795.67999999993</v>
      </c>
      <c r="L41" s="4">
        <f t="shared" si="3"/>
        <v>0</v>
      </c>
      <c r="M41" s="2">
        <f t="shared" si="10"/>
        <v>257.43063833406859</v>
      </c>
      <c r="N41" s="1">
        <f t="shared" si="4"/>
        <v>21</v>
      </c>
      <c r="O41" s="3">
        <f t="shared" si="5"/>
        <v>4007.4330352551024</v>
      </c>
      <c r="P41" s="2">
        <f t="shared" si="6"/>
        <v>123.53487089103122</v>
      </c>
      <c r="Q41" s="2">
        <f t="shared" si="11"/>
        <v>99.114331144317418</v>
      </c>
      <c r="R41" s="2">
        <f t="shared" si="11"/>
        <v>415.74694552381976</v>
      </c>
      <c r="S41" s="2">
        <f t="shared" si="8"/>
        <v>194.12634910138624</v>
      </c>
    </row>
    <row r="42" spans="2:19" x14ac:dyDescent="0.25">
      <c r="B42" s="10">
        <v>56</v>
      </c>
      <c r="C42" s="10">
        <v>5</v>
      </c>
      <c r="D42" s="198" t="s">
        <v>335</v>
      </c>
      <c r="E42" s="162">
        <f>INDEX('2017 Lockdown Update'!H$5:H$249,MATCH(B42,'2017 Lockdown Update'!B$5:B$249,0))</f>
        <v>3045.59</v>
      </c>
      <c r="F42" s="7">
        <f>INDEX('2017 Lockdown Update'!E$5:E$249,MATCH(B42,'2017 Lockdown Update'!B$5:B$249,0))</f>
        <v>521383.94</v>
      </c>
      <c r="G42" s="7">
        <f>INDEX('2017 Lockdown Update'!F$5:F$249,MATCH(B42,'2017 Lockdown Update'!B$5:B$249,0))</f>
        <v>3002.24</v>
      </c>
      <c r="H42" s="7">
        <f t="shared" si="0"/>
        <v>518381.7</v>
      </c>
      <c r="I42" s="6">
        <f t="shared" si="1"/>
        <v>170.20731615220697</v>
      </c>
      <c r="J42" s="6">
        <f t="shared" si="9"/>
        <v>170.20731615220697</v>
      </c>
      <c r="K42" s="5">
        <f t="shared" si="2"/>
        <v>518381.70000000007</v>
      </c>
      <c r="L42" s="4">
        <f t="shared" si="3"/>
        <v>0</v>
      </c>
      <c r="M42" s="2">
        <f t="shared" si="10"/>
        <v>257.43063833406859</v>
      </c>
      <c r="N42" s="1">
        <f t="shared" si="4"/>
        <v>21</v>
      </c>
      <c r="O42" s="3">
        <f t="shared" si="5"/>
        <v>7607.9079324408331</v>
      </c>
      <c r="P42" s="2">
        <f t="shared" si="6"/>
        <v>123.53487089103122</v>
      </c>
      <c r="Q42" s="2">
        <f t="shared" si="11"/>
        <v>99.114331144317418</v>
      </c>
      <c r="R42" s="2">
        <f t="shared" si="11"/>
        <v>415.74694552381976</v>
      </c>
      <c r="S42" s="2">
        <f t="shared" si="8"/>
        <v>170.20731615220697</v>
      </c>
    </row>
    <row r="43" spans="2:19" x14ac:dyDescent="0.25">
      <c r="B43" s="10">
        <v>67</v>
      </c>
      <c r="C43" s="10">
        <v>5</v>
      </c>
      <c r="D43" s="198" t="s">
        <v>336</v>
      </c>
      <c r="E43" s="162">
        <f>INDEX('2017 Lockdown Update'!H$5:H$249,MATCH(B43,'2017 Lockdown Update'!B$5:B$249,0))</f>
        <v>1517.5318405730366</v>
      </c>
      <c r="F43" s="7">
        <f>INDEX('2017 Lockdown Update'!E$5:E$249,MATCH(B43,'2017 Lockdown Update'!B$5:B$249,0))</f>
        <v>211733.41</v>
      </c>
      <c r="G43" s="7">
        <f>INDEX('2017 Lockdown Update'!F$5:F$249,MATCH(B43,'2017 Lockdown Update'!B$5:B$249,0))</f>
        <v>0</v>
      </c>
      <c r="H43" s="7">
        <f t="shared" si="0"/>
        <v>211733.41</v>
      </c>
      <c r="I43" s="6">
        <f t="shared" si="1"/>
        <v>139.52485499088255</v>
      </c>
      <c r="J43" s="6">
        <f t="shared" si="9"/>
        <v>139.52485499088255</v>
      </c>
      <c r="K43" s="5">
        <f t="shared" si="2"/>
        <v>211733.41</v>
      </c>
      <c r="L43" s="4">
        <f t="shared" si="3"/>
        <v>0</v>
      </c>
      <c r="M43" s="2">
        <f t="shared" si="10"/>
        <v>257.43063833406859</v>
      </c>
      <c r="N43" s="1">
        <f t="shared" si="4"/>
        <v>21</v>
      </c>
      <c r="O43" s="3">
        <f t="shared" si="5"/>
        <v>13901.773745770328</v>
      </c>
      <c r="P43" s="2">
        <f t="shared" si="6"/>
        <v>123.53487089103122</v>
      </c>
      <c r="Q43" s="2">
        <f t="shared" si="11"/>
        <v>99.114331144317418</v>
      </c>
      <c r="R43" s="2">
        <f t="shared" si="11"/>
        <v>415.74694552381976</v>
      </c>
      <c r="S43" s="2">
        <f t="shared" si="8"/>
        <v>139.52485499088255</v>
      </c>
    </row>
    <row r="44" spans="2:19" x14ac:dyDescent="0.25">
      <c r="B44" s="10">
        <v>157</v>
      </c>
      <c r="C44" s="10">
        <v>5</v>
      </c>
      <c r="D44" s="198" t="s">
        <v>337</v>
      </c>
      <c r="E44" s="162">
        <f>INDEX('2017 Lockdown Update'!H$5:H$249,MATCH(B44,'2017 Lockdown Update'!B$5:B$249,0))</f>
        <v>458.49377410764129</v>
      </c>
      <c r="F44" s="7">
        <f>INDEX('2017 Lockdown Update'!E$5:E$249,MATCH(B44,'2017 Lockdown Update'!B$5:B$249,0))</f>
        <v>145658.07999999999</v>
      </c>
      <c r="G44" s="7">
        <f>INDEX('2017 Lockdown Update'!F$5:F$249,MATCH(B44,'2017 Lockdown Update'!B$5:B$249,0))</f>
        <v>150</v>
      </c>
      <c r="H44" s="7">
        <f t="shared" si="0"/>
        <v>145508.07999999999</v>
      </c>
      <c r="I44" s="6">
        <f t="shared" si="1"/>
        <v>317.36108147422482</v>
      </c>
      <c r="J44" s="6">
        <f t="shared" si="9"/>
        <v>317.36108147422482</v>
      </c>
      <c r="K44" s="5">
        <f t="shared" si="2"/>
        <v>145508.07999999999</v>
      </c>
      <c r="L44" s="4">
        <f t="shared" si="3"/>
        <v>0</v>
      </c>
      <c r="M44" s="2">
        <f t="shared" si="10"/>
        <v>257.43063833406859</v>
      </c>
      <c r="N44" s="1">
        <f t="shared" si="4"/>
        <v>21</v>
      </c>
      <c r="O44" s="3">
        <f t="shared" si="5"/>
        <v>3591.6580149754986</v>
      </c>
      <c r="P44" s="2">
        <f t="shared" si="6"/>
        <v>123.53487089103122</v>
      </c>
      <c r="Q44" s="2">
        <f t="shared" si="11"/>
        <v>99.114331144317418</v>
      </c>
      <c r="R44" s="2">
        <f t="shared" si="11"/>
        <v>415.74694552381976</v>
      </c>
      <c r="S44" s="2">
        <f t="shared" si="8"/>
        <v>317.36108147422482</v>
      </c>
    </row>
    <row r="45" spans="2:19" x14ac:dyDescent="0.25">
      <c r="B45" s="10">
        <v>214</v>
      </c>
      <c r="C45" s="10">
        <v>5</v>
      </c>
      <c r="D45" s="198" t="s">
        <v>338</v>
      </c>
      <c r="E45" s="162">
        <f>INDEX('2017 Lockdown Update'!H$5:H$249,MATCH(B45,'2017 Lockdown Update'!B$5:B$249,0))</f>
        <v>3109.6</v>
      </c>
      <c r="F45" s="7">
        <f>INDEX('2017 Lockdown Update'!E$5:E$249,MATCH(B45,'2017 Lockdown Update'!B$5:B$249,0))</f>
        <v>1693525.15</v>
      </c>
      <c r="G45" s="7">
        <f>INDEX('2017 Lockdown Update'!F$5:F$249,MATCH(B45,'2017 Lockdown Update'!B$5:B$249,0))</f>
        <v>371766.18000000005</v>
      </c>
      <c r="H45" s="7">
        <f t="shared" si="0"/>
        <v>1321758.9699999997</v>
      </c>
      <c r="I45" s="6">
        <f t="shared" si="1"/>
        <v>425.05755402624123</v>
      </c>
      <c r="J45" s="6">
        <f t="shared" si="9"/>
        <v>415.74694552381976</v>
      </c>
      <c r="K45" s="5">
        <f t="shared" si="2"/>
        <v>1292806.7018008698</v>
      </c>
      <c r="L45" s="4">
        <f t="shared" si="3"/>
        <v>0</v>
      </c>
      <c r="M45" s="2">
        <f t="shared" si="10"/>
        <v>257.43063833406859</v>
      </c>
      <c r="N45" s="1">
        <f t="shared" si="4"/>
        <v>21</v>
      </c>
      <c r="O45" s="3">
        <f t="shared" si="5"/>
        <v>28098.782864470755</v>
      </c>
      <c r="P45" s="2">
        <f t="shared" si="6"/>
        <v>123.53487089103122</v>
      </c>
      <c r="Q45" s="2">
        <f t="shared" si="11"/>
        <v>99.114331144317418</v>
      </c>
      <c r="R45" s="2">
        <f t="shared" si="11"/>
        <v>415.74694552381976</v>
      </c>
      <c r="S45" s="2">
        <f t="shared" si="8"/>
        <v>415.74694552381976</v>
      </c>
    </row>
    <row r="46" spans="2:19" x14ac:dyDescent="0.25">
      <c r="B46" s="10">
        <v>223</v>
      </c>
      <c r="C46" s="10">
        <v>5</v>
      </c>
      <c r="D46" s="198" t="s">
        <v>339</v>
      </c>
      <c r="E46" s="162">
        <f>INDEX('2017 Lockdown Update'!H$5:H$249,MATCH(B46,'2017 Lockdown Update'!B$5:B$249,0))</f>
        <v>333.74</v>
      </c>
      <c r="F46" s="7">
        <f>INDEX('2017 Lockdown Update'!E$5:E$249,MATCH(B46,'2017 Lockdown Update'!B$5:B$249,0))</f>
        <v>205904.35</v>
      </c>
      <c r="G46" s="7">
        <f>INDEX('2017 Lockdown Update'!F$5:F$249,MATCH(B46,'2017 Lockdown Update'!B$5:B$249,0))</f>
        <v>3510.12</v>
      </c>
      <c r="H46" s="7">
        <f t="shared" si="0"/>
        <v>202394.23</v>
      </c>
      <c r="I46" s="6">
        <f t="shared" si="1"/>
        <v>606.44282974770783</v>
      </c>
      <c r="J46" s="6">
        <f t="shared" si="9"/>
        <v>415.74694552381976</v>
      </c>
      <c r="K46" s="5">
        <f t="shared" si="2"/>
        <v>138751.38559911962</v>
      </c>
      <c r="L46" s="4">
        <f t="shared" si="3"/>
        <v>0</v>
      </c>
      <c r="M46" s="2">
        <f t="shared" si="10"/>
        <v>257.43063833406859</v>
      </c>
      <c r="N46" s="1">
        <f t="shared" si="4"/>
        <v>21</v>
      </c>
      <c r="O46" s="3">
        <f t="shared" si="5"/>
        <v>121809.50975535075</v>
      </c>
      <c r="P46" s="2">
        <f t="shared" si="6"/>
        <v>123.53487089103122</v>
      </c>
      <c r="Q46" s="2">
        <f t="shared" ref="Q46:R65" si="12">NORMINV(Q$4,$M46,$P46)</f>
        <v>99.114331144317418</v>
      </c>
      <c r="R46" s="2">
        <f t="shared" si="12"/>
        <v>415.74694552381976</v>
      </c>
      <c r="S46" s="2">
        <f t="shared" si="8"/>
        <v>415.74694552381976</v>
      </c>
    </row>
    <row r="47" spans="2:19" x14ac:dyDescent="0.25">
      <c r="B47" s="10">
        <v>224</v>
      </c>
      <c r="C47" s="10">
        <v>5</v>
      </c>
      <c r="D47" s="198" t="s">
        <v>340</v>
      </c>
      <c r="E47" s="162">
        <f>INDEX('2017 Lockdown Update'!H$5:H$249,MATCH(B47,'2017 Lockdown Update'!B$5:B$249,0))</f>
        <v>274.49707003740264</v>
      </c>
      <c r="F47" s="7">
        <f>INDEX('2017 Lockdown Update'!E$5:E$249,MATCH(B47,'2017 Lockdown Update'!B$5:B$249,0))</f>
        <v>77159.710000000006</v>
      </c>
      <c r="G47" s="7">
        <f>INDEX('2017 Lockdown Update'!F$5:F$249,MATCH(B47,'2017 Lockdown Update'!B$5:B$249,0))</f>
        <v>180</v>
      </c>
      <c r="H47" s="7">
        <f t="shared" si="0"/>
        <v>76979.710000000006</v>
      </c>
      <c r="I47" s="6">
        <f t="shared" si="1"/>
        <v>280.43909535905374</v>
      </c>
      <c r="J47" s="6">
        <f t="shared" si="9"/>
        <v>280.43909535905374</v>
      </c>
      <c r="K47" s="5">
        <f t="shared" si="2"/>
        <v>76979.710000000006</v>
      </c>
      <c r="L47" s="4">
        <f t="shared" si="3"/>
        <v>0</v>
      </c>
      <c r="M47" s="2">
        <f t="shared" si="10"/>
        <v>257.43063833406859</v>
      </c>
      <c r="N47" s="1">
        <f t="shared" si="4"/>
        <v>21</v>
      </c>
      <c r="O47" s="3">
        <f t="shared" si="5"/>
        <v>529.38909467058841</v>
      </c>
      <c r="P47" s="2">
        <f t="shared" si="6"/>
        <v>123.53487089103122</v>
      </c>
      <c r="Q47" s="2">
        <f t="shared" si="12"/>
        <v>99.114331144317418</v>
      </c>
      <c r="R47" s="2">
        <f t="shared" si="12"/>
        <v>415.74694552381976</v>
      </c>
      <c r="S47" s="2">
        <f t="shared" si="8"/>
        <v>280.43909535905374</v>
      </c>
    </row>
    <row r="48" spans="2:19" x14ac:dyDescent="0.25">
      <c r="B48" s="10">
        <v>233</v>
      </c>
      <c r="C48" s="10">
        <v>5</v>
      </c>
      <c r="D48" s="198" t="s">
        <v>341</v>
      </c>
      <c r="E48" s="162">
        <f>INDEX('2017 Lockdown Update'!H$5:H$249,MATCH(B48,'2017 Lockdown Update'!B$5:B$249,0))</f>
        <v>2132.25</v>
      </c>
      <c r="F48" s="7">
        <f>INDEX('2017 Lockdown Update'!E$5:E$249,MATCH(B48,'2017 Lockdown Update'!B$5:B$249,0))</f>
        <v>629398.4</v>
      </c>
      <c r="G48" s="7">
        <f>INDEX('2017 Lockdown Update'!F$5:F$249,MATCH(B48,'2017 Lockdown Update'!B$5:B$249,0))</f>
        <v>324977.27999999997</v>
      </c>
      <c r="H48" s="7">
        <f t="shared" si="0"/>
        <v>304421.12000000005</v>
      </c>
      <c r="I48" s="6">
        <f t="shared" si="1"/>
        <v>142.76990034001645</v>
      </c>
      <c r="J48" s="6">
        <f t="shared" si="9"/>
        <v>142.76990034001645</v>
      </c>
      <c r="K48" s="5">
        <f t="shared" si="2"/>
        <v>304421.12000000005</v>
      </c>
      <c r="L48" s="4">
        <f t="shared" si="3"/>
        <v>0</v>
      </c>
      <c r="M48" s="2">
        <f t="shared" si="10"/>
        <v>257.43063833406859</v>
      </c>
      <c r="N48" s="1">
        <f t="shared" si="4"/>
        <v>21</v>
      </c>
      <c r="O48" s="3">
        <f t="shared" si="5"/>
        <v>13147.084837340672</v>
      </c>
      <c r="P48" s="2">
        <f t="shared" si="6"/>
        <v>123.53487089103122</v>
      </c>
      <c r="Q48" s="2">
        <f t="shared" si="12"/>
        <v>99.114331144317418</v>
      </c>
      <c r="R48" s="2">
        <f t="shared" si="12"/>
        <v>415.74694552381976</v>
      </c>
      <c r="S48" s="2">
        <f t="shared" si="8"/>
        <v>142.76990034001645</v>
      </c>
    </row>
    <row r="49" spans="2:19" x14ac:dyDescent="0.25">
      <c r="B49" s="10">
        <v>272</v>
      </c>
      <c r="C49" s="10">
        <v>5</v>
      </c>
      <c r="D49" s="39" t="s">
        <v>342</v>
      </c>
      <c r="E49" s="162">
        <f>INDEX('2017 Lockdown Update'!H$5:H$249,MATCH(B49,'2017 Lockdown Update'!B$5:B$249,0))</f>
        <v>386.38981858925848</v>
      </c>
      <c r="F49" s="7">
        <f>INDEX('2017 Lockdown Update'!E$5:E$249,MATCH(B49,'2017 Lockdown Update'!B$5:B$249,0))</f>
        <v>101161.37</v>
      </c>
      <c r="G49" s="7">
        <f>INDEX('2017 Lockdown Update'!F$5:F$249,MATCH(B49,'2017 Lockdown Update'!B$5:B$249,0))</f>
        <v>0</v>
      </c>
      <c r="H49" s="7">
        <f t="shared" si="0"/>
        <v>101161.37</v>
      </c>
      <c r="I49" s="6">
        <f t="shared" si="1"/>
        <v>261.81168636727699</v>
      </c>
      <c r="J49" s="6">
        <f t="shared" si="9"/>
        <v>261.81168636727699</v>
      </c>
      <c r="K49" s="5">
        <f t="shared" si="2"/>
        <v>101161.37</v>
      </c>
      <c r="L49" s="4">
        <f t="shared" si="3"/>
        <v>0</v>
      </c>
      <c r="M49" s="2">
        <f t="shared" si="10"/>
        <v>257.43063833406859</v>
      </c>
      <c r="N49" s="1">
        <f t="shared" si="4"/>
        <v>21</v>
      </c>
      <c r="O49" s="3">
        <f t="shared" si="5"/>
        <v>19.1935818692792</v>
      </c>
      <c r="P49" s="2">
        <f t="shared" si="6"/>
        <v>123.53487089103122</v>
      </c>
      <c r="Q49" s="2">
        <f t="shared" si="12"/>
        <v>99.114331144317418</v>
      </c>
      <c r="R49" s="2">
        <f t="shared" si="12"/>
        <v>415.74694552381976</v>
      </c>
      <c r="S49" s="2">
        <f t="shared" si="8"/>
        <v>261.81168636727699</v>
      </c>
    </row>
    <row r="50" spans="2:19" x14ac:dyDescent="0.25">
      <c r="B50" s="10">
        <v>427</v>
      </c>
      <c r="C50" s="10">
        <v>5</v>
      </c>
      <c r="D50" s="198" t="s">
        <v>343</v>
      </c>
      <c r="E50" s="162">
        <f>INDEX('2017 Lockdown Update'!H$5:H$249,MATCH(B50,'2017 Lockdown Update'!B$5:B$249,0))</f>
        <v>452.62</v>
      </c>
      <c r="F50" s="7">
        <f>INDEX('2017 Lockdown Update'!E$5:E$249,MATCH(B50,'2017 Lockdown Update'!B$5:B$249,0))</f>
        <v>190983.95</v>
      </c>
      <c r="G50" s="7">
        <f>INDEX('2017 Lockdown Update'!F$5:F$249,MATCH(B50,'2017 Lockdown Update'!B$5:B$249,0))</f>
        <v>69834.559999999998</v>
      </c>
      <c r="H50" s="7">
        <f t="shared" si="0"/>
        <v>121149.39000000001</v>
      </c>
      <c r="I50" s="6">
        <f t="shared" si="1"/>
        <v>267.66247624939245</v>
      </c>
      <c r="J50" s="6">
        <f t="shared" si="9"/>
        <v>267.66247624939245</v>
      </c>
      <c r="K50" s="5">
        <f t="shared" si="2"/>
        <v>121149.39000000001</v>
      </c>
      <c r="L50" s="4">
        <f t="shared" si="3"/>
        <v>0</v>
      </c>
      <c r="M50" s="2">
        <f t="shared" si="10"/>
        <v>257.43063833406859</v>
      </c>
      <c r="N50" s="1">
        <f t="shared" si="4"/>
        <v>21</v>
      </c>
      <c r="O50" s="3">
        <f t="shared" si="5"/>
        <v>104.69050712545902</v>
      </c>
      <c r="P50" s="2">
        <f t="shared" si="6"/>
        <v>123.53487089103122</v>
      </c>
      <c r="Q50" s="2">
        <f t="shared" si="12"/>
        <v>99.114331144317418</v>
      </c>
      <c r="R50" s="2">
        <f t="shared" si="12"/>
        <v>415.74694552381976</v>
      </c>
      <c r="S50" s="2">
        <f t="shared" si="8"/>
        <v>267.66247624939245</v>
      </c>
    </row>
    <row r="51" spans="2:19" x14ac:dyDescent="0.25">
      <c r="B51" s="10">
        <v>524</v>
      </c>
      <c r="C51" s="10">
        <v>5</v>
      </c>
      <c r="D51" s="198" t="s">
        <v>344</v>
      </c>
      <c r="E51" s="162">
        <f>INDEX('2017 Lockdown Update'!H$5:H$249,MATCH(B51,'2017 Lockdown Update'!B$5:B$249,0))</f>
        <v>529.66425187151924</v>
      </c>
      <c r="F51" s="7">
        <f>INDEX('2017 Lockdown Update'!E$5:E$249,MATCH(B51,'2017 Lockdown Update'!B$5:B$249,0))</f>
        <v>245808.58</v>
      </c>
      <c r="G51" s="7">
        <f>INDEX('2017 Lockdown Update'!F$5:F$249,MATCH(B51,'2017 Lockdown Update'!B$5:B$249,0))</f>
        <v>450.32</v>
      </c>
      <c r="H51" s="7">
        <f t="shared" si="0"/>
        <v>245358.25999999998</v>
      </c>
      <c r="I51" s="6">
        <f t="shared" si="1"/>
        <v>463.23356566551251</v>
      </c>
      <c r="J51" s="6">
        <f t="shared" si="9"/>
        <v>415.74694552381976</v>
      </c>
      <c r="K51" s="5">
        <f t="shared" si="2"/>
        <v>220206.29486874325</v>
      </c>
      <c r="L51" s="4">
        <f t="shared" si="3"/>
        <v>0</v>
      </c>
      <c r="M51" s="2">
        <f t="shared" si="10"/>
        <v>257.43063833406859</v>
      </c>
      <c r="N51" s="1">
        <f t="shared" si="4"/>
        <v>21</v>
      </c>
      <c r="O51" s="3">
        <f t="shared" si="5"/>
        <v>42354.844898191586</v>
      </c>
      <c r="P51" s="2">
        <f t="shared" si="6"/>
        <v>123.53487089103122</v>
      </c>
      <c r="Q51" s="2">
        <f t="shared" si="12"/>
        <v>99.114331144317418</v>
      </c>
      <c r="R51" s="2">
        <f t="shared" si="12"/>
        <v>415.74694552381976</v>
      </c>
      <c r="S51" s="2">
        <f t="shared" si="8"/>
        <v>415.74694552381976</v>
      </c>
    </row>
    <row r="52" spans="2:19" x14ac:dyDescent="0.25">
      <c r="B52" s="10">
        <v>565</v>
      </c>
      <c r="C52" s="10">
        <v>5</v>
      </c>
      <c r="D52" s="198" t="s">
        <v>345</v>
      </c>
      <c r="E52" s="162">
        <f>INDEX('2017 Lockdown Update'!H$5:H$249,MATCH(B52,'2017 Lockdown Update'!B$5:B$249,0))</f>
        <v>445.33784061237589</v>
      </c>
      <c r="F52" s="7">
        <f>INDEX('2017 Lockdown Update'!E$5:E$249,MATCH(B52,'2017 Lockdown Update'!B$5:B$249,0))</f>
        <v>183464.86</v>
      </c>
      <c r="G52" s="7">
        <f>INDEX('2017 Lockdown Update'!F$5:F$249,MATCH(B52,'2017 Lockdown Update'!B$5:B$249,0))</f>
        <v>760</v>
      </c>
      <c r="H52" s="7">
        <f t="shared" si="0"/>
        <v>182704.86</v>
      </c>
      <c r="I52" s="6">
        <f t="shared" si="1"/>
        <v>410.26125188186546</v>
      </c>
      <c r="J52" s="6">
        <f t="shared" si="9"/>
        <v>410.26125188186546</v>
      </c>
      <c r="K52" s="5">
        <f t="shared" si="2"/>
        <v>182704.86</v>
      </c>
      <c r="L52" s="4">
        <f t="shared" si="3"/>
        <v>0</v>
      </c>
      <c r="M52" s="2">
        <f t="shared" si="10"/>
        <v>257.43063833406859</v>
      </c>
      <c r="N52" s="1">
        <f t="shared" si="4"/>
        <v>21</v>
      </c>
      <c r="O52" s="3">
        <f t="shared" si="5"/>
        <v>23357.196437396033</v>
      </c>
      <c r="P52" s="2">
        <f t="shared" si="6"/>
        <v>123.53487089103122</v>
      </c>
      <c r="Q52" s="2">
        <f t="shared" si="12"/>
        <v>99.114331144317418</v>
      </c>
      <c r="R52" s="2">
        <f t="shared" si="12"/>
        <v>415.74694552381976</v>
      </c>
      <c r="S52" s="2">
        <f t="shared" si="8"/>
        <v>410.26125188186546</v>
      </c>
    </row>
    <row r="53" spans="2:19" x14ac:dyDescent="0.25">
      <c r="B53" s="10">
        <v>613</v>
      </c>
      <c r="C53" s="10">
        <v>5</v>
      </c>
      <c r="D53" s="198" t="s">
        <v>346</v>
      </c>
      <c r="E53" s="162">
        <f>INDEX('2017 Lockdown Update'!H$5:H$249,MATCH(B53,'2017 Lockdown Update'!B$5:B$249,0))</f>
        <v>94.470534067416096</v>
      </c>
      <c r="F53" s="7">
        <f>INDEX('2017 Lockdown Update'!E$5:E$249,MATCH(B53,'2017 Lockdown Update'!B$5:B$249,0))</f>
        <v>62648.94</v>
      </c>
      <c r="G53" s="7">
        <f>INDEX('2017 Lockdown Update'!F$5:F$249,MATCH(B53,'2017 Lockdown Update'!B$5:B$249,0))</f>
        <v>0</v>
      </c>
      <c r="H53" s="7">
        <f t="shared" si="0"/>
        <v>62648.94</v>
      </c>
      <c r="I53" s="6">
        <f t="shared" si="1"/>
        <v>663.15852470244783</v>
      </c>
      <c r="J53" s="6">
        <f t="shared" si="9"/>
        <v>415.74694552381976</v>
      </c>
      <c r="K53" s="5">
        <f t="shared" si="2"/>
        <v>39275.835980532196</v>
      </c>
      <c r="L53" s="4">
        <f t="shared" si="3"/>
        <v>0</v>
      </c>
      <c r="M53" s="2">
        <f t="shared" si="10"/>
        <v>257.43063833406859</v>
      </c>
      <c r="N53" s="1">
        <f t="shared" si="4"/>
        <v>21</v>
      </c>
      <c r="O53" s="3">
        <f t="shared" si="5"/>
        <v>164615.11777695245</v>
      </c>
      <c r="P53" s="2">
        <f t="shared" si="6"/>
        <v>123.53487089103122</v>
      </c>
      <c r="Q53" s="2">
        <f t="shared" si="12"/>
        <v>99.114331144317418</v>
      </c>
      <c r="R53" s="2">
        <f t="shared" si="12"/>
        <v>415.74694552381976</v>
      </c>
      <c r="S53" s="2">
        <f t="shared" si="8"/>
        <v>415.74694552381976</v>
      </c>
    </row>
    <row r="54" spans="2:19" x14ac:dyDescent="0.25">
      <c r="B54" s="10">
        <v>696</v>
      </c>
      <c r="C54" s="10">
        <v>5</v>
      </c>
      <c r="D54" s="198" t="s">
        <v>347</v>
      </c>
      <c r="E54" s="162">
        <f>INDEX('2017 Lockdown Update'!H$5:H$249,MATCH(B54,'2017 Lockdown Update'!B$5:B$249,0))</f>
        <v>317.03380077970206</v>
      </c>
      <c r="F54" s="7">
        <f>INDEX('2017 Lockdown Update'!E$5:E$249,MATCH(B54,'2017 Lockdown Update'!B$5:B$249,0))</f>
        <v>124256.29</v>
      </c>
      <c r="G54" s="7">
        <f>INDEX('2017 Lockdown Update'!F$5:F$249,MATCH(B54,'2017 Lockdown Update'!B$5:B$249,0))</f>
        <v>136.29</v>
      </c>
      <c r="H54" s="7">
        <f t="shared" si="0"/>
        <v>124120</v>
      </c>
      <c r="I54" s="6">
        <f t="shared" si="1"/>
        <v>391.50399640272906</v>
      </c>
      <c r="J54" s="6">
        <f t="shared" si="9"/>
        <v>391.50399640272906</v>
      </c>
      <c r="K54" s="5">
        <f t="shared" si="2"/>
        <v>124120</v>
      </c>
      <c r="L54" s="4">
        <f t="shared" si="3"/>
        <v>0</v>
      </c>
      <c r="M54" s="2">
        <f t="shared" si="10"/>
        <v>257.43063833406859</v>
      </c>
      <c r="N54" s="1">
        <f t="shared" si="4"/>
        <v>21</v>
      </c>
      <c r="O54" s="3">
        <f t="shared" si="5"/>
        <v>17975.665343807243</v>
      </c>
      <c r="P54" s="2">
        <f t="shared" si="6"/>
        <v>123.53487089103122</v>
      </c>
      <c r="Q54" s="2">
        <f t="shared" si="12"/>
        <v>99.114331144317418</v>
      </c>
      <c r="R54" s="2">
        <f t="shared" si="12"/>
        <v>415.74694552381976</v>
      </c>
      <c r="S54" s="2">
        <f t="shared" si="8"/>
        <v>391.50399640272906</v>
      </c>
    </row>
    <row r="55" spans="2:19" x14ac:dyDescent="0.25">
      <c r="B55" s="10">
        <v>731</v>
      </c>
      <c r="C55" s="10">
        <v>5</v>
      </c>
      <c r="D55" s="198" t="s">
        <v>348</v>
      </c>
      <c r="E55" s="162">
        <f>INDEX('2017 Lockdown Update'!H$5:H$249,MATCH(B55,'2017 Lockdown Update'!B$5:B$249,0))</f>
        <v>862.70999999999992</v>
      </c>
      <c r="F55" s="7">
        <f>INDEX('2017 Lockdown Update'!E$5:E$249,MATCH(B55,'2017 Lockdown Update'!B$5:B$249,0))</f>
        <v>224685.08</v>
      </c>
      <c r="G55" s="7">
        <f>INDEX('2017 Lockdown Update'!F$5:F$249,MATCH(B55,'2017 Lockdown Update'!B$5:B$249,0))</f>
        <v>35649.1</v>
      </c>
      <c r="H55" s="7">
        <f t="shared" si="0"/>
        <v>189035.97999999998</v>
      </c>
      <c r="I55" s="6">
        <f t="shared" si="1"/>
        <v>219.11880006027519</v>
      </c>
      <c r="J55" s="6">
        <f t="shared" si="9"/>
        <v>219.11880006027519</v>
      </c>
      <c r="K55" s="5">
        <f t="shared" si="2"/>
        <v>189035.97999999998</v>
      </c>
      <c r="L55" s="4">
        <f t="shared" si="3"/>
        <v>0</v>
      </c>
      <c r="M55" s="2">
        <f t="shared" si="10"/>
        <v>257.43063833406859</v>
      </c>
      <c r="N55" s="1">
        <f t="shared" si="4"/>
        <v>21</v>
      </c>
      <c r="O55" s="3">
        <f t="shared" si="5"/>
        <v>1467.7969519173007</v>
      </c>
      <c r="P55" s="2">
        <f t="shared" si="6"/>
        <v>123.53487089103122</v>
      </c>
      <c r="Q55" s="2">
        <f t="shared" si="12"/>
        <v>99.114331144317418</v>
      </c>
      <c r="R55" s="2">
        <f t="shared" si="12"/>
        <v>415.74694552381976</v>
      </c>
      <c r="S55" s="2">
        <f t="shared" si="8"/>
        <v>219.11880006027519</v>
      </c>
    </row>
    <row r="56" spans="2:19" x14ac:dyDescent="0.25">
      <c r="B56" s="10">
        <v>732</v>
      </c>
      <c r="C56" s="10">
        <v>5</v>
      </c>
      <c r="D56" s="198" t="s">
        <v>349</v>
      </c>
      <c r="E56" s="162">
        <f>INDEX('2017 Lockdown Update'!H$5:H$249,MATCH(B56,'2017 Lockdown Update'!B$5:B$249,0))</f>
        <v>222.6459090886845</v>
      </c>
      <c r="F56" s="7">
        <f>INDEX('2017 Lockdown Update'!E$5:E$249,MATCH(B56,'2017 Lockdown Update'!B$5:B$249,0))</f>
        <v>69015.66</v>
      </c>
      <c r="G56" s="7">
        <f>INDEX('2017 Lockdown Update'!F$5:F$249,MATCH(B56,'2017 Lockdown Update'!B$5:B$249,0))</f>
        <v>0</v>
      </c>
      <c r="H56" s="7">
        <f t="shared" si="0"/>
        <v>69015.66</v>
      </c>
      <c r="I56" s="6">
        <f t="shared" si="1"/>
        <v>309.97946597127742</v>
      </c>
      <c r="J56" s="6">
        <f t="shared" si="9"/>
        <v>309.97946597127742</v>
      </c>
      <c r="K56" s="5">
        <f t="shared" si="2"/>
        <v>69015.66</v>
      </c>
      <c r="L56" s="4">
        <f t="shared" si="3"/>
        <v>0</v>
      </c>
      <c r="M56" s="2">
        <f t="shared" si="10"/>
        <v>257.43063833406859</v>
      </c>
      <c r="N56" s="1">
        <f t="shared" si="4"/>
        <v>21</v>
      </c>
      <c r="O56" s="3">
        <f t="shared" si="5"/>
        <v>2761.3792860450826</v>
      </c>
      <c r="P56" s="2">
        <f t="shared" si="6"/>
        <v>123.53487089103122</v>
      </c>
      <c r="Q56" s="2">
        <f t="shared" si="12"/>
        <v>99.114331144317418</v>
      </c>
      <c r="R56" s="2">
        <f t="shared" si="12"/>
        <v>415.74694552381976</v>
      </c>
      <c r="S56" s="2">
        <f t="shared" si="8"/>
        <v>309.97946597127742</v>
      </c>
    </row>
    <row r="57" spans="2:19" x14ac:dyDescent="0.25">
      <c r="B57" s="10">
        <v>754</v>
      </c>
      <c r="C57" s="10">
        <v>5</v>
      </c>
      <c r="D57" s="198" t="s">
        <v>350</v>
      </c>
      <c r="E57" s="162">
        <f>INDEX('2017 Lockdown Update'!H$5:H$249,MATCH(B57,'2017 Lockdown Update'!B$5:B$249,0))</f>
        <v>120.10207431826544</v>
      </c>
      <c r="F57" s="7">
        <f>INDEX('2017 Lockdown Update'!E$5:E$249,MATCH(B57,'2017 Lockdown Update'!B$5:B$249,0))</f>
        <v>29707.96</v>
      </c>
      <c r="G57" s="7">
        <f>INDEX('2017 Lockdown Update'!F$5:F$249,MATCH(B57,'2017 Lockdown Update'!B$5:B$249,0))</f>
        <v>0</v>
      </c>
      <c r="H57" s="7">
        <f t="shared" si="0"/>
        <v>29707.96</v>
      </c>
      <c r="I57" s="6">
        <f t="shared" si="1"/>
        <v>247.35592760267534</v>
      </c>
      <c r="J57" s="6">
        <f t="shared" si="9"/>
        <v>247.35592760267534</v>
      </c>
      <c r="K57" s="5">
        <f t="shared" si="2"/>
        <v>29707.96</v>
      </c>
      <c r="L57" s="4">
        <f t="shared" si="3"/>
        <v>0</v>
      </c>
      <c r="M57" s="2">
        <f t="shared" si="10"/>
        <v>257.43063833406859</v>
      </c>
      <c r="N57" s="1">
        <f t="shared" si="4"/>
        <v>21</v>
      </c>
      <c r="O57" s="3">
        <f t="shared" si="5"/>
        <v>101.49979632125037</v>
      </c>
      <c r="P57" s="2">
        <f t="shared" si="6"/>
        <v>123.53487089103122</v>
      </c>
      <c r="Q57" s="2">
        <f t="shared" si="12"/>
        <v>99.114331144317418</v>
      </c>
      <c r="R57" s="2">
        <f t="shared" si="12"/>
        <v>415.74694552381976</v>
      </c>
      <c r="S57" s="2">
        <f t="shared" si="8"/>
        <v>247.35592760267534</v>
      </c>
    </row>
    <row r="58" spans="2:19" x14ac:dyDescent="0.25">
      <c r="B58" s="10">
        <v>885</v>
      </c>
      <c r="C58" s="10">
        <v>5</v>
      </c>
      <c r="D58" s="198" t="s">
        <v>351</v>
      </c>
      <c r="E58" s="162">
        <f>INDEX('2017 Lockdown Update'!H$5:H$249,MATCH(B58,'2017 Lockdown Update'!B$5:B$249,0))</f>
        <v>411.83000000000004</v>
      </c>
      <c r="F58" s="7">
        <f>INDEX('2017 Lockdown Update'!E$5:E$249,MATCH(B58,'2017 Lockdown Update'!B$5:B$249,0))</f>
        <v>134922.51999999999</v>
      </c>
      <c r="G58" s="7">
        <f>INDEX('2017 Lockdown Update'!F$5:F$249,MATCH(B58,'2017 Lockdown Update'!B$5:B$249,0))</f>
        <v>72127.05</v>
      </c>
      <c r="H58" s="7">
        <f t="shared" si="0"/>
        <v>62795.469999999987</v>
      </c>
      <c r="I58" s="6">
        <f t="shared" si="1"/>
        <v>152.47910545613476</v>
      </c>
      <c r="J58" s="6">
        <f t="shared" si="9"/>
        <v>152.47910545613476</v>
      </c>
      <c r="K58" s="5">
        <f t="shared" si="2"/>
        <v>62795.469999999987</v>
      </c>
      <c r="L58" s="4">
        <f t="shared" si="3"/>
        <v>0</v>
      </c>
      <c r="M58" s="2">
        <f t="shared" si="10"/>
        <v>257.43063833406859</v>
      </c>
      <c r="N58" s="1">
        <f t="shared" si="4"/>
        <v>21</v>
      </c>
      <c r="O58" s="3">
        <f t="shared" si="5"/>
        <v>11014.824253428025</v>
      </c>
      <c r="P58" s="2">
        <f t="shared" si="6"/>
        <v>123.53487089103122</v>
      </c>
      <c r="Q58" s="2">
        <f t="shared" si="12"/>
        <v>99.114331144317418</v>
      </c>
      <c r="R58" s="2">
        <f t="shared" si="12"/>
        <v>415.74694552381976</v>
      </c>
      <c r="S58" s="2">
        <f t="shared" si="8"/>
        <v>152.47910545613476</v>
      </c>
    </row>
    <row r="59" spans="2:19" x14ac:dyDescent="0.25">
      <c r="B59" s="10">
        <v>909</v>
      </c>
      <c r="C59" s="10">
        <v>5</v>
      </c>
      <c r="D59" s="198" t="s">
        <v>352</v>
      </c>
      <c r="E59" s="162">
        <f>INDEX('2017 Lockdown Update'!H$5:H$249,MATCH(B59,'2017 Lockdown Update'!B$5:B$249,0))</f>
        <v>535.34</v>
      </c>
      <c r="F59" s="7">
        <f>INDEX('2017 Lockdown Update'!E$5:E$249,MATCH(B59,'2017 Lockdown Update'!B$5:B$249,0))</f>
        <v>229582.5</v>
      </c>
      <c r="G59" s="7">
        <f>INDEX('2017 Lockdown Update'!F$5:F$249,MATCH(B59,'2017 Lockdown Update'!B$5:B$249,0))</f>
        <v>97120.69</v>
      </c>
      <c r="H59" s="7">
        <f t="shared" si="0"/>
        <v>132461.81</v>
      </c>
      <c r="I59" s="6">
        <f t="shared" si="1"/>
        <v>247.43491986401165</v>
      </c>
      <c r="J59" s="6">
        <f t="shared" si="9"/>
        <v>247.43491986401165</v>
      </c>
      <c r="K59" s="5">
        <f t="shared" si="2"/>
        <v>132461.81</v>
      </c>
      <c r="L59" s="4">
        <f t="shared" si="3"/>
        <v>0</v>
      </c>
      <c r="M59" s="2">
        <f t="shared" si="10"/>
        <v>257.43063833406859</v>
      </c>
      <c r="N59" s="1">
        <f t="shared" si="4"/>
        <v>21</v>
      </c>
      <c r="O59" s="3">
        <f t="shared" si="5"/>
        <v>99.914387732637508</v>
      </c>
      <c r="P59" s="2">
        <f t="shared" si="6"/>
        <v>123.53487089103122</v>
      </c>
      <c r="Q59" s="2">
        <f t="shared" si="12"/>
        <v>99.114331144317418</v>
      </c>
      <c r="R59" s="2">
        <f t="shared" si="12"/>
        <v>415.74694552381976</v>
      </c>
      <c r="S59" s="2">
        <f t="shared" si="8"/>
        <v>247.43491986401165</v>
      </c>
    </row>
    <row r="60" spans="2:19" x14ac:dyDescent="0.25">
      <c r="B60" s="10">
        <v>923</v>
      </c>
      <c r="C60" s="10">
        <v>5</v>
      </c>
      <c r="D60" s="198" t="s">
        <v>353</v>
      </c>
      <c r="E60" s="162">
        <f>INDEX('2017 Lockdown Update'!H$5:H$249,MATCH(B60,'2017 Lockdown Update'!B$5:B$249,0))</f>
        <v>48.433213800282132</v>
      </c>
      <c r="F60" s="7">
        <f>INDEX('2017 Lockdown Update'!E$5:E$249,MATCH(B60,'2017 Lockdown Update'!B$5:B$249,0))</f>
        <v>31066.29</v>
      </c>
      <c r="G60" s="7">
        <f>INDEX('2017 Lockdown Update'!F$5:F$249,MATCH(B60,'2017 Lockdown Update'!B$5:B$249,0))</f>
        <v>93.24</v>
      </c>
      <c r="H60" s="7">
        <f t="shared" si="0"/>
        <v>30973.05</v>
      </c>
      <c r="I60" s="6">
        <f t="shared" si="1"/>
        <v>639.50020181852096</v>
      </c>
      <c r="J60" s="6">
        <f t="shared" si="9"/>
        <v>415.74694552381976</v>
      </c>
      <c r="K60" s="5">
        <f t="shared" si="2"/>
        <v>20135.960699369411</v>
      </c>
      <c r="L60" s="4">
        <f t="shared" si="3"/>
        <v>0</v>
      </c>
      <c r="M60" s="2">
        <f t="shared" si="10"/>
        <v>257.43063833406859</v>
      </c>
      <c r="N60" s="1">
        <f t="shared" si="4"/>
        <v>21</v>
      </c>
      <c r="O60" s="3">
        <f t="shared" si="5"/>
        <v>145977.15134119999</v>
      </c>
      <c r="P60" s="2">
        <f t="shared" si="6"/>
        <v>123.53487089103122</v>
      </c>
      <c r="Q60" s="2">
        <f t="shared" si="12"/>
        <v>99.114331144317418</v>
      </c>
      <c r="R60" s="2">
        <f t="shared" si="12"/>
        <v>415.74694552381976</v>
      </c>
      <c r="S60" s="2">
        <f t="shared" si="8"/>
        <v>415.74694552381976</v>
      </c>
    </row>
    <row r="61" spans="2:19" x14ac:dyDescent="0.25">
      <c r="B61" s="10">
        <v>394</v>
      </c>
      <c r="C61" s="10">
        <v>6</v>
      </c>
      <c r="D61" s="198" t="s">
        <v>354</v>
      </c>
      <c r="E61" s="162">
        <f>INDEX('2017 Lockdown Update'!H$5:H$249,MATCH(B61,'2017 Lockdown Update'!B$5:B$249,0))</f>
        <v>703.72</v>
      </c>
      <c r="F61" s="7">
        <f>INDEX('2017 Lockdown Update'!E$5:E$249,MATCH(B61,'2017 Lockdown Update'!B$5:B$249,0))</f>
        <v>403733.09</v>
      </c>
      <c r="G61" s="7">
        <f>INDEX('2017 Lockdown Update'!F$5:F$249,MATCH(B61,'2017 Lockdown Update'!B$5:B$249,0))</f>
        <v>74442.03</v>
      </c>
      <c r="H61" s="7">
        <f t="shared" si="0"/>
        <v>329291.06000000006</v>
      </c>
      <c r="I61" s="6">
        <f t="shared" si="1"/>
        <v>467.92909111578473</v>
      </c>
      <c r="J61" s="6">
        <f t="shared" si="9"/>
        <v>467.92909111578473</v>
      </c>
      <c r="K61" s="5">
        <f t="shared" si="2"/>
        <v>329291.06000000006</v>
      </c>
      <c r="L61" s="4">
        <f t="shared" si="3"/>
        <v>0</v>
      </c>
      <c r="M61" s="2">
        <f t="shared" si="10"/>
        <v>636.92431485920736</v>
      </c>
      <c r="N61" s="1">
        <f t="shared" si="4"/>
        <v>45</v>
      </c>
      <c r="O61" s="3">
        <f t="shared" si="5"/>
        <v>28559.385648089476</v>
      </c>
      <c r="P61" s="2">
        <f t="shared" si="6"/>
        <v>313.30964644917117</v>
      </c>
      <c r="Q61" s="2">
        <f t="shared" si="12"/>
        <v>235.40184695204675</v>
      </c>
      <c r="R61" s="2">
        <f t="shared" si="12"/>
        <v>1038.446782766368</v>
      </c>
      <c r="S61" s="2">
        <f t="shared" si="8"/>
        <v>467.92909111578473</v>
      </c>
    </row>
    <row r="62" spans="2:19" x14ac:dyDescent="0.25">
      <c r="B62" s="10">
        <v>414</v>
      </c>
      <c r="C62" s="10">
        <v>6</v>
      </c>
      <c r="D62" s="198" t="s">
        <v>355</v>
      </c>
      <c r="E62" s="162">
        <f>INDEX('2017 Lockdown Update'!H$5:H$249,MATCH(B62,'2017 Lockdown Update'!B$5:B$249,0))</f>
        <v>239.14632293138175</v>
      </c>
      <c r="F62" s="7">
        <f>INDEX('2017 Lockdown Update'!E$5:E$249,MATCH(B62,'2017 Lockdown Update'!B$5:B$249,0))</f>
        <v>229275.21</v>
      </c>
      <c r="G62" s="7">
        <f>INDEX('2017 Lockdown Update'!F$5:F$249,MATCH(B62,'2017 Lockdown Update'!B$5:B$249,0))</f>
        <v>14423.09</v>
      </c>
      <c r="H62" s="7">
        <f t="shared" si="0"/>
        <v>214852.12</v>
      </c>
      <c r="I62" s="6">
        <f t="shared" si="1"/>
        <v>898.41281005875021</v>
      </c>
      <c r="J62" s="6">
        <f t="shared" si="9"/>
        <v>898.41281005875021</v>
      </c>
      <c r="K62" s="5">
        <f t="shared" si="2"/>
        <v>214852.12</v>
      </c>
      <c r="L62" s="4">
        <f t="shared" si="3"/>
        <v>0</v>
      </c>
      <c r="M62" s="2">
        <f t="shared" si="10"/>
        <v>636.92431485920736</v>
      </c>
      <c r="N62" s="1">
        <f t="shared" si="4"/>
        <v>45</v>
      </c>
      <c r="O62" s="3">
        <f t="shared" si="5"/>
        <v>68376.23312172135</v>
      </c>
      <c r="P62" s="2">
        <f t="shared" si="6"/>
        <v>313.30964644917117</v>
      </c>
      <c r="Q62" s="2">
        <f t="shared" si="12"/>
        <v>235.40184695204675</v>
      </c>
      <c r="R62" s="2">
        <f t="shared" si="12"/>
        <v>1038.446782766368</v>
      </c>
      <c r="S62" s="2">
        <f t="shared" si="8"/>
        <v>898.41281005875021</v>
      </c>
    </row>
    <row r="63" spans="2:19" x14ac:dyDescent="0.25">
      <c r="B63" s="10">
        <v>426</v>
      </c>
      <c r="C63" s="10">
        <v>6</v>
      </c>
      <c r="D63" s="198" t="s">
        <v>356</v>
      </c>
      <c r="E63" s="162">
        <f>INDEX('2017 Lockdown Update'!H$5:H$249,MATCH(B63,'2017 Lockdown Update'!B$5:B$249,0))</f>
        <v>354.4475851831736</v>
      </c>
      <c r="F63" s="7">
        <f>INDEX('2017 Lockdown Update'!E$5:E$249,MATCH(B63,'2017 Lockdown Update'!B$5:B$249,0))</f>
        <v>142088.12</v>
      </c>
      <c r="G63" s="7">
        <f>INDEX('2017 Lockdown Update'!F$5:F$249,MATCH(B63,'2017 Lockdown Update'!B$5:B$249,0))</f>
        <v>0</v>
      </c>
      <c r="H63" s="7">
        <f t="shared" si="0"/>
        <v>142088.12</v>
      </c>
      <c r="I63" s="6">
        <f t="shared" si="1"/>
        <v>400.87202153336955</v>
      </c>
      <c r="J63" s="6">
        <f t="shared" si="9"/>
        <v>400.87202153336955</v>
      </c>
      <c r="K63" s="5">
        <f t="shared" si="2"/>
        <v>142088.12</v>
      </c>
      <c r="L63" s="4">
        <f t="shared" si="3"/>
        <v>0</v>
      </c>
      <c r="M63" s="2">
        <f t="shared" si="10"/>
        <v>636.92431485920736</v>
      </c>
      <c r="N63" s="1">
        <f t="shared" si="4"/>
        <v>45</v>
      </c>
      <c r="O63" s="3">
        <f t="shared" si="5"/>
        <v>55720.685184387374</v>
      </c>
      <c r="P63" s="2">
        <f t="shared" si="6"/>
        <v>313.30964644917117</v>
      </c>
      <c r="Q63" s="2">
        <f t="shared" si="12"/>
        <v>235.40184695204675</v>
      </c>
      <c r="R63" s="2">
        <f t="shared" si="12"/>
        <v>1038.446782766368</v>
      </c>
      <c r="S63" s="2">
        <f t="shared" si="8"/>
        <v>400.87202153336955</v>
      </c>
    </row>
    <row r="64" spans="2:19" x14ac:dyDescent="0.25">
      <c r="B64" s="10">
        <v>430</v>
      </c>
      <c r="C64" s="10">
        <v>6</v>
      </c>
      <c r="D64" s="198" t="s">
        <v>357</v>
      </c>
      <c r="E64" s="162">
        <f>INDEX('2017 Lockdown Update'!H$5:H$249,MATCH(B64,'2017 Lockdown Update'!B$5:B$249,0))</f>
        <v>2825.6247831068954</v>
      </c>
      <c r="F64" s="7">
        <f>INDEX('2017 Lockdown Update'!E$5:E$249,MATCH(B64,'2017 Lockdown Update'!B$5:B$249,0))</f>
        <v>1647154.35</v>
      </c>
      <c r="G64" s="7">
        <f>INDEX('2017 Lockdown Update'!F$5:F$249,MATCH(B64,'2017 Lockdown Update'!B$5:B$249,0))</f>
        <v>350</v>
      </c>
      <c r="H64" s="7">
        <f t="shared" si="0"/>
        <v>1646804.35</v>
      </c>
      <c r="I64" s="6">
        <f t="shared" si="1"/>
        <v>582.81069724666986</v>
      </c>
      <c r="J64" s="6">
        <f t="shared" si="9"/>
        <v>582.81069724666986</v>
      </c>
      <c r="K64" s="5">
        <f t="shared" si="2"/>
        <v>1646804.35</v>
      </c>
      <c r="L64" s="4">
        <f t="shared" si="3"/>
        <v>0</v>
      </c>
      <c r="M64" s="2">
        <f t="shared" si="10"/>
        <v>636.92431485920736</v>
      </c>
      <c r="N64" s="1">
        <f t="shared" si="4"/>
        <v>45</v>
      </c>
      <c r="O64" s="3">
        <f t="shared" si="5"/>
        <v>2928.2836111159281</v>
      </c>
      <c r="P64" s="2">
        <f t="shared" si="6"/>
        <v>313.30964644917117</v>
      </c>
      <c r="Q64" s="2">
        <f t="shared" si="12"/>
        <v>235.40184695204675</v>
      </c>
      <c r="R64" s="2">
        <f t="shared" si="12"/>
        <v>1038.446782766368</v>
      </c>
      <c r="S64" s="2">
        <f t="shared" si="8"/>
        <v>582.81069724666986</v>
      </c>
    </row>
    <row r="65" spans="2:19" x14ac:dyDescent="0.25">
      <c r="B65" s="10">
        <v>443</v>
      </c>
      <c r="C65" s="10">
        <v>6</v>
      </c>
      <c r="D65" s="198" t="s">
        <v>358</v>
      </c>
      <c r="E65" s="162">
        <f>INDEX('2017 Lockdown Update'!H$5:H$249,MATCH(B65,'2017 Lockdown Update'!B$5:B$249,0))</f>
        <v>14.58</v>
      </c>
      <c r="F65" s="7">
        <f>INDEX('2017 Lockdown Update'!E$5:E$249,MATCH(B65,'2017 Lockdown Update'!B$5:B$249,0))</f>
        <v>15600.67</v>
      </c>
      <c r="G65" s="7">
        <f>INDEX('2017 Lockdown Update'!F$5:F$249,MATCH(B65,'2017 Lockdown Update'!B$5:B$249,0))</f>
        <v>0</v>
      </c>
      <c r="H65" s="7">
        <f t="shared" si="0"/>
        <v>15600.67</v>
      </c>
      <c r="I65" s="6">
        <f t="shared" si="1"/>
        <v>1070.0048010973937</v>
      </c>
      <c r="J65" s="6">
        <f t="shared" si="9"/>
        <v>1038.446782766368</v>
      </c>
      <c r="K65" s="5">
        <f t="shared" si="2"/>
        <v>15140.554092733644</v>
      </c>
      <c r="L65" s="4">
        <f t="shared" si="3"/>
        <v>0</v>
      </c>
      <c r="M65" s="2">
        <f t="shared" si="10"/>
        <v>636.92431485920736</v>
      </c>
      <c r="N65" s="1">
        <f t="shared" si="4"/>
        <v>45</v>
      </c>
      <c r="O65" s="3">
        <f t="shared" si="5"/>
        <v>187558.70756030394</v>
      </c>
      <c r="P65" s="2">
        <f t="shared" si="6"/>
        <v>313.30964644917117</v>
      </c>
      <c r="Q65" s="2">
        <f t="shared" si="12"/>
        <v>235.40184695204675</v>
      </c>
      <c r="R65" s="2">
        <f t="shared" si="12"/>
        <v>1038.446782766368</v>
      </c>
      <c r="S65" s="2">
        <f t="shared" si="8"/>
        <v>1038.446782766368</v>
      </c>
    </row>
    <row r="66" spans="2:19" x14ac:dyDescent="0.25">
      <c r="B66" s="10">
        <v>562</v>
      </c>
      <c r="C66" s="10">
        <v>6</v>
      </c>
      <c r="D66" s="198" t="s">
        <v>359</v>
      </c>
      <c r="E66" s="162">
        <f>INDEX('2017 Lockdown Update'!H$5:H$249,MATCH(B66,'2017 Lockdown Update'!B$5:B$249,0))</f>
        <v>52.103903515218583</v>
      </c>
      <c r="F66" s="7">
        <f>INDEX('2017 Lockdown Update'!E$5:E$249,MATCH(B66,'2017 Lockdown Update'!B$5:B$249,0))</f>
        <v>43377.29</v>
      </c>
      <c r="G66" s="7">
        <f>INDEX('2017 Lockdown Update'!F$5:F$249,MATCH(B66,'2017 Lockdown Update'!B$5:B$249,0))</f>
        <v>0</v>
      </c>
      <c r="H66" s="7">
        <f t="shared" si="0"/>
        <v>43377.29</v>
      </c>
      <c r="I66" s="6">
        <f t="shared" si="1"/>
        <v>832.51516822209487</v>
      </c>
      <c r="J66" s="6">
        <f t="shared" si="9"/>
        <v>832.51516822209487</v>
      </c>
      <c r="K66" s="5">
        <f t="shared" si="2"/>
        <v>43377.29</v>
      </c>
      <c r="L66" s="4">
        <f t="shared" si="3"/>
        <v>0</v>
      </c>
      <c r="M66" s="2">
        <f t="shared" si="10"/>
        <v>636.92431485920736</v>
      </c>
      <c r="N66" s="1">
        <f t="shared" si="4"/>
        <v>45</v>
      </c>
      <c r="O66" s="3">
        <f t="shared" si="5"/>
        <v>38255.781919222565</v>
      </c>
      <c r="P66" s="2">
        <f t="shared" si="6"/>
        <v>313.30964644917117</v>
      </c>
      <c r="Q66" s="2">
        <f t="shared" ref="Q66:R85" si="13">NORMINV(Q$4,$M66,$P66)</f>
        <v>235.40184695204675</v>
      </c>
      <c r="R66" s="2">
        <f t="shared" si="13"/>
        <v>1038.446782766368</v>
      </c>
      <c r="S66" s="2">
        <f t="shared" si="8"/>
        <v>832.51516822209487</v>
      </c>
    </row>
    <row r="67" spans="2:19" x14ac:dyDescent="0.25">
      <c r="B67" s="10">
        <v>603</v>
      </c>
      <c r="C67" s="10">
        <v>6</v>
      </c>
      <c r="D67" s="198" t="s">
        <v>360</v>
      </c>
      <c r="E67" s="162">
        <f>INDEX('2017 Lockdown Update'!H$5:H$249,MATCH(B67,'2017 Lockdown Update'!B$5:B$249,0))</f>
        <v>94.022299065256178</v>
      </c>
      <c r="F67" s="7">
        <f>INDEX('2017 Lockdown Update'!E$5:E$249,MATCH(B67,'2017 Lockdown Update'!B$5:B$249,0))</f>
        <v>85468.56</v>
      </c>
      <c r="G67" s="7">
        <f>INDEX('2017 Lockdown Update'!F$5:F$249,MATCH(B67,'2017 Lockdown Update'!B$5:B$249,0))</f>
        <v>0</v>
      </c>
      <c r="H67" s="7">
        <f t="shared" si="0"/>
        <v>85468.56</v>
      </c>
      <c r="I67" s="6">
        <f t="shared" si="1"/>
        <v>909.02435751630094</v>
      </c>
      <c r="J67" s="6">
        <f t="shared" si="9"/>
        <v>909.02435751630094</v>
      </c>
      <c r="K67" s="5">
        <f t="shared" si="2"/>
        <v>85468.56</v>
      </c>
      <c r="L67" s="4">
        <f t="shared" si="3"/>
        <v>0</v>
      </c>
      <c r="M67" s="2">
        <f t="shared" si="10"/>
        <v>636.92431485920736</v>
      </c>
      <c r="N67" s="1">
        <f t="shared" si="4"/>
        <v>45</v>
      </c>
      <c r="O67" s="3">
        <f t="shared" si="5"/>
        <v>74038.433213992146</v>
      </c>
      <c r="P67" s="2">
        <f t="shared" si="6"/>
        <v>313.30964644917117</v>
      </c>
      <c r="Q67" s="2">
        <f t="shared" si="13"/>
        <v>235.40184695204675</v>
      </c>
      <c r="R67" s="2">
        <f t="shared" si="13"/>
        <v>1038.446782766368</v>
      </c>
      <c r="S67" s="2">
        <f t="shared" si="8"/>
        <v>909.02435751630094</v>
      </c>
    </row>
    <row r="68" spans="2:19" x14ac:dyDescent="0.25">
      <c r="B68" s="10">
        <v>618</v>
      </c>
      <c r="C68" s="10">
        <v>6</v>
      </c>
      <c r="D68" s="198" t="s">
        <v>361</v>
      </c>
      <c r="E68" s="162">
        <f>INDEX('2017 Lockdown Update'!H$5:H$249,MATCH(B68,'2017 Lockdown Update'!B$5:B$249,0))</f>
        <v>17.150356288495274</v>
      </c>
      <c r="F68" s="7">
        <f>INDEX('2017 Lockdown Update'!E$5:E$249,MATCH(B68,'2017 Lockdown Update'!B$5:B$249,0))</f>
        <v>16015.47</v>
      </c>
      <c r="G68" s="7">
        <f>INDEX('2017 Lockdown Update'!F$5:F$249,MATCH(B68,'2017 Lockdown Update'!B$5:B$249,0))</f>
        <v>0</v>
      </c>
      <c r="H68" s="7">
        <f t="shared" si="0"/>
        <v>16015.47</v>
      </c>
      <c r="I68" s="6">
        <f t="shared" si="1"/>
        <v>933.82724711925812</v>
      </c>
      <c r="J68" s="6">
        <f t="shared" si="9"/>
        <v>933.82724711925812</v>
      </c>
      <c r="K68" s="5">
        <f t="shared" si="2"/>
        <v>16015.47</v>
      </c>
      <c r="L68" s="4">
        <f t="shared" si="3"/>
        <v>0</v>
      </c>
      <c r="M68" s="2">
        <f t="shared" si="10"/>
        <v>636.92431485920736</v>
      </c>
      <c r="N68" s="1">
        <f t="shared" si="4"/>
        <v>45</v>
      </c>
      <c r="O68" s="3">
        <f t="shared" si="5"/>
        <v>88151.351184616287</v>
      </c>
      <c r="P68" s="2">
        <f t="shared" si="6"/>
        <v>313.30964644917117</v>
      </c>
      <c r="Q68" s="2">
        <f t="shared" si="13"/>
        <v>235.40184695204675</v>
      </c>
      <c r="R68" s="2">
        <f t="shared" si="13"/>
        <v>1038.446782766368</v>
      </c>
      <c r="S68" s="2">
        <f t="shared" si="8"/>
        <v>933.82724711925812</v>
      </c>
    </row>
    <row r="69" spans="2:19" x14ac:dyDescent="0.25">
      <c r="B69" s="10">
        <v>620</v>
      </c>
      <c r="C69" s="10">
        <v>6</v>
      </c>
      <c r="D69" s="198" t="s">
        <v>362</v>
      </c>
      <c r="E69" s="162">
        <f>INDEX('2017 Lockdown Update'!H$5:H$249,MATCH(B69,'2017 Lockdown Update'!B$5:B$249,0))</f>
        <v>236.62386999831702</v>
      </c>
      <c r="F69" s="7">
        <f>INDEX('2017 Lockdown Update'!E$5:E$249,MATCH(B69,'2017 Lockdown Update'!B$5:B$249,0))</f>
        <v>117371.79</v>
      </c>
      <c r="G69" s="7">
        <f>INDEX('2017 Lockdown Update'!F$5:F$249,MATCH(B69,'2017 Lockdown Update'!B$5:B$249,0))</f>
        <v>0</v>
      </c>
      <c r="H69" s="7">
        <f t="shared" si="0"/>
        <v>117371.79</v>
      </c>
      <c r="I69" s="6">
        <f t="shared" si="1"/>
        <v>496.02683787073045</v>
      </c>
      <c r="J69" s="6">
        <f t="shared" si="9"/>
        <v>496.02683787073045</v>
      </c>
      <c r="K69" s="5">
        <f t="shared" si="2"/>
        <v>117371.79</v>
      </c>
      <c r="L69" s="4">
        <f t="shared" si="3"/>
        <v>0</v>
      </c>
      <c r="M69" s="2">
        <f t="shared" si="10"/>
        <v>636.92431485920736</v>
      </c>
      <c r="N69" s="1">
        <f t="shared" si="4"/>
        <v>45</v>
      </c>
      <c r="O69" s="3">
        <f t="shared" si="5"/>
        <v>19852.099021718379</v>
      </c>
      <c r="P69" s="2">
        <f t="shared" si="6"/>
        <v>313.30964644917117</v>
      </c>
      <c r="Q69" s="2">
        <f t="shared" si="13"/>
        <v>235.40184695204675</v>
      </c>
      <c r="R69" s="2">
        <f t="shared" si="13"/>
        <v>1038.446782766368</v>
      </c>
      <c r="S69" s="2">
        <f t="shared" si="8"/>
        <v>496.02683787073045</v>
      </c>
    </row>
    <row r="70" spans="2:19" x14ac:dyDescent="0.25">
      <c r="B70" s="10">
        <v>622</v>
      </c>
      <c r="C70" s="10">
        <v>6</v>
      </c>
      <c r="D70" s="198" t="s">
        <v>363</v>
      </c>
      <c r="E70" s="162">
        <f>INDEX('2017 Lockdown Update'!H$5:H$249,MATCH(B70,'2017 Lockdown Update'!B$5:B$249,0))</f>
        <v>117.57960527770567</v>
      </c>
      <c r="F70" s="7">
        <f>INDEX('2017 Lockdown Update'!E$5:E$249,MATCH(B70,'2017 Lockdown Update'!B$5:B$249,0))</f>
        <v>78014.31</v>
      </c>
      <c r="G70" s="7">
        <f>INDEX('2017 Lockdown Update'!F$5:F$249,MATCH(B70,'2017 Lockdown Update'!B$5:B$249,0))</f>
        <v>228</v>
      </c>
      <c r="H70" s="7">
        <f t="shared" ref="H70:H133" si="14">F70-G70</f>
        <v>77786.31</v>
      </c>
      <c r="I70" s="6">
        <f t="shared" ref="I70:I133" si="15">H70/E70</f>
        <v>661.56294551491487</v>
      </c>
      <c r="J70" s="6">
        <f t="shared" si="9"/>
        <v>661.56294551491487</v>
      </c>
      <c r="K70" s="5">
        <f t="shared" ref="K70:K133" si="16">J70*E70</f>
        <v>77786.31</v>
      </c>
      <c r="L70" s="4">
        <f t="shared" ref="L70:L133" si="17">IF(ISERROR(I70),1,0)</f>
        <v>0</v>
      </c>
      <c r="M70" s="2">
        <f t="shared" ref="M70:M133" si="18">SUMPRODUCT(--($L$6:$L$298&lt;&gt;1),--($C$6:$C$298=$C70),$H$6:$H$298)/SUMPRODUCT(--($L$6:$L$298&lt;&gt;1),--($C$6:$C$298=$C70),$E$6:$E$298)</f>
        <v>636.92431485920736</v>
      </c>
      <c r="N70" s="1">
        <f t="shared" ref="N70:N133" si="19">SUMPRODUCT(--($L$6:$L$298&lt;&gt;1),--($C$6:$C$298=$C70),--($L$6:$L$298&lt;&gt;1))</f>
        <v>45</v>
      </c>
      <c r="O70" s="3">
        <f t="shared" ref="O70:O133" si="20">IF(ISERROR((I70-M70)^2),0,(I70-M70)^2)</f>
        <v>607.06212058837014</v>
      </c>
      <c r="P70" s="2">
        <f t="shared" ref="P70:P133" si="21">SQRT(SUMPRODUCT(--($L$6:$L$298&lt;&gt;1),--($C$6:$C$298=$C70),$E$6:$E$298,$O$6:$O$298)/((N70-1)*SUMPRODUCT(--($L$6:$L$298&lt;&gt;1),--($C$6:$C$298=$C70),$E$6:$E$298)/N70))</f>
        <v>313.30964644917117</v>
      </c>
      <c r="Q70" s="2">
        <f t="shared" si="13"/>
        <v>235.40184695204675</v>
      </c>
      <c r="R70" s="2">
        <f t="shared" si="13"/>
        <v>1038.446782766368</v>
      </c>
      <c r="S70" s="2">
        <f t="shared" ref="S70:S133" si="22">IF(ISERROR(MAX(MIN(I70,R70),Q70)),R70,MAX(MIN(I70,R70),Q70))</f>
        <v>661.56294551491487</v>
      </c>
    </row>
    <row r="71" spans="2:19" x14ac:dyDescent="0.25">
      <c r="B71" s="10">
        <v>623</v>
      </c>
      <c r="C71" s="10">
        <v>6</v>
      </c>
      <c r="D71" s="198" t="s">
        <v>364</v>
      </c>
      <c r="E71" s="162">
        <f>INDEX('2017 Lockdown Update'!H$5:H$249,MATCH(B71,'2017 Lockdown Update'!B$5:B$249,0))</f>
        <v>232.45591936140642</v>
      </c>
      <c r="F71" s="7">
        <f>INDEX('2017 Lockdown Update'!E$5:E$249,MATCH(B71,'2017 Lockdown Update'!B$5:B$249,0))</f>
        <v>84819.42</v>
      </c>
      <c r="G71" s="7">
        <f>INDEX('2017 Lockdown Update'!F$5:F$249,MATCH(B71,'2017 Lockdown Update'!B$5:B$249,0))</f>
        <v>0</v>
      </c>
      <c r="H71" s="7">
        <f t="shared" si="14"/>
        <v>84819.42</v>
      </c>
      <c r="I71" s="6">
        <f t="shared" si="15"/>
        <v>364.88388952629174</v>
      </c>
      <c r="J71" s="6">
        <f t="shared" ref="J71:J134" si="23">IF(ISERROR(IF($J$2=1,MAX(MIN(I71,R71),Q71),MIN(I71,R71))),R71,IF($J$2=1,MAX(MIN(I71,R71),Q71),MIN(I71,R71)))</f>
        <v>364.88388952629174</v>
      </c>
      <c r="K71" s="5">
        <f t="shared" si="16"/>
        <v>84819.42</v>
      </c>
      <c r="L71" s="4">
        <f t="shared" si="17"/>
        <v>0</v>
      </c>
      <c r="M71" s="2">
        <f t="shared" si="18"/>
        <v>636.92431485920736</v>
      </c>
      <c r="N71" s="1">
        <f t="shared" si="19"/>
        <v>45</v>
      </c>
      <c r="O71" s="3">
        <f t="shared" si="20"/>
        <v>74005.993015313637</v>
      </c>
      <c r="P71" s="2">
        <f t="shared" si="21"/>
        <v>313.30964644917117</v>
      </c>
      <c r="Q71" s="2">
        <f t="shared" si="13"/>
        <v>235.40184695204675</v>
      </c>
      <c r="R71" s="2">
        <f t="shared" si="13"/>
        <v>1038.446782766368</v>
      </c>
      <c r="S71" s="2">
        <f t="shared" si="22"/>
        <v>364.88388952629174</v>
      </c>
    </row>
    <row r="72" spans="2:19" x14ac:dyDescent="0.25">
      <c r="B72" s="10">
        <v>626</v>
      </c>
      <c r="C72" s="10">
        <v>6</v>
      </c>
      <c r="D72" s="198" t="s">
        <v>365</v>
      </c>
      <c r="E72" s="162">
        <f>INDEX('2017 Lockdown Update'!H$5:H$249,MATCH(B72,'2017 Lockdown Update'!B$5:B$249,0))</f>
        <v>21.725781736434193</v>
      </c>
      <c r="F72" s="7">
        <f>INDEX('2017 Lockdown Update'!E$5:E$249,MATCH(B72,'2017 Lockdown Update'!B$5:B$249,0))</f>
        <v>17580.990000000002</v>
      </c>
      <c r="G72" s="7">
        <f>INDEX('2017 Lockdown Update'!F$5:F$249,MATCH(B72,'2017 Lockdown Update'!B$5:B$249,0))</f>
        <v>0</v>
      </c>
      <c r="H72" s="7">
        <f t="shared" si="14"/>
        <v>17580.990000000002</v>
      </c>
      <c r="I72" s="6">
        <f t="shared" si="15"/>
        <v>809.22243504438029</v>
      </c>
      <c r="J72" s="6">
        <f t="shared" si="23"/>
        <v>809.22243504438029</v>
      </c>
      <c r="K72" s="5">
        <f t="shared" si="16"/>
        <v>17580.990000000002</v>
      </c>
      <c r="L72" s="4">
        <f t="shared" si="17"/>
        <v>0</v>
      </c>
      <c r="M72" s="2">
        <f t="shared" si="18"/>
        <v>636.92431485920736</v>
      </c>
      <c r="N72" s="1">
        <f t="shared" si="19"/>
        <v>45</v>
      </c>
      <c r="O72" s="3">
        <f t="shared" si="20"/>
        <v>29686.642219344296</v>
      </c>
      <c r="P72" s="2">
        <f t="shared" si="21"/>
        <v>313.30964644917117</v>
      </c>
      <c r="Q72" s="2">
        <f t="shared" si="13"/>
        <v>235.40184695204675</v>
      </c>
      <c r="R72" s="2">
        <f t="shared" si="13"/>
        <v>1038.446782766368</v>
      </c>
      <c r="S72" s="2">
        <f t="shared" si="22"/>
        <v>809.22243504438029</v>
      </c>
    </row>
    <row r="73" spans="2:19" x14ac:dyDescent="0.25">
      <c r="B73" s="10">
        <v>627</v>
      </c>
      <c r="C73" s="10">
        <v>6</v>
      </c>
      <c r="D73" s="198" t="s">
        <v>366</v>
      </c>
      <c r="E73" s="162">
        <f>INDEX('2017 Lockdown Update'!H$5:H$249,MATCH(B73,'2017 Lockdown Update'!B$5:B$249,0))</f>
        <v>163.57172000647836</v>
      </c>
      <c r="F73" s="7">
        <f>INDEX('2017 Lockdown Update'!E$5:E$249,MATCH(B73,'2017 Lockdown Update'!B$5:B$249,0))</f>
        <v>80106.67</v>
      </c>
      <c r="G73" s="7">
        <f>INDEX('2017 Lockdown Update'!F$5:F$249,MATCH(B73,'2017 Lockdown Update'!B$5:B$249,0))</f>
        <v>21.24</v>
      </c>
      <c r="H73" s="7">
        <f t="shared" si="14"/>
        <v>80085.429999999993</v>
      </c>
      <c r="I73" s="6">
        <f t="shared" si="15"/>
        <v>489.6043765806715</v>
      </c>
      <c r="J73" s="6">
        <f t="shared" si="23"/>
        <v>489.6043765806715</v>
      </c>
      <c r="K73" s="5">
        <f t="shared" si="16"/>
        <v>80085.429999999993</v>
      </c>
      <c r="L73" s="4">
        <f t="shared" si="17"/>
        <v>0</v>
      </c>
      <c r="M73" s="2">
        <f t="shared" si="18"/>
        <v>636.92431485920736</v>
      </c>
      <c r="N73" s="1">
        <f t="shared" si="19"/>
        <v>45</v>
      </c>
      <c r="O73" s="3">
        <f t="shared" si="20"/>
        <v>21703.164214391614</v>
      </c>
      <c r="P73" s="2">
        <f t="shared" si="21"/>
        <v>313.30964644917117</v>
      </c>
      <c r="Q73" s="2">
        <f t="shared" si="13"/>
        <v>235.40184695204675</v>
      </c>
      <c r="R73" s="2">
        <f t="shared" si="13"/>
        <v>1038.446782766368</v>
      </c>
      <c r="S73" s="2">
        <f t="shared" si="22"/>
        <v>489.6043765806715</v>
      </c>
    </row>
    <row r="74" spans="2:19" x14ac:dyDescent="0.25">
      <c r="B74" s="10">
        <v>634</v>
      </c>
      <c r="C74" s="10">
        <v>6</v>
      </c>
      <c r="D74" s="198" t="s">
        <v>367</v>
      </c>
      <c r="E74" s="162">
        <f>INDEX('2017 Lockdown Update'!H$5:H$249,MATCH(B74,'2017 Lockdown Update'!B$5:B$249,0))</f>
        <v>626.47952350471223</v>
      </c>
      <c r="F74" s="7">
        <f>INDEX('2017 Lockdown Update'!E$5:E$249,MATCH(B74,'2017 Lockdown Update'!B$5:B$249,0))</f>
        <v>571666.62</v>
      </c>
      <c r="G74" s="7">
        <f>INDEX('2017 Lockdown Update'!F$5:F$249,MATCH(B74,'2017 Lockdown Update'!B$5:B$249,0))</f>
        <v>0</v>
      </c>
      <c r="H74" s="7">
        <f t="shared" si="14"/>
        <v>571666.62</v>
      </c>
      <c r="I74" s="6">
        <f t="shared" si="15"/>
        <v>912.50647236150257</v>
      </c>
      <c r="J74" s="6">
        <f t="shared" si="23"/>
        <v>912.50647236150257</v>
      </c>
      <c r="K74" s="5">
        <f t="shared" si="16"/>
        <v>571666.62</v>
      </c>
      <c r="L74" s="4">
        <f t="shared" si="17"/>
        <v>0</v>
      </c>
      <c r="M74" s="2">
        <f t="shared" si="18"/>
        <v>636.92431485920736</v>
      </c>
      <c r="N74" s="1">
        <f t="shared" si="19"/>
        <v>45</v>
      </c>
      <c r="O74" s="3">
        <f t="shared" si="20"/>
        <v>75945.525533619846</v>
      </c>
      <c r="P74" s="2">
        <f t="shared" si="21"/>
        <v>313.30964644917117</v>
      </c>
      <c r="Q74" s="2">
        <f t="shared" si="13"/>
        <v>235.40184695204675</v>
      </c>
      <c r="R74" s="2">
        <f t="shared" si="13"/>
        <v>1038.446782766368</v>
      </c>
      <c r="S74" s="2">
        <f t="shared" si="22"/>
        <v>912.50647236150257</v>
      </c>
    </row>
    <row r="75" spans="2:19" x14ac:dyDescent="0.25">
      <c r="B75" s="10">
        <v>694</v>
      </c>
      <c r="C75" s="10">
        <v>6</v>
      </c>
      <c r="D75" s="198" t="s">
        <v>368</v>
      </c>
      <c r="E75" s="162">
        <f>INDEX('2017 Lockdown Update'!H$5:H$249,MATCH(B75,'2017 Lockdown Update'!B$5:B$249,0))</f>
        <v>14.249988124121606</v>
      </c>
      <c r="F75" s="7">
        <f>INDEX('2017 Lockdown Update'!E$5:E$249,MATCH(B75,'2017 Lockdown Update'!B$5:B$249,0))</f>
        <v>48928.97</v>
      </c>
      <c r="G75" s="7">
        <f>INDEX('2017 Lockdown Update'!F$5:F$249,MATCH(B75,'2017 Lockdown Update'!B$5:B$249,0))</f>
        <v>0</v>
      </c>
      <c r="H75" s="7">
        <f t="shared" si="14"/>
        <v>48928.97</v>
      </c>
      <c r="I75" s="6">
        <f t="shared" si="15"/>
        <v>3433.614791381875</v>
      </c>
      <c r="J75" s="6">
        <f t="shared" si="23"/>
        <v>1038.446782766368</v>
      </c>
      <c r="K75" s="5">
        <f t="shared" si="16"/>
        <v>14797.854321953033</v>
      </c>
      <c r="L75" s="4">
        <f t="shared" si="17"/>
        <v>0</v>
      </c>
      <c r="M75" s="2">
        <f t="shared" si="18"/>
        <v>636.92431485920736</v>
      </c>
      <c r="N75" s="1">
        <f t="shared" si="19"/>
        <v>45</v>
      </c>
      <c r="O75" s="3">
        <f t="shared" si="20"/>
        <v>7821477.6214725859</v>
      </c>
      <c r="P75" s="2">
        <f t="shared" si="21"/>
        <v>313.30964644917117</v>
      </c>
      <c r="Q75" s="2">
        <f t="shared" si="13"/>
        <v>235.40184695204675</v>
      </c>
      <c r="R75" s="2">
        <f t="shared" si="13"/>
        <v>1038.446782766368</v>
      </c>
      <c r="S75" s="2">
        <f t="shared" si="22"/>
        <v>1038.446782766368</v>
      </c>
    </row>
    <row r="76" spans="2:19" x14ac:dyDescent="0.25">
      <c r="B76" s="10">
        <v>697</v>
      </c>
      <c r="C76" s="10">
        <v>6</v>
      </c>
      <c r="D76" s="198" t="s">
        <v>369</v>
      </c>
      <c r="E76" s="162">
        <f>INDEX('2017 Lockdown Update'!H$5:H$249,MATCH(B76,'2017 Lockdown Update'!B$5:B$249,0))</f>
        <v>62.556960408059503</v>
      </c>
      <c r="F76" s="7">
        <f>INDEX('2017 Lockdown Update'!E$5:E$249,MATCH(B76,'2017 Lockdown Update'!B$5:B$249,0))</f>
        <v>100771.09</v>
      </c>
      <c r="G76" s="7">
        <f>INDEX('2017 Lockdown Update'!F$5:F$249,MATCH(B76,'2017 Lockdown Update'!B$5:B$249,0))</f>
        <v>0</v>
      </c>
      <c r="H76" s="7">
        <f t="shared" si="14"/>
        <v>100771.09</v>
      </c>
      <c r="I76" s="6">
        <f t="shared" si="15"/>
        <v>1610.8693475940879</v>
      </c>
      <c r="J76" s="6">
        <f t="shared" si="23"/>
        <v>1038.446782766368</v>
      </c>
      <c r="K76" s="5">
        <f t="shared" si="16"/>
        <v>64962.07427539245</v>
      </c>
      <c r="L76" s="4">
        <f t="shared" si="17"/>
        <v>0</v>
      </c>
      <c r="M76" s="2">
        <f t="shared" si="18"/>
        <v>636.92431485920736</v>
      </c>
      <c r="N76" s="1">
        <f t="shared" si="19"/>
        <v>45</v>
      </c>
      <c r="O76" s="3">
        <f t="shared" si="20"/>
        <v>948568.92678894754</v>
      </c>
      <c r="P76" s="2">
        <f t="shared" si="21"/>
        <v>313.30964644917117</v>
      </c>
      <c r="Q76" s="2">
        <f t="shared" si="13"/>
        <v>235.40184695204675</v>
      </c>
      <c r="R76" s="2">
        <f t="shared" si="13"/>
        <v>1038.446782766368</v>
      </c>
      <c r="S76" s="2">
        <f t="shared" si="22"/>
        <v>1038.446782766368</v>
      </c>
    </row>
    <row r="77" spans="2:19" x14ac:dyDescent="0.25">
      <c r="B77" s="10">
        <v>710</v>
      </c>
      <c r="C77" s="10">
        <v>6</v>
      </c>
      <c r="D77" s="198" t="s">
        <v>370</v>
      </c>
      <c r="E77" s="162">
        <f>INDEX('2017 Lockdown Update'!H$5:H$249,MATCH(B77,'2017 Lockdown Update'!B$5:B$249,0))</f>
        <v>43.94</v>
      </c>
      <c r="F77" s="7">
        <f>INDEX('2017 Lockdown Update'!E$5:E$249,MATCH(B77,'2017 Lockdown Update'!B$5:B$249,0))</f>
        <v>46102.8</v>
      </c>
      <c r="G77" s="7">
        <f>INDEX('2017 Lockdown Update'!F$5:F$249,MATCH(B77,'2017 Lockdown Update'!B$5:B$249,0))</f>
        <v>0</v>
      </c>
      <c r="H77" s="7">
        <f t="shared" si="14"/>
        <v>46102.8</v>
      </c>
      <c r="I77" s="6">
        <f t="shared" si="15"/>
        <v>1049.2216659080566</v>
      </c>
      <c r="J77" s="6">
        <f t="shared" si="23"/>
        <v>1038.446782766368</v>
      </c>
      <c r="K77" s="5">
        <f t="shared" si="16"/>
        <v>45629.351634754203</v>
      </c>
      <c r="L77" s="4">
        <f t="shared" si="17"/>
        <v>0</v>
      </c>
      <c r="M77" s="2">
        <f t="shared" si="18"/>
        <v>636.92431485920736</v>
      </c>
      <c r="N77" s="1">
        <f t="shared" si="19"/>
        <v>45</v>
      </c>
      <c r="O77" s="3">
        <f t="shared" si="20"/>
        <v>169989.10568189801</v>
      </c>
      <c r="P77" s="2">
        <f t="shared" si="21"/>
        <v>313.30964644917117</v>
      </c>
      <c r="Q77" s="2">
        <f t="shared" si="13"/>
        <v>235.40184695204675</v>
      </c>
      <c r="R77" s="2">
        <f t="shared" si="13"/>
        <v>1038.446782766368</v>
      </c>
      <c r="S77" s="2">
        <f t="shared" si="22"/>
        <v>1038.446782766368</v>
      </c>
    </row>
    <row r="78" spans="2:19" x14ac:dyDescent="0.25">
      <c r="B78" s="10">
        <v>743</v>
      </c>
      <c r="C78" s="10">
        <v>6</v>
      </c>
      <c r="D78" s="198" t="s">
        <v>371</v>
      </c>
      <c r="E78" s="162">
        <f>INDEX('2017 Lockdown Update'!H$5:H$249,MATCH(B78,'2017 Lockdown Update'!B$5:B$249,0))</f>
        <v>87.262897628956765</v>
      </c>
      <c r="F78" s="7">
        <f>INDEX('2017 Lockdown Update'!E$5:E$249,MATCH(B78,'2017 Lockdown Update'!B$5:B$249,0))</f>
        <v>135598.5</v>
      </c>
      <c r="G78" s="7">
        <f>INDEX('2017 Lockdown Update'!F$5:F$249,MATCH(B78,'2017 Lockdown Update'!B$5:B$249,0))</f>
        <v>0</v>
      </c>
      <c r="H78" s="7">
        <f t="shared" si="14"/>
        <v>135598.5</v>
      </c>
      <c r="I78" s="6">
        <f t="shared" si="15"/>
        <v>1553.9078312132951</v>
      </c>
      <c r="J78" s="6">
        <f t="shared" si="23"/>
        <v>1038.446782766368</v>
      </c>
      <c r="K78" s="5">
        <f t="shared" si="16"/>
        <v>90617.87529766107</v>
      </c>
      <c r="L78" s="4">
        <f t="shared" si="17"/>
        <v>0</v>
      </c>
      <c r="M78" s="2">
        <f t="shared" si="18"/>
        <v>636.92431485920736</v>
      </c>
      <c r="N78" s="1">
        <f t="shared" si="19"/>
        <v>45</v>
      </c>
      <c r="O78" s="3">
        <f t="shared" si="20"/>
        <v>840858.76926510758</v>
      </c>
      <c r="P78" s="2">
        <f t="shared" si="21"/>
        <v>313.30964644917117</v>
      </c>
      <c r="Q78" s="2">
        <f t="shared" si="13"/>
        <v>235.40184695204675</v>
      </c>
      <c r="R78" s="2">
        <f t="shared" si="13"/>
        <v>1038.446782766368</v>
      </c>
      <c r="S78" s="2">
        <f t="shared" si="22"/>
        <v>1038.446782766368</v>
      </c>
    </row>
    <row r="79" spans="2:19" x14ac:dyDescent="0.25">
      <c r="B79" s="10">
        <v>747</v>
      </c>
      <c r="C79" s="10">
        <v>6</v>
      </c>
      <c r="D79" s="198" t="s">
        <v>372</v>
      </c>
      <c r="E79" s="162">
        <f>INDEX('2017 Lockdown Update'!H$5:H$249,MATCH(B79,'2017 Lockdown Update'!B$5:B$249,0))</f>
        <v>33.619999999999997</v>
      </c>
      <c r="F79" s="7">
        <f>INDEX('2017 Lockdown Update'!E$5:E$249,MATCH(B79,'2017 Lockdown Update'!B$5:B$249,0))</f>
        <v>57407.45</v>
      </c>
      <c r="G79" s="7">
        <f>INDEX('2017 Lockdown Update'!F$5:F$249,MATCH(B79,'2017 Lockdown Update'!B$5:B$249,0))</f>
        <v>0</v>
      </c>
      <c r="H79" s="7">
        <f t="shared" si="14"/>
        <v>57407.45</v>
      </c>
      <c r="I79" s="6">
        <f t="shared" si="15"/>
        <v>1707.5386674598453</v>
      </c>
      <c r="J79" s="6">
        <f t="shared" si="23"/>
        <v>1038.446782766368</v>
      </c>
      <c r="K79" s="5">
        <f t="shared" si="16"/>
        <v>34912.580836605288</v>
      </c>
      <c r="L79" s="4">
        <f t="shared" si="17"/>
        <v>0</v>
      </c>
      <c r="M79" s="2">
        <f t="shared" si="18"/>
        <v>636.92431485920736</v>
      </c>
      <c r="N79" s="1">
        <f t="shared" si="19"/>
        <v>45</v>
      </c>
      <c r="O79" s="3">
        <f t="shared" si="20"/>
        <v>1146215.0919944835</v>
      </c>
      <c r="P79" s="2">
        <f t="shared" si="21"/>
        <v>313.30964644917117</v>
      </c>
      <c r="Q79" s="2">
        <f t="shared" si="13"/>
        <v>235.40184695204675</v>
      </c>
      <c r="R79" s="2">
        <f t="shared" si="13"/>
        <v>1038.446782766368</v>
      </c>
      <c r="S79" s="2">
        <f t="shared" si="22"/>
        <v>1038.446782766368</v>
      </c>
    </row>
    <row r="80" spans="2:19" x14ac:dyDescent="0.25">
      <c r="B80" s="10">
        <v>758</v>
      </c>
      <c r="C80" s="10">
        <v>6</v>
      </c>
      <c r="D80" s="198" t="s">
        <v>373</v>
      </c>
      <c r="E80" s="162">
        <f>INDEX('2017 Lockdown Update'!H$5:H$249,MATCH(B80,'2017 Lockdown Update'!B$5:B$249,0))</f>
        <v>337.19826516058561</v>
      </c>
      <c r="F80" s="7">
        <f>INDEX('2017 Lockdown Update'!E$5:E$249,MATCH(B80,'2017 Lockdown Update'!B$5:B$249,0))</f>
        <v>290135.25</v>
      </c>
      <c r="G80" s="7">
        <f>INDEX('2017 Lockdown Update'!F$5:F$249,MATCH(B80,'2017 Lockdown Update'!B$5:B$249,0))</f>
        <v>1630.1100000000001</v>
      </c>
      <c r="H80" s="7">
        <f t="shared" si="14"/>
        <v>288505.14</v>
      </c>
      <c r="I80" s="6">
        <f t="shared" si="15"/>
        <v>855.5949712926423</v>
      </c>
      <c r="J80" s="6">
        <f t="shared" si="23"/>
        <v>855.5949712926423</v>
      </c>
      <c r="K80" s="5">
        <f t="shared" si="16"/>
        <v>288505.14</v>
      </c>
      <c r="L80" s="4">
        <f t="shared" si="17"/>
        <v>0</v>
      </c>
      <c r="M80" s="2">
        <f t="shared" si="18"/>
        <v>636.92431485920736</v>
      </c>
      <c r="N80" s="1">
        <f t="shared" si="19"/>
        <v>45</v>
      </c>
      <c r="O80" s="3">
        <f t="shared" si="20"/>
        <v>47816.855985029346</v>
      </c>
      <c r="P80" s="2">
        <f t="shared" si="21"/>
        <v>313.30964644917117</v>
      </c>
      <c r="Q80" s="2">
        <f t="shared" si="13"/>
        <v>235.40184695204675</v>
      </c>
      <c r="R80" s="2">
        <f t="shared" si="13"/>
        <v>1038.446782766368</v>
      </c>
      <c r="S80" s="2">
        <f t="shared" si="22"/>
        <v>855.5949712926423</v>
      </c>
    </row>
    <row r="81" spans="2:19" x14ac:dyDescent="0.25">
      <c r="B81" s="10">
        <v>765</v>
      </c>
      <c r="C81" s="10">
        <v>6</v>
      </c>
      <c r="D81" s="198" t="s">
        <v>374</v>
      </c>
      <c r="E81" s="162">
        <f>INDEX('2017 Lockdown Update'!H$5:H$249,MATCH(B81,'2017 Lockdown Update'!B$5:B$249,0))</f>
        <v>80.350199999999987</v>
      </c>
      <c r="F81" s="7">
        <f>INDEX('2017 Lockdown Update'!E$5:E$249,MATCH(B81,'2017 Lockdown Update'!B$5:B$249,0))</f>
        <v>86841.69</v>
      </c>
      <c r="G81" s="7">
        <f>INDEX('2017 Lockdown Update'!F$5:F$249,MATCH(B81,'2017 Lockdown Update'!B$5:B$249,0))</f>
        <v>0</v>
      </c>
      <c r="H81" s="7">
        <f t="shared" si="14"/>
        <v>86841.69</v>
      </c>
      <c r="I81" s="6">
        <f t="shared" si="15"/>
        <v>1080.7899669198086</v>
      </c>
      <c r="J81" s="6">
        <f t="shared" si="23"/>
        <v>1038.446782766368</v>
      </c>
      <c r="K81" s="5">
        <f t="shared" si="16"/>
        <v>83439.406684634203</v>
      </c>
      <c r="L81" s="4">
        <f t="shared" si="17"/>
        <v>0</v>
      </c>
      <c r="M81" s="2">
        <f t="shared" si="18"/>
        <v>636.92431485920736</v>
      </c>
      <c r="N81" s="1">
        <f t="shared" si="19"/>
        <v>45</v>
      </c>
      <c r="O81" s="3">
        <f t="shared" si="20"/>
        <v>197016.71707918277</v>
      </c>
      <c r="P81" s="2">
        <f t="shared" si="21"/>
        <v>313.30964644917117</v>
      </c>
      <c r="Q81" s="2">
        <f t="shared" si="13"/>
        <v>235.40184695204675</v>
      </c>
      <c r="R81" s="2">
        <f t="shared" si="13"/>
        <v>1038.446782766368</v>
      </c>
      <c r="S81" s="2">
        <f t="shared" si="22"/>
        <v>1038.446782766368</v>
      </c>
    </row>
    <row r="82" spans="2:19" x14ac:dyDescent="0.25">
      <c r="B82" s="10">
        <v>770</v>
      </c>
      <c r="C82" s="10">
        <v>6</v>
      </c>
      <c r="D82" s="198" t="s">
        <v>375</v>
      </c>
      <c r="E82" s="162">
        <f>INDEX('2017 Lockdown Update'!H$5:H$249,MATCH(B82,'2017 Lockdown Update'!B$5:B$249,0))</f>
        <v>25.493992436427366</v>
      </c>
      <c r="F82" s="7">
        <f>INDEX('2017 Lockdown Update'!E$5:E$249,MATCH(B82,'2017 Lockdown Update'!B$5:B$249,0))</f>
        <v>24693.97</v>
      </c>
      <c r="G82" s="7">
        <f>INDEX('2017 Lockdown Update'!F$5:F$249,MATCH(B82,'2017 Lockdown Update'!B$5:B$249,0))</f>
        <v>0</v>
      </c>
      <c r="H82" s="7">
        <f t="shared" si="14"/>
        <v>24693.97</v>
      </c>
      <c r="I82" s="6">
        <f t="shared" si="15"/>
        <v>968.61917808980581</v>
      </c>
      <c r="J82" s="6">
        <f t="shared" si="23"/>
        <v>968.61917808980581</v>
      </c>
      <c r="K82" s="5">
        <f t="shared" si="16"/>
        <v>24693.97</v>
      </c>
      <c r="L82" s="4">
        <f t="shared" si="17"/>
        <v>0</v>
      </c>
      <c r="M82" s="2">
        <f t="shared" si="18"/>
        <v>636.92431485920736</v>
      </c>
      <c r="N82" s="1">
        <f t="shared" si="19"/>
        <v>45</v>
      </c>
      <c r="O82" s="3">
        <f t="shared" si="20"/>
        <v>110021.48229356542</v>
      </c>
      <c r="P82" s="2">
        <f t="shared" si="21"/>
        <v>313.30964644917117</v>
      </c>
      <c r="Q82" s="2">
        <f t="shared" si="13"/>
        <v>235.40184695204675</v>
      </c>
      <c r="R82" s="2">
        <f t="shared" si="13"/>
        <v>1038.446782766368</v>
      </c>
      <c r="S82" s="2">
        <f t="shared" si="22"/>
        <v>968.61917808980581</v>
      </c>
    </row>
    <row r="83" spans="2:19" x14ac:dyDescent="0.25">
      <c r="B83" s="10">
        <v>774</v>
      </c>
      <c r="C83" s="10">
        <v>6</v>
      </c>
      <c r="D83" s="198" t="s">
        <v>376</v>
      </c>
      <c r="E83" s="162">
        <f>INDEX('2017 Lockdown Update'!H$5:H$249,MATCH(B83,'2017 Lockdown Update'!B$5:B$249,0))</f>
        <v>421.00021926566802</v>
      </c>
      <c r="F83" s="7">
        <f>INDEX('2017 Lockdown Update'!E$5:E$249,MATCH(B83,'2017 Lockdown Update'!B$5:B$249,0))</f>
        <v>279347.78000000003</v>
      </c>
      <c r="G83" s="7">
        <f>INDEX('2017 Lockdown Update'!F$5:F$249,MATCH(B83,'2017 Lockdown Update'!B$5:B$249,0))</f>
        <v>0</v>
      </c>
      <c r="H83" s="7">
        <f t="shared" si="14"/>
        <v>279347.78000000003</v>
      </c>
      <c r="I83" s="6">
        <f t="shared" si="15"/>
        <v>663.53357365764305</v>
      </c>
      <c r="J83" s="6">
        <f t="shared" si="23"/>
        <v>663.53357365764305</v>
      </c>
      <c r="K83" s="5">
        <f t="shared" si="16"/>
        <v>279347.78000000003</v>
      </c>
      <c r="L83" s="4">
        <f t="shared" si="17"/>
        <v>0</v>
      </c>
      <c r="M83" s="2">
        <f t="shared" si="18"/>
        <v>636.92431485920736</v>
      </c>
      <c r="N83" s="1">
        <f t="shared" si="19"/>
        <v>45</v>
      </c>
      <c r="O83" s="3">
        <f t="shared" si="20"/>
        <v>708.05265380212711</v>
      </c>
      <c r="P83" s="2">
        <f t="shared" si="21"/>
        <v>313.30964644917117</v>
      </c>
      <c r="Q83" s="2">
        <f t="shared" si="13"/>
        <v>235.40184695204675</v>
      </c>
      <c r="R83" s="2">
        <f t="shared" si="13"/>
        <v>1038.446782766368</v>
      </c>
      <c r="S83" s="2">
        <f t="shared" si="22"/>
        <v>663.53357365764305</v>
      </c>
    </row>
    <row r="84" spans="2:19" x14ac:dyDescent="0.25">
      <c r="B84" s="10">
        <v>794</v>
      </c>
      <c r="C84" s="10">
        <v>6</v>
      </c>
      <c r="D84" s="198" t="s">
        <v>377</v>
      </c>
      <c r="E84" s="162">
        <f>INDEX('2017 Lockdown Update'!H$5:H$249,MATCH(B84,'2017 Lockdown Update'!B$5:B$249,0))</f>
        <v>18.66988734321124</v>
      </c>
      <c r="F84" s="7">
        <f>INDEX('2017 Lockdown Update'!E$5:E$249,MATCH(B84,'2017 Lockdown Update'!B$5:B$249,0))</f>
        <v>39895.620000000003</v>
      </c>
      <c r="G84" s="7">
        <f>INDEX('2017 Lockdown Update'!F$5:F$249,MATCH(B84,'2017 Lockdown Update'!B$5:B$249,0))</f>
        <v>0</v>
      </c>
      <c r="H84" s="7">
        <f t="shared" si="14"/>
        <v>39895.620000000003</v>
      </c>
      <c r="I84" s="6">
        <f t="shared" si="15"/>
        <v>2136.8966650196139</v>
      </c>
      <c r="J84" s="6">
        <f t="shared" si="23"/>
        <v>1038.446782766368</v>
      </c>
      <c r="K84" s="5">
        <f t="shared" si="16"/>
        <v>19387.684446168245</v>
      </c>
      <c r="L84" s="4">
        <f t="shared" si="17"/>
        <v>0</v>
      </c>
      <c r="M84" s="2">
        <f t="shared" si="18"/>
        <v>636.92431485920736</v>
      </c>
      <c r="N84" s="1">
        <f t="shared" si="19"/>
        <v>45</v>
      </c>
      <c r="O84" s="3">
        <f t="shared" si="20"/>
        <v>2249917.0512457336</v>
      </c>
      <c r="P84" s="2">
        <f t="shared" si="21"/>
        <v>313.30964644917117</v>
      </c>
      <c r="Q84" s="2">
        <f t="shared" si="13"/>
        <v>235.40184695204675</v>
      </c>
      <c r="R84" s="2">
        <f t="shared" si="13"/>
        <v>1038.446782766368</v>
      </c>
      <c r="S84" s="2">
        <f t="shared" si="22"/>
        <v>1038.446782766368</v>
      </c>
    </row>
    <row r="85" spans="2:19" x14ac:dyDescent="0.25">
      <c r="B85" s="10">
        <v>806</v>
      </c>
      <c r="C85" s="10">
        <v>6</v>
      </c>
      <c r="D85" s="198" t="s">
        <v>378</v>
      </c>
      <c r="E85" s="162">
        <f>INDEX('2017 Lockdown Update'!H$5:H$249,MATCH(B85,'2017 Lockdown Update'!B$5:B$249,0))</f>
        <v>27</v>
      </c>
      <c r="F85" s="7">
        <f>INDEX('2017 Lockdown Update'!E$5:E$249,MATCH(B85,'2017 Lockdown Update'!B$5:B$249,0))</f>
        <v>38615.089999999997</v>
      </c>
      <c r="G85" s="7">
        <f>INDEX('2017 Lockdown Update'!F$5:F$249,MATCH(B85,'2017 Lockdown Update'!B$5:B$249,0))</f>
        <v>0</v>
      </c>
      <c r="H85" s="7">
        <f t="shared" si="14"/>
        <v>38615.089999999997</v>
      </c>
      <c r="I85" s="6">
        <f t="shared" si="15"/>
        <v>1430.1885185185183</v>
      </c>
      <c r="J85" s="6">
        <f t="shared" si="23"/>
        <v>1038.446782766368</v>
      </c>
      <c r="K85" s="5">
        <f t="shared" si="16"/>
        <v>28038.063134691936</v>
      </c>
      <c r="L85" s="4">
        <f t="shared" si="17"/>
        <v>0</v>
      </c>
      <c r="M85" s="2">
        <f t="shared" si="18"/>
        <v>636.92431485920736</v>
      </c>
      <c r="N85" s="1">
        <f t="shared" si="19"/>
        <v>45</v>
      </c>
      <c r="O85" s="3">
        <f t="shared" si="20"/>
        <v>629268.09680724074</v>
      </c>
      <c r="P85" s="2">
        <f t="shared" si="21"/>
        <v>313.30964644917117</v>
      </c>
      <c r="Q85" s="2">
        <f t="shared" si="13"/>
        <v>235.40184695204675</v>
      </c>
      <c r="R85" s="2">
        <f t="shared" si="13"/>
        <v>1038.446782766368</v>
      </c>
      <c r="S85" s="2">
        <f t="shared" si="22"/>
        <v>1038.446782766368</v>
      </c>
    </row>
    <row r="86" spans="2:19" x14ac:dyDescent="0.25">
      <c r="B86" s="10">
        <v>811</v>
      </c>
      <c r="C86" s="10">
        <v>6</v>
      </c>
      <c r="D86" s="198" t="s">
        <v>379</v>
      </c>
      <c r="E86" s="162">
        <f>INDEX('2017 Lockdown Update'!H$5:H$249,MATCH(B86,'2017 Lockdown Update'!B$5:B$249,0))</f>
        <v>804.4337651642104</v>
      </c>
      <c r="F86" s="7">
        <f>INDEX('2017 Lockdown Update'!E$5:E$249,MATCH(B86,'2017 Lockdown Update'!B$5:B$249,0))</f>
        <v>471184.23</v>
      </c>
      <c r="G86" s="7">
        <f>INDEX('2017 Lockdown Update'!F$5:F$249,MATCH(B86,'2017 Lockdown Update'!B$5:B$249,0))</f>
        <v>11327.71</v>
      </c>
      <c r="H86" s="7">
        <f t="shared" si="14"/>
        <v>459856.51999999996</v>
      </c>
      <c r="I86" s="6">
        <f t="shared" si="15"/>
        <v>571.6524341890705</v>
      </c>
      <c r="J86" s="6">
        <f t="shared" si="23"/>
        <v>571.6524341890705</v>
      </c>
      <c r="K86" s="5">
        <f t="shared" si="16"/>
        <v>459856.51999999996</v>
      </c>
      <c r="L86" s="4">
        <f t="shared" si="17"/>
        <v>0</v>
      </c>
      <c r="M86" s="2">
        <f t="shared" si="18"/>
        <v>636.92431485920736</v>
      </c>
      <c r="N86" s="1">
        <f t="shared" si="19"/>
        <v>45</v>
      </c>
      <c r="O86" s="3">
        <f t="shared" si="20"/>
        <v>4260.418406216585</v>
      </c>
      <c r="P86" s="2">
        <f t="shared" si="21"/>
        <v>313.30964644917117</v>
      </c>
      <c r="Q86" s="2">
        <f t="shared" ref="Q86:R105" si="24">NORMINV(Q$4,$M86,$P86)</f>
        <v>235.40184695204675</v>
      </c>
      <c r="R86" s="2">
        <f t="shared" si="24"/>
        <v>1038.446782766368</v>
      </c>
      <c r="S86" s="2">
        <f t="shared" si="22"/>
        <v>571.6524341890705</v>
      </c>
    </row>
    <row r="87" spans="2:19" x14ac:dyDescent="0.25">
      <c r="B87" s="10">
        <v>824</v>
      </c>
      <c r="C87" s="10">
        <v>6</v>
      </c>
      <c r="D87" s="198" t="s">
        <v>380</v>
      </c>
      <c r="E87" s="162">
        <f>INDEX('2017 Lockdown Update'!H$5:H$249,MATCH(B87,'2017 Lockdown Update'!B$5:B$249,0))</f>
        <v>31.519999999999996</v>
      </c>
      <c r="F87" s="7">
        <f>INDEX('2017 Lockdown Update'!E$5:E$249,MATCH(B87,'2017 Lockdown Update'!B$5:B$249,0))</f>
        <v>54441.32</v>
      </c>
      <c r="G87" s="7">
        <f>INDEX('2017 Lockdown Update'!F$5:F$249,MATCH(B87,'2017 Lockdown Update'!B$5:B$249,0))</f>
        <v>0</v>
      </c>
      <c r="H87" s="7">
        <f t="shared" si="14"/>
        <v>54441.32</v>
      </c>
      <c r="I87" s="6">
        <f t="shared" si="15"/>
        <v>1727.1992385786805</v>
      </c>
      <c r="J87" s="6">
        <f t="shared" si="23"/>
        <v>1038.446782766368</v>
      </c>
      <c r="K87" s="5">
        <f t="shared" si="16"/>
        <v>32731.842592795914</v>
      </c>
      <c r="L87" s="4">
        <f t="shared" si="17"/>
        <v>0</v>
      </c>
      <c r="M87" s="2">
        <f t="shared" si="18"/>
        <v>636.92431485920736</v>
      </c>
      <c r="N87" s="1">
        <f t="shared" si="19"/>
        <v>45</v>
      </c>
      <c r="O87" s="3">
        <f t="shared" si="20"/>
        <v>1188699.4092915028</v>
      </c>
      <c r="P87" s="2">
        <f t="shared" si="21"/>
        <v>313.30964644917117</v>
      </c>
      <c r="Q87" s="2">
        <f t="shared" si="24"/>
        <v>235.40184695204675</v>
      </c>
      <c r="R87" s="2">
        <f t="shared" si="24"/>
        <v>1038.446782766368</v>
      </c>
      <c r="S87" s="2">
        <f t="shared" si="22"/>
        <v>1038.446782766368</v>
      </c>
    </row>
    <row r="88" spans="2:19" x14ac:dyDescent="0.25">
      <c r="B88" s="10">
        <v>826</v>
      </c>
      <c r="C88" s="10">
        <v>6</v>
      </c>
      <c r="D88" s="198" t="s">
        <v>381</v>
      </c>
      <c r="E88" s="162">
        <f>INDEX('2017 Lockdown Update'!H$5:H$249,MATCH(B88,'2017 Lockdown Update'!B$5:B$249,0))</f>
        <v>37.220399999999998</v>
      </c>
      <c r="F88" s="7">
        <f>INDEX('2017 Lockdown Update'!E$5:E$249,MATCH(B88,'2017 Lockdown Update'!B$5:B$249,0))</f>
        <v>28069.94</v>
      </c>
      <c r="G88" s="7">
        <f>INDEX('2017 Lockdown Update'!F$5:F$249,MATCH(B88,'2017 Lockdown Update'!B$5:B$249,0))</f>
        <v>0</v>
      </c>
      <c r="H88" s="7">
        <f t="shared" si="14"/>
        <v>28069.94</v>
      </c>
      <c r="I88" s="6">
        <f t="shared" si="15"/>
        <v>754.15471085748675</v>
      </c>
      <c r="J88" s="6">
        <f t="shared" si="23"/>
        <v>754.15471085748675</v>
      </c>
      <c r="K88" s="5">
        <f t="shared" si="16"/>
        <v>28069.94</v>
      </c>
      <c r="L88" s="4">
        <f t="shared" si="17"/>
        <v>0</v>
      </c>
      <c r="M88" s="2">
        <f t="shared" si="18"/>
        <v>636.92431485920736</v>
      </c>
      <c r="N88" s="1">
        <f t="shared" si="19"/>
        <v>45</v>
      </c>
      <c r="O88" s="3">
        <f t="shared" si="20"/>
        <v>13742.965745913401</v>
      </c>
      <c r="P88" s="2">
        <f t="shared" si="21"/>
        <v>313.30964644917117</v>
      </c>
      <c r="Q88" s="2">
        <f t="shared" si="24"/>
        <v>235.40184695204675</v>
      </c>
      <c r="R88" s="2">
        <f t="shared" si="24"/>
        <v>1038.446782766368</v>
      </c>
      <c r="S88" s="2">
        <f t="shared" si="22"/>
        <v>754.15471085748675</v>
      </c>
    </row>
    <row r="89" spans="2:19" x14ac:dyDescent="0.25">
      <c r="B89" s="10">
        <v>840</v>
      </c>
      <c r="C89" s="10">
        <v>6</v>
      </c>
      <c r="D89" s="198" t="s">
        <v>382</v>
      </c>
      <c r="E89" s="162">
        <f>INDEX('2017 Lockdown Update'!H$5:H$249,MATCH(B89,'2017 Lockdown Update'!B$5:B$249,0))</f>
        <v>134.24236671767576</v>
      </c>
      <c r="F89" s="7">
        <f>INDEX('2017 Lockdown Update'!E$5:E$249,MATCH(B89,'2017 Lockdown Update'!B$5:B$249,0))</f>
        <v>88471.82</v>
      </c>
      <c r="G89" s="7">
        <f>INDEX('2017 Lockdown Update'!F$5:F$249,MATCH(B89,'2017 Lockdown Update'!B$5:B$249,0))</f>
        <v>0</v>
      </c>
      <c r="H89" s="7">
        <f t="shared" si="14"/>
        <v>88471.82</v>
      </c>
      <c r="I89" s="6">
        <f t="shared" si="15"/>
        <v>659.04544268103155</v>
      </c>
      <c r="J89" s="6">
        <f t="shared" si="23"/>
        <v>659.04544268103155</v>
      </c>
      <c r="K89" s="5">
        <f t="shared" si="16"/>
        <v>88471.82</v>
      </c>
      <c r="L89" s="4">
        <f t="shared" si="17"/>
        <v>0</v>
      </c>
      <c r="M89" s="2">
        <f t="shared" si="18"/>
        <v>636.92431485920736</v>
      </c>
      <c r="N89" s="1">
        <f t="shared" si="19"/>
        <v>45</v>
      </c>
      <c r="O89" s="3">
        <f t="shared" si="20"/>
        <v>489.34429610948416</v>
      </c>
      <c r="P89" s="2">
        <f t="shared" si="21"/>
        <v>313.30964644917117</v>
      </c>
      <c r="Q89" s="2">
        <f t="shared" si="24"/>
        <v>235.40184695204675</v>
      </c>
      <c r="R89" s="2">
        <f t="shared" si="24"/>
        <v>1038.446782766368</v>
      </c>
      <c r="S89" s="2">
        <f t="shared" si="22"/>
        <v>659.04544268103155</v>
      </c>
    </row>
    <row r="90" spans="2:19" x14ac:dyDescent="0.25">
      <c r="B90" s="10">
        <v>843</v>
      </c>
      <c r="C90" s="10">
        <v>6</v>
      </c>
      <c r="D90" s="198" t="s">
        <v>383</v>
      </c>
      <c r="E90" s="162">
        <f>INDEX('2017 Lockdown Update'!H$5:H$249,MATCH(B90,'2017 Lockdown Update'!B$5:B$249,0))</f>
        <v>19.498273373940624</v>
      </c>
      <c r="F90" s="7">
        <f>INDEX('2017 Lockdown Update'!E$5:E$249,MATCH(B90,'2017 Lockdown Update'!B$5:B$249,0))</f>
        <v>32653.86</v>
      </c>
      <c r="G90" s="7">
        <f>INDEX('2017 Lockdown Update'!F$5:F$249,MATCH(B90,'2017 Lockdown Update'!B$5:B$249,0))</f>
        <v>0</v>
      </c>
      <c r="H90" s="7">
        <f t="shared" si="14"/>
        <v>32653.86</v>
      </c>
      <c r="I90" s="6">
        <f t="shared" si="15"/>
        <v>1674.7052097259941</v>
      </c>
      <c r="J90" s="6">
        <f t="shared" si="23"/>
        <v>1038.446782766368</v>
      </c>
      <c r="K90" s="5">
        <f t="shared" si="16"/>
        <v>20247.919254667777</v>
      </c>
      <c r="L90" s="4">
        <f t="shared" si="17"/>
        <v>0</v>
      </c>
      <c r="M90" s="2">
        <f t="shared" si="18"/>
        <v>636.92431485920736</v>
      </c>
      <c r="N90" s="1">
        <f t="shared" si="19"/>
        <v>45</v>
      </c>
      <c r="O90" s="3">
        <f t="shared" si="20"/>
        <v>1076989.1857505084</v>
      </c>
      <c r="P90" s="2">
        <f t="shared" si="21"/>
        <v>313.30964644917117</v>
      </c>
      <c r="Q90" s="2">
        <f t="shared" si="24"/>
        <v>235.40184695204675</v>
      </c>
      <c r="R90" s="2">
        <f t="shared" si="24"/>
        <v>1038.446782766368</v>
      </c>
      <c r="S90" s="2">
        <f t="shared" si="22"/>
        <v>1038.446782766368</v>
      </c>
    </row>
    <row r="91" spans="2:19" x14ac:dyDescent="0.25">
      <c r="B91" s="10">
        <v>846</v>
      </c>
      <c r="C91" s="10">
        <v>6</v>
      </c>
      <c r="D91" s="198" t="s">
        <v>384</v>
      </c>
      <c r="E91" s="162">
        <f>INDEX('2017 Lockdown Update'!H$5:H$249,MATCH(B91,'2017 Lockdown Update'!B$5:B$249,0))</f>
        <v>20.237582906035872</v>
      </c>
      <c r="F91" s="7">
        <f>INDEX('2017 Lockdown Update'!E$5:E$249,MATCH(B91,'2017 Lockdown Update'!B$5:B$249,0))</f>
        <v>39845.980000000003</v>
      </c>
      <c r="G91" s="7">
        <f>INDEX('2017 Lockdown Update'!F$5:F$249,MATCH(B91,'2017 Lockdown Update'!B$5:B$249,0))</f>
        <v>0</v>
      </c>
      <c r="H91" s="7">
        <f t="shared" si="14"/>
        <v>39845.980000000003</v>
      </c>
      <c r="I91" s="6">
        <f t="shared" si="15"/>
        <v>1968.9100316478957</v>
      </c>
      <c r="J91" s="6">
        <f t="shared" si="23"/>
        <v>1038.446782766368</v>
      </c>
      <c r="K91" s="5">
        <f t="shared" si="16"/>
        <v>21015.652859740596</v>
      </c>
      <c r="L91" s="4">
        <f t="shared" si="17"/>
        <v>0</v>
      </c>
      <c r="M91" s="2">
        <f t="shared" si="18"/>
        <v>636.92431485920736</v>
      </c>
      <c r="N91" s="1">
        <f t="shared" si="19"/>
        <v>45</v>
      </c>
      <c r="O91" s="3">
        <f t="shared" si="20"/>
        <v>1774185.9497290761</v>
      </c>
      <c r="P91" s="2">
        <f t="shared" si="21"/>
        <v>313.30964644917117</v>
      </c>
      <c r="Q91" s="2">
        <f t="shared" si="24"/>
        <v>235.40184695204675</v>
      </c>
      <c r="R91" s="2">
        <f t="shared" si="24"/>
        <v>1038.446782766368</v>
      </c>
      <c r="S91" s="2">
        <f t="shared" si="22"/>
        <v>1038.446782766368</v>
      </c>
    </row>
    <row r="92" spans="2:19" x14ac:dyDescent="0.25">
      <c r="B92" s="10">
        <v>888</v>
      </c>
      <c r="C92" s="10">
        <v>6</v>
      </c>
      <c r="D92" s="198" t="s">
        <v>385</v>
      </c>
      <c r="E92" s="162">
        <f>INDEX('2017 Lockdown Update'!H$5:H$249,MATCH(B92,'2017 Lockdown Update'!B$5:B$249,0))</f>
        <v>96.531906616690762</v>
      </c>
      <c r="F92" s="7">
        <f>INDEX('2017 Lockdown Update'!E$5:E$249,MATCH(B92,'2017 Lockdown Update'!B$5:B$249,0))</f>
        <v>45506.29</v>
      </c>
      <c r="G92" s="7">
        <f>INDEX('2017 Lockdown Update'!F$5:F$249,MATCH(B92,'2017 Lockdown Update'!B$5:B$249,0))</f>
        <v>0</v>
      </c>
      <c r="H92" s="7">
        <f t="shared" si="14"/>
        <v>45506.29</v>
      </c>
      <c r="I92" s="6">
        <f t="shared" si="15"/>
        <v>471.41190508850656</v>
      </c>
      <c r="J92" s="6">
        <f t="shared" si="23"/>
        <v>471.41190508850656</v>
      </c>
      <c r="K92" s="5">
        <f t="shared" si="16"/>
        <v>45506.29</v>
      </c>
      <c r="L92" s="4">
        <f t="shared" si="17"/>
        <v>0</v>
      </c>
      <c r="M92" s="2">
        <f t="shared" si="18"/>
        <v>636.92431485920736</v>
      </c>
      <c r="N92" s="1">
        <f t="shared" si="19"/>
        <v>45</v>
      </c>
      <c r="O92" s="3">
        <f t="shared" si="20"/>
        <v>27394.357788104375</v>
      </c>
      <c r="P92" s="2">
        <f t="shared" si="21"/>
        <v>313.30964644917117</v>
      </c>
      <c r="Q92" s="2">
        <f t="shared" si="24"/>
        <v>235.40184695204675</v>
      </c>
      <c r="R92" s="2">
        <f t="shared" si="24"/>
        <v>1038.446782766368</v>
      </c>
      <c r="S92" s="2">
        <f t="shared" si="22"/>
        <v>471.41190508850656</v>
      </c>
    </row>
    <row r="93" spans="2:19" x14ac:dyDescent="0.25">
      <c r="B93" s="10">
        <v>889</v>
      </c>
      <c r="C93" s="10">
        <v>6</v>
      </c>
      <c r="D93" s="198" t="s">
        <v>386</v>
      </c>
      <c r="E93" s="162">
        <f>INDEX('2017 Lockdown Update'!H$5:H$249,MATCH(B93,'2017 Lockdown Update'!B$5:B$249,0))</f>
        <v>31.318396976699148</v>
      </c>
      <c r="F93" s="7">
        <f>INDEX('2017 Lockdown Update'!E$5:E$249,MATCH(B93,'2017 Lockdown Update'!B$5:B$249,0))</f>
        <v>49421.78</v>
      </c>
      <c r="G93" s="7">
        <f>INDEX('2017 Lockdown Update'!F$5:F$249,MATCH(B93,'2017 Lockdown Update'!B$5:B$249,0))</f>
        <v>0</v>
      </c>
      <c r="H93" s="7">
        <f t="shared" si="14"/>
        <v>49421.78</v>
      </c>
      <c r="I93" s="6">
        <f t="shared" si="15"/>
        <v>1578.0430919491105</v>
      </c>
      <c r="J93" s="6">
        <f t="shared" si="23"/>
        <v>1038.446782766368</v>
      </c>
      <c r="K93" s="5">
        <f t="shared" si="16"/>
        <v>32522.488581853177</v>
      </c>
      <c r="L93" s="4">
        <f t="shared" si="17"/>
        <v>0</v>
      </c>
      <c r="M93" s="2">
        <f t="shared" si="18"/>
        <v>636.92431485920736</v>
      </c>
      <c r="N93" s="1">
        <f t="shared" si="19"/>
        <v>45</v>
      </c>
      <c r="O93" s="3">
        <f t="shared" si="20"/>
        <v>885704.55259119475</v>
      </c>
      <c r="P93" s="2">
        <f t="shared" si="21"/>
        <v>313.30964644917117</v>
      </c>
      <c r="Q93" s="2">
        <f t="shared" si="24"/>
        <v>235.40184695204675</v>
      </c>
      <c r="R93" s="2">
        <f t="shared" si="24"/>
        <v>1038.446782766368</v>
      </c>
      <c r="S93" s="2">
        <f t="shared" si="22"/>
        <v>1038.446782766368</v>
      </c>
    </row>
    <row r="94" spans="2:19" x14ac:dyDescent="0.25">
      <c r="B94" s="10">
        <v>891</v>
      </c>
      <c r="C94" s="10">
        <v>6</v>
      </c>
      <c r="D94" s="198" t="s">
        <v>387</v>
      </c>
      <c r="E94" s="162">
        <f>INDEX('2017 Lockdown Update'!H$5:H$249,MATCH(B94,'2017 Lockdown Update'!B$5:B$249,0))</f>
        <v>364.17087666120352</v>
      </c>
      <c r="F94" s="7">
        <f>INDEX('2017 Lockdown Update'!E$5:E$249,MATCH(B94,'2017 Lockdown Update'!B$5:B$249,0))</f>
        <v>86921.99</v>
      </c>
      <c r="G94" s="7">
        <f>INDEX('2017 Lockdown Update'!F$5:F$249,MATCH(B94,'2017 Lockdown Update'!B$5:B$249,0))</f>
        <v>0</v>
      </c>
      <c r="H94" s="7">
        <f t="shared" si="14"/>
        <v>86921.99</v>
      </c>
      <c r="I94" s="6">
        <f t="shared" si="15"/>
        <v>238.68462738404398</v>
      </c>
      <c r="J94" s="6">
        <f t="shared" si="23"/>
        <v>238.68462738404398</v>
      </c>
      <c r="K94" s="5">
        <f t="shared" si="16"/>
        <v>86921.99</v>
      </c>
      <c r="L94" s="4">
        <f t="shared" si="17"/>
        <v>0</v>
      </c>
      <c r="M94" s="2">
        <f t="shared" si="18"/>
        <v>636.92431485920736</v>
      </c>
      <c r="N94" s="1">
        <f t="shared" si="19"/>
        <v>45</v>
      </c>
      <c r="O94" s="3">
        <f t="shared" si="20"/>
        <v>158594.84868031577</v>
      </c>
      <c r="P94" s="2">
        <f t="shared" si="21"/>
        <v>313.30964644917117</v>
      </c>
      <c r="Q94" s="2">
        <f t="shared" si="24"/>
        <v>235.40184695204675</v>
      </c>
      <c r="R94" s="2">
        <f t="shared" si="24"/>
        <v>1038.446782766368</v>
      </c>
      <c r="S94" s="2">
        <f t="shared" si="22"/>
        <v>238.68462738404398</v>
      </c>
    </row>
    <row r="95" spans="2:19" x14ac:dyDescent="0.25">
      <c r="B95" s="10">
        <v>904</v>
      </c>
      <c r="C95" s="10">
        <v>6</v>
      </c>
      <c r="D95" s="198" t="s">
        <v>388</v>
      </c>
      <c r="E95" s="162">
        <f>INDEX('2017 Lockdown Update'!H$5:H$249,MATCH(B95,'2017 Lockdown Update'!B$5:B$249,0))</f>
        <v>25.493992436427366</v>
      </c>
      <c r="F95" s="7">
        <f>INDEX('2017 Lockdown Update'!E$5:E$249,MATCH(B95,'2017 Lockdown Update'!B$5:B$249,0))</f>
        <v>13685.12</v>
      </c>
      <c r="G95" s="7">
        <f>INDEX('2017 Lockdown Update'!F$5:F$249,MATCH(B95,'2017 Lockdown Update'!B$5:B$249,0))</f>
        <v>0</v>
      </c>
      <c r="H95" s="7">
        <f t="shared" si="14"/>
        <v>13685.12</v>
      </c>
      <c r="I95" s="6">
        <f t="shared" si="15"/>
        <v>536.79783714244263</v>
      </c>
      <c r="J95" s="6">
        <f t="shared" si="23"/>
        <v>536.79783714244263</v>
      </c>
      <c r="K95" s="5">
        <f t="shared" si="16"/>
        <v>13685.12</v>
      </c>
      <c r="L95" s="4">
        <f t="shared" si="17"/>
        <v>0</v>
      </c>
      <c r="M95" s="2">
        <f t="shared" si="18"/>
        <v>636.92431485920736</v>
      </c>
      <c r="N95" s="1">
        <f t="shared" si="19"/>
        <v>45</v>
      </c>
      <c r="O95" s="3">
        <f t="shared" si="20"/>
        <v>10025.311539965784</v>
      </c>
      <c r="P95" s="2">
        <f t="shared" si="21"/>
        <v>313.30964644917117</v>
      </c>
      <c r="Q95" s="2">
        <f t="shared" si="24"/>
        <v>235.40184695204675</v>
      </c>
      <c r="R95" s="2">
        <f t="shared" si="24"/>
        <v>1038.446782766368</v>
      </c>
      <c r="S95" s="2">
        <f t="shared" si="22"/>
        <v>536.79783714244263</v>
      </c>
    </row>
    <row r="96" spans="2:19" x14ac:dyDescent="0.25">
      <c r="B96" s="10">
        <v>906</v>
      </c>
      <c r="C96" s="10">
        <v>6</v>
      </c>
      <c r="D96" s="198" t="s">
        <v>389</v>
      </c>
      <c r="E96" s="162">
        <f>INDEX('2017 Lockdown Update'!H$5:H$249,MATCH(B96,'2017 Lockdown Update'!B$5:B$249,0))</f>
        <v>223.33999999999997</v>
      </c>
      <c r="F96" s="7">
        <f>INDEX('2017 Lockdown Update'!E$5:E$249,MATCH(B96,'2017 Lockdown Update'!B$5:B$249,0))</f>
        <v>119241.63</v>
      </c>
      <c r="G96" s="7">
        <f>INDEX('2017 Lockdown Update'!F$5:F$249,MATCH(B96,'2017 Lockdown Update'!B$5:B$249,0))</f>
        <v>36</v>
      </c>
      <c r="H96" s="7">
        <f t="shared" si="14"/>
        <v>119205.63</v>
      </c>
      <c r="I96" s="6">
        <f t="shared" si="15"/>
        <v>533.74061968299463</v>
      </c>
      <c r="J96" s="6">
        <f t="shared" si="23"/>
        <v>533.74061968299463</v>
      </c>
      <c r="K96" s="5">
        <f t="shared" si="16"/>
        <v>119205.63</v>
      </c>
      <c r="L96" s="4">
        <f t="shared" si="17"/>
        <v>0</v>
      </c>
      <c r="M96" s="2">
        <f t="shared" si="18"/>
        <v>636.92431485920736</v>
      </c>
      <c r="N96" s="1">
        <f t="shared" si="19"/>
        <v>45</v>
      </c>
      <c r="O96" s="3">
        <f t="shared" si="20"/>
        <v>10646.874950217585</v>
      </c>
      <c r="P96" s="2">
        <f t="shared" si="21"/>
        <v>313.30964644917117</v>
      </c>
      <c r="Q96" s="2">
        <f t="shared" si="24"/>
        <v>235.40184695204675</v>
      </c>
      <c r="R96" s="2">
        <f t="shared" si="24"/>
        <v>1038.446782766368</v>
      </c>
      <c r="S96" s="2">
        <f t="shared" si="22"/>
        <v>533.74061968299463</v>
      </c>
    </row>
    <row r="97" spans="2:19" x14ac:dyDescent="0.25">
      <c r="B97" s="10">
        <v>917</v>
      </c>
      <c r="C97" s="10">
        <v>6</v>
      </c>
      <c r="D97" s="198" t="s">
        <v>390</v>
      </c>
      <c r="E97" s="162">
        <f>INDEX('2017 Lockdown Update'!H$5:H$249,MATCH(B97,'2017 Lockdown Update'!B$5:B$249,0))</f>
        <v>83.135763098139336</v>
      </c>
      <c r="F97" s="7">
        <f>INDEX('2017 Lockdown Update'!E$5:E$249,MATCH(B97,'2017 Lockdown Update'!B$5:B$249,0))</f>
        <v>58138.080000000002</v>
      </c>
      <c r="G97" s="7">
        <f>INDEX('2017 Lockdown Update'!F$5:F$249,MATCH(B97,'2017 Lockdown Update'!B$5:B$249,0))</f>
        <v>0</v>
      </c>
      <c r="H97" s="7">
        <f t="shared" si="14"/>
        <v>58138.080000000002</v>
      </c>
      <c r="I97" s="6">
        <f t="shared" si="15"/>
        <v>699.31492577231415</v>
      </c>
      <c r="J97" s="6">
        <f t="shared" si="23"/>
        <v>699.31492577231415</v>
      </c>
      <c r="K97" s="5">
        <f t="shared" si="16"/>
        <v>58138.080000000002</v>
      </c>
      <c r="L97" s="4">
        <f t="shared" si="17"/>
        <v>0</v>
      </c>
      <c r="M97" s="2">
        <f t="shared" si="18"/>
        <v>636.92431485920736</v>
      </c>
      <c r="N97" s="1">
        <f t="shared" si="19"/>
        <v>45</v>
      </c>
      <c r="O97" s="3">
        <f t="shared" si="20"/>
        <v>3892.588330110681</v>
      </c>
      <c r="P97" s="2">
        <f t="shared" si="21"/>
        <v>313.30964644917117</v>
      </c>
      <c r="Q97" s="2">
        <f t="shared" si="24"/>
        <v>235.40184695204675</v>
      </c>
      <c r="R97" s="2">
        <f t="shared" si="24"/>
        <v>1038.446782766368</v>
      </c>
      <c r="S97" s="2">
        <f t="shared" si="22"/>
        <v>699.31492577231415</v>
      </c>
    </row>
    <row r="98" spans="2:19" x14ac:dyDescent="0.25">
      <c r="B98" s="10">
        <v>957</v>
      </c>
      <c r="C98" s="10">
        <v>6</v>
      </c>
      <c r="D98" s="198" t="s">
        <v>391</v>
      </c>
      <c r="E98" s="162">
        <f>INDEX('2017 Lockdown Update'!H$5:H$249,MATCH(B98,'2017 Lockdown Update'!B$5:B$249,0))</f>
        <v>102.78835312589278</v>
      </c>
      <c r="F98" s="7">
        <f>INDEX('2017 Lockdown Update'!E$5:E$249,MATCH(B98,'2017 Lockdown Update'!B$5:B$249,0))</f>
        <v>36361.17</v>
      </c>
      <c r="G98" s="7">
        <f>INDEX('2017 Lockdown Update'!F$5:F$249,MATCH(B98,'2017 Lockdown Update'!B$5:B$249,0))</f>
        <v>0</v>
      </c>
      <c r="H98" s="7">
        <f t="shared" si="14"/>
        <v>36361.17</v>
      </c>
      <c r="I98" s="6">
        <f t="shared" si="15"/>
        <v>353.74795776196243</v>
      </c>
      <c r="J98" s="6">
        <f t="shared" si="23"/>
        <v>353.74795776196243</v>
      </c>
      <c r="K98" s="5">
        <f t="shared" si="16"/>
        <v>36361.17</v>
      </c>
      <c r="L98" s="4">
        <f t="shared" si="17"/>
        <v>0</v>
      </c>
      <c r="M98" s="2">
        <f t="shared" si="18"/>
        <v>636.92431485920736</v>
      </c>
      <c r="N98" s="1">
        <f t="shared" si="19"/>
        <v>45</v>
      </c>
      <c r="O98" s="3">
        <f t="shared" si="20"/>
        <v>80188.84921886638</v>
      </c>
      <c r="P98" s="2">
        <f t="shared" si="21"/>
        <v>313.30964644917117</v>
      </c>
      <c r="Q98" s="2">
        <f t="shared" si="24"/>
        <v>235.40184695204675</v>
      </c>
      <c r="R98" s="2">
        <f t="shared" si="24"/>
        <v>1038.446782766368</v>
      </c>
      <c r="S98" s="2">
        <f t="shared" si="22"/>
        <v>353.74795776196243</v>
      </c>
    </row>
    <row r="99" spans="2:19" x14ac:dyDescent="0.25">
      <c r="B99" s="10">
        <v>959</v>
      </c>
      <c r="C99" s="10">
        <v>6</v>
      </c>
      <c r="D99" s="198" t="s">
        <v>392</v>
      </c>
      <c r="E99" s="162">
        <f>INDEX('2017 Lockdown Update'!H$5:H$249,MATCH(B99,'2017 Lockdown Update'!B$5:B$249,0))</f>
        <v>350.17274123482861</v>
      </c>
      <c r="F99" s="7">
        <f>INDEX('2017 Lockdown Update'!E$5:E$249,MATCH(B99,'2017 Lockdown Update'!B$5:B$249,0))</f>
        <v>116846.11</v>
      </c>
      <c r="G99" s="7">
        <f>INDEX('2017 Lockdown Update'!F$5:F$249,MATCH(B99,'2017 Lockdown Update'!B$5:B$249,0))</f>
        <v>434.45</v>
      </c>
      <c r="H99" s="7">
        <f t="shared" si="14"/>
        <v>116411.66</v>
      </c>
      <c r="I99" s="6">
        <f t="shared" si="15"/>
        <v>332.44066796716601</v>
      </c>
      <c r="J99" s="6">
        <f t="shared" si="23"/>
        <v>332.44066796716601</v>
      </c>
      <c r="K99" s="5">
        <f t="shared" si="16"/>
        <v>116411.66</v>
      </c>
      <c r="L99" s="4">
        <f t="shared" si="17"/>
        <v>0</v>
      </c>
      <c r="M99" s="2">
        <f t="shared" si="18"/>
        <v>636.92431485920736</v>
      </c>
      <c r="N99" s="1">
        <f t="shared" si="19"/>
        <v>45</v>
      </c>
      <c r="O99" s="3">
        <f t="shared" si="20"/>
        <v>92710.291224677319</v>
      </c>
      <c r="P99" s="2">
        <f t="shared" si="21"/>
        <v>313.30964644917117</v>
      </c>
      <c r="Q99" s="2">
        <f t="shared" si="24"/>
        <v>235.40184695204675</v>
      </c>
      <c r="R99" s="2">
        <f t="shared" si="24"/>
        <v>1038.446782766368</v>
      </c>
      <c r="S99" s="2">
        <f t="shared" si="22"/>
        <v>332.44066796716601</v>
      </c>
    </row>
    <row r="100" spans="2:19" x14ac:dyDescent="0.25">
      <c r="B100" s="10">
        <v>969</v>
      </c>
      <c r="C100" s="10">
        <v>6</v>
      </c>
      <c r="D100" s="198" t="s">
        <v>393</v>
      </c>
      <c r="E100" s="162">
        <f>INDEX('2017 Lockdown Update'!H$5:H$249,MATCH(B100,'2017 Lockdown Update'!B$5:B$249,0))</f>
        <v>20.31070143118815</v>
      </c>
      <c r="F100" s="7">
        <f>INDEX('2017 Lockdown Update'!E$5:E$249,MATCH(B100,'2017 Lockdown Update'!B$5:B$249,0))</f>
        <v>38489.4</v>
      </c>
      <c r="G100" s="7">
        <f>INDEX('2017 Lockdown Update'!F$5:F$249,MATCH(B100,'2017 Lockdown Update'!B$5:B$249,0))</f>
        <v>0</v>
      </c>
      <c r="H100" s="7">
        <f t="shared" si="14"/>
        <v>38489.4</v>
      </c>
      <c r="I100" s="6">
        <f t="shared" si="15"/>
        <v>1895.030564572108</v>
      </c>
      <c r="J100" s="6">
        <f t="shared" si="23"/>
        <v>1038.446782766368</v>
      </c>
      <c r="K100" s="5">
        <f t="shared" si="16"/>
        <v>21091.582556945599</v>
      </c>
      <c r="L100" s="4">
        <f t="shared" si="17"/>
        <v>0</v>
      </c>
      <c r="M100" s="2">
        <f t="shared" si="18"/>
        <v>636.92431485920736</v>
      </c>
      <c r="N100" s="1">
        <f t="shared" si="19"/>
        <v>45</v>
      </c>
      <c r="O100" s="3">
        <f t="shared" si="20"/>
        <v>1582831.3355666592</v>
      </c>
      <c r="P100" s="2">
        <f t="shared" si="21"/>
        <v>313.30964644917117</v>
      </c>
      <c r="Q100" s="2">
        <f t="shared" si="24"/>
        <v>235.40184695204675</v>
      </c>
      <c r="R100" s="2">
        <f t="shared" si="24"/>
        <v>1038.446782766368</v>
      </c>
      <c r="S100" s="2">
        <f t="shared" si="22"/>
        <v>1038.446782766368</v>
      </c>
    </row>
    <row r="101" spans="2:19" x14ac:dyDescent="0.25">
      <c r="B101" s="10">
        <v>970</v>
      </c>
      <c r="C101" s="10">
        <v>6</v>
      </c>
      <c r="D101" s="198" t="s">
        <v>394</v>
      </c>
      <c r="E101" s="162">
        <f>INDEX('2017 Lockdown Update'!H$5:H$249,MATCH(B101,'2017 Lockdown Update'!B$5:B$249,0))</f>
        <v>175.80943158836462</v>
      </c>
      <c r="F101" s="7">
        <f>INDEX('2017 Lockdown Update'!E$5:E$249,MATCH(B101,'2017 Lockdown Update'!B$5:B$249,0))</f>
        <v>60933.56</v>
      </c>
      <c r="G101" s="7">
        <f>INDEX('2017 Lockdown Update'!F$5:F$249,MATCH(B101,'2017 Lockdown Update'!B$5:B$249,0))</f>
        <v>134.5</v>
      </c>
      <c r="H101" s="7">
        <f t="shared" si="14"/>
        <v>60799.06</v>
      </c>
      <c r="I101" s="6">
        <f t="shared" si="15"/>
        <v>345.82365377503322</v>
      </c>
      <c r="J101" s="6">
        <f t="shared" si="23"/>
        <v>345.82365377503322</v>
      </c>
      <c r="K101" s="5">
        <f t="shared" si="16"/>
        <v>60799.06</v>
      </c>
      <c r="L101" s="4">
        <f t="shared" si="17"/>
        <v>0</v>
      </c>
      <c r="M101" s="2">
        <f t="shared" si="18"/>
        <v>636.92431485920736</v>
      </c>
      <c r="N101" s="1">
        <f t="shared" si="19"/>
        <v>45</v>
      </c>
      <c r="O101" s="3">
        <f t="shared" si="20"/>
        <v>84739.594883643207</v>
      </c>
      <c r="P101" s="2">
        <f t="shared" si="21"/>
        <v>313.30964644917117</v>
      </c>
      <c r="Q101" s="2">
        <f t="shared" si="24"/>
        <v>235.40184695204675</v>
      </c>
      <c r="R101" s="2">
        <f t="shared" si="24"/>
        <v>1038.446782766368</v>
      </c>
      <c r="S101" s="2">
        <f t="shared" si="22"/>
        <v>345.82365377503322</v>
      </c>
    </row>
    <row r="102" spans="2:19" x14ac:dyDescent="0.25">
      <c r="B102" s="47">
        <v>980</v>
      </c>
      <c r="C102" s="47">
        <v>6</v>
      </c>
      <c r="D102" s="199" t="s">
        <v>395</v>
      </c>
      <c r="E102" s="162">
        <f>INDEX('2017 Lockdown Update'!H$5:H$249,MATCH(B102,'2017 Lockdown Update'!B$5:B$249,0))</f>
        <v>27.105240801427264</v>
      </c>
      <c r="F102" s="7">
        <f>INDEX('2017 Lockdown Update'!E$5:E$249,MATCH(B102,'2017 Lockdown Update'!B$5:B$249,0))</f>
        <v>27355.57</v>
      </c>
      <c r="G102" s="7">
        <f>INDEX('2017 Lockdown Update'!F$5:F$249,MATCH(B102,'2017 Lockdown Update'!B$5:B$249,0))</f>
        <v>0</v>
      </c>
      <c r="H102" s="7">
        <f t="shared" si="14"/>
        <v>27355.57</v>
      </c>
      <c r="I102" s="6">
        <f t="shared" si="15"/>
        <v>1009.235453778354</v>
      </c>
      <c r="J102" s="6">
        <f t="shared" si="23"/>
        <v>1009.235453778354</v>
      </c>
      <c r="K102" s="5">
        <f t="shared" si="16"/>
        <v>27355.57</v>
      </c>
      <c r="L102" s="4">
        <f t="shared" si="17"/>
        <v>0</v>
      </c>
      <c r="M102" s="2">
        <f t="shared" si="18"/>
        <v>636.92431485920736</v>
      </c>
      <c r="N102" s="1">
        <f t="shared" si="19"/>
        <v>45</v>
      </c>
      <c r="O102" s="3">
        <f t="shared" si="20"/>
        <v>138615.58416327211</v>
      </c>
      <c r="P102" s="2">
        <f t="shared" si="21"/>
        <v>313.30964644917117</v>
      </c>
      <c r="Q102" s="2">
        <f t="shared" si="24"/>
        <v>235.40184695204675</v>
      </c>
      <c r="R102" s="2">
        <f t="shared" si="24"/>
        <v>1038.446782766368</v>
      </c>
      <c r="S102" s="2">
        <f t="shared" si="22"/>
        <v>1009.235453778354</v>
      </c>
    </row>
    <row r="103" spans="2:19" x14ac:dyDescent="0.25">
      <c r="B103" s="47">
        <v>986</v>
      </c>
      <c r="C103" s="47">
        <v>6</v>
      </c>
      <c r="D103" s="199" t="s">
        <v>396</v>
      </c>
      <c r="E103" s="162">
        <f>INDEX('2017 Lockdown Update'!H$5:H$249,MATCH(B103,'2017 Lockdown Update'!B$5:B$249,0))</f>
        <v>8.1405291336202108</v>
      </c>
      <c r="F103" s="7">
        <f>INDEX('2017 Lockdown Update'!E$5:E$249,MATCH(B103,'2017 Lockdown Update'!B$5:B$249,0))</f>
        <v>38850.550000000003</v>
      </c>
      <c r="G103" s="7">
        <f>INDEX('2017 Lockdown Update'!F$5:F$249,MATCH(B103,'2017 Lockdown Update'!B$5:B$249,0))</f>
        <v>0</v>
      </c>
      <c r="H103" s="7">
        <f t="shared" si="14"/>
        <v>38850.550000000003</v>
      </c>
      <c r="I103" s="6">
        <f t="shared" si="15"/>
        <v>4772.48460908371</v>
      </c>
      <c r="J103" s="6">
        <f t="shared" si="23"/>
        <v>1038.446782766368</v>
      </c>
      <c r="K103" s="5">
        <f t="shared" si="16"/>
        <v>8453.5062888237971</v>
      </c>
      <c r="L103" s="4">
        <f t="shared" si="17"/>
        <v>0</v>
      </c>
      <c r="M103" s="2">
        <f t="shared" si="18"/>
        <v>636.92431485920736</v>
      </c>
      <c r="N103" s="1">
        <f t="shared" si="19"/>
        <v>45</v>
      </c>
      <c r="O103" s="3">
        <f t="shared" si="20"/>
        <v>17102858.947166253</v>
      </c>
      <c r="P103" s="2">
        <f t="shared" si="21"/>
        <v>313.30964644917117</v>
      </c>
      <c r="Q103" s="2">
        <f t="shared" si="24"/>
        <v>235.40184695204675</v>
      </c>
      <c r="R103" s="2">
        <f t="shared" si="24"/>
        <v>1038.446782766368</v>
      </c>
      <c r="S103" s="2">
        <f t="shared" si="22"/>
        <v>1038.446782766368</v>
      </c>
    </row>
    <row r="104" spans="2:19" x14ac:dyDescent="0.25">
      <c r="B104" s="47">
        <v>988</v>
      </c>
      <c r="C104" s="47">
        <v>6</v>
      </c>
      <c r="D104" s="199" t="s">
        <v>397</v>
      </c>
      <c r="E104" s="162">
        <f>INDEX('2017 Lockdown Update'!H$5:H$249,MATCH(B104,'2017 Lockdown Update'!B$5:B$249,0))</f>
        <v>136.34894480531173</v>
      </c>
      <c r="F104" s="7">
        <f>INDEX('2017 Lockdown Update'!E$5:E$249,MATCH(B104,'2017 Lockdown Update'!B$5:B$249,0))</f>
        <v>73398.22</v>
      </c>
      <c r="G104" s="7">
        <f>INDEX('2017 Lockdown Update'!F$5:F$249,MATCH(B104,'2017 Lockdown Update'!B$5:B$249,0))</f>
        <v>0</v>
      </c>
      <c r="H104" s="7">
        <f t="shared" si="14"/>
        <v>73398.22</v>
      </c>
      <c r="I104" s="6">
        <f t="shared" si="15"/>
        <v>538.31161000037775</v>
      </c>
      <c r="J104" s="6">
        <f t="shared" si="23"/>
        <v>538.31161000037775</v>
      </c>
      <c r="K104" s="5">
        <f t="shared" si="16"/>
        <v>73398.22</v>
      </c>
      <c r="L104" s="4">
        <f t="shared" si="17"/>
        <v>0</v>
      </c>
      <c r="M104" s="2">
        <f t="shared" si="18"/>
        <v>636.92431485920736</v>
      </c>
      <c r="N104" s="1">
        <f t="shared" si="19"/>
        <v>45</v>
      </c>
      <c r="O104" s="3">
        <f t="shared" si="20"/>
        <v>9724.4655595746353</v>
      </c>
      <c r="P104" s="2">
        <f t="shared" si="21"/>
        <v>313.30964644917117</v>
      </c>
      <c r="Q104" s="2">
        <f t="shared" si="24"/>
        <v>235.40184695204675</v>
      </c>
      <c r="R104" s="2">
        <f t="shared" si="24"/>
        <v>1038.446782766368</v>
      </c>
      <c r="S104" s="2">
        <f t="shared" si="22"/>
        <v>538.31161000037775</v>
      </c>
    </row>
    <row r="105" spans="2:19" x14ac:dyDescent="0.25">
      <c r="B105" s="47">
        <v>989</v>
      </c>
      <c r="C105" s="47">
        <v>6</v>
      </c>
      <c r="D105" s="199" t="s">
        <v>398</v>
      </c>
      <c r="E105" s="162">
        <f>INDEX('2017 Lockdown Update'!H$5:H$249,MATCH(B105,'2017 Lockdown Update'!B$5:B$249,0))</f>
        <v>440.04353292754996</v>
      </c>
      <c r="F105" s="7">
        <f>INDEX('2017 Lockdown Update'!E$5:E$249,MATCH(B105,'2017 Lockdown Update'!B$5:B$249,0))</f>
        <v>332675.46000000002</v>
      </c>
      <c r="G105" s="7">
        <f>INDEX('2017 Lockdown Update'!F$5:F$249,MATCH(B105,'2017 Lockdown Update'!B$5:B$249,0))</f>
        <v>32018.95</v>
      </c>
      <c r="H105" s="7">
        <f t="shared" si="14"/>
        <v>300656.51</v>
      </c>
      <c r="I105" s="6">
        <f t="shared" si="15"/>
        <v>683.24265101630522</v>
      </c>
      <c r="J105" s="6">
        <f t="shared" si="23"/>
        <v>683.24265101630522</v>
      </c>
      <c r="K105" s="5">
        <f t="shared" si="16"/>
        <v>300656.51</v>
      </c>
      <c r="L105" s="4">
        <f t="shared" si="17"/>
        <v>0</v>
      </c>
      <c r="M105" s="2">
        <f t="shared" si="18"/>
        <v>636.92431485920736</v>
      </c>
      <c r="N105" s="1">
        <f t="shared" si="19"/>
        <v>45</v>
      </c>
      <c r="O105" s="3">
        <f t="shared" si="20"/>
        <v>2145.388264361919</v>
      </c>
      <c r="P105" s="2">
        <f t="shared" si="21"/>
        <v>313.30964644917117</v>
      </c>
      <c r="Q105" s="2">
        <f t="shared" si="24"/>
        <v>235.40184695204675</v>
      </c>
      <c r="R105" s="2">
        <f t="shared" si="24"/>
        <v>1038.446782766368</v>
      </c>
      <c r="S105" s="2">
        <f t="shared" si="22"/>
        <v>683.24265101630522</v>
      </c>
    </row>
    <row r="106" spans="2:19" x14ac:dyDescent="0.25">
      <c r="B106" s="10">
        <v>39</v>
      </c>
      <c r="C106" s="10">
        <v>7</v>
      </c>
      <c r="D106" s="198" t="s">
        <v>399</v>
      </c>
      <c r="E106" s="162">
        <f>INDEX('2017 Lockdown Update'!H$5:H$249,MATCH(B106,'2017 Lockdown Update'!B$5:B$249,0))</f>
        <v>410.4</v>
      </c>
      <c r="F106" s="7">
        <f>INDEX('2017 Lockdown Update'!E$5:E$249,MATCH(B106,'2017 Lockdown Update'!B$5:B$249,0))</f>
        <v>115923.68</v>
      </c>
      <c r="G106" s="7">
        <f>INDEX('2017 Lockdown Update'!F$5:F$249,MATCH(B106,'2017 Lockdown Update'!B$5:B$249,0))</f>
        <v>480</v>
      </c>
      <c r="H106" s="7">
        <f t="shared" si="14"/>
        <v>115443.68</v>
      </c>
      <c r="I106" s="6">
        <f t="shared" si="15"/>
        <v>281.2955165692008</v>
      </c>
      <c r="J106" s="6">
        <f t="shared" si="23"/>
        <v>281.2955165692008</v>
      </c>
      <c r="K106" s="5">
        <f t="shared" si="16"/>
        <v>115443.68000000001</v>
      </c>
      <c r="L106" s="4">
        <f t="shared" si="17"/>
        <v>0</v>
      </c>
      <c r="M106" s="2">
        <f t="shared" si="18"/>
        <v>433.76681471562551</v>
      </c>
      <c r="N106" s="1">
        <f t="shared" si="19"/>
        <v>61</v>
      </c>
      <c r="O106" s="3">
        <f t="shared" si="20"/>
        <v>23247.496758455938</v>
      </c>
      <c r="P106" s="2">
        <f t="shared" si="21"/>
        <v>132.87956330444399</v>
      </c>
      <c r="Q106" s="2">
        <f t="shared" ref="Q106:R125" si="25">NORMINV(Q$4,$M106,$P106)</f>
        <v>263.47480233393242</v>
      </c>
      <c r="R106" s="2">
        <f t="shared" si="25"/>
        <v>604.05882709731861</v>
      </c>
      <c r="S106" s="2">
        <f t="shared" si="22"/>
        <v>281.2955165692008</v>
      </c>
    </row>
    <row r="107" spans="2:19" x14ac:dyDescent="0.25">
      <c r="B107" s="10">
        <v>59</v>
      </c>
      <c r="C107" s="10">
        <v>7</v>
      </c>
      <c r="D107" s="198" t="s">
        <v>400</v>
      </c>
      <c r="E107" s="162">
        <f>INDEX('2017 Lockdown Update'!H$5:H$249,MATCH(B107,'2017 Lockdown Update'!B$5:B$249,0))</f>
        <v>270.47377712324817</v>
      </c>
      <c r="F107" s="7">
        <f>INDEX('2017 Lockdown Update'!E$5:E$249,MATCH(B107,'2017 Lockdown Update'!B$5:B$249,0))</f>
        <v>160123.23000000001</v>
      </c>
      <c r="G107" s="7">
        <f>INDEX('2017 Lockdown Update'!F$5:F$249,MATCH(B107,'2017 Lockdown Update'!B$5:B$249,0))</f>
        <v>0</v>
      </c>
      <c r="H107" s="7">
        <f t="shared" si="14"/>
        <v>160123.23000000001</v>
      </c>
      <c r="I107" s="6">
        <f t="shared" si="15"/>
        <v>592.01018192250058</v>
      </c>
      <c r="J107" s="6">
        <f t="shared" si="23"/>
        <v>592.01018192250058</v>
      </c>
      <c r="K107" s="5">
        <f t="shared" si="16"/>
        <v>160123.23000000001</v>
      </c>
      <c r="L107" s="4">
        <f t="shared" si="17"/>
        <v>0</v>
      </c>
      <c r="M107" s="2">
        <f t="shared" si="18"/>
        <v>433.76681471562551</v>
      </c>
      <c r="N107" s="1">
        <f t="shared" si="19"/>
        <v>61</v>
      </c>
      <c r="O107" s="3">
        <f t="shared" si="20"/>
        <v>25040.963264969902</v>
      </c>
      <c r="P107" s="2">
        <f t="shared" si="21"/>
        <v>132.87956330444399</v>
      </c>
      <c r="Q107" s="2">
        <f t="shared" si="25"/>
        <v>263.47480233393242</v>
      </c>
      <c r="R107" s="2">
        <f t="shared" si="25"/>
        <v>604.05882709731861</v>
      </c>
      <c r="S107" s="2">
        <f t="shared" si="22"/>
        <v>592.01018192250058</v>
      </c>
    </row>
    <row r="108" spans="2:19" x14ac:dyDescent="0.25">
      <c r="B108" s="10">
        <v>128</v>
      </c>
      <c r="C108" s="10">
        <v>7</v>
      </c>
      <c r="D108" s="198" t="s">
        <v>401</v>
      </c>
      <c r="E108" s="162">
        <f>INDEX('2017 Lockdown Update'!H$5:H$249,MATCH(B108,'2017 Lockdown Update'!B$5:B$249,0))</f>
        <v>162.90807403927388</v>
      </c>
      <c r="F108" s="7">
        <f>INDEX('2017 Lockdown Update'!E$5:E$249,MATCH(B108,'2017 Lockdown Update'!B$5:B$249,0))</f>
        <v>97728.05</v>
      </c>
      <c r="G108" s="7">
        <f>INDEX('2017 Lockdown Update'!F$5:F$249,MATCH(B108,'2017 Lockdown Update'!B$5:B$249,0))</f>
        <v>305.20999999999998</v>
      </c>
      <c r="H108" s="7">
        <f t="shared" si="14"/>
        <v>97422.84</v>
      </c>
      <c r="I108" s="6">
        <f t="shared" si="15"/>
        <v>598.02339800858056</v>
      </c>
      <c r="J108" s="6">
        <f t="shared" si="23"/>
        <v>598.02339800858056</v>
      </c>
      <c r="K108" s="5">
        <f t="shared" si="16"/>
        <v>97422.84</v>
      </c>
      <c r="L108" s="4">
        <f t="shared" si="17"/>
        <v>0</v>
      </c>
      <c r="M108" s="2">
        <f t="shared" si="18"/>
        <v>433.76681471562551</v>
      </c>
      <c r="N108" s="1">
        <f t="shared" si="19"/>
        <v>61</v>
      </c>
      <c r="O108" s="3">
        <f t="shared" si="20"/>
        <v>26980.225155075477</v>
      </c>
      <c r="P108" s="2">
        <f t="shared" si="21"/>
        <v>132.87956330444399</v>
      </c>
      <c r="Q108" s="2">
        <f t="shared" si="25"/>
        <v>263.47480233393242</v>
      </c>
      <c r="R108" s="2">
        <f t="shared" si="25"/>
        <v>604.05882709731861</v>
      </c>
      <c r="S108" s="2">
        <f t="shared" si="22"/>
        <v>598.02339800858056</v>
      </c>
    </row>
    <row r="109" spans="2:19" x14ac:dyDescent="0.25">
      <c r="B109" s="10">
        <v>152</v>
      </c>
      <c r="C109" s="10">
        <v>7</v>
      </c>
      <c r="D109" s="198" t="s">
        <v>402</v>
      </c>
      <c r="E109" s="162">
        <f>INDEX('2017 Lockdown Update'!H$5:H$249,MATCH(B109,'2017 Lockdown Update'!B$5:B$249,0))</f>
        <v>349.11658476040691</v>
      </c>
      <c r="F109" s="7">
        <f>INDEX('2017 Lockdown Update'!E$5:E$249,MATCH(B109,'2017 Lockdown Update'!B$5:B$249,0))</f>
        <v>154963.87</v>
      </c>
      <c r="G109" s="7">
        <f>INDEX('2017 Lockdown Update'!F$5:F$249,MATCH(B109,'2017 Lockdown Update'!B$5:B$249,0))</f>
        <v>38032.97</v>
      </c>
      <c r="H109" s="7">
        <f t="shared" si="14"/>
        <v>116930.9</v>
      </c>
      <c r="I109" s="6">
        <f t="shared" si="15"/>
        <v>334.93367288823526</v>
      </c>
      <c r="J109" s="6">
        <f t="shared" si="23"/>
        <v>334.93367288823526</v>
      </c>
      <c r="K109" s="5">
        <f t="shared" si="16"/>
        <v>116930.9</v>
      </c>
      <c r="L109" s="4">
        <f t="shared" si="17"/>
        <v>0</v>
      </c>
      <c r="M109" s="2">
        <f t="shared" si="18"/>
        <v>433.76681471562551</v>
      </c>
      <c r="N109" s="1">
        <f t="shared" si="19"/>
        <v>61</v>
      </c>
      <c r="O109" s="3">
        <f t="shared" si="20"/>
        <v>9767.9899234730365</v>
      </c>
      <c r="P109" s="2">
        <f t="shared" si="21"/>
        <v>132.87956330444399</v>
      </c>
      <c r="Q109" s="2">
        <f t="shared" si="25"/>
        <v>263.47480233393242</v>
      </c>
      <c r="R109" s="2">
        <f t="shared" si="25"/>
        <v>604.05882709731861</v>
      </c>
      <c r="S109" s="2">
        <f t="shared" si="22"/>
        <v>334.93367288823526</v>
      </c>
    </row>
    <row r="110" spans="2:19" x14ac:dyDescent="0.25">
      <c r="B110" s="10">
        <v>162</v>
      </c>
      <c r="C110" s="10">
        <v>7</v>
      </c>
      <c r="D110" s="198" t="s">
        <v>403</v>
      </c>
      <c r="E110" s="162">
        <f>INDEX('2017 Lockdown Update'!H$5:H$249,MATCH(B110,'2017 Lockdown Update'!B$5:B$249,0))</f>
        <v>801.95999999999992</v>
      </c>
      <c r="F110" s="7">
        <f>INDEX('2017 Lockdown Update'!E$5:E$249,MATCH(B110,'2017 Lockdown Update'!B$5:B$249,0))</f>
        <v>369094.26</v>
      </c>
      <c r="G110" s="7">
        <f>INDEX('2017 Lockdown Update'!F$5:F$249,MATCH(B110,'2017 Lockdown Update'!B$5:B$249,0))</f>
        <v>31965.68</v>
      </c>
      <c r="H110" s="7">
        <f t="shared" si="14"/>
        <v>337128.58</v>
      </c>
      <c r="I110" s="6">
        <f t="shared" si="15"/>
        <v>420.38079205945439</v>
      </c>
      <c r="J110" s="6">
        <f t="shared" si="23"/>
        <v>420.38079205945439</v>
      </c>
      <c r="K110" s="5">
        <f t="shared" si="16"/>
        <v>337128.58</v>
      </c>
      <c r="L110" s="4">
        <f t="shared" si="17"/>
        <v>0</v>
      </c>
      <c r="M110" s="2">
        <f t="shared" si="18"/>
        <v>433.76681471562551</v>
      </c>
      <c r="N110" s="1">
        <f t="shared" si="19"/>
        <v>61</v>
      </c>
      <c r="O110" s="3">
        <f t="shared" si="20"/>
        <v>179.18560255152656</v>
      </c>
      <c r="P110" s="2">
        <f t="shared" si="21"/>
        <v>132.87956330444399</v>
      </c>
      <c r="Q110" s="2">
        <f t="shared" si="25"/>
        <v>263.47480233393242</v>
      </c>
      <c r="R110" s="2">
        <f t="shared" si="25"/>
        <v>604.05882709731861</v>
      </c>
      <c r="S110" s="2">
        <f t="shared" si="22"/>
        <v>420.38079205945439</v>
      </c>
    </row>
    <row r="111" spans="2:19" x14ac:dyDescent="0.25">
      <c r="B111" s="10">
        <v>166</v>
      </c>
      <c r="C111" s="10">
        <v>7</v>
      </c>
      <c r="D111" s="198" t="s">
        <v>404</v>
      </c>
      <c r="E111" s="162">
        <f>INDEX('2017 Lockdown Update'!H$5:H$249,MATCH(B111,'2017 Lockdown Update'!B$5:B$249,0))</f>
        <v>890.20999999999981</v>
      </c>
      <c r="F111" s="7">
        <f>INDEX('2017 Lockdown Update'!E$5:E$249,MATCH(B111,'2017 Lockdown Update'!B$5:B$249,0))</f>
        <v>426068.96</v>
      </c>
      <c r="G111" s="7">
        <f>INDEX('2017 Lockdown Update'!F$5:F$249,MATCH(B111,'2017 Lockdown Update'!B$5:B$249,0))</f>
        <v>137468.31999999998</v>
      </c>
      <c r="H111" s="7">
        <f t="shared" si="14"/>
        <v>288600.64</v>
      </c>
      <c r="I111" s="6">
        <f t="shared" si="15"/>
        <v>324.19388683569053</v>
      </c>
      <c r="J111" s="6">
        <f t="shared" si="23"/>
        <v>324.19388683569053</v>
      </c>
      <c r="K111" s="5">
        <f t="shared" si="16"/>
        <v>288600.64</v>
      </c>
      <c r="L111" s="4">
        <f t="shared" si="17"/>
        <v>0</v>
      </c>
      <c r="M111" s="2">
        <f t="shared" si="18"/>
        <v>433.76681471562551</v>
      </c>
      <c r="N111" s="1">
        <f t="shared" si="19"/>
        <v>61</v>
      </c>
      <c r="O111" s="3">
        <f t="shared" si="20"/>
        <v>12006.226524181433</v>
      </c>
      <c r="P111" s="2">
        <f t="shared" si="21"/>
        <v>132.87956330444399</v>
      </c>
      <c r="Q111" s="2">
        <f t="shared" si="25"/>
        <v>263.47480233393242</v>
      </c>
      <c r="R111" s="2">
        <f t="shared" si="25"/>
        <v>604.05882709731861</v>
      </c>
      <c r="S111" s="2">
        <f t="shared" si="22"/>
        <v>324.19388683569053</v>
      </c>
    </row>
    <row r="112" spans="2:19" x14ac:dyDescent="0.25">
      <c r="B112" s="10">
        <v>192</v>
      </c>
      <c r="C112" s="10">
        <v>7</v>
      </c>
      <c r="D112" s="198" t="s">
        <v>405</v>
      </c>
      <c r="E112" s="162">
        <f>INDEX('2017 Lockdown Update'!H$5:H$249,MATCH(B112,'2017 Lockdown Update'!B$5:B$249,0))</f>
        <v>179.21000000000006</v>
      </c>
      <c r="F112" s="7">
        <f>INDEX('2017 Lockdown Update'!E$5:E$249,MATCH(B112,'2017 Lockdown Update'!B$5:B$249,0))</f>
        <v>96817.45</v>
      </c>
      <c r="G112" s="7">
        <f>INDEX('2017 Lockdown Update'!F$5:F$249,MATCH(B112,'2017 Lockdown Update'!B$5:B$249,0))</f>
        <v>28148.03</v>
      </c>
      <c r="H112" s="7">
        <f t="shared" si="14"/>
        <v>68669.42</v>
      </c>
      <c r="I112" s="6">
        <f t="shared" si="15"/>
        <v>383.17850566374631</v>
      </c>
      <c r="J112" s="6">
        <f t="shared" si="23"/>
        <v>383.17850566374631</v>
      </c>
      <c r="K112" s="5">
        <f t="shared" si="16"/>
        <v>68669.42</v>
      </c>
      <c r="L112" s="4">
        <f t="shared" si="17"/>
        <v>0</v>
      </c>
      <c r="M112" s="2">
        <f t="shared" si="18"/>
        <v>433.76681471562551</v>
      </c>
      <c r="N112" s="1">
        <f t="shared" si="19"/>
        <v>61</v>
      </c>
      <c r="O112" s="3">
        <f t="shared" si="20"/>
        <v>2559.177012728444</v>
      </c>
      <c r="P112" s="2">
        <f t="shared" si="21"/>
        <v>132.87956330444399</v>
      </c>
      <c r="Q112" s="2">
        <f t="shared" si="25"/>
        <v>263.47480233393242</v>
      </c>
      <c r="R112" s="2">
        <f t="shared" si="25"/>
        <v>604.05882709731861</v>
      </c>
      <c r="S112" s="2">
        <f t="shared" si="22"/>
        <v>383.17850566374631</v>
      </c>
    </row>
    <row r="113" spans="2:19" x14ac:dyDescent="0.25">
      <c r="B113" s="10">
        <v>205</v>
      </c>
      <c r="C113" s="10">
        <v>7</v>
      </c>
      <c r="D113" s="198" t="s">
        <v>406</v>
      </c>
      <c r="E113" s="162">
        <f>INDEX('2017 Lockdown Update'!H$5:H$249,MATCH(B113,'2017 Lockdown Update'!B$5:B$249,0))</f>
        <v>697.88310122153791</v>
      </c>
      <c r="F113" s="7">
        <f>INDEX('2017 Lockdown Update'!E$5:E$249,MATCH(B113,'2017 Lockdown Update'!B$5:B$249,0))</f>
        <v>396318.41</v>
      </c>
      <c r="G113" s="7">
        <f>INDEX('2017 Lockdown Update'!F$5:F$249,MATCH(B113,'2017 Lockdown Update'!B$5:B$249,0))</f>
        <v>15454.5</v>
      </c>
      <c r="H113" s="7">
        <f t="shared" si="14"/>
        <v>380863.91</v>
      </c>
      <c r="I113" s="6">
        <f t="shared" si="15"/>
        <v>545.74169991128281</v>
      </c>
      <c r="J113" s="6">
        <f t="shared" si="23"/>
        <v>545.74169991128281</v>
      </c>
      <c r="K113" s="5">
        <f t="shared" si="16"/>
        <v>380863.91</v>
      </c>
      <c r="L113" s="4">
        <f t="shared" si="17"/>
        <v>0</v>
      </c>
      <c r="M113" s="2">
        <f t="shared" si="18"/>
        <v>433.76681471562551</v>
      </c>
      <c r="N113" s="1">
        <f t="shared" si="19"/>
        <v>61</v>
      </c>
      <c r="O113" s="3">
        <f t="shared" si="20"/>
        <v>12538.374914580631</v>
      </c>
      <c r="P113" s="2">
        <f t="shared" si="21"/>
        <v>132.87956330444399</v>
      </c>
      <c r="Q113" s="2">
        <f t="shared" si="25"/>
        <v>263.47480233393242</v>
      </c>
      <c r="R113" s="2">
        <f t="shared" si="25"/>
        <v>604.05882709731861</v>
      </c>
      <c r="S113" s="2">
        <f t="shared" si="22"/>
        <v>545.74169991128281</v>
      </c>
    </row>
    <row r="114" spans="2:19" x14ac:dyDescent="0.25">
      <c r="B114" s="10">
        <v>212</v>
      </c>
      <c r="C114" s="10">
        <v>7</v>
      </c>
      <c r="D114" s="198" t="s">
        <v>407</v>
      </c>
      <c r="E114" s="162">
        <f>INDEX('2017 Lockdown Update'!H$5:H$249,MATCH(B114,'2017 Lockdown Update'!B$5:B$249,0))</f>
        <v>463.08399263108981</v>
      </c>
      <c r="F114" s="7">
        <f>INDEX('2017 Lockdown Update'!E$5:E$249,MATCH(B114,'2017 Lockdown Update'!B$5:B$249,0))</f>
        <v>240439.65</v>
      </c>
      <c r="G114" s="7">
        <f>INDEX('2017 Lockdown Update'!F$5:F$249,MATCH(B114,'2017 Lockdown Update'!B$5:B$249,0))</f>
        <v>909</v>
      </c>
      <c r="H114" s="7">
        <f t="shared" si="14"/>
        <v>239530.65</v>
      </c>
      <c r="I114" s="6">
        <f t="shared" si="15"/>
        <v>517.25098213623448</v>
      </c>
      <c r="J114" s="6">
        <f t="shared" si="23"/>
        <v>517.25098213623448</v>
      </c>
      <c r="K114" s="5">
        <f t="shared" si="16"/>
        <v>239530.64999999997</v>
      </c>
      <c r="L114" s="4">
        <f t="shared" si="17"/>
        <v>0</v>
      </c>
      <c r="M114" s="2">
        <f t="shared" si="18"/>
        <v>433.76681471562551</v>
      </c>
      <c r="N114" s="1">
        <f t="shared" si="19"/>
        <v>61</v>
      </c>
      <c r="O114" s="3">
        <f t="shared" si="20"/>
        <v>6969.6062099122682</v>
      </c>
      <c r="P114" s="2">
        <f t="shared" si="21"/>
        <v>132.87956330444399</v>
      </c>
      <c r="Q114" s="2">
        <f t="shared" si="25"/>
        <v>263.47480233393242</v>
      </c>
      <c r="R114" s="2">
        <f t="shared" si="25"/>
        <v>604.05882709731861</v>
      </c>
      <c r="S114" s="2">
        <f t="shared" si="22"/>
        <v>517.25098213623448</v>
      </c>
    </row>
    <row r="115" spans="2:19" x14ac:dyDescent="0.25">
      <c r="B115" s="10">
        <v>216</v>
      </c>
      <c r="C115" s="10">
        <v>7</v>
      </c>
      <c r="D115" s="198" t="s">
        <v>408</v>
      </c>
      <c r="E115" s="162">
        <f>INDEX('2017 Lockdown Update'!H$5:H$249,MATCH(B115,'2017 Lockdown Update'!B$5:B$249,0))</f>
        <v>764.29003707426727</v>
      </c>
      <c r="F115" s="7">
        <f>INDEX('2017 Lockdown Update'!E$5:E$249,MATCH(B115,'2017 Lockdown Update'!B$5:B$249,0))</f>
        <v>336769.59</v>
      </c>
      <c r="G115" s="7">
        <f>INDEX('2017 Lockdown Update'!F$5:F$249,MATCH(B115,'2017 Lockdown Update'!B$5:B$249,0))</f>
        <v>500</v>
      </c>
      <c r="H115" s="7">
        <f t="shared" si="14"/>
        <v>336269.59</v>
      </c>
      <c r="I115" s="6">
        <f t="shared" si="15"/>
        <v>439.97641430372875</v>
      </c>
      <c r="J115" s="6">
        <f t="shared" si="23"/>
        <v>439.97641430372875</v>
      </c>
      <c r="K115" s="5">
        <f t="shared" si="16"/>
        <v>336269.59</v>
      </c>
      <c r="L115" s="4">
        <f t="shared" si="17"/>
        <v>0</v>
      </c>
      <c r="M115" s="2">
        <f t="shared" si="18"/>
        <v>433.76681471562551</v>
      </c>
      <c r="N115" s="1">
        <f t="shared" si="19"/>
        <v>61</v>
      </c>
      <c r="O115" s="3">
        <f t="shared" si="20"/>
        <v>38.559127044571817</v>
      </c>
      <c r="P115" s="2">
        <f t="shared" si="21"/>
        <v>132.87956330444399</v>
      </c>
      <c r="Q115" s="2">
        <f t="shared" si="25"/>
        <v>263.47480233393242</v>
      </c>
      <c r="R115" s="2">
        <f t="shared" si="25"/>
        <v>604.05882709731861</v>
      </c>
      <c r="S115" s="2">
        <f t="shared" si="22"/>
        <v>439.97641430372875</v>
      </c>
    </row>
    <row r="116" spans="2:19" x14ac:dyDescent="0.25">
      <c r="B116" s="10">
        <v>229</v>
      </c>
      <c r="C116" s="10">
        <v>7</v>
      </c>
      <c r="D116" s="198" t="s">
        <v>409</v>
      </c>
      <c r="E116" s="162">
        <f>INDEX('2017 Lockdown Update'!H$5:H$249,MATCH(B116,'2017 Lockdown Update'!B$5:B$249,0))</f>
        <v>820.78999999999985</v>
      </c>
      <c r="F116" s="7">
        <f>INDEX('2017 Lockdown Update'!E$5:E$249,MATCH(B116,'2017 Lockdown Update'!B$5:B$249,0))</f>
        <v>433626.26</v>
      </c>
      <c r="G116" s="7">
        <f>INDEX('2017 Lockdown Update'!F$5:F$249,MATCH(B116,'2017 Lockdown Update'!B$5:B$249,0))</f>
        <v>126732.33000000002</v>
      </c>
      <c r="H116" s="7">
        <f t="shared" si="14"/>
        <v>306893.93</v>
      </c>
      <c r="I116" s="6">
        <f t="shared" si="15"/>
        <v>373.90066886779817</v>
      </c>
      <c r="J116" s="6">
        <f t="shared" si="23"/>
        <v>373.90066886779817</v>
      </c>
      <c r="K116" s="5">
        <f t="shared" si="16"/>
        <v>306893.93</v>
      </c>
      <c r="L116" s="4">
        <f t="shared" si="17"/>
        <v>0</v>
      </c>
      <c r="M116" s="2">
        <f t="shared" si="18"/>
        <v>433.76681471562551</v>
      </c>
      <c r="N116" s="1">
        <f t="shared" si="19"/>
        <v>61</v>
      </c>
      <c r="O116" s="3">
        <f t="shared" si="20"/>
        <v>3583.9554186733349</v>
      </c>
      <c r="P116" s="2">
        <f t="shared" si="21"/>
        <v>132.87956330444399</v>
      </c>
      <c r="Q116" s="2">
        <f t="shared" si="25"/>
        <v>263.47480233393242</v>
      </c>
      <c r="R116" s="2">
        <f t="shared" si="25"/>
        <v>604.05882709731861</v>
      </c>
      <c r="S116" s="2">
        <f t="shared" si="22"/>
        <v>373.90066886779817</v>
      </c>
    </row>
    <row r="117" spans="2:19" x14ac:dyDescent="0.25">
      <c r="B117" s="10">
        <v>236</v>
      </c>
      <c r="C117" s="10">
        <v>7</v>
      </c>
      <c r="D117" s="198" t="s">
        <v>410</v>
      </c>
      <c r="E117" s="162">
        <f>INDEX('2017 Lockdown Update'!H$5:H$249,MATCH(B117,'2017 Lockdown Update'!B$5:B$249,0))</f>
        <v>1079.3800000000001</v>
      </c>
      <c r="F117" s="7">
        <f>INDEX('2017 Lockdown Update'!E$5:E$249,MATCH(B117,'2017 Lockdown Update'!B$5:B$249,0))</f>
        <v>596827.42000000004</v>
      </c>
      <c r="G117" s="7">
        <f>INDEX('2017 Lockdown Update'!F$5:F$249,MATCH(B117,'2017 Lockdown Update'!B$5:B$249,0))</f>
        <v>137001.84999999998</v>
      </c>
      <c r="H117" s="7">
        <f t="shared" si="14"/>
        <v>459825.57000000007</v>
      </c>
      <c r="I117" s="6">
        <f t="shared" si="15"/>
        <v>426.008977375901</v>
      </c>
      <c r="J117" s="6">
        <f t="shared" si="23"/>
        <v>426.008977375901</v>
      </c>
      <c r="K117" s="5">
        <f t="shared" si="16"/>
        <v>459825.57000000007</v>
      </c>
      <c r="L117" s="4">
        <f t="shared" si="17"/>
        <v>0</v>
      </c>
      <c r="M117" s="2">
        <f t="shared" si="18"/>
        <v>433.76681471562551</v>
      </c>
      <c r="N117" s="1">
        <f t="shared" si="19"/>
        <v>61</v>
      </c>
      <c r="O117" s="3">
        <f t="shared" si="20"/>
        <v>60.184040189623978</v>
      </c>
      <c r="P117" s="2">
        <f t="shared" si="21"/>
        <v>132.87956330444399</v>
      </c>
      <c r="Q117" s="2">
        <f t="shared" si="25"/>
        <v>263.47480233393242</v>
      </c>
      <c r="R117" s="2">
        <f t="shared" si="25"/>
        <v>604.05882709731861</v>
      </c>
      <c r="S117" s="2">
        <f t="shared" si="22"/>
        <v>426.008977375901</v>
      </c>
    </row>
    <row r="118" spans="2:19" x14ac:dyDescent="0.25">
      <c r="B118" s="10">
        <v>239</v>
      </c>
      <c r="C118" s="10">
        <v>7</v>
      </c>
      <c r="D118" s="198" t="s">
        <v>411</v>
      </c>
      <c r="E118" s="162">
        <f>INDEX('2017 Lockdown Update'!H$5:H$249,MATCH(B118,'2017 Lockdown Update'!B$5:B$249,0))</f>
        <v>3332.4437947019587</v>
      </c>
      <c r="F118" s="7">
        <f>INDEX('2017 Lockdown Update'!E$5:E$249,MATCH(B118,'2017 Lockdown Update'!B$5:B$249,0))</f>
        <v>1716224.8</v>
      </c>
      <c r="G118" s="7">
        <f>INDEX('2017 Lockdown Update'!F$5:F$249,MATCH(B118,'2017 Lockdown Update'!B$5:B$249,0))</f>
        <v>526079.6</v>
      </c>
      <c r="H118" s="7">
        <f t="shared" si="14"/>
        <v>1190145.2000000002</v>
      </c>
      <c r="I118" s="6">
        <f t="shared" si="15"/>
        <v>357.13886664559402</v>
      </c>
      <c r="J118" s="6">
        <f t="shared" si="23"/>
        <v>357.13886664559402</v>
      </c>
      <c r="K118" s="5">
        <f t="shared" si="16"/>
        <v>1190145.2000000002</v>
      </c>
      <c r="L118" s="4">
        <f t="shared" si="17"/>
        <v>0</v>
      </c>
      <c r="M118" s="2">
        <f t="shared" si="18"/>
        <v>433.76681471562551</v>
      </c>
      <c r="N118" s="1">
        <f t="shared" si="19"/>
        <v>61</v>
      </c>
      <c r="O118" s="3">
        <f t="shared" si="20"/>
        <v>5871.8424254234433</v>
      </c>
      <c r="P118" s="2">
        <f t="shared" si="21"/>
        <v>132.87956330444399</v>
      </c>
      <c r="Q118" s="2">
        <f t="shared" si="25"/>
        <v>263.47480233393242</v>
      </c>
      <c r="R118" s="2">
        <f t="shared" si="25"/>
        <v>604.05882709731861</v>
      </c>
      <c r="S118" s="2">
        <f t="shared" si="22"/>
        <v>357.13886664559402</v>
      </c>
    </row>
    <row r="119" spans="2:19" x14ac:dyDescent="0.25">
      <c r="B119" s="10">
        <v>249</v>
      </c>
      <c r="C119" s="10">
        <v>7</v>
      </c>
      <c r="D119" s="198" t="s">
        <v>412</v>
      </c>
      <c r="E119" s="162">
        <f>INDEX('2017 Lockdown Update'!H$5:H$249,MATCH(B119,'2017 Lockdown Update'!B$5:B$249,0))</f>
        <v>1232.5183570890767</v>
      </c>
      <c r="F119" s="7">
        <f>INDEX('2017 Lockdown Update'!E$5:E$249,MATCH(B119,'2017 Lockdown Update'!B$5:B$249,0))</f>
        <v>536656.37</v>
      </c>
      <c r="G119" s="7">
        <f>INDEX('2017 Lockdown Update'!F$5:F$249,MATCH(B119,'2017 Lockdown Update'!B$5:B$249,0))</f>
        <v>0</v>
      </c>
      <c r="H119" s="7">
        <f t="shared" si="14"/>
        <v>536656.37</v>
      </c>
      <c r="I119" s="6">
        <f t="shared" si="15"/>
        <v>435.41450471168497</v>
      </c>
      <c r="J119" s="6">
        <f t="shared" si="23"/>
        <v>435.41450471168497</v>
      </c>
      <c r="K119" s="5">
        <f t="shared" si="16"/>
        <v>536656.37</v>
      </c>
      <c r="L119" s="4">
        <f t="shared" si="17"/>
        <v>0</v>
      </c>
      <c r="M119" s="2">
        <f t="shared" si="18"/>
        <v>433.76681471562551</v>
      </c>
      <c r="N119" s="1">
        <f t="shared" si="19"/>
        <v>61</v>
      </c>
      <c r="O119" s="3">
        <f t="shared" si="20"/>
        <v>2.714882323114407</v>
      </c>
      <c r="P119" s="2">
        <f t="shared" si="21"/>
        <v>132.87956330444399</v>
      </c>
      <c r="Q119" s="2">
        <f t="shared" si="25"/>
        <v>263.47480233393242</v>
      </c>
      <c r="R119" s="2">
        <f t="shared" si="25"/>
        <v>604.05882709731861</v>
      </c>
      <c r="S119" s="2">
        <f t="shared" si="22"/>
        <v>435.41450471168497</v>
      </c>
    </row>
    <row r="120" spans="2:19" x14ac:dyDescent="0.25">
      <c r="B120" s="10">
        <v>271</v>
      </c>
      <c r="C120" s="10">
        <v>7</v>
      </c>
      <c r="D120" s="198" t="s">
        <v>413</v>
      </c>
      <c r="E120" s="162">
        <f>INDEX('2017 Lockdown Update'!H$5:H$249,MATCH(B120,'2017 Lockdown Update'!B$5:B$249,0))</f>
        <v>877.30000000000018</v>
      </c>
      <c r="F120" s="7">
        <f>INDEX('2017 Lockdown Update'!E$5:E$249,MATCH(B120,'2017 Lockdown Update'!B$5:B$249,0))</f>
        <v>610218.35</v>
      </c>
      <c r="G120" s="7">
        <f>INDEX('2017 Lockdown Update'!F$5:F$249,MATCH(B120,'2017 Lockdown Update'!B$5:B$249,0))</f>
        <v>147638.22</v>
      </c>
      <c r="H120" s="7">
        <f t="shared" si="14"/>
        <v>462580.13</v>
      </c>
      <c r="I120" s="6">
        <f t="shared" si="15"/>
        <v>527.27702040351062</v>
      </c>
      <c r="J120" s="6">
        <f t="shared" si="23"/>
        <v>527.27702040351062</v>
      </c>
      <c r="K120" s="5">
        <f t="shared" si="16"/>
        <v>462580.12999999995</v>
      </c>
      <c r="L120" s="4">
        <f t="shared" si="17"/>
        <v>0</v>
      </c>
      <c r="M120" s="2">
        <f t="shared" si="18"/>
        <v>433.76681471562551</v>
      </c>
      <c r="N120" s="1">
        <f t="shared" si="19"/>
        <v>61</v>
      </c>
      <c r="O120" s="3">
        <f t="shared" si="20"/>
        <v>8744.1585677905805</v>
      </c>
      <c r="P120" s="2">
        <f t="shared" si="21"/>
        <v>132.87956330444399</v>
      </c>
      <c r="Q120" s="2">
        <f t="shared" si="25"/>
        <v>263.47480233393242</v>
      </c>
      <c r="R120" s="2">
        <f t="shared" si="25"/>
        <v>604.05882709731861</v>
      </c>
      <c r="S120" s="2">
        <f t="shared" si="22"/>
        <v>527.27702040351062</v>
      </c>
    </row>
    <row r="121" spans="2:19" x14ac:dyDescent="0.25">
      <c r="B121" s="10">
        <v>275</v>
      </c>
      <c r="C121" s="10">
        <v>7</v>
      </c>
      <c r="D121" s="198" t="s">
        <v>414</v>
      </c>
      <c r="E121" s="162">
        <f>INDEX('2017 Lockdown Update'!H$5:H$249,MATCH(B121,'2017 Lockdown Update'!B$5:B$249,0))</f>
        <v>688.04999999999984</v>
      </c>
      <c r="F121" s="7">
        <f>INDEX('2017 Lockdown Update'!E$5:E$249,MATCH(B121,'2017 Lockdown Update'!B$5:B$249,0))</f>
        <v>307156.09999999998</v>
      </c>
      <c r="G121" s="7">
        <f>INDEX('2017 Lockdown Update'!F$5:F$249,MATCH(B121,'2017 Lockdown Update'!B$5:B$249,0))</f>
        <v>62551.649999999994</v>
      </c>
      <c r="H121" s="7">
        <f t="shared" si="14"/>
        <v>244604.44999999998</v>
      </c>
      <c r="I121" s="6">
        <f t="shared" si="15"/>
        <v>355.50388779885191</v>
      </c>
      <c r="J121" s="6">
        <f t="shared" si="23"/>
        <v>355.50388779885191</v>
      </c>
      <c r="K121" s="5">
        <f t="shared" si="16"/>
        <v>244604.45</v>
      </c>
      <c r="L121" s="4">
        <f t="shared" si="17"/>
        <v>0</v>
      </c>
      <c r="M121" s="2">
        <f t="shared" si="18"/>
        <v>433.76681471562551</v>
      </c>
      <c r="N121" s="1">
        <f t="shared" si="19"/>
        <v>61</v>
      </c>
      <c r="O121" s="3">
        <f t="shared" si="20"/>
        <v>6125.0857295802471</v>
      </c>
      <c r="P121" s="2">
        <f t="shared" si="21"/>
        <v>132.87956330444399</v>
      </c>
      <c r="Q121" s="2">
        <f t="shared" si="25"/>
        <v>263.47480233393242</v>
      </c>
      <c r="R121" s="2">
        <f t="shared" si="25"/>
        <v>604.05882709731861</v>
      </c>
      <c r="S121" s="2">
        <f t="shared" si="22"/>
        <v>355.50388779885191</v>
      </c>
    </row>
    <row r="122" spans="2:19" x14ac:dyDescent="0.25">
      <c r="B122" s="10">
        <v>282</v>
      </c>
      <c r="C122" s="10">
        <v>7</v>
      </c>
      <c r="D122" s="198" t="s">
        <v>415</v>
      </c>
      <c r="E122" s="162">
        <f>INDEX('2017 Lockdown Update'!H$5:H$249,MATCH(B122,'2017 Lockdown Update'!B$5:B$249,0))</f>
        <v>157.14795911338896</v>
      </c>
      <c r="F122" s="7">
        <f>INDEX('2017 Lockdown Update'!E$5:E$249,MATCH(B122,'2017 Lockdown Update'!B$5:B$249,0))</f>
        <v>53696.52</v>
      </c>
      <c r="G122" s="7">
        <f>INDEX('2017 Lockdown Update'!F$5:F$249,MATCH(B122,'2017 Lockdown Update'!B$5:B$249,0))</f>
        <v>0</v>
      </c>
      <c r="H122" s="7">
        <f t="shared" si="14"/>
        <v>53696.52</v>
      </c>
      <c r="I122" s="6">
        <f t="shared" si="15"/>
        <v>341.69403346342961</v>
      </c>
      <c r="J122" s="6">
        <f t="shared" si="23"/>
        <v>341.69403346342961</v>
      </c>
      <c r="K122" s="5">
        <f t="shared" si="16"/>
        <v>53696.52</v>
      </c>
      <c r="L122" s="4">
        <f t="shared" si="17"/>
        <v>0</v>
      </c>
      <c r="M122" s="2">
        <f t="shared" si="18"/>
        <v>433.76681471562551</v>
      </c>
      <c r="N122" s="1">
        <f t="shared" si="19"/>
        <v>61</v>
      </c>
      <c r="O122" s="3">
        <f t="shared" si="20"/>
        <v>8477.397047514718</v>
      </c>
      <c r="P122" s="2">
        <f t="shared" si="21"/>
        <v>132.87956330444399</v>
      </c>
      <c r="Q122" s="2">
        <f t="shared" si="25"/>
        <v>263.47480233393242</v>
      </c>
      <c r="R122" s="2">
        <f t="shared" si="25"/>
        <v>604.05882709731861</v>
      </c>
      <c r="S122" s="2">
        <f t="shared" si="22"/>
        <v>341.69403346342961</v>
      </c>
    </row>
    <row r="123" spans="2:19" x14ac:dyDescent="0.25">
      <c r="B123" s="10">
        <v>287</v>
      </c>
      <c r="C123" s="10">
        <v>7</v>
      </c>
      <c r="D123" s="198" t="s">
        <v>416</v>
      </c>
      <c r="E123" s="162">
        <f>INDEX('2017 Lockdown Update'!H$5:H$249,MATCH(B123,'2017 Lockdown Update'!B$5:B$249,0))</f>
        <v>197.77748625633771</v>
      </c>
      <c r="F123" s="7">
        <f>INDEX('2017 Lockdown Update'!E$5:E$249,MATCH(B123,'2017 Lockdown Update'!B$5:B$249,0))</f>
        <v>120033.56</v>
      </c>
      <c r="G123" s="7">
        <f>INDEX('2017 Lockdown Update'!F$5:F$249,MATCH(B123,'2017 Lockdown Update'!B$5:B$249,0))</f>
        <v>0</v>
      </c>
      <c r="H123" s="7">
        <f t="shared" si="14"/>
        <v>120033.56</v>
      </c>
      <c r="I123" s="6">
        <f t="shared" si="15"/>
        <v>606.91215300626038</v>
      </c>
      <c r="J123" s="6">
        <f t="shared" si="23"/>
        <v>604.05882709731861</v>
      </c>
      <c r="K123" s="5">
        <f t="shared" si="16"/>
        <v>119469.2363742594</v>
      </c>
      <c r="L123" s="4">
        <f t="shared" si="17"/>
        <v>0</v>
      </c>
      <c r="M123" s="2">
        <f t="shared" si="18"/>
        <v>433.76681471562551</v>
      </c>
      <c r="N123" s="1">
        <f t="shared" si="19"/>
        <v>61</v>
      </c>
      <c r="O123" s="3">
        <f t="shared" si="20"/>
        <v>29979.30817177839</v>
      </c>
      <c r="P123" s="2">
        <f t="shared" si="21"/>
        <v>132.87956330444399</v>
      </c>
      <c r="Q123" s="2">
        <f t="shared" si="25"/>
        <v>263.47480233393242</v>
      </c>
      <c r="R123" s="2">
        <f t="shared" si="25"/>
        <v>604.05882709731861</v>
      </c>
      <c r="S123" s="2">
        <f t="shared" si="22"/>
        <v>604.05882709731861</v>
      </c>
    </row>
    <row r="124" spans="2:19" x14ac:dyDescent="0.25">
      <c r="B124" s="10">
        <v>290</v>
      </c>
      <c r="C124" s="10">
        <v>7</v>
      </c>
      <c r="D124" s="198" t="s">
        <v>417</v>
      </c>
      <c r="E124" s="162">
        <f>INDEX('2017 Lockdown Update'!H$5:H$249,MATCH(B124,'2017 Lockdown Update'!B$5:B$249,0))</f>
        <v>355.11230382289364</v>
      </c>
      <c r="F124" s="7">
        <f>INDEX('2017 Lockdown Update'!E$5:E$249,MATCH(B124,'2017 Lockdown Update'!B$5:B$249,0))</f>
        <v>175443.77</v>
      </c>
      <c r="G124" s="7">
        <f>INDEX('2017 Lockdown Update'!F$5:F$249,MATCH(B124,'2017 Lockdown Update'!B$5:B$249,0))</f>
        <v>210</v>
      </c>
      <c r="H124" s="7">
        <f t="shared" si="14"/>
        <v>175233.77</v>
      </c>
      <c r="I124" s="6">
        <f t="shared" si="15"/>
        <v>493.46014799699793</v>
      </c>
      <c r="J124" s="6">
        <f t="shared" si="23"/>
        <v>493.46014799699793</v>
      </c>
      <c r="K124" s="5">
        <f t="shared" si="16"/>
        <v>175233.77</v>
      </c>
      <c r="L124" s="4">
        <f t="shared" si="17"/>
        <v>0</v>
      </c>
      <c r="M124" s="2">
        <f t="shared" si="18"/>
        <v>433.76681471562551</v>
      </c>
      <c r="N124" s="1">
        <f t="shared" si="19"/>
        <v>61</v>
      </c>
      <c r="O124" s="3">
        <f t="shared" si="20"/>
        <v>3563.2940382410038</v>
      </c>
      <c r="P124" s="2">
        <f t="shared" si="21"/>
        <v>132.87956330444399</v>
      </c>
      <c r="Q124" s="2">
        <f t="shared" si="25"/>
        <v>263.47480233393242</v>
      </c>
      <c r="R124" s="2">
        <f t="shared" si="25"/>
        <v>604.05882709731861</v>
      </c>
      <c r="S124" s="2">
        <f t="shared" si="22"/>
        <v>493.46014799699793</v>
      </c>
    </row>
    <row r="125" spans="2:19" x14ac:dyDescent="0.25">
      <c r="B125" s="10">
        <v>294</v>
      </c>
      <c r="C125" s="10">
        <v>7</v>
      </c>
      <c r="D125" s="198" t="s">
        <v>418</v>
      </c>
      <c r="E125" s="162">
        <f>INDEX('2017 Lockdown Update'!H$5:H$249,MATCH(B125,'2017 Lockdown Update'!B$5:B$249,0))</f>
        <v>1263.4393689479177</v>
      </c>
      <c r="F125" s="7">
        <f>INDEX('2017 Lockdown Update'!E$5:E$249,MATCH(B125,'2017 Lockdown Update'!B$5:B$249,0))</f>
        <v>609291.72</v>
      </c>
      <c r="G125" s="7">
        <f>INDEX('2017 Lockdown Update'!F$5:F$249,MATCH(B125,'2017 Lockdown Update'!B$5:B$249,0))</f>
        <v>700</v>
      </c>
      <c r="H125" s="7">
        <f t="shared" si="14"/>
        <v>608591.72</v>
      </c>
      <c r="I125" s="6">
        <f t="shared" si="15"/>
        <v>481.69444055458092</v>
      </c>
      <c r="J125" s="6">
        <f t="shared" si="23"/>
        <v>481.69444055458092</v>
      </c>
      <c r="K125" s="5">
        <f t="shared" si="16"/>
        <v>608591.72</v>
      </c>
      <c r="L125" s="4">
        <f t="shared" si="17"/>
        <v>0</v>
      </c>
      <c r="M125" s="2">
        <f t="shared" si="18"/>
        <v>433.76681471562551</v>
      </c>
      <c r="N125" s="1">
        <f t="shared" si="19"/>
        <v>61</v>
      </c>
      <c r="O125" s="3">
        <f t="shared" si="20"/>
        <v>2297.057318558906</v>
      </c>
      <c r="P125" s="2">
        <f t="shared" si="21"/>
        <v>132.87956330444399</v>
      </c>
      <c r="Q125" s="2">
        <f t="shared" si="25"/>
        <v>263.47480233393242</v>
      </c>
      <c r="R125" s="2">
        <f t="shared" si="25"/>
        <v>604.05882709731861</v>
      </c>
      <c r="S125" s="2">
        <f t="shared" si="22"/>
        <v>481.69444055458092</v>
      </c>
    </row>
    <row r="126" spans="2:19" x14ac:dyDescent="0.25">
      <c r="B126" s="10">
        <v>296</v>
      </c>
      <c r="C126" s="10">
        <v>7</v>
      </c>
      <c r="D126" s="198" t="s">
        <v>419</v>
      </c>
      <c r="E126" s="162">
        <f>INDEX('2017 Lockdown Update'!H$5:H$249,MATCH(B126,'2017 Lockdown Update'!B$5:B$249,0))</f>
        <v>884.62</v>
      </c>
      <c r="F126" s="7">
        <f>INDEX('2017 Lockdown Update'!E$5:E$249,MATCH(B126,'2017 Lockdown Update'!B$5:B$249,0))</f>
        <v>788176.46</v>
      </c>
      <c r="G126" s="7">
        <f>INDEX('2017 Lockdown Update'!F$5:F$249,MATCH(B126,'2017 Lockdown Update'!B$5:B$249,0))</f>
        <v>204908.74000000002</v>
      </c>
      <c r="H126" s="7">
        <f t="shared" si="14"/>
        <v>583267.72</v>
      </c>
      <c r="I126" s="6">
        <f t="shared" si="15"/>
        <v>659.3426782121137</v>
      </c>
      <c r="J126" s="6">
        <f t="shared" si="23"/>
        <v>604.05882709731861</v>
      </c>
      <c r="K126" s="5">
        <f t="shared" si="16"/>
        <v>534362.51962683001</v>
      </c>
      <c r="L126" s="4">
        <f t="shared" si="17"/>
        <v>0</v>
      </c>
      <c r="M126" s="2">
        <f t="shared" si="18"/>
        <v>433.76681471562551</v>
      </c>
      <c r="N126" s="1">
        <f t="shared" si="19"/>
        <v>61</v>
      </c>
      <c r="O126" s="3">
        <f t="shared" si="20"/>
        <v>50884.470192186272</v>
      </c>
      <c r="P126" s="2">
        <f t="shared" si="21"/>
        <v>132.87956330444399</v>
      </c>
      <c r="Q126" s="2">
        <f t="shared" ref="Q126:R145" si="26">NORMINV(Q$4,$M126,$P126)</f>
        <v>263.47480233393242</v>
      </c>
      <c r="R126" s="2">
        <f t="shared" si="26"/>
        <v>604.05882709731861</v>
      </c>
      <c r="S126" s="2">
        <f t="shared" si="22"/>
        <v>604.05882709731861</v>
      </c>
    </row>
    <row r="127" spans="2:19" x14ac:dyDescent="0.25">
      <c r="B127" s="10">
        <v>301</v>
      </c>
      <c r="C127" s="10">
        <v>7</v>
      </c>
      <c r="D127" s="198" t="s">
        <v>420</v>
      </c>
      <c r="E127" s="162">
        <f>INDEX('2017 Lockdown Update'!H$5:H$249,MATCH(B127,'2017 Lockdown Update'!B$5:B$249,0))</f>
        <v>640.13643914704323</v>
      </c>
      <c r="F127" s="7">
        <f>INDEX('2017 Lockdown Update'!E$5:E$249,MATCH(B127,'2017 Lockdown Update'!B$5:B$249,0))</f>
        <v>219085.76</v>
      </c>
      <c r="G127" s="7">
        <f>INDEX('2017 Lockdown Update'!F$5:F$249,MATCH(B127,'2017 Lockdown Update'!B$5:B$249,0))</f>
        <v>380.36</v>
      </c>
      <c r="H127" s="7">
        <f t="shared" si="14"/>
        <v>218705.40000000002</v>
      </c>
      <c r="I127" s="6">
        <f t="shared" si="15"/>
        <v>341.65435151827387</v>
      </c>
      <c r="J127" s="6">
        <f t="shared" si="23"/>
        <v>341.65435151827387</v>
      </c>
      <c r="K127" s="5">
        <f t="shared" si="16"/>
        <v>218705.40000000005</v>
      </c>
      <c r="L127" s="4">
        <f t="shared" si="17"/>
        <v>0</v>
      </c>
      <c r="M127" s="2">
        <f t="shared" si="18"/>
        <v>433.76681471562551</v>
      </c>
      <c r="N127" s="1">
        <f t="shared" si="19"/>
        <v>61</v>
      </c>
      <c r="O127" s="3">
        <f t="shared" si="20"/>
        <v>8484.7058762834604</v>
      </c>
      <c r="P127" s="2">
        <f t="shared" si="21"/>
        <v>132.87956330444399</v>
      </c>
      <c r="Q127" s="2">
        <f t="shared" si="26"/>
        <v>263.47480233393242</v>
      </c>
      <c r="R127" s="2">
        <f t="shared" si="26"/>
        <v>604.05882709731861</v>
      </c>
      <c r="S127" s="2">
        <f t="shared" si="22"/>
        <v>341.65435151827387</v>
      </c>
    </row>
    <row r="128" spans="2:19" x14ac:dyDescent="0.25">
      <c r="B128" s="10">
        <v>321</v>
      </c>
      <c r="C128" s="10">
        <v>7</v>
      </c>
      <c r="D128" s="198" t="s">
        <v>421</v>
      </c>
      <c r="E128" s="162">
        <f>INDEX('2017 Lockdown Update'!H$5:H$249,MATCH(B128,'2017 Lockdown Update'!B$5:B$249,0))</f>
        <v>443.10000000000008</v>
      </c>
      <c r="F128" s="7">
        <f>INDEX('2017 Lockdown Update'!E$5:E$249,MATCH(B128,'2017 Lockdown Update'!B$5:B$249,0))</f>
        <v>430321.48</v>
      </c>
      <c r="G128" s="7">
        <f>INDEX('2017 Lockdown Update'!F$5:F$249,MATCH(B128,'2017 Lockdown Update'!B$5:B$249,0))</f>
        <v>59452.28</v>
      </c>
      <c r="H128" s="7">
        <f t="shared" si="14"/>
        <v>370869.19999999995</v>
      </c>
      <c r="I128" s="6">
        <f t="shared" si="15"/>
        <v>836.98758745204213</v>
      </c>
      <c r="J128" s="6">
        <f t="shared" si="23"/>
        <v>604.05882709731861</v>
      </c>
      <c r="K128" s="5">
        <f t="shared" si="16"/>
        <v>267658.46628682193</v>
      </c>
      <c r="L128" s="4">
        <f t="shared" si="17"/>
        <v>0</v>
      </c>
      <c r="M128" s="2">
        <f t="shared" si="18"/>
        <v>433.76681471562551</v>
      </c>
      <c r="N128" s="1">
        <f t="shared" si="19"/>
        <v>61</v>
      </c>
      <c r="O128" s="3">
        <f t="shared" si="20"/>
        <v>162586.99156615295</v>
      </c>
      <c r="P128" s="2">
        <f t="shared" si="21"/>
        <v>132.87956330444399</v>
      </c>
      <c r="Q128" s="2">
        <f t="shared" si="26"/>
        <v>263.47480233393242</v>
      </c>
      <c r="R128" s="2">
        <f t="shared" si="26"/>
        <v>604.05882709731861</v>
      </c>
      <c r="S128" s="2">
        <f t="shared" si="22"/>
        <v>604.05882709731861</v>
      </c>
    </row>
    <row r="129" spans="2:19" x14ac:dyDescent="0.25">
      <c r="B129" s="10">
        <v>325</v>
      </c>
      <c r="C129" s="10">
        <v>7</v>
      </c>
      <c r="D129" s="198" t="s">
        <v>422</v>
      </c>
      <c r="E129" s="162">
        <f>INDEX('2017 Lockdown Update'!H$5:H$249,MATCH(B129,'2017 Lockdown Update'!B$5:B$249,0))</f>
        <v>400.69285092676949</v>
      </c>
      <c r="F129" s="7">
        <f>INDEX('2017 Lockdown Update'!E$5:E$249,MATCH(B129,'2017 Lockdown Update'!B$5:B$249,0))</f>
        <v>173160.4</v>
      </c>
      <c r="G129" s="7">
        <f>INDEX('2017 Lockdown Update'!F$5:F$249,MATCH(B129,'2017 Lockdown Update'!B$5:B$249,0))</f>
        <v>1356</v>
      </c>
      <c r="H129" s="7">
        <f t="shared" si="14"/>
        <v>171804.4</v>
      </c>
      <c r="I129" s="6">
        <f t="shared" si="15"/>
        <v>428.76831868257841</v>
      </c>
      <c r="J129" s="6">
        <f t="shared" si="23"/>
        <v>428.76831868257841</v>
      </c>
      <c r="K129" s="5">
        <f t="shared" si="16"/>
        <v>171804.4</v>
      </c>
      <c r="L129" s="4">
        <f t="shared" si="17"/>
        <v>0</v>
      </c>
      <c r="M129" s="2">
        <f t="shared" si="18"/>
        <v>433.76681471562551</v>
      </c>
      <c r="N129" s="1">
        <f t="shared" si="19"/>
        <v>61</v>
      </c>
      <c r="O129" s="3">
        <f t="shared" si="20"/>
        <v>24.984962592387635</v>
      </c>
      <c r="P129" s="2">
        <f t="shared" si="21"/>
        <v>132.87956330444399</v>
      </c>
      <c r="Q129" s="2">
        <f t="shared" si="26"/>
        <v>263.47480233393242</v>
      </c>
      <c r="R129" s="2">
        <f t="shared" si="26"/>
        <v>604.05882709731861</v>
      </c>
      <c r="S129" s="2">
        <f t="shared" si="22"/>
        <v>428.76831868257841</v>
      </c>
    </row>
    <row r="130" spans="2:19" x14ac:dyDescent="0.25">
      <c r="B130" s="10">
        <v>346</v>
      </c>
      <c r="C130" s="10">
        <v>7</v>
      </c>
      <c r="D130" s="198" t="s">
        <v>423</v>
      </c>
      <c r="E130" s="162">
        <f>INDEX('2017 Lockdown Update'!H$5:H$249,MATCH(B130,'2017 Lockdown Update'!B$5:B$249,0))</f>
        <v>177.69000000000003</v>
      </c>
      <c r="F130" s="7">
        <f>INDEX('2017 Lockdown Update'!E$5:E$249,MATCH(B130,'2017 Lockdown Update'!B$5:B$249,0))</f>
        <v>112381.75999999999</v>
      </c>
      <c r="G130" s="7">
        <f>INDEX('2017 Lockdown Update'!F$5:F$249,MATCH(B130,'2017 Lockdown Update'!B$5:B$249,0))</f>
        <v>26716.230000000003</v>
      </c>
      <c r="H130" s="7">
        <f t="shared" si="14"/>
        <v>85665.53</v>
      </c>
      <c r="I130" s="6">
        <f t="shared" si="15"/>
        <v>482.10664640666323</v>
      </c>
      <c r="J130" s="6">
        <f t="shared" si="23"/>
        <v>482.10664640666323</v>
      </c>
      <c r="K130" s="5">
        <f t="shared" si="16"/>
        <v>85665.53</v>
      </c>
      <c r="L130" s="4">
        <f t="shared" si="17"/>
        <v>0</v>
      </c>
      <c r="M130" s="2">
        <f t="shared" si="18"/>
        <v>433.76681471562551</v>
      </c>
      <c r="N130" s="1">
        <f t="shared" si="19"/>
        <v>61</v>
      </c>
      <c r="O130" s="3">
        <f t="shared" si="20"/>
        <v>2336.7393279178541</v>
      </c>
      <c r="P130" s="2">
        <f t="shared" si="21"/>
        <v>132.87956330444399</v>
      </c>
      <c r="Q130" s="2">
        <f t="shared" si="26"/>
        <v>263.47480233393242</v>
      </c>
      <c r="R130" s="2">
        <f t="shared" si="26"/>
        <v>604.05882709731861</v>
      </c>
      <c r="S130" s="2">
        <f t="shared" si="22"/>
        <v>482.10664640666323</v>
      </c>
    </row>
    <row r="131" spans="2:19" x14ac:dyDescent="0.25">
      <c r="B131" s="10">
        <v>358</v>
      </c>
      <c r="C131" s="10">
        <v>7</v>
      </c>
      <c r="D131" s="198" t="s">
        <v>424</v>
      </c>
      <c r="E131" s="162">
        <f>INDEX('2017 Lockdown Update'!H$5:H$249,MATCH(B131,'2017 Lockdown Update'!B$5:B$249,0))</f>
        <v>418.90000000000003</v>
      </c>
      <c r="F131" s="7">
        <f>INDEX('2017 Lockdown Update'!E$5:E$249,MATCH(B131,'2017 Lockdown Update'!B$5:B$249,0))</f>
        <v>233117</v>
      </c>
      <c r="G131" s="7">
        <f>INDEX('2017 Lockdown Update'!F$5:F$249,MATCH(B131,'2017 Lockdown Update'!B$5:B$249,0))</f>
        <v>65089.860000000008</v>
      </c>
      <c r="H131" s="7">
        <f t="shared" si="14"/>
        <v>168027.13999999998</v>
      </c>
      <c r="I131" s="6">
        <f t="shared" si="15"/>
        <v>401.11515874910475</v>
      </c>
      <c r="J131" s="6">
        <f t="shared" si="23"/>
        <v>401.11515874910475</v>
      </c>
      <c r="K131" s="5">
        <f t="shared" si="16"/>
        <v>168027.13999999998</v>
      </c>
      <c r="L131" s="4">
        <f t="shared" si="17"/>
        <v>0</v>
      </c>
      <c r="M131" s="2">
        <f t="shared" si="18"/>
        <v>433.76681471562551</v>
      </c>
      <c r="N131" s="1">
        <f t="shared" si="19"/>
        <v>61</v>
      </c>
      <c r="O131" s="3">
        <f t="shared" si="20"/>
        <v>1066.130637356031</v>
      </c>
      <c r="P131" s="2">
        <f t="shared" si="21"/>
        <v>132.87956330444399</v>
      </c>
      <c r="Q131" s="2">
        <f t="shared" si="26"/>
        <v>263.47480233393242</v>
      </c>
      <c r="R131" s="2">
        <f t="shared" si="26"/>
        <v>604.05882709731861</v>
      </c>
      <c r="S131" s="2">
        <f t="shared" si="22"/>
        <v>401.11515874910475</v>
      </c>
    </row>
    <row r="132" spans="2:19" x14ac:dyDescent="0.25">
      <c r="B132" s="10">
        <v>361</v>
      </c>
      <c r="C132" s="10">
        <v>7</v>
      </c>
      <c r="D132" s="198" t="s">
        <v>425</v>
      </c>
      <c r="E132" s="162">
        <f>INDEX('2017 Lockdown Update'!H$5:H$249,MATCH(B132,'2017 Lockdown Update'!B$5:B$249,0))</f>
        <v>1508.942788284392</v>
      </c>
      <c r="F132" s="7">
        <f>INDEX('2017 Lockdown Update'!E$5:E$249,MATCH(B132,'2017 Lockdown Update'!B$5:B$249,0))</f>
        <v>891571.84</v>
      </c>
      <c r="G132" s="7">
        <f>INDEX('2017 Lockdown Update'!F$5:F$249,MATCH(B132,'2017 Lockdown Update'!B$5:B$249,0))</f>
        <v>7476</v>
      </c>
      <c r="H132" s="7">
        <f t="shared" si="14"/>
        <v>884095.84</v>
      </c>
      <c r="I132" s="6">
        <f t="shared" si="15"/>
        <v>585.9041488280559</v>
      </c>
      <c r="J132" s="6">
        <f t="shared" si="23"/>
        <v>585.9041488280559</v>
      </c>
      <c r="K132" s="5">
        <f t="shared" si="16"/>
        <v>884095.84000000008</v>
      </c>
      <c r="L132" s="4">
        <f t="shared" si="17"/>
        <v>0</v>
      </c>
      <c r="M132" s="2">
        <f t="shared" si="18"/>
        <v>433.76681471562551</v>
      </c>
      <c r="N132" s="1">
        <f t="shared" si="19"/>
        <v>61</v>
      </c>
      <c r="O132" s="3">
        <f t="shared" si="20"/>
        <v>23145.768430837274</v>
      </c>
      <c r="P132" s="2">
        <f t="shared" si="21"/>
        <v>132.87956330444399</v>
      </c>
      <c r="Q132" s="2">
        <f t="shared" si="26"/>
        <v>263.47480233393242</v>
      </c>
      <c r="R132" s="2">
        <f t="shared" si="26"/>
        <v>604.05882709731861</v>
      </c>
      <c r="S132" s="2">
        <f t="shared" si="22"/>
        <v>585.9041488280559</v>
      </c>
    </row>
    <row r="133" spans="2:19" x14ac:dyDescent="0.25">
      <c r="B133" s="10">
        <v>376</v>
      </c>
      <c r="C133" s="10">
        <v>7</v>
      </c>
      <c r="D133" s="198" t="s">
        <v>426</v>
      </c>
      <c r="E133" s="162">
        <f>INDEX('2017 Lockdown Update'!H$5:H$249,MATCH(B133,'2017 Lockdown Update'!B$5:B$249,0))</f>
        <v>785.0248588765669</v>
      </c>
      <c r="F133" s="7">
        <f>INDEX('2017 Lockdown Update'!E$5:E$249,MATCH(B133,'2017 Lockdown Update'!B$5:B$249,0))</f>
        <v>270593.59000000003</v>
      </c>
      <c r="G133" s="7">
        <f>INDEX('2017 Lockdown Update'!F$5:F$249,MATCH(B133,'2017 Lockdown Update'!B$5:B$249,0))</f>
        <v>205</v>
      </c>
      <c r="H133" s="7">
        <f t="shared" si="14"/>
        <v>270388.59000000003</v>
      </c>
      <c r="I133" s="6">
        <f t="shared" si="15"/>
        <v>344.43315640596097</v>
      </c>
      <c r="J133" s="6">
        <f t="shared" si="23"/>
        <v>344.43315640596097</v>
      </c>
      <c r="K133" s="5">
        <f t="shared" si="16"/>
        <v>270388.59000000003</v>
      </c>
      <c r="L133" s="4">
        <f t="shared" si="17"/>
        <v>0</v>
      </c>
      <c r="M133" s="2">
        <f t="shared" si="18"/>
        <v>433.76681471562551</v>
      </c>
      <c r="N133" s="1">
        <f t="shared" si="19"/>
        <v>61</v>
      </c>
      <c r="O133" s="3">
        <f t="shared" si="20"/>
        <v>7980.5025069878966</v>
      </c>
      <c r="P133" s="2">
        <f t="shared" si="21"/>
        <v>132.87956330444399</v>
      </c>
      <c r="Q133" s="2">
        <f t="shared" si="26"/>
        <v>263.47480233393242</v>
      </c>
      <c r="R133" s="2">
        <f t="shared" si="26"/>
        <v>604.05882709731861</v>
      </c>
      <c r="S133" s="2">
        <f t="shared" si="22"/>
        <v>344.43315640596097</v>
      </c>
    </row>
    <row r="134" spans="2:19" x14ac:dyDescent="0.25">
      <c r="B134" s="10">
        <v>382</v>
      </c>
      <c r="C134" s="10">
        <v>7</v>
      </c>
      <c r="D134" s="198" t="s">
        <v>427</v>
      </c>
      <c r="E134" s="162">
        <f>INDEX('2017 Lockdown Update'!H$5:H$249,MATCH(B134,'2017 Lockdown Update'!B$5:B$249,0))</f>
        <v>177.19</v>
      </c>
      <c r="F134" s="7">
        <f>INDEX('2017 Lockdown Update'!E$5:E$249,MATCH(B134,'2017 Lockdown Update'!B$5:B$249,0))</f>
        <v>106501.09</v>
      </c>
      <c r="G134" s="7">
        <f>INDEX('2017 Lockdown Update'!F$5:F$249,MATCH(B134,'2017 Lockdown Update'!B$5:B$249,0))</f>
        <v>27668.13</v>
      </c>
      <c r="H134" s="7">
        <f t="shared" ref="H134:H197" si="27">F134-G134</f>
        <v>78832.959999999992</v>
      </c>
      <c r="I134" s="6">
        <f t="shared" ref="I134:I197" si="28">H134/E134</f>
        <v>444.90637169140467</v>
      </c>
      <c r="J134" s="6">
        <f t="shared" si="23"/>
        <v>444.90637169140467</v>
      </c>
      <c r="K134" s="5">
        <f t="shared" ref="K134:K197" si="29">J134*E134</f>
        <v>78832.959999999992</v>
      </c>
      <c r="L134" s="4">
        <f t="shared" ref="L134:L197" si="30">IF(ISERROR(I134),1,0)</f>
        <v>0</v>
      </c>
      <c r="M134" s="2">
        <f t="shared" ref="M134:M197" si="31">SUMPRODUCT(--($L$6:$L$298&lt;&gt;1),--($C$6:$C$298=$C134),$H$6:$H$298)/SUMPRODUCT(--($L$6:$L$298&lt;&gt;1),--($C$6:$C$298=$C134),$E$6:$E$298)</f>
        <v>433.76681471562551</v>
      </c>
      <c r="N134" s="1">
        <f t="shared" ref="N134:N197" si="32">SUMPRODUCT(--($L$6:$L$298&lt;&gt;1),--($C$6:$C$298=$C134),--($L$6:$L$298&lt;&gt;1))</f>
        <v>61</v>
      </c>
      <c r="O134" s="3">
        <f t="shared" ref="O134:O197" si="33">IF(ISERROR((I134-M134)^2),0,(I134-M134)^2)</f>
        <v>124.08972961663009</v>
      </c>
      <c r="P134" s="2">
        <f t="shared" ref="P134:P197" si="34">SQRT(SUMPRODUCT(--($L$6:$L$298&lt;&gt;1),--($C$6:$C$298=$C134),$E$6:$E$298,$O$6:$O$298)/((N134-1)*SUMPRODUCT(--($L$6:$L$298&lt;&gt;1),--($C$6:$C$298=$C134),$E$6:$E$298)/N134))</f>
        <v>132.87956330444399</v>
      </c>
      <c r="Q134" s="2">
        <f t="shared" si="26"/>
        <v>263.47480233393242</v>
      </c>
      <c r="R134" s="2">
        <f t="shared" si="26"/>
        <v>604.05882709731861</v>
      </c>
      <c r="S134" s="2">
        <f t="shared" ref="S134:S197" si="35">IF(ISERROR(MAX(MIN(I134,R134),Q134)),R134,MAX(MIN(I134,R134),Q134))</f>
        <v>444.90637169140467</v>
      </c>
    </row>
    <row r="135" spans="2:19" x14ac:dyDescent="0.25">
      <c r="B135" s="10">
        <v>389</v>
      </c>
      <c r="C135" s="10">
        <v>7</v>
      </c>
      <c r="D135" s="198" t="s">
        <v>428</v>
      </c>
      <c r="E135" s="162">
        <f>INDEX('2017 Lockdown Update'!H$5:H$249,MATCH(B135,'2017 Lockdown Update'!B$5:B$249,0))</f>
        <v>909.4811851830467</v>
      </c>
      <c r="F135" s="7">
        <f>INDEX('2017 Lockdown Update'!E$5:E$249,MATCH(B135,'2017 Lockdown Update'!B$5:B$249,0))</f>
        <v>148142.21</v>
      </c>
      <c r="G135" s="7">
        <f>INDEX('2017 Lockdown Update'!F$5:F$249,MATCH(B135,'2017 Lockdown Update'!B$5:B$249,0))</f>
        <v>987</v>
      </c>
      <c r="H135" s="7">
        <f t="shared" si="27"/>
        <v>147155.21</v>
      </c>
      <c r="I135" s="6">
        <f t="shared" si="28"/>
        <v>161.80126911628503</v>
      </c>
      <c r="J135" s="6">
        <f t="shared" ref="J135:J198" si="36">IF(ISERROR(IF($J$2=1,MAX(MIN(I135,R135),Q135),MIN(I135,R135))),R135,IF($J$2=1,MAX(MIN(I135,R135),Q135),MIN(I135,R135)))</f>
        <v>161.80126911628503</v>
      </c>
      <c r="K135" s="5">
        <f t="shared" si="29"/>
        <v>147155.21</v>
      </c>
      <c r="L135" s="4">
        <f t="shared" si="30"/>
        <v>0</v>
      </c>
      <c r="M135" s="2">
        <f t="shared" si="31"/>
        <v>433.76681471562551</v>
      </c>
      <c r="N135" s="1">
        <f t="shared" si="32"/>
        <v>61</v>
      </c>
      <c r="O135" s="3">
        <f t="shared" si="33"/>
        <v>73965.257993146952</v>
      </c>
      <c r="P135" s="2">
        <f t="shared" si="34"/>
        <v>132.87956330444399</v>
      </c>
      <c r="Q135" s="2">
        <f t="shared" si="26"/>
        <v>263.47480233393242</v>
      </c>
      <c r="R135" s="2">
        <f t="shared" si="26"/>
        <v>604.05882709731861</v>
      </c>
      <c r="S135" s="2">
        <f t="shared" si="35"/>
        <v>263.47480233393242</v>
      </c>
    </row>
    <row r="136" spans="2:19" x14ac:dyDescent="0.25">
      <c r="B136" s="10">
        <v>434</v>
      </c>
      <c r="C136" s="10">
        <v>7</v>
      </c>
      <c r="D136" s="198" t="s">
        <v>429</v>
      </c>
      <c r="E136" s="162">
        <f>INDEX('2017 Lockdown Update'!H$5:H$249,MATCH(B136,'2017 Lockdown Update'!B$5:B$249,0))</f>
        <v>342.03221210120842</v>
      </c>
      <c r="F136" s="7">
        <f>INDEX('2017 Lockdown Update'!E$5:E$249,MATCH(B136,'2017 Lockdown Update'!B$5:B$249,0))</f>
        <v>128474.53</v>
      </c>
      <c r="G136" s="7">
        <f>INDEX('2017 Lockdown Update'!F$5:F$249,MATCH(B136,'2017 Lockdown Update'!B$5:B$249,0))</f>
        <v>0</v>
      </c>
      <c r="H136" s="7">
        <f t="shared" si="27"/>
        <v>128474.53</v>
      </c>
      <c r="I136" s="6">
        <f t="shared" si="28"/>
        <v>375.62114167768499</v>
      </c>
      <c r="J136" s="6">
        <f t="shared" si="36"/>
        <v>375.62114167768499</v>
      </c>
      <c r="K136" s="5">
        <f t="shared" si="29"/>
        <v>128474.53000000001</v>
      </c>
      <c r="L136" s="4">
        <f t="shared" si="30"/>
        <v>0</v>
      </c>
      <c r="M136" s="2">
        <f t="shared" si="31"/>
        <v>433.76681471562551</v>
      </c>
      <c r="N136" s="1">
        <f t="shared" si="32"/>
        <v>61</v>
      </c>
      <c r="O136" s="3">
        <f t="shared" si="33"/>
        <v>3380.9192930350837</v>
      </c>
      <c r="P136" s="2">
        <f t="shared" si="34"/>
        <v>132.87956330444399</v>
      </c>
      <c r="Q136" s="2">
        <f t="shared" si="26"/>
        <v>263.47480233393242</v>
      </c>
      <c r="R136" s="2">
        <f t="shared" si="26"/>
        <v>604.05882709731861</v>
      </c>
      <c r="S136" s="2">
        <f t="shared" si="35"/>
        <v>375.62114167768499</v>
      </c>
    </row>
    <row r="137" spans="2:19" x14ac:dyDescent="0.25">
      <c r="B137" s="10">
        <v>437</v>
      </c>
      <c r="C137" s="10">
        <v>7</v>
      </c>
      <c r="D137" s="198" t="s">
        <v>430</v>
      </c>
      <c r="E137" s="162">
        <f>INDEX('2017 Lockdown Update'!H$5:H$249,MATCH(B137,'2017 Lockdown Update'!B$5:B$249,0))</f>
        <v>349.75027864505995</v>
      </c>
      <c r="F137" s="7">
        <f>INDEX('2017 Lockdown Update'!E$5:E$249,MATCH(B137,'2017 Lockdown Update'!B$5:B$249,0))</f>
        <v>225876.05</v>
      </c>
      <c r="G137" s="7">
        <f>INDEX('2017 Lockdown Update'!F$5:F$249,MATCH(B137,'2017 Lockdown Update'!B$5:B$249,0))</f>
        <v>0</v>
      </c>
      <c r="H137" s="7">
        <f t="shared" si="27"/>
        <v>225876.05</v>
      </c>
      <c r="I137" s="6">
        <f t="shared" si="28"/>
        <v>645.82092936437004</v>
      </c>
      <c r="J137" s="6">
        <f t="shared" si="36"/>
        <v>604.05882709731861</v>
      </c>
      <c r="K137" s="5">
        <f t="shared" si="29"/>
        <v>211269.74309529527</v>
      </c>
      <c r="L137" s="4">
        <f t="shared" si="30"/>
        <v>0</v>
      </c>
      <c r="M137" s="2">
        <f t="shared" si="31"/>
        <v>433.76681471562551</v>
      </c>
      <c r="N137" s="1">
        <f t="shared" si="32"/>
        <v>61</v>
      </c>
      <c r="O137" s="3">
        <f t="shared" si="33"/>
        <v>44966.94753946289</v>
      </c>
      <c r="P137" s="2">
        <f t="shared" si="34"/>
        <v>132.87956330444399</v>
      </c>
      <c r="Q137" s="2">
        <f t="shared" si="26"/>
        <v>263.47480233393242</v>
      </c>
      <c r="R137" s="2">
        <f t="shared" si="26"/>
        <v>604.05882709731861</v>
      </c>
      <c r="S137" s="2">
        <f t="shared" si="35"/>
        <v>604.05882709731861</v>
      </c>
    </row>
    <row r="138" spans="2:19" x14ac:dyDescent="0.25">
      <c r="B138" s="10">
        <v>502</v>
      </c>
      <c r="C138" s="10">
        <v>7</v>
      </c>
      <c r="D138" s="198" t="s">
        <v>431</v>
      </c>
      <c r="E138" s="162">
        <f>INDEX('2017 Lockdown Update'!H$5:H$249,MATCH(B138,'2017 Lockdown Update'!B$5:B$249,0))</f>
        <v>616.38916703369796</v>
      </c>
      <c r="F138" s="7">
        <f>INDEX('2017 Lockdown Update'!E$5:E$249,MATCH(B138,'2017 Lockdown Update'!B$5:B$249,0))</f>
        <v>297076.51</v>
      </c>
      <c r="G138" s="7">
        <f>INDEX('2017 Lockdown Update'!F$5:F$249,MATCH(B138,'2017 Lockdown Update'!B$5:B$249,0))</f>
        <v>0</v>
      </c>
      <c r="H138" s="7">
        <f t="shared" si="27"/>
        <v>297076.51</v>
      </c>
      <c r="I138" s="6">
        <f t="shared" si="28"/>
        <v>481.96257476367822</v>
      </c>
      <c r="J138" s="6">
        <f t="shared" si="36"/>
        <v>481.96257476367822</v>
      </c>
      <c r="K138" s="5">
        <f t="shared" si="29"/>
        <v>297076.51</v>
      </c>
      <c r="L138" s="4">
        <f t="shared" si="30"/>
        <v>0</v>
      </c>
      <c r="M138" s="2">
        <f t="shared" si="31"/>
        <v>433.76681471562551</v>
      </c>
      <c r="N138" s="1">
        <f t="shared" si="32"/>
        <v>61</v>
      </c>
      <c r="O138" s="3">
        <f t="shared" si="33"/>
        <v>2322.8312866094734</v>
      </c>
      <c r="P138" s="2">
        <f t="shared" si="34"/>
        <v>132.87956330444399</v>
      </c>
      <c r="Q138" s="2">
        <f t="shared" si="26"/>
        <v>263.47480233393242</v>
      </c>
      <c r="R138" s="2">
        <f t="shared" si="26"/>
        <v>604.05882709731861</v>
      </c>
      <c r="S138" s="2">
        <f t="shared" si="35"/>
        <v>481.96257476367822</v>
      </c>
    </row>
    <row r="139" spans="2:19" x14ac:dyDescent="0.25">
      <c r="B139" s="10">
        <v>503</v>
      </c>
      <c r="C139" s="10">
        <v>7</v>
      </c>
      <c r="D139" s="198" t="s">
        <v>432</v>
      </c>
      <c r="E139" s="162">
        <f>INDEX('2017 Lockdown Update'!H$5:H$249,MATCH(B139,'2017 Lockdown Update'!B$5:B$249,0))</f>
        <v>360.0499999999999</v>
      </c>
      <c r="F139" s="7">
        <f>INDEX('2017 Lockdown Update'!E$5:E$249,MATCH(B139,'2017 Lockdown Update'!B$5:B$249,0))</f>
        <v>197273.02</v>
      </c>
      <c r="G139" s="7">
        <f>INDEX('2017 Lockdown Update'!F$5:F$249,MATCH(B139,'2017 Lockdown Update'!B$5:B$249,0))</f>
        <v>62642.149999999994</v>
      </c>
      <c r="H139" s="7">
        <f t="shared" si="27"/>
        <v>134630.87</v>
      </c>
      <c r="I139" s="6">
        <f t="shared" si="28"/>
        <v>373.92270517983621</v>
      </c>
      <c r="J139" s="6">
        <f t="shared" si="36"/>
        <v>373.92270517983621</v>
      </c>
      <c r="K139" s="5">
        <f t="shared" si="29"/>
        <v>134630.87</v>
      </c>
      <c r="L139" s="4">
        <f t="shared" si="30"/>
        <v>0</v>
      </c>
      <c r="M139" s="2">
        <f t="shared" si="31"/>
        <v>433.76681471562551</v>
      </c>
      <c r="N139" s="1">
        <f t="shared" si="32"/>
        <v>61</v>
      </c>
      <c r="O139" s="3">
        <f t="shared" si="33"/>
        <v>3581.317446131548</v>
      </c>
      <c r="P139" s="2">
        <f t="shared" si="34"/>
        <v>132.87956330444399</v>
      </c>
      <c r="Q139" s="2">
        <f t="shared" si="26"/>
        <v>263.47480233393242</v>
      </c>
      <c r="R139" s="2">
        <f t="shared" si="26"/>
        <v>604.05882709731861</v>
      </c>
      <c r="S139" s="2">
        <f t="shared" si="35"/>
        <v>373.92270517983621</v>
      </c>
    </row>
    <row r="140" spans="2:19" x14ac:dyDescent="0.25">
      <c r="B140" s="10">
        <v>510</v>
      </c>
      <c r="C140" s="10">
        <v>7</v>
      </c>
      <c r="D140" s="198" t="s">
        <v>433</v>
      </c>
      <c r="E140" s="162">
        <f>INDEX('2017 Lockdown Update'!H$5:H$249,MATCH(B140,'2017 Lockdown Update'!B$5:B$249,0))</f>
        <v>476.19514109778987</v>
      </c>
      <c r="F140" s="7">
        <f>INDEX('2017 Lockdown Update'!E$5:E$249,MATCH(B140,'2017 Lockdown Update'!B$5:B$249,0))</f>
        <v>221305.23</v>
      </c>
      <c r="G140" s="7">
        <f>INDEX('2017 Lockdown Update'!F$5:F$249,MATCH(B140,'2017 Lockdown Update'!B$5:B$249,0))</f>
        <v>819</v>
      </c>
      <c r="H140" s="7">
        <f t="shared" si="27"/>
        <v>220486.23</v>
      </c>
      <c r="I140" s="6">
        <f t="shared" si="28"/>
        <v>463.01654714851799</v>
      </c>
      <c r="J140" s="6">
        <f t="shared" si="36"/>
        <v>463.01654714851799</v>
      </c>
      <c r="K140" s="5">
        <f t="shared" si="29"/>
        <v>220486.23</v>
      </c>
      <c r="L140" s="4">
        <f t="shared" si="30"/>
        <v>0</v>
      </c>
      <c r="M140" s="2">
        <f t="shared" si="31"/>
        <v>433.76681471562551</v>
      </c>
      <c r="N140" s="1">
        <f t="shared" si="32"/>
        <v>61</v>
      </c>
      <c r="O140" s="3">
        <f t="shared" si="33"/>
        <v>855.54684739580182</v>
      </c>
      <c r="P140" s="2">
        <f t="shared" si="34"/>
        <v>132.87956330444399</v>
      </c>
      <c r="Q140" s="2">
        <f t="shared" si="26"/>
        <v>263.47480233393242</v>
      </c>
      <c r="R140" s="2">
        <f t="shared" si="26"/>
        <v>604.05882709731861</v>
      </c>
      <c r="S140" s="2">
        <f t="shared" si="35"/>
        <v>463.01654714851799</v>
      </c>
    </row>
    <row r="141" spans="2:19" x14ac:dyDescent="0.25">
      <c r="B141" s="10">
        <v>531</v>
      </c>
      <c r="C141" s="10">
        <v>7</v>
      </c>
      <c r="D141" s="198" t="s">
        <v>434</v>
      </c>
      <c r="E141" s="162">
        <f>INDEX('2017 Lockdown Update'!H$5:H$249,MATCH(B141,'2017 Lockdown Update'!B$5:B$249,0))</f>
        <v>2029.4400000000003</v>
      </c>
      <c r="F141" s="7">
        <f>INDEX('2017 Lockdown Update'!E$5:E$249,MATCH(B141,'2017 Lockdown Update'!B$5:B$249,0))</f>
        <v>856693.39</v>
      </c>
      <c r="G141" s="7">
        <f>INDEX('2017 Lockdown Update'!F$5:F$249,MATCH(B141,'2017 Lockdown Update'!B$5:B$249,0))</f>
        <v>7890.9400000000005</v>
      </c>
      <c r="H141" s="7">
        <f t="shared" si="27"/>
        <v>848802.45000000007</v>
      </c>
      <c r="I141" s="6">
        <f t="shared" si="28"/>
        <v>418.24466355250706</v>
      </c>
      <c r="J141" s="6">
        <f t="shared" si="36"/>
        <v>418.24466355250706</v>
      </c>
      <c r="K141" s="5">
        <f t="shared" si="29"/>
        <v>848802.45000000007</v>
      </c>
      <c r="L141" s="4">
        <f t="shared" si="30"/>
        <v>0</v>
      </c>
      <c r="M141" s="2">
        <f t="shared" si="31"/>
        <v>433.76681471562551</v>
      </c>
      <c r="N141" s="1">
        <f t="shared" si="32"/>
        <v>61</v>
      </c>
      <c r="O141" s="3">
        <f t="shared" si="33"/>
        <v>240.93717673069949</v>
      </c>
      <c r="P141" s="2">
        <f t="shared" si="34"/>
        <v>132.87956330444399</v>
      </c>
      <c r="Q141" s="2">
        <f t="shared" si="26"/>
        <v>263.47480233393242</v>
      </c>
      <c r="R141" s="2">
        <f t="shared" si="26"/>
        <v>604.05882709731861</v>
      </c>
      <c r="S141" s="2">
        <f t="shared" si="35"/>
        <v>418.24466355250706</v>
      </c>
    </row>
    <row r="142" spans="2:19" x14ac:dyDescent="0.25">
      <c r="B142" s="10">
        <v>550</v>
      </c>
      <c r="C142" s="10">
        <v>7</v>
      </c>
      <c r="D142" s="198" t="s">
        <v>435</v>
      </c>
      <c r="E142" s="162">
        <f>INDEX('2017 Lockdown Update'!H$5:H$249,MATCH(B142,'2017 Lockdown Update'!B$5:B$249,0))</f>
        <v>277.95981427587719</v>
      </c>
      <c r="F142" s="7">
        <f>INDEX('2017 Lockdown Update'!E$5:E$249,MATCH(B142,'2017 Lockdown Update'!B$5:B$249,0))</f>
        <v>135191.09</v>
      </c>
      <c r="G142" s="7">
        <f>INDEX('2017 Lockdown Update'!F$5:F$249,MATCH(B142,'2017 Lockdown Update'!B$5:B$249,0))</f>
        <v>0</v>
      </c>
      <c r="H142" s="7">
        <f t="shared" si="27"/>
        <v>135191.09</v>
      </c>
      <c r="I142" s="6">
        <f t="shared" si="28"/>
        <v>486.3691910004726</v>
      </c>
      <c r="J142" s="6">
        <f t="shared" si="36"/>
        <v>486.3691910004726</v>
      </c>
      <c r="K142" s="5">
        <f t="shared" si="29"/>
        <v>135191.09</v>
      </c>
      <c r="L142" s="4">
        <f t="shared" si="30"/>
        <v>0</v>
      </c>
      <c r="M142" s="2">
        <f t="shared" si="31"/>
        <v>433.76681471562551</v>
      </c>
      <c r="N142" s="1">
        <f t="shared" si="32"/>
        <v>61</v>
      </c>
      <c r="O142" s="3">
        <f t="shared" si="33"/>
        <v>2767.0099908126426</v>
      </c>
      <c r="P142" s="2">
        <f t="shared" si="34"/>
        <v>132.87956330444399</v>
      </c>
      <c r="Q142" s="2">
        <f t="shared" si="26"/>
        <v>263.47480233393242</v>
      </c>
      <c r="R142" s="2">
        <f t="shared" si="26"/>
        <v>604.05882709731861</v>
      </c>
      <c r="S142" s="2">
        <f t="shared" si="35"/>
        <v>486.3691910004726</v>
      </c>
    </row>
    <row r="143" spans="2:19" x14ac:dyDescent="0.25">
      <c r="B143" s="10">
        <v>551</v>
      </c>
      <c r="C143" s="10">
        <v>7</v>
      </c>
      <c r="D143" s="198" t="s">
        <v>436</v>
      </c>
      <c r="E143" s="162">
        <f>INDEX('2017 Lockdown Update'!H$5:H$249,MATCH(B143,'2017 Lockdown Update'!B$5:B$249,0))</f>
        <v>165.07</v>
      </c>
      <c r="F143" s="7">
        <f>INDEX('2017 Lockdown Update'!E$5:E$249,MATCH(B143,'2017 Lockdown Update'!B$5:B$249,0))</f>
        <v>86625.43</v>
      </c>
      <c r="G143" s="7">
        <f>INDEX('2017 Lockdown Update'!F$5:F$249,MATCH(B143,'2017 Lockdown Update'!B$5:B$249,0))</f>
        <v>246</v>
      </c>
      <c r="H143" s="7">
        <f t="shared" si="27"/>
        <v>86379.43</v>
      </c>
      <c r="I143" s="6">
        <f t="shared" si="28"/>
        <v>523.28969528078994</v>
      </c>
      <c r="J143" s="6">
        <f t="shared" si="36"/>
        <v>523.28969528078994</v>
      </c>
      <c r="K143" s="5">
        <f t="shared" si="29"/>
        <v>86379.43</v>
      </c>
      <c r="L143" s="4">
        <f t="shared" si="30"/>
        <v>0</v>
      </c>
      <c r="M143" s="2">
        <f t="shared" si="31"/>
        <v>433.76681471562551</v>
      </c>
      <c r="N143" s="1">
        <f t="shared" si="32"/>
        <v>61</v>
      </c>
      <c r="O143" s="3">
        <f t="shared" si="33"/>
        <v>8014.346144684695</v>
      </c>
      <c r="P143" s="2">
        <f t="shared" si="34"/>
        <v>132.87956330444399</v>
      </c>
      <c r="Q143" s="2">
        <f t="shared" si="26"/>
        <v>263.47480233393242</v>
      </c>
      <c r="R143" s="2">
        <f t="shared" si="26"/>
        <v>604.05882709731861</v>
      </c>
      <c r="S143" s="2">
        <f t="shared" si="35"/>
        <v>523.28969528078994</v>
      </c>
    </row>
    <row r="144" spans="2:19" x14ac:dyDescent="0.25">
      <c r="B144" s="10">
        <v>555</v>
      </c>
      <c r="C144" s="10">
        <v>7</v>
      </c>
      <c r="D144" s="198" t="s">
        <v>437</v>
      </c>
      <c r="E144" s="162">
        <f>INDEX('2017 Lockdown Update'!H$5:H$249,MATCH(B144,'2017 Lockdown Update'!B$5:B$249,0))</f>
        <v>705.82</v>
      </c>
      <c r="F144" s="7">
        <f>INDEX('2017 Lockdown Update'!E$5:E$249,MATCH(B144,'2017 Lockdown Update'!B$5:B$249,0))</f>
        <v>467594.79</v>
      </c>
      <c r="G144" s="7">
        <f>INDEX('2017 Lockdown Update'!F$5:F$249,MATCH(B144,'2017 Lockdown Update'!B$5:B$249,0))</f>
        <v>774.21</v>
      </c>
      <c r="H144" s="7">
        <f t="shared" si="27"/>
        <v>466820.57999999996</v>
      </c>
      <c r="I144" s="6">
        <f t="shared" si="28"/>
        <v>661.38757756935183</v>
      </c>
      <c r="J144" s="6">
        <f t="shared" si="36"/>
        <v>604.05882709731861</v>
      </c>
      <c r="K144" s="5">
        <f t="shared" si="29"/>
        <v>426356.80134182947</v>
      </c>
      <c r="L144" s="4">
        <f t="shared" si="30"/>
        <v>0</v>
      </c>
      <c r="M144" s="2">
        <f t="shared" si="31"/>
        <v>433.76681471562551</v>
      </c>
      <c r="N144" s="1">
        <f t="shared" si="32"/>
        <v>61</v>
      </c>
      <c r="O144" s="3">
        <f t="shared" si="33"/>
        <v>51811.211682112313</v>
      </c>
      <c r="P144" s="2">
        <f t="shared" si="34"/>
        <v>132.87956330444399</v>
      </c>
      <c r="Q144" s="2">
        <f t="shared" si="26"/>
        <v>263.47480233393242</v>
      </c>
      <c r="R144" s="2">
        <f t="shared" si="26"/>
        <v>604.05882709731861</v>
      </c>
      <c r="S144" s="2">
        <f t="shared" si="35"/>
        <v>604.05882709731861</v>
      </c>
    </row>
    <row r="145" spans="2:19" x14ac:dyDescent="0.25">
      <c r="B145" s="10">
        <v>556</v>
      </c>
      <c r="C145" s="10">
        <v>7</v>
      </c>
      <c r="D145" s="198" t="s">
        <v>438</v>
      </c>
      <c r="E145" s="162">
        <f>INDEX('2017 Lockdown Update'!H$5:H$249,MATCH(B145,'2017 Lockdown Update'!B$5:B$249,0))</f>
        <v>399.46326028334249</v>
      </c>
      <c r="F145" s="7">
        <f>INDEX('2017 Lockdown Update'!E$5:E$249,MATCH(B145,'2017 Lockdown Update'!B$5:B$249,0))</f>
        <v>156309.14000000001</v>
      </c>
      <c r="G145" s="7">
        <f>INDEX('2017 Lockdown Update'!F$5:F$249,MATCH(B145,'2017 Lockdown Update'!B$5:B$249,0))</f>
        <v>427</v>
      </c>
      <c r="H145" s="7">
        <f t="shared" si="27"/>
        <v>155882.14000000001</v>
      </c>
      <c r="I145" s="6">
        <f t="shared" si="28"/>
        <v>390.22897847835009</v>
      </c>
      <c r="J145" s="6">
        <f t="shared" si="36"/>
        <v>390.22897847835009</v>
      </c>
      <c r="K145" s="5">
        <f t="shared" si="29"/>
        <v>155882.14000000001</v>
      </c>
      <c r="L145" s="4">
        <f t="shared" si="30"/>
        <v>0</v>
      </c>
      <c r="M145" s="2">
        <f t="shared" si="31"/>
        <v>433.76681471562551</v>
      </c>
      <c r="N145" s="1">
        <f t="shared" si="32"/>
        <v>61</v>
      </c>
      <c r="O145" s="3">
        <f t="shared" si="33"/>
        <v>1895.5431842238133</v>
      </c>
      <c r="P145" s="2">
        <f t="shared" si="34"/>
        <v>132.87956330444399</v>
      </c>
      <c r="Q145" s="2">
        <f t="shared" si="26"/>
        <v>263.47480233393242</v>
      </c>
      <c r="R145" s="2">
        <f t="shared" si="26"/>
        <v>604.05882709731861</v>
      </c>
      <c r="S145" s="2">
        <f t="shared" si="35"/>
        <v>390.22897847835009</v>
      </c>
    </row>
    <row r="146" spans="2:19" x14ac:dyDescent="0.25">
      <c r="B146" s="10">
        <v>558</v>
      </c>
      <c r="C146" s="10">
        <v>7</v>
      </c>
      <c r="D146" s="198" t="s">
        <v>439</v>
      </c>
      <c r="E146" s="162">
        <f>INDEX('2017 Lockdown Update'!H$5:H$249,MATCH(B146,'2017 Lockdown Update'!B$5:B$249,0))</f>
        <v>305.78979646739623</v>
      </c>
      <c r="F146" s="7">
        <f>INDEX('2017 Lockdown Update'!E$5:E$249,MATCH(B146,'2017 Lockdown Update'!B$5:B$249,0))</f>
        <v>165308.60999999999</v>
      </c>
      <c r="G146" s="7">
        <f>INDEX('2017 Lockdown Update'!F$5:F$249,MATCH(B146,'2017 Lockdown Update'!B$5:B$249,0))</f>
        <v>22409</v>
      </c>
      <c r="H146" s="7">
        <f t="shared" si="27"/>
        <v>142899.60999999999</v>
      </c>
      <c r="I146" s="6">
        <f t="shared" si="28"/>
        <v>467.31320551186593</v>
      </c>
      <c r="J146" s="6">
        <f t="shared" si="36"/>
        <v>467.31320551186593</v>
      </c>
      <c r="K146" s="5">
        <f t="shared" si="29"/>
        <v>142899.60999999999</v>
      </c>
      <c r="L146" s="4">
        <f t="shared" si="30"/>
        <v>0</v>
      </c>
      <c r="M146" s="2">
        <f t="shared" si="31"/>
        <v>433.76681471562551</v>
      </c>
      <c r="N146" s="1">
        <f t="shared" si="32"/>
        <v>61</v>
      </c>
      <c r="O146" s="3">
        <f t="shared" si="33"/>
        <v>1125.3603354540837</v>
      </c>
      <c r="P146" s="2">
        <f t="shared" si="34"/>
        <v>132.87956330444399</v>
      </c>
      <c r="Q146" s="2">
        <f t="shared" ref="Q146:R165" si="37">NORMINV(Q$4,$M146,$P146)</f>
        <v>263.47480233393242</v>
      </c>
      <c r="R146" s="2">
        <f t="shared" si="37"/>
        <v>604.05882709731861</v>
      </c>
      <c r="S146" s="2">
        <f t="shared" si="35"/>
        <v>467.31320551186593</v>
      </c>
    </row>
    <row r="147" spans="2:19" x14ac:dyDescent="0.25">
      <c r="B147" s="10">
        <v>600</v>
      </c>
      <c r="C147" s="10">
        <v>7</v>
      </c>
      <c r="D147" s="198" t="s">
        <v>440</v>
      </c>
      <c r="E147" s="162">
        <f>INDEX('2017 Lockdown Update'!H$5:H$249,MATCH(B147,'2017 Lockdown Update'!B$5:B$249,0))</f>
        <v>741.18</v>
      </c>
      <c r="F147" s="7">
        <f>INDEX('2017 Lockdown Update'!E$5:E$249,MATCH(B147,'2017 Lockdown Update'!B$5:B$249,0))</f>
        <v>238860.15</v>
      </c>
      <c r="G147" s="7">
        <f>INDEX('2017 Lockdown Update'!F$5:F$249,MATCH(B147,'2017 Lockdown Update'!B$5:B$249,0))</f>
        <v>10</v>
      </c>
      <c r="H147" s="7">
        <f t="shared" si="27"/>
        <v>238850.15</v>
      </c>
      <c r="I147" s="6">
        <f t="shared" si="28"/>
        <v>322.25660433363015</v>
      </c>
      <c r="J147" s="6">
        <f t="shared" si="36"/>
        <v>322.25660433363015</v>
      </c>
      <c r="K147" s="5">
        <f t="shared" si="29"/>
        <v>238850.14999999997</v>
      </c>
      <c r="L147" s="4">
        <f t="shared" si="30"/>
        <v>0</v>
      </c>
      <c r="M147" s="2">
        <f t="shared" si="31"/>
        <v>433.76681471562551</v>
      </c>
      <c r="N147" s="1">
        <f t="shared" si="32"/>
        <v>61</v>
      </c>
      <c r="O147" s="3">
        <f t="shared" si="33"/>
        <v>12434.527019436866</v>
      </c>
      <c r="P147" s="2">
        <f t="shared" si="34"/>
        <v>132.87956330444399</v>
      </c>
      <c r="Q147" s="2">
        <f t="shared" si="37"/>
        <v>263.47480233393242</v>
      </c>
      <c r="R147" s="2">
        <f t="shared" si="37"/>
        <v>604.05882709731861</v>
      </c>
      <c r="S147" s="2">
        <f t="shared" si="35"/>
        <v>322.25660433363015</v>
      </c>
    </row>
    <row r="148" spans="2:19" x14ac:dyDescent="0.25">
      <c r="B148" s="10">
        <v>604</v>
      </c>
      <c r="C148" s="10">
        <v>7</v>
      </c>
      <c r="D148" s="198" t="s">
        <v>441</v>
      </c>
      <c r="E148" s="162">
        <f>INDEX('2017 Lockdown Update'!H$5:H$249,MATCH(B148,'2017 Lockdown Update'!B$5:B$249,0))</f>
        <v>663.01441323913355</v>
      </c>
      <c r="F148" s="7">
        <f>INDEX('2017 Lockdown Update'!E$5:E$249,MATCH(B148,'2017 Lockdown Update'!B$5:B$249,0))</f>
        <v>218649.53</v>
      </c>
      <c r="G148" s="7">
        <f>INDEX('2017 Lockdown Update'!F$5:F$249,MATCH(B148,'2017 Lockdown Update'!B$5:B$249,0))</f>
        <v>40098.400000000001</v>
      </c>
      <c r="H148" s="7">
        <f t="shared" si="27"/>
        <v>178551.13</v>
      </c>
      <c r="I148" s="6">
        <f t="shared" si="28"/>
        <v>269.30203391460941</v>
      </c>
      <c r="J148" s="6">
        <f t="shared" si="36"/>
        <v>269.30203391460941</v>
      </c>
      <c r="K148" s="5">
        <f t="shared" si="29"/>
        <v>178551.13</v>
      </c>
      <c r="L148" s="4">
        <f t="shared" si="30"/>
        <v>0</v>
      </c>
      <c r="M148" s="2">
        <f t="shared" si="31"/>
        <v>433.76681471562551</v>
      </c>
      <c r="N148" s="1">
        <f t="shared" si="32"/>
        <v>61</v>
      </c>
      <c r="O148" s="3">
        <f t="shared" si="33"/>
        <v>27048.664123926275</v>
      </c>
      <c r="P148" s="2">
        <f t="shared" si="34"/>
        <v>132.87956330444399</v>
      </c>
      <c r="Q148" s="2">
        <f t="shared" si="37"/>
        <v>263.47480233393242</v>
      </c>
      <c r="R148" s="2">
        <f t="shared" si="37"/>
        <v>604.05882709731861</v>
      </c>
      <c r="S148" s="2">
        <f t="shared" si="35"/>
        <v>269.30203391460941</v>
      </c>
    </row>
    <row r="149" spans="2:19" x14ac:dyDescent="0.25">
      <c r="B149" s="10">
        <v>612</v>
      </c>
      <c r="C149" s="10">
        <v>7</v>
      </c>
      <c r="D149" s="198" t="s">
        <v>442</v>
      </c>
      <c r="E149" s="162">
        <f>INDEX('2017 Lockdown Update'!H$5:H$249,MATCH(B149,'2017 Lockdown Update'!B$5:B$249,0))</f>
        <v>520.57952624249731</v>
      </c>
      <c r="F149" s="7">
        <f>INDEX('2017 Lockdown Update'!E$5:E$249,MATCH(B149,'2017 Lockdown Update'!B$5:B$249,0))</f>
        <v>194053.99</v>
      </c>
      <c r="G149" s="7">
        <f>INDEX('2017 Lockdown Update'!F$5:F$249,MATCH(B149,'2017 Lockdown Update'!B$5:B$249,0))</f>
        <v>1285.3399999999999</v>
      </c>
      <c r="H149" s="7">
        <f t="shared" si="27"/>
        <v>192768.65</v>
      </c>
      <c r="I149" s="6">
        <f t="shared" si="28"/>
        <v>370.29625692617839</v>
      </c>
      <c r="J149" s="6">
        <f t="shared" si="36"/>
        <v>370.29625692617839</v>
      </c>
      <c r="K149" s="5">
        <f t="shared" si="29"/>
        <v>192768.65</v>
      </c>
      <c r="L149" s="4">
        <f t="shared" si="30"/>
        <v>0</v>
      </c>
      <c r="M149" s="2">
        <f t="shared" si="31"/>
        <v>433.76681471562551</v>
      </c>
      <c r="N149" s="1">
        <f t="shared" si="32"/>
        <v>61</v>
      </c>
      <c r="O149" s="3">
        <f t="shared" si="33"/>
        <v>4028.5117061035476</v>
      </c>
      <c r="P149" s="2">
        <f t="shared" si="34"/>
        <v>132.87956330444399</v>
      </c>
      <c r="Q149" s="2">
        <f t="shared" si="37"/>
        <v>263.47480233393242</v>
      </c>
      <c r="R149" s="2">
        <f t="shared" si="37"/>
        <v>604.05882709731861</v>
      </c>
      <c r="S149" s="2">
        <f t="shared" si="35"/>
        <v>370.29625692617839</v>
      </c>
    </row>
    <row r="150" spans="2:19" x14ac:dyDescent="0.25">
      <c r="B150" s="10">
        <v>711</v>
      </c>
      <c r="C150" s="10">
        <v>7</v>
      </c>
      <c r="D150" s="198" t="s">
        <v>443</v>
      </c>
      <c r="E150" s="162">
        <f>INDEX('2017 Lockdown Update'!H$5:H$249,MATCH(B150,'2017 Lockdown Update'!B$5:B$249,0))</f>
        <v>383.03000000000003</v>
      </c>
      <c r="F150" s="7">
        <f>INDEX('2017 Lockdown Update'!E$5:E$249,MATCH(B150,'2017 Lockdown Update'!B$5:B$249,0))</f>
        <v>210277.86</v>
      </c>
      <c r="G150" s="7">
        <f>INDEX('2017 Lockdown Update'!F$5:F$249,MATCH(B150,'2017 Lockdown Update'!B$5:B$249,0))</f>
        <v>25071.68</v>
      </c>
      <c r="H150" s="7">
        <f t="shared" si="27"/>
        <v>185206.18</v>
      </c>
      <c r="I150" s="6">
        <f t="shared" si="28"/>
        <v>483.52917526042341</v>
      </c>
      <c r="J150" s="6">
        <f t="shared" si="36"/>
        <v>483.52917526042341</v>
      </c>
      <c r="K150" s="5">
        <f t="shared" si="29"/>
        <v>185206.18</v>
      </c>
      <c r="L150" s="4">
        <f t="shared" si="30"/>
        <v>0</v>
      </c>
      <c r="M150" s="2">
        <f t="shared" si="31"/>
        <v>433.76681471562551</v>
      </c>
      <c r="N150" s="1">
        <f t="shared" si="32"/>
        <v>61</v>
      </c>
      <c r="O150" s="3">
        <f t="shared" si="33"/>
        <v>2476.2925269904586</v>
      </c>
      <c r="P150" s="2">
        <f t="shared" si="34"/>
        <v>132.87956330444399</v>
      </c>
      <c r="Q150" s="2">
        <f t="shared" si="37"/>
        <v>263.47480233393242</v>
      </c>
      <c r="R150" s="2">
        <f t="shared" si="37"/>
        <v>604.05882709731861</v>
      </c>
      <c r="S150" s="2">
        <f t="shared" si="35"/>
        <v>483.52917526042341</v>
      </c>
    </row>
    <row r="151" spans="2:19" x14ac:dyDescent="0.25">
      <c r="B151" s="10">
        <v>712</v>
      </c>
      <c r="C151" s="10">
        <v>7</v>
      </c>
      <c r="D151" s="198" t="s">
        <v>444</v>
      </c>
      <c r="E151" s="162">
        <f>INDEX('2017 Lockdown Update'!H$5:H$249,MATCH(B151,'2017 Lockdown Update'!B$5:B$249,0))</f>
        <v>577.44136596925159</v>
      </c>
      <c r="F151" s="7">
        <f>INDEX('2017 Lockdown Update'!E$5:E$249,MATCH(B151,'2017 Lockdown Update'!B$5:B$249,0))</f>
        <v>276945.74</v>
      </c>
      <c r="G151" s="7">
        <f>INDEX('2017 Lockdown Update'!F$5:F$249,MATCH(B151,'2017 Lockdown Update'!B$5:B$249,0))</f>
        <v>0</v>
      </c>
      <c r="H151" s="7">
        <f t="shared" si="27"/>
        <v>276945.74</v>
      </c>
      <c r="I151" s="6">
        <f t="shared" si="28"/>
        <v>479.60841796489376</v>
      </c>
      <c r="J151" s="6">
        <f t="shared" si="36"/>
        <v>479.60841796489376</v>
      </c>
      <c r="K151" s="5">
        <f t="shared" si="29"/>
        <v>276945.74</v>
      </c>
      <c r="L151" s="4">
        <f t="shared" si="30"/>
        <v>0</v>
      </c>
      <c r="M151" s="2">
        <f t="shared" si="31"/>
        <v>433.76681471562551</v>
      </c>
      <c r="N151" s="1">
        <f t="shared" si="32"/>
        <v>61</v>
      </c>
      <c r="O151" s="3">
        <f t="shared" si="33"/>
        <v>2101.4525884633208</v>
      </c>
      <c r="P151" s="2">
        <f t="shared" si="34"/>
        <v>132.87956330444399</v>
      </c>
      <c r="Q151" s="2">
        <f t="shared" si="37"/>
        <v>263.47480233393242</v>
      </c>
      <c r="R151" s="2">
        <f t="shared" si="37"/>
        <v>604.05882709731861</v>
      </c>
      <c r="S151" s="2">
        <f t="shared" si="35"/>
        <v>479.60841796489376</v>
      </c>
    </row>
    <row r="152" spans="2:19" x14ac:dyDescent="0.25">
      <c r="B152" s="10">
        <v>718</v>
      </c>
      <c r="C152" s="10">
        <v>7</v>
      </c>
      <c r="D152" s="198" t="s">
        <v>445</v>
      </c>
      <c r="E152" s="162">
        <f>INDEX('2017 Lockdown Update'!H$5:H$249,MATCH(B152,'2017 Lockdown Update'!B$5:B$249,0))</f>
        <v>41.596316531073334</v>
      </c>
      <c r="F152" s="7">
        <f>INDEX('2017 Lockdown Update'!E$5:E$249,MATCH(B152,'2017 Lockdown Update'!B$5:B$249,0))</f>
        <v>21138.42</v>
      </c>
      <c r="G152" s="7">
        <f>INDEX('2017 Lockdown Update'!F$5:F$249,MATCH(B152,'2017 Lockdown Update'!B$5:B$249,0))</f>
        <v>0</v>
      </c>
      <c r="H152" s="7">
        <f t="shared" si="27"/>
        <v>21138.42</v>
      </c>
      <c r="I152" s="6">
        <f t="shared" si="28"/>
        <v>508.18009292263048</v>
      </c>
      <c r="J152" s="6">
        <f t="shared" si="36"/>
        <v>508.18009292263048</v>
      </c>
      <c r="K152" s="5">
        <f t="shared" si="29"/>
        <v>21138.42</v>
      </c>
      <c r="L152" s="4">
        <f t="shared" si="30"/>
        <v>0</v>
      </c>
      <c r="M152" s="2">
        <f t="shared" si="31"/>
        <v>433.76681471562551</v>
      </c>
      <c r="N152" s="1">
        <f t="shared" si="32"/>
        <v>61</v>
      </c>
      <c r="O152" s="3">
        <f t="shared" si="33"/>
        <v>5537.3359735131198</v>
      </c>
      <c r="P152" s="2">
        <f t="shared" si="34"/>
        <v>132.87956330444399</v>
      </c>
      <c r="Q152" s="2">
        <f t="shared" si="37"/>
        <v>263.47480233393242</v>
      </c>
      <c r="R152" s="2">
        <f t="shared" si="37"/>
        <v>604.05882709731861</v>
      </c>
      <c r="S152" s="2">
        <f t="shared" si="35"/>
        <v>508.18009292263048</v>
      </c>
    </row>
    <row r="153" spans="2:19" x14ac:dyDescent="0.25">
      <c r="B153" s="10">
        <v>736</v>
      </c>
      <c r="C153" s="10">
        <v>7</v>
      </c>
      <c r="D153" s="198" t="s">
        <v>446</v>
      </c>
      <c r="E153" s="162">
        <f>INDEX('2017 Lockdown Update'!H$5:H$249,MATCH(B153,'2017 Lockdown Update'!B$5:B$249,0))</f>
        <v>139.26018147577855</v>
      </c>
      <c r="F153" s="7">
        <f>INDEX('2017 Lockdown Update'!E$5:E$249,MATCH(B153,'2017 Lockdown Update'!B$5:B$249,0))</f>
        <v>50940.17</v>
      </c>
      <c r="G153" s="7">
        <f>INDEX('2017 Lockdown Update'!F$5:F$249,MATCH(B153,'2017 Lockdown Update'!B$5:B$249,0))</f>
        <v>0</v>
      </c>
      <c r="H153" s="7">
        <f t="shared" si="27"/>
        <v>50940.17</v>
      </c>
      <c r="I153" s="6">
        <f t="shared" si="28"/>
        <v>365.79135155629535</v>
      </c>
      <c r="J153" s="6">
        <f t="shared" si="36"/>
        <v>365.79135155629535</v>
      </c>
      <c r="K153" s="5">
        <f t="shared" si="29"/>
        <v>50940.170000000006</v>
      </c>
      <c r="L153" s="4">
        <f t="shared" si="30"/>
        <v>0</v>
      </c>
      <c r="M153" s="2">
        <f t="shared" si="31"/>
        <v>433.76681471562551</v>
      </c>
      <c r="N153" s="1">
        <f t="shared" si="32"/>
        <v>61</v>
      </c>
      <c r="O153" s="3">
        <f t="shared" si="33"/>
        <v>4620.6635917254516</v>
      </c>
      <c r="P153" s="2">
        <f t="shared" si="34"/>
        <v>132.87956330444399</v>
      </c>
      <c r="Q153" s="2">
        <f t="shared" si="37"/>
        <v>263.47480233393242</v>
      </c>
      <c r="R153" s="2">
        <f t="shared" si="37"/>
        <v>604.05882709731861</v>
      </c>
      <c r="S153" s="2">
        <f t="shared" si="35"/>
        <v>365.79135155629535</v>
      </c>
    </row>
    <row r="154" spans="2:19" x14ac:dyDescent="0.25">
      <c r="B154" s="10">
        <v>757</v>
      </c>
      <c r="C154" s="10">
        <v>7</v>
      </c>
      <c r="D154" s="198" t="s">
        <v>447</v>
      </c>
      <c r="E154" s="162">
        <f>INDEX('2017 Lockdown Update'!H$5:H$249,MATCH(B154,'2017 Lockdown Update'!B$5:B$249,0))</f>
        <v>451.19999999999993</v>
      </c>
      <c r="F154" s="7">
        <f>INDEX('2017 Lockdown Update'!E$5:E$249,MATCH(B154,'2017 Lockdown Update'!B$5:B$249,0))</f>
        <v>297694.98</v>
      </c>
      <c r="G154" s="7">
        <f>INDEX('2017 Lockdown Update'!F$5:F$249,MATCH(B154,'2017 Lockdown Update'!B$5:B$249,0))</f>
        <v>55134</v>
      </c>
      <c r="H154" s="7">
        <f t="shared" si="27"/>
        <v>242560.97999999998</v>
      </c>
      <c r="I154" s="6">
        <f t="shared" si="28"/>
        <v>537.5908244680852</v>
      </c>
      <c r="J154" s="6">
        <f t="shared" si="36"/>
        <v>537.5908244680852</v>
      </c>
      <c r="K154" s="5">
        <f t="shared" si="29"/>
        <v>242560.98</v>
      </c>
      <c r="L154" s="4">
        <f t="shared" si="30"/>
        <v>0</v>
      </c>
      <c r="M154" s="2">
        <f t="shared" si="31"/>
        <v>433.76681471562551</v>
      </c>
      <c r="N154" s="1">
        <f t="shared" si="32"/>
        <v>61</v>
      </c>
      <c r="O154" s="3">
        <f t="shared" si="33"/>
        <v>10779.425001078844</v>
      </c>
      <c r="P154" s="2">
        <f t="shared" si="34"/>
        <v>132.87956330444399</v>
      </c>
      <c r="Q154" s="2">
        <f t="shared" si="37"/>
        <v>263.47480233393242</v>
      </c>
      <c r="R154" s="2">
        <f t="shared" si="37"/>
        <v>604.05882709731861</v>
      </c>
      <c r="S154" s="2">
        <f t="shared" si="35"/>
        <v>537.5908244680852</v>
      </c>
    </row>
    <row r="155" spans="2:19" x14ac:dyDescent="0.25">
      <c r="B155" s="10">
        <v>786</v>
      </c>
      <c r="C155" s="10">
        <v>7</v>
      </c>
      <c r="D155" s="198" t="s">
        <v>448</v>
      </c>
      <c r="E155" s="162">
        <f>INDEX('2017 Lockdown Update'!H$5:H$249,MATCH(B155,'2017 Lockdown Update'!B$5:B$249,0))</f>
        <v>3074.8799999999992</v>
      </c>
      <c r="F155" s="7">
        <f>INDEX('2017 Lockdown Update'!E$5:E$249,MATCH(B155,'2017 Lockdown Update'!B$5:B$249,0))</f>
        <v>1542106.66</v>
      </c>
      <c r="G155" s="7">
        <f>INDEX('2017 Lockdown Update'!F$5:F$249,MATCH(B155,'2017 Lockdown Update'!B$5:B$249,0))</f>
        <v>369767.38</v>
      </c>
      <c r="H155" s="7">
        <f t="shared" si="27"/>
        <v>1172339.2799999998</v>
      </c>
      <c r="I155" s="6">
        <f t="shared" si="28"/>
        <v>381.263424914143</v>
      </c>
      <c r="J155" s="6">
        <f t="shared" si="36"/>
        <v>381.263424914143</v>
      </c>
      <c r="K155" s="5">
        <f t="shared" si="29"/>
        <v>1172339.2799999998</v>
      </c>
      <c r="L155" s="4">
        <f t="shared" si="30"/>
        <v>0</v>
      </c>
      <c r="M155" s="2">
        <f t="shared" si="31"/>
        <v>433.76681471562551</v>
      </c>
      <c r="N155" s="1">
        <f t="shared" si="32"/>
        <v>61</v>
      </c>
      <c r="O155" s="3">
        <f t="shared" si="33"/>
        <v>2756.6059406464178</v>
      </c>
      <c r="P155" s="2">
        <f t="shared" si="34"/>
        <v>132.87956330444399</v>
      </c>
      <c r="Q155" s="2">
        <f t="shared" si="37"/>
        <v>263.47480233393242</v>
      </c>
      <c r="R155" s="2">
        <f t="shared" si="37"/>
        <v>604.05882709731861</v>
      </c>
      <c r="S155" s="2">
        <f t="shared" si="35"/>
        <v>381.263424914143</v>
      </c>
    </row>
    <row r="156" spans="2:19" x14ac:dyDescent="0.25">
      <c r="B156" s="10">
        <v>854</v>
      </c>
      <c r="C156" s="10">
        <v>7</v>
      </c>
      <c r="D156" s="198" t="s">
        <v>449</v>
      </c>
      <c r="E156" s="162">
        <f>INDEX('2017 Lockdown Update'!H$5:H$249,MATCH(B156,'2017 Lockdown Update'!B$5:B$249,0))</f>
        <v>831.67</v>
      </c>
      <c r="F156" s="7">
        <f>INDEX('2017 Lockdown Update'!E$5:E$249,MATCH(B156,'2017 Lockdown Update'!B$5:B$249,0))</f>
        <v>485829.07</v>
      </c>
      <c r="G156" s="7">
        <f>INDEX('2017 Lockdown Update'!F$5:F$249,MATCH(B156,'2017 Lockdown Update'!B$5:B$249,0))</f>
        <v>31273.13</v>
      </c>
      <c r="H156" s="7">
        <f t="shared" si="27"/>
        <v>454555.94</v>
      </c>
      <c r="I156" s="6">
        <f t="shared" si="28"/>
        <v>546.55805788353553</v>
      </c>
      <c r="J156" s="6">
        <f t="shared" si="36"/>
        <v>546.55805788353553</v>
      </c>
      <c r="K156" s="5">
        <f t="shared" si="29"/>
        <v>454555.93999999994</v>
      </c>
      <c r="L156" s="4">
        <f t="shared" si="30"/>
        <v>0</v>
      </c>
      <c r="M156" s="2">
        <f t="shared" si="31"/>
        <v>433.76681471562551</v>
      </c>
      <c r="N156" s="1">
        <f t="shared" si="32"/>
        <v>61</v>
      </c>
      <c r="O156" s="3">
        <f t="shared" si="33"/>
        <v>12721.864535362607</v>
      </c>
      <c r="P156" s="2">
        <f t="shared" si="34"/>
        <v>132.87956330444399</v>
      </c>
      <c r="Q156" s="2">
        <f t="shared" si="37"/>
        <v>263.47480233393242</v>
      </c>
      <c r="R156" s="2">
        <f t="shared" si="37"/>
        <v>604.05882709731861</v>
      </c>
      <c r="S156" s="2">
        <f t="shared" si="35"/>
        <v>546.55805788353553</v>
      </c>
    </row>
    <row r="157" spans="2:19" x14ac:dyDescent="0.25">
      <c r="B157" s="10">
        <v>855</v>
      </c>
      <c r="C157" s="10">
        <v>7</v>
      </c>
      <c r="D157" s="198" t="s">
        <v>450</v>
      </c>
      <c r="E157" s="162">
        <f>INDEX('2017 Lockdown Update'!H$5:H$249,MATCH(B157,'2017 Lockdown Update'!B$5:B$249,0))</f>
        <v>235.38</v>
      </c>
      <c r="F157" s="7">
        <f>INDEX('2017 Lockdown Update'!E$5:E$249,MATCH(B157,'2017 Lockdown Update'!B$5:B$249,0))</f>
        <v>130165.58</v>
      </c>
      <c r="G157" s="7">
        <f>INDEX('2017 Lockdown Update'!F$5:F$249,MATCH(B157,'2017 Lockdown Update'!B$5:B$249,0))</f>
        <v>8084</v>
      </c>
      <c r="H157" s="7">
        <f t="shared" si="27"/>
        <v>122081.58</v>
      </c>
      <c r="I157" s="6">
        <f t="shared" si="28"/>
        <v>518.65740504715779</v>
      </c>
      <c r="J157" s="6">
        <f t="shared" si="36"/>
        <v>518.65740504715779</v>
      </c>
      <c r="K157" s="5">
        <f t="shared" si="29"/>
        <v>122081.58</v>
      </c>
      <c r="L157" s="4">
        <f t="shared" si="30"/>
        <v>0</v>
      </c>
      <c r="M157" s="2">
        <f t="shared" si="31"/>
        <v>433.76681471562551</v>
      </c>
      <c r="N157" s="1">
        <f t="shared" si="32"/>
        <v>61</v>
      </c>
      <c r="O157" s="3">
        <f t="shared" si="33"/>
        <v>7206.4123268360418</v>
      </c>
      <c r="P157" s="2">
        <f t="shared" si="34"/>
        <v>132.87956330444399</v>
      </c>
      <c r="Q157" s="2">
        <f t="shared" si="37"/>
        <v>263.47480233393242</v>
      </c>
      <c r="R157" s="2">
        <f t="shared" si="37"/>
        <v>604.05882709731861</v>
      </c>
      <c r="S157" s="2">
        <f t="shared" si="35"/>
        <v>518.65740504715779</v>
      </c>
    </row>
    <row r="158" spans="2:19" x14ac:dyDescent="0.25">
      <c r="B158" s="10">
        <v>862</v>
      </c>
      <c r="C158" s="10">
        <v>7</v>
      </c>
      <c r="D158" s="198" t="s">
        <v>451</v>
      </c>
      <c r="E158" s="162">
        <f>INDEX('2017 Lockdown Update'!H$5:H$249,MATCH(B158,'2017 Lockdown Update'!B$5:B$249,0))</f>
        <v>13.661113692780718</v>
      </c>
      <c r="F158" s="7">
        <f>INDEX('2017 Lockdown Update'!E$5:E$249,MATCH(B158,'2017 Lockdown Update'!B$5:B$249,0))</f>
        <v>10279.34</v>
      </c>
      <c r="G158" s="7">
        <f>INDEX('2017 Lockdown Update'!F$5:F$249,MATCH(B158,'2017 Lockdown Update'!B$5:B$249,0))</f>
        <v>7583.34</v>
      </c>
      <c r="H158" s="7">
        <f t="shared" si="27"/>
        <v>2696</v>
      </c>
      <c r="I158" s="6">
        <f t="shared" si="28"/>
        <v>197.3484783619592</v>
      </c>
      <c r="J158" s="6">
        <f t="shared" si="36"/>
        <v>197.3484783619592</v>
      </c>
      <c r="K158" s="5">
        <f t="shared" si="29"/>
        <v>2696</v>
      </c>
      <c r="L158" s="4">
        <f t="shared" si="30"/>
        <v>0</v>
      </c>
      <c r="M158" s="2">
        <f t="shared" si="31"/>
        <v>433.76681471562551</v>
      </c>
      <c r="N158" s="1">
        <f t="shared" si="32"/>
        <v>61</v>
      </c>
      <c r="O158" s="3">
        <f t="shared" si="33"/>
        <v>55893.629764235302</v>
      </c>
      <c r="P158" s="2">
        <f t="shared" si="34"/>
        <v>132.87956330444399</v>
      </c>
      <c r="Q158" s="2">
        <f t="shared" si="37"/>
        <v>263.47480233393242</v>
      </c>
      <c r="R158" s="2">
        <f t="shared" si="37"/>
        <v>604.05882709731861</v>
      </c>
      <c r="S158" s="2">
        <f t="shared" si="35"/>
        <v>263.47480233393242</v>
      </c>
    </row>
    <row r="159" spans="2:19" x14ac:dyDescent="0.25">
      <c r="B159" s="10">
        <v>958</v>
      </c>
      <c r="C159" s="10">
        <v>7</v>
      </c>
      <c r="D159" s="198" t="s">
        <v>452</v>
      </c>
      <c r="E159" s="162">
        <f>INDEX('2017 Lockdown Update'!H$5:H$249,MATCH(B159,'2017 Lockdown Update'!B$5:B$249,0))</f>
        <v>546.78810980277444</v>
      </c>
      <c r="F159" s="7">
        <f>INDEX('2017 Lockdown Update'!E$5:E$249,MATCH(B159,'2017 Lockdown Update'!B$5:B$249,0))</f>
        <v>140218.67000000001</v>
      </c>
      <c r="G159" s="7">
        <f>INDEX('2017 Lockdown Update'!F$5:F$249,MATCH(B159,'2017 Lockdown Update'!B$5:B$249,0))</f>
        <v>354.28</v>
      </c>
      <c r="H159" s="7">
        <f t="shared" si="27"/>
        <v>139864.39000000001</v>
      </c>
      <c r="I159" s="6">
        <f t="shared" si="28"/>
        <v>255.7926690294141</v>
      </c>
      <c r="J159" s="6">
        <f t="shared" si="36"/>
        <v>255.7926690294141</v>
      </c>
      <c r="K159" s="5">
        <f t="shared" si="29"/>
        <v>139864.39000000001</v>
      </c>
      <c r="L159" s="4">
        <f t="shared" si="30"/>
        <v>0</v>
      </c>
      <c r="M159" s="2">
        <f t="shared" si="31"/>
        <v>433.76681471562551</v>
      </c>
      <c r="N159" s="1">
        <f t="shared" si="32"/>
        <v>61</v>
      </c>
      <c r="O159" s="3">
        <f t="shared" si="33"/>
        <v>31674.796532736804</v>
      </c>
      <c r="P159" s="2">
        <f t="shared" si="34"/>
        <v>132.87956330444399</v>
      </c>
      <c r="Q159" s="2">
        <f t="shared" si="37"/>
        <v>263.47480233393242</v>
      </c>
      <c r="R159" s="2">
        <f t="shared" si="37"/>
        <v>604.05882709731861</v>
      </c>
      <c r="S159" s="2">
        <f t="shared" si="35"/>
        <v>263.47480233393242</v>
      </c>
    </row>
    <row r="160" spans="2:19" x14ac:dyDescent="0.25">
      <c r="B160" s="10">
        <v>967</v>
      </c>
      <c r="C160" s="10">
        <v>7</v>
      </c>
      <c r="D160" s="198" t="s">
        <v>453</v>
      </c>
      <c r="E160" s="162">
        <f>INDEX('2017 Lockdown Update'!H$5:H$249,MATCH(B160,'2017 Lockdown Update'!B$5:B$249,0))</f>
        <v>164.34925526629246</v>
      </c>
      <c r="F160" s="7">
        <f>INDEX('2017 Lockdown Update'!E$5:E$249,MATCH(B160,'2017 Lockdown Update'!B$5:B$249,0))</f>
        <v>78031.91</v>
      </c>
      <c r="G160" s="7">
        <f>INDEX('2017 Lockdown Update'!F$5:F$249,MATCH(B160,'2017 Lockdown Update'!B$5:B$249,0))</f>
        <v>0</v>
      </c>
      <c r="H160" s="7">
        <f t="shared" si="27"/>
        <v>78031.91</v>
      </c>
      <c r="I160" s="6">
        <f t="shared" si="28"/>
        <v>474.79320714636737</v>
      </c>
      <c r="J160" s="6">
        <f t="shared" si="36"/>
        <v>474.79320714636737</v>
      </c>
      <c r="K160" s="5">
        <f t="shared" si="29"/>
        <v>78031.91</v>
      </c>
      <c r="L160" s="4">
        <f t="shared" si="30"/>
        <v>0</v>
      </c>
      <c r="M160" s="2">
        <f t="shared" si="31"/>
        <v>433.76681471562551</v>
      </c>
      <c r="N160" s="1">
        <f t="shared" si="32"/>
        <v>61</v>
      </c>
      <c r="O160" s="3">
        <f t="shared" si="33"/>
        <v>1683.1648758812323</v>
      </c>
      <c r="P160" s="2">
        <f t="shared" si="34"/>
        <v>132.87956330444399</v>
      </c>
      <c r="Q160" s="2">
        <f t="shared" si="37"/>
        <v>263.47480233393242</v>
      </c>
      <c r="R160" s="2">
        <f t="shared" si="37"/>
        <v>604.05882709731861</v>
      </c>
      <c r="S160" s="2">
        <f t="shared" si="35"/>
        <v>474.79320714636737</v>
      </c>
    </row>
    <row r="161" spans="2:19" x14ac:dyDescent="0.25">
      <c r="B161" s="10">
        <v>971</v>
      </c>
      <c r="C161" s="10">
        <v>7</v>
      </c>
      <c r="D161" s="198" t="s">
        <v>454</v>
      </c>
      <c r="E161" s="162">
        <f>INDEX('2017 Lockdown Update'!H$5:H$249,MATCH(B161,'2017 Lockdown Update'!B$5:B$249,0))</f>
        <v>998.46</v>
      </c>
      <c r="F161" s="7">
        <f>INDEX('2017 Lockdown Update'!E$5:E$249,MATCH(B161,'2017 Lockdown Update'!B$5:B$249,0))</f>
        <v>514125.27</v>
      </c>
      <c r="G161" s="7">
        <f>INDEX('2017 Lockdown Update'!F$5:F$249,MATCH(B161,'2017 Lockdown Update'!B$5:B$249,0))</f>
        <v>183938.21</v>
      </c>
      <c r="H161" s="7">
        <f t="shared" si="27"/>
        <v>330187.06000000006</v>
      </c>
      <c r="I161" s="6">
        <f t="shared" si="28"/>
        <v>330.69633235182187</v>
      </c>
      <c r="J161" s="6">
        <f t="shared" si="36"/>
        <v>330.69633235182187</v>
      </c>
      <c r="K161" s="5">
        <f t="shared" si="29"/>
        <v>330187.06000000006</v>
      </c>
      <c r="L161" s="4">
        <f t="shared" si="30"/>
        <v>0</v>
      </c>
      <c r="M161" s="2">
        <f t="shared" si="31"/>
        <v>433.76681471562551</v>
      </c>
      <c r="N161" s="1">
        <f t="shared" si="32"/>
        <v>61</v>
      </c>
      <c r="O161" s="3">
        <f t="shared" si="33"/>
        <v>10623.524334707159</v>
      </c>
      <c r="P161" s="2">
        <f t="shared" si="34"/>
        <v>132.87956330444399</v>
      </c>
      <c r="Q161" s="2">
        <f t="shared" si="37"/>
        <v>263.47480233393242</v>
      </c>
      <c r="R161" s="2">
        <f t="shared" si="37"/>
        <v>604.05882709731861</v>
      </c>
      <c r="S161" s="2">
        <f t="shared" si="35"/>
        <v>330.69633235182187</v>
      </c>
    </row>
    <row r="162" spans="2:19" x14ac:dyDescent="0.25">
      <c r="B162" s="10">
        <v>975</v>
      </c>
      <c r="C162" s="10">
        <v>7</v>
      </c>
      <c r="D162" s="198" t="s">
        <v>455</v>
      </c>
      <c r="E162" s="162">
        <f>INDEX('2017 Lockdown Update'!H$5:H$249,MATCH(B162,'2017 Lockdown Update'!B$5:B$249,0))</f>
        <v>44.57792750117175</v>
      </c>
      <c r="F162" s="7">
        <f>INDEX('2017 Lockdown Update'!E$5:E$249,MATCH(B162,'2017 Lockdown Update'!B$5:B$249,0))</f>
        <v>28116.78</v>
      </c>
      <c r="G162" s="7">
        <f>INDEX('2017 Lockdown Update'!F$5:F$249,MATCH(B162,'2017 Lockdown Update'!B$5:B$249,0))</f>
        <v>0</v>
      </c>
      <c r="H162" s="7">
        <f t="shared" si="27"/>
        <v>28116.78</v>
      </c>
      <c r="I162" s="6">
        <f t="shared" si="28"/>
        <v>630.73322552424486</v>
      </c>
      <c r="J162" s="6">
        <f t="shared" si="36"/>
        <v>604.05882709731861</v>
      </c>
      <c r="K162" s="5">
        <f t="shared" si="29"/>
        <v>26927.690600787111</v>
      </c>
      <c r="L162" s="4">
        <f t="shared" si="30"/>
        <v>0</v>
      </c>
      <c r="M162" s="2">
        <f t="shared" si="31"/>
        <v>433.76681471562551</v>
      </c>
      <c r="N162" s="1">
        <f t="shared" si="32"/>
        <v>61</v>
      </c>
      <c r="O162" s="3">
        <f t="shared" si="33"/>
        <v>38795.766986829796</v>
      </c>
      <c r="P162" s="2">
        <f t="shared" si="34"/>
        <v>132.87956330444399</v>
      </c>
      <c r="Q162" s="2">
        <f t="shared" si="37"/>
        <v>263.47480233393242</v>
      </c>
      <c r="R162" s="2">
        <f t="shared" si="37"/>
        <v>604.05882709731861</v>
      </c>
      <c r="S162" s="2">
        <f t="shared" si="35"/>
        <v>604.05882709731861</v>
      </c>
    </row>
    <row r="163" spans="2:19" x14ac:dyDescent="0.25">
      <c r="B163" s="10">
        <v>976</v>
      </c>
      <c r="C163" s="10">
        <v>7</v>
      </c>
      <c r="D163" s="39" t="s">
        <v>456</v>
      </c>
      <c r="E163" s="162">
        <f>INDEX('2017 Lockdown Update'!H$5:H$249,MATCH(B163,'2017 Lockdown Update'!B$5:B$249,0))</f>
        <v>26.241426249095088</v>
      </c>
      <c r="F163" s="7">
        <f>INDEX('2017 Lockdown Update'!E$5:E$249,MATCH(B163,'2017 Lockdown Update'!B$5:B$249,0))</f>
        <v>18946.21</v>
      </c>
      <c r="G163" s="7">
        <f>INDEX('2017 Lockdown Update'!F$5:F$249,MATCH(B163,'2017 Lockdown Update'!B$5:B$249,0))</f>
        <v>0</v>
      </c>
      <c r="H163" s="7">
        <f t="shared" si="27"/>
        <v>18946.21</v>
      </c>
      <c r="I163" s="6">
        <f t="shared" si="28"/>
        <v>721.99619868807019</v>
      </c>
      <c r="J163" s="6">
        <f t="shared" si="36"/>
        <v>604.05882709731861</v>
      </c>
      <c r="K163" s="5">
        <f t="shared" si="29"/>
        <v>15851.365161389169</v>
      </c>
      <c r="L163" s="4">
        <f t="shared" si="30"/>
        <v>0</v>
      </c>
      <c r="M163" s="2">
        <f t="shared" si="31"/>
        <v>433.76681471562551</v>
      </c>
      <c r="N163" s="1">
        <f t="shared" si="32"/>
        <v>61</v>
      </c>
      <c r="O163" s="3">
        <f t="shared" si="33"/>
        <v>83076.177785134947</v>
      </c>
      <c r="P163" s="2">
        <f t="shared" si="34"/>
        <v>132.87956330444399</v>
      </c>
      <c r="Q163" s="2">
        <f t="shared" si="37"/>
        <v>263.47480233393242</v>
      </c>
      <c r="R163" s="2">
        <f t="shared" si="37"/>
        <v>604.05882709731861</v>
      </c>
      <c r="S163" s="2">
        <f t="shared" si="35"/>
        <v>604.05882709731861</v>
      </c>
    </row>
    <row r="164" spans="2:19" x14ac:dyDescent="0.25">
      <c r="B164" s="10">
        <v>977</v>
      </c>
      <c r="C164" s="10">
        <v>7</v>
      </c>
      <c r="D164" s="198" t="s">
        <v>457</v>
      </c>
      <c r="E164" s="162">
        <f>INDEX('2017 Lockdown Update'!H$5:H$249,MATCH(B164,'2017 Lockdown Update'!B$5:B$249,0))</f>
        <v>38.56595987754006</v>
      </c>
      <c r="F164" s="7">
        <f>INDEX('2017 Lockdown Update'!E$5:E$249,MATCH(B164,'2017 Lockdown Update'!B$5:B$249,0))</f>
        <v>31092.49</v>
      </c>
      <c r="G164" s="7">
        <f>INDEX('2017 Lockdown Update'!F$5:F$249,MATCH(B164,'2017 Lockdown Update'!B$5:B$249,0))</f>
        <v>0</v>
      </c>
      <c r="H164" s="7">
        <f t="shared" si="27"/>
        <v>31092.49</v>
      </c>
      <c r="I164" s="6">
        <f t="shared" si="28"/>
        <v>806.21589865075714</v>
      </c>
      <c r="J164" s="6">
        <f t="shared" si="36"/>
        <v>604.05882709731861</v>
      </c>
      <c r="K164" s="5">
        <f t="shared" si="29"/>
        <v>23296.108489509097</v>
      </c>
      <c r="L164" s="4">
        <f t="shared" si="30"/>
        <v>0</v>
      </c>
      <c r="M164" s="2">
        <f t="shared" si="31"/>
        <v>433.76681471562551</v>
      </c>
      <c r="N164" s="1">
        <f t="shared" si="32"/>
        <v>61</v>
      </c>
      <c r="O164" s="3">
        <f t="shared" si="33"/>
        <v>138718.32012411873</v>
      </c>
      <c r="P164" s="2">
        <f t="shared" si="34"/>
        <v>132.87956330444399</v>
      </c>
      <c r="Q164" s="2">
        <f t="shared" si="37"/>
        <v>263.47480233393242</v>
      </c>
      <c r="R164" s="2">
        <f t="shared" si="37"/>
        <v>604.05882709731861</v>
      </c>
      <c r="S164" s="2">
        <f t="shared" si="35"/>
        <v>604.05882709731861</v>
      </c>
    </row>
    <row r="165" spans="2:19" x14ac:dyDescent="0.25">
      <c r="B165" s="47">
        <v>981</v>
      </c>
      <c r="C165" s="47">
        <v>7</v>
      </c>
      <c r="D165" s="199" t="s">
        <v>458</v>
      </c>
      <c r="E165" s="162">
        <f>INDEX('2017 Lockdown Update'!H$5:H$249,MATCH(B165,'2017 Lockdown Update'!B$5:B$249,0))</f>
        <v>106.73027607099695</v>
      </c>
      <c r="F165" s="7">
        <f>INDEX('2017 Lockdown Update'!E$5:E$249,MATCH(B165,'2017 Lockdown Update'!B$5:B$249,0))</f>
        <v>175857.35</v>
      </c>
      <c r="G165" s="7">
        <f>INDEX('2017 Lockdown Update'!F$5:F$249,MATCH(B165,'2017 Lockdown Update'!B$5:B$249,0))</f>
        <v>0</v>
      </c>
      <c r="H165" s="7">
        <f t="shared" si="27"/>
        <v>175857.35</v>
      </c>
      <c r="I165" s="6">
        <f t="shared" si="28"/>
        <v>1647.68008173257</v>
      </c>
      <c r="J165" s="6">
        <f t="shared" si="36"/>
        <v>604.05882709731861</v>
      </c>
      <c r="K165" s="5">
        <f t="shared" si="29"/>
        <v>64471.365379219431</v>
      </c>
      <c r="L165" s="4">
        <f t="shared" si="30"/>
        <v>0</v>
      </c>
      <c r="M165" s="2">
        <f t="shared" si="31"/>
        <v>433.76681471562551</v>
      </c>
      <c r="N165" s="1">
        <f t="shared" si="32"/>
        <v>61</v>
      </c>
      <c r="O165" s="3">
        <f t="shared" si="33"/>
        <v>1473585.4198397514</v>
      </c>
      <c r="P165" s="2">
        <f t="shared" si="34"/>
        <v>132.87956330444399</v>
      </c>
      <c r="Q165" s="2">
        <f t="shared" si="37"/>
        <v>263.47480233393242</v>
      </c>
      <c r="R165" s="2">
        <f t="shared" si="37"/>
        <v>604.05882709731861</v>
      </c>
      <c r="S165" s="2">
        <f t="shared" si="35"/>
        <v>604.05882709731861</v>
      </c>
    </row>
    <row r="166" spans="2:19" x14ac:dyDescent="0.25">
      <c r="B166" s="47">
        <v>983</v>
      </c>
      <c r="C166" s="47">
        <v>7</v>
      </c>
      <c r="D166" s="199" t="s">
        <v>459</v>
      </c>
      <c r="E166" s="162">
        <f>INDEX('2017 Lockdown Update'!H$5:H$249,MATCH(B166,'2017 Lockdown Update'!B$5:B$249,0))</f>
        <v>130.98756795566317</v>
      </c>
      <c r="F166" s="7">
        <f>INDEX('2017 Lockdown Update'!E$5:E$249,MATCH(B166,'2017 Lockdown Update'!B$5:B$249,0))</f>
        <v>30365.53</v>
      </c>
      <c r="G166" s="7">
        <f>INDEX('2017 Lockdown Update'!F$5:F$249,MATCH(B166,'2017 Lockdown Update'!B$5:B$249,0))</f>
        <v>300</v>
      </c>
      <c r="H166" s="7">
        <f t="shared" si="27"/>
        <v>30065.53</v>
      </c>
      <c r="I166" s="6">
        <f t="shared" si="28"/>
        <v>229.52964521164799</v>
      </c>
      <c r="J166" s="6">
        <f t="shared" si="36"/>
        <v>229.52964521164799</v>
      </c>
      <c r="K166" s="5">
        <f t="shared" si="29"/>
        <v>30065.53</v>
      </c>
      <c r="L166" s="4">
        <f t="shared" si="30"/>
        <v>0</v>
      </c>
      <c r="M166" s="2">
        <f t="shared" si="31"/>
        <v>433.76681471562551</v>
      </c>
      <c r="N166" s="1">
        <f t="shared" si="32"/>
        <v>61</v>
      </c>
      <c r="O166" s="3">
        <f t="shared" si="33"/>
        <v>41712.821406996445</v>
      </c>
      <c r="P166" s="2">
        <f t="shared" si="34"/>
        <v>132.87956330444399</v>
      </c>
      <c r="Q166" s="2">
        <f t="shared" ref="Q166:R185" si="38">NORMINV(Q$4,$M166,$P166)</f>
        <v>263.47480233393242</v>
      </c>
      <c r="R166" s="2">
        <f t="shared" si="38"/>
        <v>604.05882709731861</v>
      </c>
      <c r="S166" s="2">
        <f t="shared" si="35"/>
        <v>263.47480233393242</v>
      </c>
    </row>
    <row r="167" spans="2:19" x14ac:dyDescent="0.25">
      <c r="B167" s="47">
        <v>188</v>
      </c>
      <c r="C167" s="47">
        <v>8</v>
      </c>
      <c r="D167" s="199" t="s">
        <v>460</v>
      </c>
      <c r="E167" s="162">
        <f>INDEX('2017 Lockdown Update'!H$5:H$249,MATCH(B167,'2017 Lockdown Update'!B$5:B$249,0))</f>
        <v>291.43</v>
      </c>
      <c r="F167" s="7">
        <f>INDEX('2017 Lockdown Update'!E$5:E$249,MATCH(B167,'2017 Lockdown Update'!B$5:B$249,0))</f>
        <v>224188.27</v>
      </c>
      <c r="G167" s="7">
        <f>INDEX('2017 Lockdown Update'!F$5:F$249,MATCH(B167,'2017 Lockdown Update'!B$5:B$249,0))</f>
        <v>33999</v>
      </c>
      <c r="H167" s="7">
        <f t="shared" si="27"/>
        <v>190189.27</v>
      </c>
      <c r="I167" s="6">
        <f t="shared" si="28"/>
        <v>652.60704114195516</v>
      </c>
      <c r="J167" s="6">
        <f t="shared" si="36"/>
        <v>652.60704114195516</v>
      </c>
      <c r="K167" s="5">
        <f t="shared" si="29"/>
        <v>190189.27</v>
      </c>
      <c r="L167" s="4">
        <f t="shared" si="30"/>
        <v>0</v>
      </c>
      <c r="M167" s="2">
        <f t="shared" si="31"/>
        <v>800.14056464366138</v>
      </c>
      <c r="N167" s="1">
        <f t="shared" si="32"/>
        <v>52</v>
      </c>
      <c r="O167" s="3">
        <f t="shared" si="33"/>
        <v>21766.140556828501</v>
      </c>
      <c r="P167" s="2">
        <f t="shared" si="34"/>
        <v>738.84825375578669</v>
      </c>
      <c r="Q167" s="2">
        <f t="shared" si="38"/>
        <v>-146.73157165696136</v>
      </c>
      <c r="R167" s="2">
        <f t="shared" si="38"/>
        <v>1747.012700944284</v>
      </c>
      <c r="S167" s="2">
        <f t="shared" si="35"/>
        <v>652.60704114195516</v>
      </c>
    </row>
    <row r="168" spans="2:19" x14ac:dyDescent="0.25">
      <c r="B168" s="10">
        <v>232</v>
      </c>
      <c r="C168" s="10">
        <v>8</v>
      </c>
      <c r="D168" s="198" t="s">
        <v>461</v>
      </c>
      <c r="E168" s="162">
        <f>INDEX('2017 Lockdown Update'!H$5:H$249,MATCH(B168,'2017 Lockdown Update'!B$5:B$249,0))</f>
        <v>100.04889750119882</v>
      </c>
      <c r="F168" s="7">
        <f>INDEX('2017 Lockdown Update'!E$5:E$249,MATCH(B168,'2017 Lockdown Update'!B$5:B$249,0))</f>
        <v>85300.54</v>
      </c>
      <c r="G168" s="7">
        <f>INDEX('2017 Lockdown Update'!F$5:F$249,MATCH(B168,'2017 Lockdown Update'!B$5:B$249,0))</f>
        <v>0</v>
      </c>
      <c r="H168" s="7">
        <f t="shared" si="27"/>
        <v>85300.54</v>
      </c>
      <c r="I168" s="6">
        <f t="shared" si="28"/>
        <v>852.58850552528963</v>
      </c>
      <c r="J168" s="6">
        <f t="shared" si="36"/>
        <v>852.58850552528963</v>
      </c>
      <c r="K168" s="5">
        <f t="shared" si="29"/>
        <v>85300.54</v>
      </c>
      <c r="L168" s="4">
        <f t="shared" si="30"/>
        <v>0</v>
      </c>
      <c r="M168" s="2">
        <f t="shared" si="31"/>
        <v>800.14056464366138</v>
      </c>
      <c r="N168" s="1">
        <f t="shared" si="32"/>
        <v>52</v>
      </c>
      <c r="O168" s="3">
        <f t="shared" si="33"/>
        <v>2750.7865027227726</v>
      </c>
      <c r="P168" s="2">
        <f t="shared" si="34"/>
        <v>738.84825375578669</v>
      </c>
      <c r="Q168" s="2">
        <f t="shared" si="38"/>
        <v>-146.73157165696136</v>
      </c>
      <c r="R168" s="2">
        <f t="shared" si="38"/>
        <v>1747.012700944284</v>
      </c>
      <c r="S168" s="2">
        <f t="shared" si="35"/>
        <v>852.58850552528963</v>
      </c>
    </row>
    <row r="169" spans="2:19" x14ac:dyDescent="0.25">
      <c r="B169" s="10">
        <v>245</v>
      </c>
      <c r="C169" s="10">
        <v>8</v>
      </c>
      <c r="D169" s="198" t="s">
        <v>462</v>
      </c>
      <c r="E169" s="162">
        <f>INDEX('2017 Lockdown Update'!H$5:H$249,MATCH(B169,'2017 Lockdown Update'!B$5:B$249,0))</f>
        <v>192.11449692779453</v>
      </c>
      <c r="F169" s="7">
        <f>INDEX('2017 Lockdown Update'!E$5:E$249,MATCH(B169,'2017 Lockdown Update'!B$5:B$249,0))</f>
        <v>634489.53</v>
      </c>
      <c r="G169" s="7">
        <f>INDEX('2017 Lockdown Update'!F$5:F$249,MATCH(B169,'2017 Lockdown Update'!B$5:B$249,0))</f>
        <v>0</v>
      </c>
      <c r="H169" s="7">
        <f t="shared" si="27"/>
        <v>634489.53</v>
      </c>
      <c r="I169" s="6">
        <f t="shared" si="28"/>
        <v>3302.6634644780106</v>
      </c>
      <c r="J169" s="6">
        <f t="shared" si="36"/>
        <v>1747.012700944284</v>
      </c>
      <c r="K169" s="5">
        <f t="shared" si="29"/>
        <v>335626.46616837865</v>
      </c>
      <c r="L169" s="4">
        <f t="shared" si="30"/>
        <v>0</v>
      </c>
      <c r="M169" s="2">
        <f t="shared" si="31"/>
        <v>800.14056464366138</v>
      </c>
      <c r="N169" s="1">
        <f t="shared" si="32"/>
        <v>52</v>
      </c>
      <c r="O169" s="3">
        <f t="shared" si="33"/>
        <v>6262620.8641953198</v>
      </c>
      <c r="P169" s="2">
        <f t="shared" si="34"/>
        <v>738.84825375578669</v>
      </c>
      <c r="Q169" s="2">
        <f t="shared" si="38"/>
        <v>-146.73157165696136</v>
      </c>
      <c r="R169" s="2">
        <f t="shared" si="38"/>
        <v>1747.012700944284</v>
      </c>
      <c r="S169" s="2">
        <f t="shared" si="35"/>
        <v>1747.012700944284</v>
      </c>
    </row>
    <row r="170" spans="2:19" x14ac:dyDescent="0.25">
      <c r="B170" s="10">
        <v>372</v>
      </c>
      <c r="C170" s="10">
        <v>8</v>
      </c>
      <c r="D170" s="198" t="s">
        <v>463</v>
      </c>
      <c r="E170" s="162">
        <f>INDEX('2017 Lockdown Update'!H$5:H$249,MATCH(B170,'2017 Lockdown Update'!B$5:B$249,0))</f>
        <v>125.81000000000002</v>
      </c>
      <c r="F170" s="7">
        <f>INDEX('2017 Lockdown Update'!E$5:E$249,MATCH(B170,'2017 Lockdown Update'!B$5:B$249,0))</f>
        <v>75377.2</v>
      </c>
      <c r="G170" s="7">
        <f>INDEX('2017 Lockdown Update'!F$5:F$249,MATCH(B170,'2017 Lockdown Update'!B$5:B$249,0))</f>
        <v>0</v>
      </c>
      <c r="H170" s="7">
        <f t="shared" si="27"/>
        <v>75377.2</v>
      </c>
      <c r="I170" s="6">
        <f t="shared" si="28"/>
        <v>599.1352038788649</v>
      </c>
      <c r="J170" s="6">
        <f t="shared" si="36"/>
        <v>599.1352038788649</v>
      </c>
      <c r="K170" s="5">
        <f t="shared" si="29"/>
        <v>75377.2</v>
      </c>
      <c r="L170" s="4">
        <f t="shared" si="30"/>
        <v>0</v>
      </c>
      <c r="M170" s="2">
        <f t="shared" si="31"/>
        <v>800.14056464366138</v>
      </c>
      <c r="N170" s="1">
        <f t="shared" si="32"/>
        <v>52</v>
      </c>
      <c r="O170" s="3">
        <f t="shared" si="33"/>
        <v>40403.155056185984</v>
      </c>
      <c r="P170" s="2">
        <f t="shared" si="34"/>
        <v>738.84825375578669</v>
      </c>
      <c r="Q170" s="2">
        <f t="shared" si="38"/>
        <v>-146.73157165696136</v>
      </c>
      <c r="R170" s="2">
        <f t="shared" si="38"/>
        <v>1747.012700944284</v>
      </c>
      <c r="S170" s="2">
        <f t="shared" si="35"/>
        <v>599.1352038788649</v>
      </c>
    </row>
    <row r="171" spans="2:19" x14ac:dyDescent="0.25">
      <c r="B171" s="10">
        <v>375</v>
      </c>
      <c r="C171" s="10">
        <v>8</v>
      </c>
      <c r="D171" s="198" t="s">
        <v>464</v>
      </c>
      <c r="E171" s="162">
        <f>INDEX('2017 Lockdown Update'!H$5:H$249,MATCH(B171,'2017 Lockdown Update'!B$5:B$249,0))</f>
        <v>176.49</v>
      </c>
      <c r="F171" s="7">
        <f>INDEX('2017 Lockdown Update'!E$5:E$249,MATCH(B171,'2017 Lockdown Update'!B$5:B$249,0))</f>
        <v>216301.79</v>
      </c>
      <c r="G171" s="7">
        <f>INDEX('2017 Lockdown Update'!F$5:F$249,MATCH(B171,'2017 Lockdown Update'!B$5:B$249,0))</f>
        <v>0</v>
      </c>
      <c r="H171" s="7">
        <f t="shared" si="27"/>
        <v>216301.79</v>
      </c>
      <c r="I171" s="6">
        <f t="shared" si="28"/>
        <v>1225.575330047028</v>
      </c>
      <c r="J171" s="6">
        <f t="shared" si="36"/>
        <v>1225.575330047028</v>
      </c>
      <c r="K171" s="5">
        <f t="shared" si="29"/>
        <v>216301.78999999998</v>
      </c>
      <c r="L171" s="4">
        <f t="shared" si="30"/>
        <v>0</v>
      </c>
      <c r="M171" s="2">
        <f t="shared" si="31"/>
        <v>800.14056464366138</v>
      </c>
      <c r="N171" s="1">
        <f t="shared" si="32"/>
        <v>52</v>
      </c>
      <c r="O171" s="3">
        <f t="shared" si="33"/>
        <v>180994.73961381763</v>
      </c>
      <c r="P171" s="2">
        <f t="shared" si="34"/>
        <v>738.84825375578669</v>
      </c>
      <c r="Q171" s="2">
        <f t="shared" si="38"/>
        <v>-146.73157165696136</v>
      </c>
      <c r="R171" s="2">
        <f t="shared" si="38"/>
        <v>1747.012700944284</v>
      </c>
      <c r="S171" s="2">
        <f t="shared" si="35"/>
        <v>1225.575330047028</v>
      </c>
    </row>
    <row r="172" spans="2:19" x14ac:dyDescent="0.25">
      <c r="B172" s="10">
        <v>404</v>
      </c>
      <c r="C172" s="10">
        <v>8</v>
      </c>
      <c r="D172" s="198" t="s">
        <v>465</v>
      </c>
      <c r="E172" s="162">
        <f>INDEX('2017 Lockdown Update'!H$5:H$249,MATCH(B172,'2017 Lockdown Update'!B$5:B$249,0))</f>
        <v>464.38745447782185</v>
      </c>
      <c r="F172" s="7">
        <f>INDEX('2017 Lockdown Update'!E$5:E$249,MATCH(B172,'2017 Lockdown Update'!B$5:B$249,0))</f>
        <v>227998.07999999999</v>
      </c>
      <c r="G172" s="7">
        <f>INDEX('2017 Lockdown Update'!F$5:F$249,MATCH(B172,'2017 Lockdown Update'!B$5:B$249,0))</f>
        <v>8.66</v>
      </c>
      <c r="H172" s="7">
        <f t="shared" si="27"/>
        <v>227989.41999999998</v>
      </c>
      <c r="I172" s="6">
        <f t="shared" si="28"/>
        <v>490.94655293037908</v>
      </c>
      <c r="J172" s="6">
        <f t="shared" si="36"/>
        <v>490.94655293037908</v>
      </c>
      <c r="K172" s="5">
        <f t="shared" si="29"/>
        <v>227989.41999999998</v>
      </c>
      <c r="L172" s="4">
        <f t="shared" si="30"/>
        <v>0</v>
      </c>
      <c r="M172" s="2">
        <f t="shared" si="31"/>
        <v>800.14056464366138</v>
      </c>
      <c r="N172" s="1">
        <f t="shared" si="32"/>
        <v>52</v>
      </c>
      <c r="O172" s="3">
        <f t="shared" si="33"/>
        <v>95600.93687935335</v>
      </c>
      <c r="P172" s="2">
        <f t="shared" si="34"/>
        <v>738.84825375578669</v>
      </c>
      <c r="Q172" s="2">
        <f t="shared" si="38"/>
        <v>-146.73157165696136</v>
      </c>
      <c r="R172" s="2">
        <f t="shared" si="38"/>
        <v>1747.012700944284</v>
      </c>
      <c r="S172" s="2">
        <f t="shared" si="35"/>
        <v>490.94655293037908</v>
      </c>
    </row>
    <row r="173" spans="2:19" x14ac:dyDescent="0.25">
      <c r="B173" s="10">
        <v>413</v>
      </c>
      <c r="C173" s="10">
        <v>8</v>
      </c>
      <c r="D173" s="198" t="s">
        <v>466</v>
      </c>
      <c r="E173" s="162">
        <f>INDEX('2017 Lockdown Update'!H$5:H$249,MATCH(B173,'2017 Lockdown Update'!B$5:B$249,0))</f>
        <v>86.789999999999992</v>
      </c>
      <c r="F173" s="7">
        <f>INDEX('2017 Lockdown Update'!E$5:E$249,MATCH(B173,'2017 Lockdown Update'!B$5:B$249,0))</f>
        <v>54520.28</v>
      </c>
      <c r="G173" s="7">
        <f>INDEX('2017 Lockdown Update'!F$5:F$249,MATCH(B173,'2017 Lockdown Update'!B$5:B$249,0))</f>
        <v>115</v>
      </c>
      <c r="H173" s="7">
        <f t="shared" si="27"/>
        <v>54405.279999999999</v>
      </c>
      <c r="I173" s="6">
        <f t="shared" si="28"/>
        <v>626.86115911971433</v>
      </c>
      <c r="J173" s="6">
        <f t="shared" si="36"/>
        <v>626.86115911971433</v>
      </c>
      <c r="K173" s="5">
        <f t="shared" si="29"/>
        <v>54405.279999999999</v>
      </c>
      <c r="L173" s="4">
        <f t="shared" si="30"/>
        <v>0</v>
      </c>
      <c r="M173" s="2">
        <f t="shared" si="31"/>
        <v>800.14056464366138</v>
      </c>
      <c r="N173" s="1">
        <f t="shared" si="32"/>
        <v>52</v>
      </c>
      <c r="O173" s="3">
        <f t="shared" si="33"/>
        <v>30025.75237873249</v>
      </c>
      <c r="P173" s="2">
        <f t="shared" si="34"/>
        <v>738.84825375578669</v>
      </c>
      <c r="Q173" s="2">
        <f t="shared" si="38"/>
        <v>-146.73157165696136</v>
      </c>
      <c r="R173" s="2">
        <f t="shared" si="38"/>
        <v>1747.012700944284</v>
      </c>
      <c r="S173" s="2">
        <f t="shared" si="35"/>
        <v>626.86115911971433</v>
      </c>
    </row>
    <row r="174" spans="2:19" x14ac:dyDescent="0.25">
      <c r="B174" s="10">
        <v>537</v>
      </c>
      <c r="C174" s="10">
        <v>8</v>
      </c>
      <c r="D174" s="198" t="s">
        <v>467</v>
      </c>
      <c r="E174" s="162">
        <f>INDEX('2017 Lockdown Update'!H$5:H$249,MATCH(B174,'2017 Lockdown Update'!B$5:B$249,0))</f>
        <v>19.904487402564385</v>
      </c>
      <c r="F174" s="7">
        <f>INDEX('2017 Lockdown Update'!E$5:E$249,MATCH(B174,'2017 Lockdown Update'!B$5:B$249,0))</f>
        <v>11142.79</v>
      </c>
      <c r="G174" s="7">
        <f>INDEX('2017 Lockdown Update'!F$5:F$249,MATCH(B174,'2017 Lockdown Update'!B$5:B$249,0))</f>
        <v>0</v>
      </c>
      <c r="H174" s="7">
        <f t="shared" si="27"/>
        <v>11142.79</v>
      </c>
      <c r="I174" s="6">
        <f t="shared" si="28"/>
        <v>559.81295949195987</v>
      </c>
      <c r="J174" s="6">
        <f t="shared" si="36"/>
        <v>559.81295949195987</v>
      </c>
      <c r="K174" s="5">
        <f t="shared" si="29"/>
        <v>11142.79</v>
      </c>
      <c r="L174" s="4">
        <f t="shared" si="30"/>
        <v>0</v>
      </c>
      <c r="M174" s="2">
        <f t="shared" si="31"/>
        <v>800.14056464366138</v>
      </c>
      <c r="N174" s="1">
        <f t="shared" si="32"/>
        <v>52</v>
      </c>
      <c r="O174" s="3">
        <f t="shared" si="33"/>
        <v>57757.357797952143</v>
      </c>
      <c r="P174" s="2">
        <f t="shared" si="34"/>
        <v>738.84825375578669</v>
      </c>
      <c r="Q174" s="2">
        <f t="shared" si="38"/>
        <v>-146.73157165696136</v>
      </c>
      <c r="R174" s="2">
        <f t="shared" si="38"/>
        <v>1747.012700944284</v>
      </c>
      <c r="S174" s="2">
        <f t="shared" si="35"/>
        <v>559.81295949195987</v>
      </c>
    </row>
    <row r="175" spans="2:19" x14ac:dyDescent="0.25">
      <c r="B175" s="10">
        <v>545</v>
      </c>
      <c r="C175" s="10">
        <v>8</v>
      </c>
      <c r="D175" s="198" t="s">
        <v>468</v>
      </c>
      <c r="E175" s="162">
        <f>INDEX('2017 Lockdown Update'!H$5:H$249,MATCH(B175,'2017 Lockdown Update'!B$5:B$249,0))</f>
        <v>16.281058267240422</v>
      </c>
      <c r="F175" s="7">
        <f>INDEX('2017 Lockdown Update'!E$5:E$249,MATCH(B175,'2017 Lockdown Update'!B$5:B$249,0))</f>
        <v>6076.64</v>
      </c>
      <c r="G175" s="7">
        <f>INDEX('2017 Lockdown Update'!F$5:F$249,MATCH(B175,'2017 Lockdown Update'!B$5:B$249,0))</f>
        <v>0</v>
      </c>
      <c r="H175" s="7">
        <f t="shared" si="27"/>
        <v>6076.64</v>
      </c>
      <c r="I175" s="6">
        <f t="shared" si="28"/>
        <v>373.23372352440873</v>
      </c>
      <c r="J175" s="6">
        <f t="shared" si="36"/>
        <v>373.23372352440873</v>
      </c>
      <c r="K175" s="5">
        <f t="shared" si="29"/>
        <v>6076.64</v>
      </c>
      <c r="L175" s="4">
        <f t="shared" si="30"/>
        <v>0</v>
      </c>
      <c r="M175" s="2">
        <f t="shared" si="31"/>
        <v>800.14056464366138</v>
      </c>
      <c r="N175" s="1">
        <f t="shared" si="32"/>
        <v>52</v>
      </c>
      <c r="O175" s="3">
        <f t="shared" si="33"/>
        <v>182249.45099441882</v>
      </c>
      <c r="P175" s="2">
        <f t="shared" si="34"/>
        <v>738.84825375578669</v>
      </c>
      <c r="Q175" s="2">
        <f t="shared" si="38"/>
        <v>-146.73157165696136</v>
      </c>
      <c r="R175" s="2">
        <f t="shared" si="38"/>
        <v>1747.012700944284</v>
      </c>
      <c r="S175" s="2">
        <f t="shared" si="35"/>
        <v>373.23372352440873</v>
      </c>
    </row>
    <row r="176" spans="2:19" x14ac:dyDescent="0.25">
      <c r="B176" s="10">
        <v>602</v>
      </c>
      <c r="C176" s="10">
        <v>8</v>
      </c>
      <c r="D176" s="198" t="s">
        <v>469</v>
      </c>
      <c r="E176" s="162">
        <f>INDEX('2017 Lockdown Update'!H$5:H$249,MATCH(B176,'2017 Lockdown Update'!B$5:B$249,0))</f>
        <v>10.602186147080214</v>
      </c>
      <c r="F176" s="7">
        <f>INDEX('2017 Lockdown Update'!E$5:E$249,MATCH(B176,'2017 Lockdown Update'!B$5:B$249,0))</f>
        <v>12099.67</v>
      </c>
      <c r="G176" s="7">
        <f>INDEX('2017 Lockdown Update'!F$5:F$249,MATCH(B176,'2017 Lockdown Update'!B$5:B$249,0))</f>
        <v>0</v>
      </c>
      <c r="H176" s="7">
        <f t="shared" si="27"/>
        <v>12099.67</v>
      </c>
      <c r="I176" s="6">
        <f t="shared" si="28"/>
        <v>1141.2429316129471</v>
      </c>
      <c r="J176" s="6">
        <f t="shared" si="36"/>
        <v>1141.2429316129471</v>
      </c>
      <c r="K176" s="5">
        <f t="shared" si="29"/>
        <v>12099.67</v>
      </c>
      <c r="L176" s="4">
        <f t="shared" si="30"/>
        <v>0</v>
      </c>
      <c r="M176" s="2">
        <f t="shared" si="31"/>
        <v>800.14056464366138</v>
      </c>
      <c r="N176" s="1">
        <f t="shared" si="32"/>
        <v>52</v>
      </c>
      <c r="O176" s="3">
        <f t="shared" si="33"/>
        <v>116350.82475204929</v>
      </c>
      <c r="P176" s="2">
        <f t="shared" si="34"/>
        <v>738.84825375578669</v>
      </c>
      <c r="Q176" s="2">
        <f t="shared" si="38"/>
        <v>-146.73157165696136</v>
      </c>
      <c r="R176" s="2">
        <f t="shared" si="38"/>
        <v>1747.012700944284</v>
      </c>
      <c r="S176" s="2">
        <f t="shared" si="35"/>
        <v>1141.2429316129471</v>
      </c>
    </row>
    <row r="177" spans="2:19" x14ac:dyDescent="0.25">
      <c r="B177" s="10">
        <v>605</v>
      </c>
      <c r="C177" s="10">
        <v>8</v>
      </c>
      <c r="D177" s="198" t="s">
        <v>470</v>
      </c>
      <c r="E177" s="162">
        <f>INDEX('2017 Lockdown Update'!H$5:H$249,MATCH(B177,'2017 Lockdown Update'!B$5:B$249,0))</f>
        <v>17.987157187460227</v>
      </c>
      <c r="F177" s="7">
        <f>INDEX('2017 Lockdown Update'!E$5:E$249,MATCH(B177,'2017 Lockdown Update'!B$5:B$249,0))</f>
        <v>9953.11</v>
      </c>
      <c r="G177" s="7">
        <f>INDEX('2017 Lockdown Update'!F$5:F$249,MATCH(B177,'2017 Lockdown Update'!B$5:B$249,0))</f>
        <v>0</v>
      </c>
      <c r="H177" s="7">
        <f t="shared" si="27"/>
        <v>9953.11</v>
      </c>
      <c r="I177" s="6">
        <f t="shared" si="28"/>
        <v>553.34536170834303</v>
      </c>
      <c r="J177" s="6">
        <f t="shared" si="36"/>
        <v>553.34536170834303</v>
      </c>
      <c r="K177" s="5">
        <f t="shared" si="29"/>
        <v>9953.11</v>
      </c>
      <c r="L177" s="4">
        <f t="shared" si="30"/>
        <v>0</v>
      </c>
      <c r="M177" s="2">
        <f t="shared" si="31"/>
        <v>800.14056464366138</v>
      </c>
      <c r="N177" s="1">
        <f t="shared" si="32"/>
        <v>52</v>
      </c>
      <c r="O177" s="3">
        <f t="shared" si="33"/>
        <v>60907.872191884962</v>
      </c>
      <c r="P177" s="2">
        <f t="shared" si="34"/>
        <v>738.84825375578669</v>
      </c>
      <c r="Q177" s="2">
        <f t="shared" si="38"/>
        <v>-146.73157165696136</v>
      </c>
      <c r="R177" s="2">
        <f t="shared" si="38"/>
        <v>1747.012700944284</v>
      </c>
      <c r="S177" s="2">
        <f t="shared" si="35"/>
        <v>553.34536170834303</v>
      </c>
    </row>
    <row r="178" spans="2:19" x14ac:dyDescent="0.25">
      <c r="B178" s="10">
        <v>607</v>
      </c>
      <c r="C178" s="10">
        <v>8</v>
      </c>
      <c r="D178" s="198" t="s">
        <v>471</v>
      </c>
      <c r="E178" s="162">
        <f>INDEX('2017 Lockdown Update'!H$5:H$249,MATCH(B178,'2017 Lockdown Update'!B$5:B$249,0))</f>
        <v>26.988860061762811</v>
      </c>
      <c r="F178" s="7">
        <f>INDEX('2017 Lockdown Update'!E$5:E$249,MATCH(B178,'2017 Lockdown Update'!B$5:B$249,0))</f>
        <v>15112.39</v>
      </c>
      <c r="G178" s="7">
        <f>INDEX('2017 Lockdown Update'!F$5:F$249,MATCH(B178,'2017 Lockdown Update'!B$5:B$249,0))</f>
        <v>0</v>
      </c>
      <c r="H178" s="7">
        <f t="shared" si="27"/>
        <v>15112.39</v>
      </c>
      <c r="I178" s="6">
        <f t="shared" si="28"/>
        <v>559.949177750226</v>
      </c>
      <c r="J178" s="6">
        <f t="shared" si="36"/>
        <v>559.949177750226</v>
      </c>
      <c r="K178" s="5">
        <f t="shared" si="29"/>
        <v>15112.39</v>
      </c>
      <c r="L178" s="4">
        <f t="shared" si="30"/>
        <v>0</v>
      </c>
      <c r="M178" s="2">
        <f t="shared" si="31"/>
        <v>800.14056464366138</v>
      </c>
      <c r="N178" s="1">
        <f t="shared" si="32"/>
        <v>52</v>
      </c>
      <c r="O178" s="3">
        <f t="shared" si="33"/>
        <v>57691.902337791958</v>
      </c>
      <c r="P178" s="2">
        <f t="shared" si="34"/>
        <v>738.84825375578669</v>
      </c>
      <c r="Q178" s="2">
        <f t="shared" si="38"/>
        <v>-146.73157165696136</v>
      </c>
      <c r="R178" s="2">
        <f t="shared" si="38"/>
        <v>1747.012700944284</v>
      </c>
      <c r="S178" s="2">
        <f t="shared" si="35"/>
        <v>559.949177750226</v>
      </c>
    </row>
    <row r="179" spans="2:19" x14ac:dyDescent="0.25">
      <c r="B179" s="10">
        <v>610</v>
      </c>
      <c r="C179" s="10">
        <v>8</v>
      </c>
      <c r="D179" s="198" t="s">
        <v>472</v>
      </c>
      <c r="E179" s="162">
        <f>INDEX('2017 Lockdown Update'!H$5:H$249,MATCH(B179,'2017 Lockdown Update'!B$5:B$249,0))</f>
        <v>66.425018068074081</v>
      </c>
      <c r="F179" s="7">
        <f>INDEX('2017 Lockdown Update'!E$5:E$249,MATCH(B179,'2017 Lockdown Update'!B$5:B$249,0))</f>
        <v>26597.53</v>
      </c>
      <c r="G179" s="7">
        <f>INDEX('2017 Lockdown Update'!F$5:F$249,MATCH(B179,'2017 Lockdown Update'!B$5:B$249,0))</f>
        <v>0</v>
      </c>
      <c r="H179" s="7">
        <f t="shared" si="27"/>
        <v>26597.53</v>
      </c>
      <c r="I179" s="6">
        <f t="shared" si="28"/>
        <v>400.41434347435421</v>
      </c>
      <c r="J179" s="6">
        <f t="shared" si="36"/>
        <v>400.41434347435421</v>
      </c>
      <c r="K179" s="5">
        <f t="shared" si="29"/>
        <v>26597.53</v>
      </c>
      <c r="L179" s="4">
        <f t="shared" si="30"/>
        <v>0</v>
      </c>
      <c r="M179" s="2">
        <f t="shared" si="31"/>
        <v>800.14056464366138</v>
      </c>
      <c r="N179" s="1">
        <f t="shared" si="32"/>
        <v>52</v>
      </c>
      <c r="O179" s="3">
        <f t="shared" si="33"/>
        <v>159781.05189029386</v>
      </c>
      <c r="P179" s="2">
        <f t="shared" si="34"/>
        <v>738.84825375578669</v>
      </c>
      <c r="Q179" s="2">
        <f t="shared" si="38"/>
        <v>-146.73157165696136</v>
      </c>
      <c r="R179" s="2">
        <f t="shared" si="38"/>
        <v>1747.012700944284</v>
      </c>
      <c r="S179" s="2">
        <f t="shared" si="35"/>
        <v>400.41434347435421</v>
      </c>
    </row>
    <row r="180" spans="2:19" x14ac:dyDescent="0.25">
      <c r="B180" s="10">
        <v>611</v>
      </c>
      <c r="C180" s="10">
        <v>8</v>
      </c>
      <c r="D180" s="198" t="s">
        <v>473</v>
      </c>
      <c r="E180" s="162">
        <f>INDEX('2017 Lockdown Update'!H$5:H$249,MATCH(B180,'2017 Lockdown Update'!B$5:B$249,0))</f>
        <v>19.031531650101531</v>
      </c>
      <c r="F180" s="7">
        <f>INDEX('2017 Lockdown Update'!E$5:E$249,MATCH(B180,'2017 Lockdown Update'!B$5:B$249,0))</f>
        <v>27958.57</v>
      </c>
      <c r="G180" s="7">
        <f>INDEX('2017 Lockdown Update'!F$5:F$249,MATCH(B180,'2017 Lockdown Update'!B$5:B$249,0))</f>
        <v>0</v>
      </c>
      <c r="H180" s="7">
        <f t="shared" si="27"/>
        <v>27958.57</v>
      </c>
      <c r="I180" s="6">
        <f t="shared" si="28"/>
        <v>1469.0656807882744</v>
      </c>
      <c r="J180" s="6">
        <f t="shared" si="36"/>
        <v>1469.0656807882744</v>
      </c>
      <c r="K180" s="5">
        <f t="shared" si="29"/>
        <v>27958.569999999996</v>
      </c>
      <c r="L180" s="4">
        <f t="shared" si="30"/>
        <v>0</v>
      </c>
      <c r="M180" s="2">
        <f t="shared" si="31"/>
        <v>800.14056464366138</v>
      </c>
      <c r="N180" s="1">
        <f t="shared" si="32"/>
        <v>52</v>
      </c>
      <c r="O180" s="3">
        <f t="shared" si="33"/>
        <v>447460.81100908411</v>
      </c>
      <c r="P180" s="2">
        <f t="shared" si="34"/>
        <v>738.84825375578669</v>
      </c>
      <c r="Q180" s="2">
        <f t="shared" si="38"/>
        <v>-146.73157165696136</v>
      </c>
      <c r="R180" s="2">
        <f t="shared" si="38"/>
        <v>1747.012700944284</v>
      </c>
      <c r="S180" s="2">
        <f t="shared" si="35"/>
        <v>1469.0656807882744</v>
      </c>
    </row>
    <row r="181" spans="2:19" x14ac:dyDescent="0.25">
      <c r="B181" s="10">
        <v>616</v>
      </c>
      <c r="C181" s="10">
        <v>8</v>
      </c>
      <c r="D181" s="198" t="s">
        <v>474</v>
      </c>
      <c r="E181" s="162">
        <f>INDEX('2017 Lockdown Update'!H$5:H$249,MATCH(B181,'2017 Lockdown Update'!B$5:B$249,0))</f>
        <v>179.09000000000003</v>
      </c>
      <c r="F181" s="7">
        <f>INDEX('2017 Lockdown Update'!E$5:E$249,MATCH(B181,'2017 Lockdown Update'!B$5:B$249,0))</f>
        <v>213811.28</v>
      </c>
      <c r="G181" s="7">
        <f>INDEX('2017 Lockdown Update'!F$5:F$249,MATCH(B181,'2017 Lockdown Update'!B$5:B$249,0))</f>
        <v>0</v>
      </c>
      <c r="H181" s="7">
        <f t="shared" si="27"/>
        <v>213811.28</v>
      </c>
      <c r="I181" s="6">
        <f t="shared" si="28"/>
        <v>1193.8761516555919</v>
      </c>
      <c r="J181" s="6">
        <f t="shared" si="36"/>
        <v>1193.8761516555919</v>
      </c>
      <c r="K181" s="5">
        <f t="shared" si="29"/>
        <v>213811.28</v>
      </c>
      <c r="L181" s="4">
        <f t="shared" si="30"/>
        <v>0</v>
      </c>
      <c r="M181" s="2">
        <f t="shared" si="31"/>
        <v>800.14056464366138</v>
      </c>
      <c r="N181" s="1">
        <f t="shared" si="32"/>
        <v>52</v>
      </c>
      <c r="O181" s="3">
        <f t="shared" si="33"/>
        <v>155027.71247962952</v>
      </c>
      <c r="P181" s="2">
        <f t="shared" si="34"/>
        <v>738.84825375578669</v>
      </c>
      <c r="Q181" s="2">
        <f t="shared" si="38"/>
        <v>-146.73157165696136</v>
      </c>
      <c r="R181" s="2">
        <f t="shared" si="38"/>
        <v>1747.012700944284</v>
      </c>
      <c r="S181" s="2">
        <f t="shared" si="35"/>
        <v>1193.8761516555919</v>
      </c>
    </row>
    <row r="182" spans="2:19" x14ac:dyDescent="0.25">
      <c r="B182" s="10">
        <v>692</v>
      </c>
      <c r="C182" s="10">
        <v>8</v>
      </c>
      <c r="D182" s="198" t="s">
        <v>475</v>
      </c>
      <c r="E182" s="162">
        <f>INDEX('2017 Lockdown Update'!H$5:H$249,MATCH(B182,'2017 Lockdown Update'!B$5:B$249,0))</f>
        <v>324.73850537213622</v>
      </c>
      <c r="F182" s="7">
        <f>INDEX('2017 Lockdown Update'!E$5:E$249,MATCH(B182,'2017 Lockdown Update'!B$5:B$249,0))</f>
        <v>103835.41</v>
      </c>
      <c r="G182" s="7">
        <f>INDEX('2017 Lockdown Update'!F$5:F$249,MATCH(B182,'2017 Lockdown Update'!B$5:B$249,0))</f>
        <v>0</v>
      </c>
      <c r="H182" s="7">
        <f t="shared" si="27"/>
        <v>103835.41</v>
      </c>
      <c r="I182" s="6">
        <f t="shared" si="28"/>
        <v>319.75084039082196</v>
      </c>
      <c r="J182" s="6">
        <f t="shared" si="36"/>
        <v>319.75084039082196</v>
      </c>
      <c r="K182" s="5">
        <f t="shared" si="29"/>
        <v>103835.41</v>
      </c>
      <c r="L182" s="4">
        <f t="shared" si="30"/>
        <v>0</v>
      </c>
      <c r="M182" s="2">
        <f t="shared" si="31"/>
        <v>800.14056464366138</v>
      </c>
      <c r="N182" s="1">
        <f t="shared" si="32"/>
        <v>52</v>
      </c>
      <c r="O182" s="3">
        <f t="shared" si="33"/>
        <v>230774.2871677191</v>
      </c>
      <c r="P182" s="2">
        <f t="shared" si="34"/>
        <v>738.84825375578669</v>
      </c>
      <c r="Q182" s="2">
        <f t="shared" si="38"/>
        <v>-146.73157165696136</v>
      </c>
      <c r="R182" s="2">
        <f t="shared" si="38"/>
        <v>1747.012700944284</v>
      </c>
      <c r="S182" s="2">
        <f t="shared" si="35"/>
        <v>319.75084039082196</v>
      </c>
    </row>
    <row r="183" spans="2:19" x14ac:dyDescent="0.25">
      <c r="B183" s="10">
        <v>706</v>
      </c>
      <c r="C183" s="10">
        <v>8</v>
      </c>
      <c r="D183" s="198" t="s">
        <v>476</v>
      </c>
      <c r="E183" s="162">
        <f>INDEX('2017 Lockdown Update'!H$5:H$249,MATCH(B183,'2017 Lockdown Update'!B$5:B$249,0))</f>
        <v>68.365821017379318</v>
      </c>
      <c r="F183" s="7">
        <f>INDEX('2017 Lockdown Update'!E$5:E$249,MATCH(B183,'2017 Lockdown Update'!B$5:B$249,0))</f>
        <v>62987.97</v>
      </c>
      <c r="G183" s="7">
        <f>INDEX('2017 Lockdown Update'!F$5:F$249,MATCH(B183,'2017 Lockdown Update'!B$5:B$249,0))</f>
        <v>45530</v>
      </c>
      <c r="H183" s="7">
        <f t="shared" si="27"/>
        <v>17457.97</v>
      </c>
      <c r="I183" s="6">
        <f t="shared" si="28"/>
        <v>255.36108160775251</v>
      </c>
      <c r="J183" s="6">
        <f t="shared" si="36"/>
        <v>255.36108160775251</v>
      </c>
      <c r="K183" s="5">
        <f t="shared" si="29"/>
        <v>17457.97</v>
      </c>
      <c r="L183" s="4">
        <f t="shared" si="30"/>
        <v>0</v>
      </c>
      <c r="M183" s="2">
        <f t="shared" si="31"/>
        <v>800.14056464366138</v>
      </c>
      <c r="N183" s="1">
        <f t="shared" si="32"/>
        <v>52</v>
      </c>
      <c r="O183" s="3">
        <f t="shared" si="33"/>
        <v>296784.68513687217</v>
      </c>
      <c r="P183" s="2">
        <f t="shared" si="34"/>
        <v>738.84825375578669</v>
      </c>
      <c r="Q183" s="2">
        <f t="shared" si="38"/>
        <v>-146.73157165696136</v>
      </c>
      <c r="R183" s="2">
        <f t="shared" si="38"/>
        <v>1747.012700944284</v>
      </c>
      <c r="S183" s="2">
        <f t="shared" si="35"/>
        <v>255.36108160775251</v>
      </c>
    </row>
    <row r="184" spans="2:19" x14ac:dyDescent="0.25">
      <c r="B184" s="10">
        <v>709</v>
      </c>
      <c r="C184" s="10">
        <v>8</v>
      </c>
      <c r="D184" s="198" t="s">
        <v>477</v>
      </c>
      <c r="E184" s="162">
        <f>INDEX('2017 Lockdown Update'!H$5:H$249,MATCH(B184,'2017 Lockdown Update'!B$5:B$249,0))</f>
        <v>82.545313047708774</v>
      </c>
      <c r="F184" s="7">
        <f>INDEX('2017 Lockdown Update'!E$5:E$249,MATCH(B184,'2017 Lockdown Update'!B$5:B$249,0))</f>
        <v>48233.84</v>
      </c>
      <c r="G184" s="7">
        <f>INDEX('2017 Lockdown Update'!F$5:F$249,MATCH(B184,'2017 Lockdown Update'!B$5:B$249,0))</f>
        <v>0</v>
      </c>
      <c r="H184" s="7">
        <f t="shared" si="27"/>
        <v>48233.84</v>
      </c>
      <c r="I184" s="6">
        <f t="shared" si="28"/>
        <v>584.33166244244842</v>
      </c>
      <c r="J184" s="6">
        <f t="shared" si="36"/>
        <v>584.33166244244842</v>
      </c>
      <c r="K184" s="5">
        <f t="shared" si="29"/>
        <v>48233.84</v>
      </c>
      <c r="L184" s="4">
        <f t="shared" si="30"/>
        <v>0</v>
      </c>
      <c r="M184" s="2">
        <f t="shared" si="31"/>
        <v>800.14056464366138</v>
      </c>
      <c r="N184" s="1">
        <f t="shared" si="32"/>
        <v>52</v>
      </c>
      <c r="O184" s="3">
        <f t="shared" si="33"/>
        <v>46573.482269292697</v>
      </c>
      <c r="P184" s="2">
        <f t="shared" si="34"/>
        <v>738.84825375578669</v>
      </c>
      <c r="Q184" s="2">
        <f t="shared" si="38"/>
        <v>-146.73157165696136</v>
      </c>
      <c r="R184" s="2">
        <f t="shared" si="38"/>
        <v>1747.012700944284</v>
      </c>
      <c r="S184" s="2">
        <f t="shared" si="35"/>
        <v>584.33166244244842</v>
      </c>
    </row>
    <row r="185" spans="2:19" x14ac:dyDescent="0.25">
      <c r="B185" s="10">
        <v>714</v>
      </c>
      <c r="C185" s="10">
        <v>8</v>
      </c>
      <c r="D185" s="198" t="s">
        <v>478</v>
      </c>
      <c r="E185" s="162">
        <f>INDEX('2017 Lockdown Update'!H$5:H$249,MATCH(B185,'2017 Lockdown Update'!B$5:B$249,0))</f>
        <v>47.438691956333841</v>
      </c>
      <c r="F185" s="7">
        <f>INDEX('2017 Lockdown Update'!E$5:E$249,MATCH(B185,'2017 Lockdown Update'!B$5:B$249,0))</f>
        <v>36713.449999999997</v>
      </c>
      <c r="G185" s="7">
        <f>INDEX('2017 Lockdown Update'!F$5:F$249,MATCH(B185,'2017 Lockdown Update'!B$5:B$249,0))</f>
        <v>0</v>
      </c>
      <c r="H185" s="7">
        <f t="shared" si="27"/>
        <v>36713.449999999997</v>
      </c>
      <c r="I185" s="6">
        <f t="shared" si="28"/>
        <v>773.91362379455643</v>
      </c>
      <c r="J185" s="6">
        <f t="shared" si="36"/>
        <v>773.91362379455643</v>
      </c>
      <c r="K185" s="5">
        <f t="shared" si="29"/>
        <v>36713.449999999997</v>
      </c>
      <c r="L185" s="4">
        <f t="shared" si="30"/>
        <v>0</v>
      </c>
      <c r="M185" s="2">
        <f t="shared" si="31"/>
        <v>800.14056464366138</v>
      </c>
      <c r="N185" s="1">
        <f t="shared" si="32"/>
        <v>52</v>
      </c>
      <c r="O185" s="3">
        <f t="shared" si="33"/>
        <v>687.85242630244977</v>
      </c>
      <c r="P185" s="2">
        <f t="shared" si="34"/>
        <v>738.84825375578669</v>
      </c>
      <c r="Q185" s="2">
        <f t="shared" si="38"/>
        <v>-146.73157165696136</v>
      </c>
      <c r="R185" s="2">
        <f t="shared" si="38"/>
        <v>1747.012700944284</v>
      </c>
      <c r="S185" s="2">
        <f t="shared" si="35"/>
        <v>773.91362379455643</v>
      </c>
    </row>
    <row r="186" spans="2:19" x14ac:dyDescent="0.25">
      <c r="B186" s="10">
        <v>749</v>
      </c>
      <c r="C186" s="10">
        <v>8</v>
      </c>
      <c r="D186" s="198" t="s">
        <v>479</v>
      </c>
      <c r="E186" s="162">
        <f>INDEX('2017 Lockdown Update'!H$5:H$249,MATCH(B186,'2017 Lockdown Update'!B$5:B$249,0))</f>
        <v>22.087426043324484</v>
      </c>
      <c r="F186" s="7">
        <f>INDEX('2017 Lockdown Update'!E$5:E$249,MATCH(B186,'2017 Lockdown Update'!B$5:B$249,0))</f>
        <v>8284.82</v>
      </c>
      <c r="G186" s="7">
        <f>INDEX('2017 Lockdown Update'!F$5:F$249,MATCH(B186,'2017 Lockdown Update'!B$5:B$249,0))</f>
        <v>0</v>
      </c>
      <c r="H186" s="7">
        <f t="shared" si="27"/>
        <v>8284.82</v>
      </c>
      <c r="I186" s="6">
        <f t="shared" si="28"/>
        <v>375.09214445129669</v>
      </c>
      <c r="J186" s="6">
        <f t="shared" si="36"/>
        <v>375.09214445129669</v>
      </c>
      <c r="K186" s="5">
        <f t="shared" si="29"/>
        <v>8284.82</v>
      </c>
      <c r="L186" s="4">
        <f t="shared" si="30"/>
        <v>0</v>
      </c>
      <c r="M186" s="2">
        <f t="shared" si="31"/>
        <v>800.14056464366138</v>
      </c>
      <c r="N186" s="1">
        <f t="shared" si="32"/>
        <v>52</v>
      </c>
      <c r="O186" s="3">
        <f t="shared" si="33"/>
        <v>180666.15950802501</v>
      </c>
      <c r="P186" s="2">
        <f t="shared" si="34"/>
        <v>738.84825375578669</v>
      </c>
      <c r="Q186" s="2">
        <f t="shared" ref="Q186:R205" si="39">NORMINV(Q$4,$M186,$P186)</f>
        <v>-146.73157165696136</v>
      </c>
      <c r="R186" s="2">
        <f t="shared" si="39"/>
        <v>1747.012700944284</v>
      </c>
      <c r="S186" s="2">
        <f t="shared" si="35"/>
        <v>375.09214445129669</v>
      </c>
    </row>
    <row r="187" spans="2:19" x14ac:dyDescent="0.25">
      <c r="B187" s="10">
        <v>764</v>
      </c>
      <c r="C187" s="10">
        <v>8</v>
      </c>
      <c r="D187" s="198" t="s">
        <v>480</v>
      </c>
      <c r="E187" s="162">
        <f>INDEX('2017 Lockdown Update'!H$5:H$249,MATCH(B187,'2017 Lockdown Update'!B$5:B$249,0))</f>
        <v>56.099999999999994</v>
      </c>
      <c r="F187" s="7">
        <f>INDEX('2017 Lockdown Update'!E$5:E$249,MATCH(B187,'2017 Lockdown Update'!B$5:B$249,0))</f>
        <v>15230.64</v>
      </c>
      <c r="G187" s="7">
        <f>INDEX('2017 Lockdown Update'!F$5:F$249,MATCH(B187,'2017 Lockdown Update'!B$5:B$249,0))</f>
        <v>0</v>
      </c>
      <c r="H187" s="7">
        <f t="shared" si="27"/>
        <v>15230.64</v>
      </c>
      <c r="I187" s="6">
        <f t="shared" si="28"/>
        <v>271.4909090909091</v>
      </c>
      <c r="J187" s="6">
        <f t="shared" si="36"/>
        <v>271.4909090909091</v>
      </c>
      <c r="K187" s="5">
        <f t="shared" si="29"/>
        <v>15230.64</v>
      </c>
      <c r="L187" s="4">
        <f t="shared" si="30"/>
        <v>0</v>
      </c>
      <c r="M187" s="2">
        <f t="shared" si="31"/>
        <v>800.14056464366138</v>
      </c>
      <c r="N187" s="1">
        <f t="shared" si="32"/>
        <v>52</v>
      </c>
      <c r="O187" s="3">
        <f t="shared" si="33"/>
        <v>279470.4583160436</v>
      </c>
      <c r="P187" s="2">
        <f t="shared" si="34"/>
        <v>738.84825375578669</v>
      </c>
      <c r="Q187" s="2">
        <f t="shared" si="39"/>
        <v>-146.73157165696136</v>
      </c>
      <c r="R187" s="2">
        <f t="shared" si="39"/>
        <v>1747.012700944284</v>
      </c>
      <c r="S187" s="2">
        <f t="shared" si="35"/>
        <v>271.4909090909091</v>
      </c>
    </row>
    <row r="188" spans="2:19" x14ac:dyDescent="0.25">
      <c r="B188" s="10">
        <v>775</v>
      </c>
      <c r="C188" s="10">
        <v>8</v>
      </c>
      <c r="D188" s="198" t="s">
        <v>481</v>
      </c>
      <c r="E188" s="162">
        <f>INDEX('2017 Lockdown Update'!H$5:H$249,MATCH(B188,'2017 Lockdown Update'!B$5:B$249,0))</f>
        <v>224.96988220877736</v>
      </c>
      <c r="F188" s="7">
        <f>INDEX('2017 Lockdown Update'!E$5:E$249,MATCH(B188,'2017 Lockdown Update'!B$5:B$249,0))</f>
        <v>28443.79</v>
      </c>
      <c r="G188" s="7">
        <f>INDEX('2017 Lockdown Update'!F$5:F$249,MATCH(B188,'2017 Lockdown Update'!B$5:B$249,0))</f>
        <v>0</v>
      </c>
      <c r="H188" s="7">
        <f t="shared" si="27"/>
        <v>28443.79</v>
      </c>
      <c r="I188" s="6">
        <f t="shared" si="28"/>
        <v>126.43376847041014</v>
      </c>
      <c r="J188" s="6">
        <f t="shared" si="36"/>
        <v>126.43376847041014</v>
      </c>
      <c r="K188" s="5">
        <f t="shared" si="29"/>
        <v>28443.79</v>
      </c>
      <c r="L188" s="4">
        <f t="shared" si="30"/>
        <v>0</v>
      </c>
      <c r="M188" s="2">
        <f t="shared" si="31"/>
        <v>800.14056464366138</v>
      </c>
      <c r="N188" s="1">
        <f t="shared" si="32"/>
        <v>52</v>
      </c>
      <c r="O188" s="3">
        <f t="shared" si="33"/>
        <v>453880.84721002658</v>
      </c>
      <c r="P188" s="2">
        <f t="shared" si="34"/>
        <v>738.84825375578669</v>
      </c>
      <c r="Q188" s="2">
        <f t="shared" si="39"/>
        <v>-146.73157165696136</v>
      </c>
      <c r="R188" s="2">
        <f t="shared" si="39"/>
        <v>1747.012700944284</v>
      </c>
      <c r="S188" s="2">
        <f t="shared" si="35"/>
        <v>126.43376847041014</v>
      </c>
    </row>
    <row r="189" spans="2:19" x14ac:dyDescent="0.25">
      <c r="B189" s="10">
        <v>790</v>
      </c>
      <c r="C189" s="10">
        <v>8</v>
      </c>
      <c r="D189" s="198" t="s">
        <v>482</v>
      </c>
      <c r="E189" s="162">
        <f>INDEX('2017 Lockdown Update'!H$5:H$249,MATCH(B189,'2017 Lockdown Update'!B$5:B$249,0))</f>
        <v>19.904487402564385</v>
      </c>
      <c r="F189" s="7">
        <f>INDEX('2017 Lockdown Update'!E$5:E$249,MATCH(B189,'2017 Lockdown Update'!B$5:B$249,0))</f>
        <v>11267.83</v>
      </c>
      <c r="G189" s="7">
        <f>INDEX('2017 Lockdown Update'!F$5:F$249,MATCH(B189,'2017 Lockdown Update'!B$5:B$249,0))</f>
        <v>0</v>
      </c>
      <c r="H189" s="7">
        <f t="shared" si="27"/>
        <v>11267.83</v>
      </c>
      <c r="I189" s="6">
        <f t="shared" si="28"/>
        <v>566.09496000124648</v>
      </c>
      <c r="J189" s="6">
        <f t="shared" si="36"/>
        <v>566.09496000124648</v>
      </c>
      <c r="K189" s="5">
        <f t="shared" si="29"/>
        <v>11267.83</v>
      </c>
      <c r="L189" s="4">
        <f t="shared" si="30"/>
        <v>0</v>
      </c>
      <c r="M189" s="2">
        <f t="shared" si="31"/>
        <v>800.14056464366138</v>
      </c>
      <c r="N189" s="1">
        <f t="shared" si="32"/>
        <v>52</v>
      </c>
      <c r="O189" s="3">
        <f t="shared" si="33"/>
        <v>54777.345052433586</v>
      </c>
      <c r="P189" s="2">
        <f t="shared" si="34"/>
        <v>738.84825375578669</v>
      </c>
      <c r="Q189" s="2">
        <f t="shared" si="39"/>
        <v>-146.73157165696136</v>
      </c>
      <c r="R189" s="2">
        <f t="shared" si="39"/>
        <v>1747.012700944284</v>
      </c>
      <c r="S189" s="2">
        <f t="shared" si="35"/>
        <v>566.09496000124648</v>
      </c>
    </row>
    <row r="190" spans="2:19" x14ac:dyDescent="0.25">
      <c r="B190" s="10">
        <v>795</v>
      </c>
      <c r="C190" s="10">
        <v>8</v>
      </c>
      <c r="D190" s="198" t="s">
        <v>575</v>
      </c>
      <c r="E190" s="162">
        <f>INDEX('2017 Lockdown Update'!H$5:H$249,MATCH(B190,'2017 Lockdown Update'!B$5:B$249,0))</f>
        <v>54.951852431979624</v>
      </c>
      <c r="F190" s="7">
        <f>INDEX('2017 Lockdown Update'!E$5:E$249,MATCH(B190,'2017 Lockdown Update'!B$5:B$249,0))</f>
        <v>115302.87</v>
      </c>
      <c r="G190" s="7">
        <f>INDEX('2017 Lockdown Update'!F$5:F$249,MATCH(B190,'2017 Lockdown Update'!B$5:B$249,0))</f>
        <v>44679.360000000001</v>
      </c>
      <c r="H190" s="7">
        <f t="shared" si="27"/>
        <v>70623.509999999995</v>
      </c>
      <c r="I190" s="6">
        <f t="shared" si="28"/>
        <v>1285.1888858054244</v>
      </c>
      <c r="J190" s="6">
        <f t="shared" si="36"/>
        <v>1285.1888858054244</v>
      </c>
      <c r="K190" s="5">
        <f t="shared" si="29"/>
        <v>70623.509999999995</v>
      </c>
      <c r="L190" s="4">
        <f t="shared" si="30"/>
        <v>0</v>
      </c>
      <c r="M190" s="2">
        <f t="shared" si="31"/>
        <v>800.14056464366138</v>
      </c>
      <c r="N190" s="1">
        <f t="shared" si="32"/>
        <v>52</v>
      </c>
      <c r="O190" s="3">
        <f t="shared" si="33"/>
        <v>235271.87386184483</v>
      </c>
      <c r="P190" s="2">
        <f t="shared" si="34"/>
        <v>738.84825375578669</v>
      </c>
      <c r="Q190" s="2">
        <f t="shared" si="39"/>
        <v>-146.73157165696136</v>
      </c>
      <c r="R190" s="2">
        <f t="shared" si="39"/>
        <v>1747.012700944284</v>
      </c>
      <c r="S190" s="2">
        <f t="shared" si="35"/>
        <v>1285.1888858054244</v>
      </c>
    </row>
    <row r="191" spans="2:19" x14ac:dyDescent="0.25">
      <c r="B191" s="10">
        <v>796</v>
      </c>
      <c r="C191" s="10">
        <v>8</v>
      </c>
      <c r="D191" s="198" t="s">
        <v>483</v>
      </c>
      <c r="E191" s="162">
        <f>INDEX('2017 Lockdown Update'!H$5:H$249,MATCH(B191,'2017 Lockdown Update'!B$5:B$249,0))</f>
        <v>19.498273373940624</v>
      </c>
      <c r="F191" s="7">
        <f>INDEX('2017 Lockdown Update'!E$5:E$249,MATCH(B191,'2017 Lockdown Update'!B$5:B$249,0))</f>
        <v>19373.02</v>
      </c>
      <c r="G191" s="7">
        <f>INDEX('2017 Lockdown Update'!F$5:F$249,MATCH(B191,'2017 Lockdown Update'!B$5:B$249,0))</f>
        <v>0</v>
      </c>
      <c r="H191" s="7">
        <f t="shared" si="27"/>
        <v>19373.02</v>
      </c>
      <c r="I191" s="6">
        <f t="shared" si="28"/>
        <v>993.57618125777105</v>
      </c>
      <c r="J191" s="6">
        <f t="shared" si="36"/>
        <v>993.57618125777105</v>
      </c>
      <c r="K191" s="5">
        <f t="shared" si="29"/>
        <v>19373.02</v>
      </c>
      <c r="L191" s="4">
        <f t="shared" si="30"/>
        <v>0</v>
      </c>
      <c r="M191" s="2">
        <f t="shared" si="31"/>
        <v>800.14056464366138</v>
      </c>
      <c r="N191" s="1">
        <f t="shared" si="32"/>
        <v>52</v>
      </c>
      <c r="O191" s="3">
        <f t="shared" si="33"/>
        <v>37417.337774880827</v>
      </c>
      <c r="P191" s="2">
        <f t="shared" si="34"/>
        <v>738.84825375578669</v>
      </c>
      <c r="Q191" s="2">
        <f t="shared" si="39"/>
        <v>-146.73157165696136</v>
      </c>
      <c r="R191" s="2">
        <f t="shared" si="39"/>
        <v>1747.012700944284</v>
      </c>
      <c r="S191" s="2">
        <f t="shared" si="35"/>
        <v>993.57618125777105</v>
      </c>
    </row>
    <row r="192" spans="2:19" x14ac:dyDescent="0.25">
      <c r="B192" s="10">
        <v>797</v>
      </c>
      <c r="C192" s="10">
        <v>8</v>
      </c>
      <c r="D192" s="198" t="s">
        <v>484</v>
      </c>
      <c r="E192" s="162">
        <f>INDEX('2017 Lockdown Update'!H$5:H$249,MATCH(B192,'2017 Lockdown Update'!B$5:B$249,0))</f>
        <v>30.721683870330171</v>
      </c>
      <c r="F192" s="7">
        <f>INDEX('2017 Lockdown Update'!E$5:E$249,MATCH(B192,'2017 Lockdown Update'!B$5:B$249,0))</f>
        <v>30616.75</v>
      </c>
      <c r="G192" s="7">
        <f>INDEX('2017 Lockdown Update'!F$5:F$249,MATCH(B192,'2017 Lockdown Update'!B$5:B$249,0))</f>
        <v>980</v>
      </c>
      <c r="H192" s="7">
        <f t="shared" si="27"/>
        <v>29636.75</v>
      </c>
      <c r="I192" s="6">
        <f t="shared" si="28"/>
        <v>964.68507797588666</v>
      </c>
      <c r="J192" s="6">
        <f t="shared" si="36"/>
        <v>964.68507797588666</v>
      </c>
      <c r="K192" s="5">
        <f t="shared" si="29"/>
        <v>29636.75</v>
      </c>
      <c r="L192" s="4">
        <f t="shared" si="30"/>
        <v>0</v>
      </c>
      <c r="M192" s="2">
        <f t="shared" si="31"/>
        <v>800.14056464366138</v>
      </c>
      <c r="N192" s="1">
        <f t="shared" si="32"/>
        <v>52</v>
      </c>
      <c r="O192" s="3">
        <f t="shared" si="33"/>
        <v>27074.896867738862</v>
      </c>
      <c r="P192" s="2">
        <f t="shared" si="34"/>
        <v>738.84825375578669</v>
      </c>
      <c r="Q192" s="2">
        <f t="shared" si="39"/>
        <v>-146.73157165696136</v>
      </c>
      <c r="R192" s="2">
        <f t="shared" si="39"/>
        <v>1747.012700944284</v>
      </c>
      <c r="S192" s="2">
        <f t="shared" si="35"/>
        <v>964.68507797588666</v>
      </c>
    </row>
    <row r="193" spans="2:19" x14ac:dyDescent="0.25">
      <c r="B193" s="10">
        <v>801</v>
      </c>
      <c r="C193" s="10">
        <v>8</v>
      </c>
      <c r="D193" s="198" t="s">
        <v>485</v>
      </c>
      <c r="E193" s="162">
        <f>INDEX('2017 Lockdown Update'!H$5:H$249,MATCH(B193,'2017 Lockdown Update'!B$5:B$249,0))</f>
        <v>143.04840559045437</v>
      </c>
      <c r="F193" s="7">
        <f>INDEX('2017 Lockdown Update'!E$5:E$249,MATCH(B193,'2017 Lockdown Update'!B$5:B$249,0))</f>
        <v>96218.880000000005</v>
      </c>
      <c r="G193" s="7">
        <f>INDEX('2017 Lockdown Update'!F$5:F$249,MATCH(B193,'2017 Lockdown Update'!B$5:B$249,0))</f>
        <v>0</v>
      </c>
      <c r="H193" s="7">
        <f t="shared" si="27"/>
        <v>96218.880000000005</v>
      </c>
      <c r="I193" s="6">
        <f t="shared" si="28"/>
        <v>672.63161447233006</v>
      </c>
      <c r="J193" s="6">
        <f t="shared" si="36"/>
        <v>672.63161447233006</v>
      </c>
      <c r="K193" s="5">
        <f t="shared" si="29"/>
        <v>96218.880000000005</v>
      </c>
      <c r="L193" s="4">
        <f t="shared" si="30"/>
        <v>0</v>
      </c>
      <c r="M193" s="2">
        <f t="shared" si="31"/>
        <v>800.14056464366138</v>
      </c>
      <c r="N193" s="1">
        <f t="shared" si="32"/>
        <v>52</v>
      </c>
      <c r="O193" s="3">
        <f t="shared" si="33"/>
        <v>16258.532373795053</v>
      </c>
      <c r="P193" s="2">
        <f t="shared" si="34"/>
        <v>738.84825375578669</v>
      </c>
      <c r="Q193" s="2">
        <f t="shared" si="39"/>
        <v>-146.73157165696136</v>
      </c>
      <c r="R193" s="2">
        <f t="shared" si="39"/>
        <v>1747.012700944284</v>
      </c>
      <c r="S193" s="2">
        <f t="shared" si="35"/>
        <v>672.63161447233006</v>
      </c>
    </row>
    <row r="194" spans="2:19" x14ac:dyDescent="0.25">
      <c r="B194" s="10">
        <v>810</v>
      </c>
      <c r="C194" s="10">
        <v>8</v>
      </c>
      <c r="D194" s="198" t="s">
        <v>486</v>
      </c>
      <c r="E194" s="162">
        <f>INDEX('2017 Lockdown Update'!H$5:H$249,MATCH(B194,'2017 Lockdown Update'!B$5:B$249,0))</f>
        <v>125.74000000000001</v>
      </c>
      <c r="F194" s="7">
        <f>INDEX('2017 Lockdown Update'!E$5:E$249,MATCH(B194,'2017 Lockdown Update'!B$5:B$249,0))</f>
        <v>111927.06</v>
      </c>
      <c r="G194" s="7">
        <f>INDEX('2017 Lockdown Update'!F$5:F$249,MATCH(B194,'2017 Lockdown Update'!B$5:B$249,0))</f>
        <v>0</v>
      </c>
      <c r="H194" s="7">
        <f t="shared" si="27"/>
        <v>111927.06</v>
      </c>
      <c r="I194" s="6">
        <f t="shared" si="28"/>
        <v>890.14681087959275</v>
      </c>
      <c r="J194" s="6">
        <f t="shared" si="36"/>
        <v>890.14681087959275</v>
      </c>
      <c r="K194" s="5">
        <f t="shared" si="29"/>
        <v>111927.06</v>
      </c>
      <c r="L194" s="4">
        <f t="shared" si="30"/>
        <v>0</v>
      </c>
      <c r="M194" s="2">
        <f t="shared" si="31"/>
        <v>800.14056464366138</v>
      </c>
      <c r="N194" s="1">
        <f t="shared" si="32"/>
        <v>52</v>
      </c>
      <c r="O194" s="3">
        <f t="shared" si="33"/>
        <v>8101.1243614831101</v>
      </c>
      <c r="P194" s="2">
        <f t="shared" si="34"/>
        <v>738.84825375578669</v>
      </c>
      <c r="Q194" s="2">
        <f t="shared" si="39"/>
        <v>-146.73157165696136</v>
      </c>
      <c r="R194" s="2">
        <f t="shared" si="39"/>
        <v>1747.012700944284</v>
      </c>
      <c r="S194" s="2">
        <f t="shared" si="35"/>
        <v>890.14681087959275</v>
      </c>
    </row>
    <row r="195" spans="2:19" x14ac:dyDescent="0.25">
      <c r="B195" s="10">
        <v>812</v>
      </c>
      <c r="C195" s="10">
        <v>8</v>
      </c>
      <c r="D195" s="198" t="s">
        <v>487</v>
      </c>
      <c r="E195" s="162">
        <f>INDEX('2017 Lockdown Update'!H$5:H$249,MATCH(B195,'2017 Lockdown Update'!B$5:B$249,0))</f>
        <v>55.821931813477519</v>
      </c>
      <c r="F195" s="7">
        <f>INDEX('2017 Lockdown Update'!E$5:E$249,MATCH(B195,'2017 Lockdown Update'!B$5:B$249,0))</f>
        <v>82675.56</v>
      </c>
      <c r="G195" s="7">
        <f>INDEX('2017 Lockdown Update'!F$5:F$249,MATCH(B195,'2017 Lockdown Update'!B$5:B$249,0))</f>
        <v>265.60000000000002</v>
      </c>
      <c r="H195" s="7">
        <f t="shared" si="27"/>
        <v>82409.959999999992</v>
      </c>
      <c r="I195" s="6">
        <f t="shared" si="28"/>
        <v>1476.3007535347087</v>
      </c>
      <c r="J195" s="6">
        <f t="shared" si="36"/>
        <v>1476.3007535347087</v>
      </c>
      <c r="K195" s="5">
        <f t="shared" si="29"/>
        <v>82409.959999999992</v>
      </c>
      <c r="L195" s="4">
        <f t="shared" si="30"/>
        <v>0</v>
      </c>
      <c r="M195" s="2">
        <f t="shared" si="31"/>
        <v>800.14056464366138</v>
      </c>
      <c r="N195" s="1">
        <f t="shared" si="32"/>
        <v>52</v>
      </c>
      <c r="O195" s="3">
        <f t="shared" si="33"/>
        <v>457192.60104117688</v>
      </c>
      <c r="P195" s="2">
        <f t="shared" si="34"/>
        <v>738.84825375578669</v>
      </c>
      <c r="Q195" s="2">
        <f t="shared" si="39"/>
        <v>-146.73157165696136</v>
      </c>
      <c r="R195" s="2">
        <f t="shared" si="39"/>
        <v>1747.012700944284</v>
      </c>
      <c r="S195" s="2">
        <f t="shared" si="35"/>
        <v>1476.3007535347087</v>
      </c>
    </row>
    <row r="196" spans="2:19" x14ac:dyDescent="0.25">
      <c r="B196" s="10">
        <v>818</v>
      </c>
      <c r="C196" s="10">
        <v>8</v>
      </c>
      <c r="D196" s="198" t="s">
        <v>488</v>
      </c>
      <c r="E196" s="162">
        <f>INDEX('2017 Lockdown Update'!H$5:H$249,MATCH(B196,'2017 Lockdown Update'!B$5:B$249,0))</f>
        <v>40.59703002065887</v>
      </c>
      <c r="F196" s="7">
        <f>INDEX('2017 Lockdown Update'!E$5:E$249,MATCH(B196,'2017 Lockdown Update'!B$5:B$249,0))</f>
        <v>18460.29</v>
      </c>
      <c r="G196" s="7">
        <f>INDEX('2017 Lockdown Update'!F$5:F$249,MATCH(B196,'2017 Lockdown Update'!B$5:B$249,0))</f>
        <v>0</v>
      </c>
      <c r="H196" s="7">
        <f t="shared" si="27"/>
        <v>18460.29</v>
      </c>
      <c r="I196" s="6">
        <f t="shared" si="28"/>
        <v>454.72020959676104</v>
      </c>
      <c r="J196" s="6">
        <f t="shared" si="36"/>
        <v>454.72020959676104</v>
      </c>
      <c r="K196" s="5">
        <f t="shared" si="29"/>
        <v>18460.29</v>
      </c>
      <c r="L196" s="4">
        <f t="shared" si="30"/>
        <v>0</v>
      </c>
      <c r="M196" s="2">
        <f t="shared" si="31"/>
        <v>800.14056464366138</v>
      </c>
      <c r="N196" s="1">
        <f t="shared" si="32"/>
        <v>52</v>
      </c>
      <c r="O196" s="3">
        <f t="shared" si="33"/>
        <v>119315.2216807267</v>
      </c>
      <c r="P196" s="2">
        <f t="shared" si="34"/>
        <v>738.84825375578669</v>
      </c>
      <c r="Q196" s="2">
        <f t="shared" si="39"/>
        <v>-146.73157165696136</v>
      </c>
      <c r="R196" s="2">
        <f t="shared" si="39"/>
        <v>1747.012700944284</v>
      </c>
      <c r="S196" s="2">
        <f t="shared" si="35"/>
        <v>454.72020959676104</v>
      </c>
    </row>
    <row r="197" spans="2:19" x14ac:dyDescent="0.25">
      <c r="B197" s="10">
        <v>833</v>
      </c>
      <c r="C197" s="10">
        <v>8</v>
      </c>
      <c r="D197" s="198" t="s">
        <v>489</v>
      </c>
      <c r="E197" s="162">
        <f>INDEX('2017 Lockdown Update'!H$5:H$249,MATCH(B197,'2017 Lockdown Update'!B$5:B$249,0))</f>
        <v>72.202285870646477</v>
      </c>
      <c r="F197" s="7">
        <f>INDEX('2017 Lockdown Update'!E$5:E$249,MATCH(B197,'2017 Lockdown Update'!B$5:B$249,0))</f>
        <v>52482.54</v>
      </c>
      <c r="G197" s="7">
        <f>INDEX('2017 Lockdown Update'!F$5:F$249,MATCH(B197,'2017 Lockdown Update'!B$5:B$249,0))</f>
        <v>0</v>
      </c>
      <c r="H197" s="7">
        <f t="shared" si="27"/>
        <v>52482.54</v>
      </c>
      <c r="I197" s="6">
        <f t="shared" si="28"/>
        <v>726.88197287859759</v>
      </c>
      <c r="J197" s="6">
        <f t="shared" si="36"/>
        <v>726.88197287859759</v>
      </c>
      <c r="K197" s="5">
        <f t="shared" si="29"/>
        <v>52482.54</v>
      </c>
      <c r="L197" s="4">
        <f t="shared" si="30"/>
        <v>0</v>
      </c>
      <c r="M197" s="2">
        <f t="shared" si="31"/>
        <v>800.14056464366138</v>
      </c>
      <c r="N197" s="1">
        <f t="shared" si="32"/>
        <v>52</v>
      </c>
      <c r="O197" s="3">
        <f t="shared" si="33"/>
        <v>5366.8212674002716</v>
      </c>
      <c r="P197" s="2">
        <f t="shared" si="34"/>
        <v>738.84825375578669</v>
      </c>
      <c r="Q197" s="2">
        <f t="shared" si="39"/>
        <v>-146.73157165696136</v>
      </c>
      <c r="R197" s="2">
        <f t="shared" si="39"/>
        <v>1747.012700944284</v>
      </c>
      <c r="S197" s="2">
        <f t="shared" si="35"/>
        <v>726.88197287859759</v>
      </c>
    </row>
    <row r="198" spans="2:19" x14ac:dyDescent="0.25">
      <c r="B198" s="10">
        <v>834</v>
      </c>
      <c r="C198" s="10">
        <v>8</v>
      </c>
      <c r="D198" s="198" t="s">
        <v>490</v>
      </c>
      <c r="E198" s="162">
        <f>INDEX('2017 Lockdown Update'!H$5:H$249,MATCH(B198,'2017 Lockdown Update'!B$5:B$249,0))</f>
        <v>109.27</v>
      </c>
      <c r="F198" s="7">
        <f>INDEX('2017 Lockdown Update'!E$5:E$249,MATCH(B198,'2017 Lockdown Update'!B$5:B$249,0))</f>
        <v>49019.92</v>
      </c>
      <c r="G198" s="7">
        <f>INDEX('2017 Lockdown Update'!F$5:F$249,MATCH(B198,'2017 Lockdown Update'!B$5:B$249,0))</f>
        <v>7882.9</v>
      </c>
      <c r="H198" s="7">
        <f t="shared" ref="H198:H246" si="40">F198-G198</f>
        <v>41137.019999999997</v>
      </c>
      <c r="I198" s="6">
        <f t="shared" ref="I198:I246" si="41">H198/E198</f>
        <v>376.4713096000732</v>
      </c>
      <c r="J198" s="6">
        <f t="shared" si="36"/>
        <v>376.4713096000732</v>
      </c>
      <c r="K198" s="5">
        <f t="shared" ref="K198:K246" si="42">J198*E198</f>
        <v>41137.019999999997</v>
      </c>
      <c r="L198" s="4">
        <f t="shared" ref="L198:L246" si="43">IF(ISERROR(I198),1,0)</f>
        <v>0</v>
      </c>
      <c r="M198" s="2">
        <f t="shared" ref="M198:M250" si="44">SUMPRODUCT(--($L$6:$L$298&lt;&gt;1),--($C$6:$C$298=$C198),$H$6:$H$298)/SUMPRODUCT(--($L$6:$L$298&lt;&gt;1),--($C$6:$C$298=$C198),$E$6:$E$298)</f>
        <v>800.14056464366138</v>
      </c>
      <c r="N198" s="1">
        <f t="shared" ref="N198:N245" si="45">SUMPRODUCT(--($L$6:$L$298&lt;&gt;1),--($C$6:$C$298=$C198),--($L$6:$L$298&lt;&gt;1))</f>
        <v>52</v>
      </c>
      <c r="O198" s="3">
        <f t="shared" ref="O198:O246" si="46">IF(ISERROR((I198-M198)^2),0,(I198-M198)^2)</f>
        <v>179495.63766918896</v>
      </c>
      <c r="P198" s="2">
        <f t="shared" ref="P198:P246" si="47">SQRT(SUMPRODUCT(--($L$6:$L$298&lt;&gt;1),--($C$6:$C$298=$C198),$E$6:$E$298,$O$6:$O$298)/((N198-1)*SUMPRODUCT(--($L$6:$L$298&lt;&gt;1),--($C$6:$C$298=$C198),$E$6:$E$298)/N198))</f>
        <v>738.84825375578669</v>
      </c>
      <c r="Q198" s="2">
        <f t="shared" si="39"/>
        <v>-146.73157165696136</v>
      </c>
      <c r="R198" s="2">
        <f t="shared" si="39"/>
        <v>1747.012700944284</v>
      </c>
      <c r="S198" s="2">
        <f t="shared" ref="S198:S246" si="48">IF(ISERROR(MAX(MIN(I198,R198),Q198)),R198,MAX(MIN(I198,R198),Q198))</f>
        <v>376.4713096000732</v>
      </c>
    </row>
    <row r="199" spans="2:19" x14ac:dyDescent="0.25">
      <c r="B199" s="10">
        <v>837</v>
      </c>
      <c r="C199" s="10">
        <v>8</v>
      </c>
      <c r="D199" s="198" t="s">
        <v>491</v>
      </c>
      <c r="E199" s="162">
        <f>INDEX('2017 Lockdown Update'!H$5:H$249,MATCH(B199,'2017 Lockdown Update'!B$5:B$249,0))</f>
        <v>177.75</v>
      </c>
      <c r="F199" s="7">
        <f>INDEX('2017 Lockdown Update'!E$5:E$249,MATCH(B199,'2017 Lockdown Update'!B$5:B$249,0))</f>
        <v>97723.08</v>
      </c>
      <c r="G199" s="7">
        <f>INDEX('2017 Lockdown Update'!F$5:F$249,MATCH(B199,'2017 Lockdown Update'!B$5:B$249,0))</f>
        <v>0</v>
      </c>
      <c r="H199" s="7">
        <f t="shared" si="40"/>
        <v>97723.08</v>
      </c>
      <c r="I199" s="6">
        <f t="shared" si="41"/>
        <v>549.77822784810132</v>
      </c>
      <c r="J199" s="6">
        <f t="shared" ref="J199:J246" si="49">IF(ISERROR(IF($J$2=1,MAX(MIN(I199,R199),Q199),MIN(I199,R199))),R199,IF($J$2=1,MAX(MIN(I199,R199),Q199),MIN(I199,R199)))</f>
        <v>549.77822784810132</v>
      </c>
      <c r="K199" s="5">
        <f t="shared" si="42"/>
        <v>97723.080000000016</v>
      </c>
      <c r="L199" s="4">
        <f t="shared" si="43"/>
        <v>0</v>
      </c>
      <c r="M199" s="2">
        <f t="shared" si="44"/>
        <v>800.14056464366138</v>
      </c>
      <c r="N199" s="1">
        <f t="shared" si="45"/>
        <v>52</v>
      </c>
      <c r="O199" s="3">
        <f t="shared" si="46"/>
        <v>62681.299685733444</v>
      </c>
      <c r="P199" s="2">
        <f t="shared" si="47"/>
        <v>738.84825375578669</v>
      </c>
      <c r="Q199" s="2">
        <f t="shared" si="39"/>
        <v>-146.73157165696136</v>
      </c>
      <c r="R199" s="2">
        <f t="shared" si="39"/>
        <v>1747.012700944284</v>
      </c>
      <c r="S199" s="2">
        <f t="shared" si="48"/>
        <v>549.77822784810132</v>
      </c>
    </row>
    <row r="200" spans="2:19" x14ac:dyDescent="0.25">
      <c r="B200" s="10">
        <v>845</v>
      </c>
      <c r="C200" s="10">
        <v>8</v>
      </c>
      <c r="D200" s="198" t="s">
        <v>576</v>
      </c>
      <c r="E200" s="162">
        <f>INDEX('2017 Lockdown Update'!H$5:H$249,MATCH(B200,'2017 Lockdown Update'!B$5:B$249,0))</f>
        <v>2.3479170854453502</v>
      </c>
      <c r="F200" s="7">
        <f>INDEX('2017 Lockdown Update'!E$5:E$249,MATCH(B200,'2017 Lockdown Update'!B$5:B$249,0))</f>
        <v>4119.76</v>
      </c>
      <c r="G200" s="7">
        <f>INDEX('2017 Lockdown Update'!F$5:F$249,MATCH(B200,'2017 Lockdown Update'!B$5:B$249,0))</f>
        <v>0</v>
      </c>
      <c r="H200" s="7">
        <f t="shared" si="40"/>
        <v>4119.76</v>
      </c>
      <c r="I200" s="6">
        <f t="shared" si="41"/>
        <v>1754.6445849975869</v>
      </c>
      <c r="J200" s="6">
        <f t="shared" si="49"/>
        <v>1747.012700944284</v>
      </c>
      <c r="K200" s="5">
        <f t="shared" si="42"/>
        <v>4101.8409690371127</v>
      </c>
      <c r="L200" s="4">
        <f t="shared" si="43"/>
        <v>0</v>
      </c>
      <c r="M200" s="2">
        <f t="shared" si="44"/>
        <v>800.14056464366138</v>
      </c>
      <c r="N200" s="1">
        <f t="shared" si="45"/>
        <v>52</v>
      </c>
      <c r="O200" s="3">
        <f t="shared" si="46"/>
        <v>911077.9248718071</v>
      </c>
      <c r="P200" s="2">
        <f t="shared" si="47"/>
        <v>738.84825375578669</v>
      </c>
      <c r="Q200" s="2">
        <f t="shared" si="39"/>
        <v>-146.73157165696136</v>
      </c>
      <c r="R200" s="2">
        <f t="shared" si="39"/>
        <v>1747.012700944284</v>
      </c>
      <c r="S200" s="2">
        <f t="shared" si="48"/>
        <v>1747.012700944284</v>
      </c>
    </row>
    <row r="201" spans="2:19" x14ac:dyDescent="0.25">
      <c r="B201" s="10">
        <v>847</v>
      </c>
      <c r="C201" s="10">
        <v>8</v>
      </c>
      <c r="D201" s="198" t="s">
        <v>492</v>
      </c>
      <c r="E201" s="162">
        <f>INDEX('2017 Lockdown Update'!H$5:H$249,MATCH(B201,'2017 Lockdown Update'!B$5:B$249,0))</f>
        <v>69.978173383271198</v>
      </c>
      <c r="F201" s="7">
        <f>INDEX('2017 Lockdown Update'!E$5:E$249,MATCH(B201,'2017 Lockdown Update'!B$5:B$249,0))</f>
        <v>85855.54</v>
      </c>
      <c r="G201" s="7">
        <f>INDEX('2017 Lockdown Update'!F$5:F$249,MATCH(B201,'2017 Lockdown Update'!B$5:B$249,0))</f>
        <v>0</v>
      </c>
      <c r="H201" s="7">
        <f t="shared" si="40"/>
        <v>85855.54</v>
      </c>
      <c r="I201" s="6">
        <f t="shared" si="41"/>
        <v>1226.8902694811466</v>
      </c>
      <c r="J201" s="6">
        <f t="shared" si="49"/>
        <v>1226.8902694811466</v>
      </c>
      <c r="K201" s="5">
        <f t="shared" si="42"/>
        <v>85855.54</v>
      </c>
      <c r="L201" s="4">
        <f t="shared" si="43"/>
        <v>0</v>
      </c>
      <c r="M201" s="2">
        <f t="shared" si="44"/>
        <v>800.14056464366138</v>
      </c>
      <c r="N201" s="1">
        <f t="shared" si="45"/>
        <v>52</v>
      </c>
      <c r="O201" s="3">
        <f t="shared" si="46"/>
        <v>182115.31057888072</v>
      </c>
      <c r="P201" s="2">
        <f t="shared" si="47"/>
        <v>738.84825375578669</v>
      </c>
      <c r="Q201" s="2">
        <f t="shared" si="39"/>
        <v>-146.73157165696136</v>
      </c>
      <c r="R201" s="2">
        <f t="shared" si="39"/>
        <v>1747.012700944284</v>
      </c>
      <c r="S201" s="2">
        <f t="shared" si="48"/>
        <v>1226.8902694811466</v>
      </c>
    </row>
    <row r="202" spans="2:19" x14ac:dyDescent="0.25">
      <c r="B202" s="10">
        <v>866</v>
      </c>
      <c r="C202" s="10">
        <v>8</v>
      </c>
      <c r="D202" s="198" t="s">
        <v>493</v>
      </c>
      <c r="E202" s="162">
        <f>INDEX('2017 Lockdown Update'!H$5:H$249,MATCH(B202,'2017 Lockdown Update'!B$5:B$249,0))</f>
        <v>125.71511757848218</v>
      </c>
      <c r="F202" s="7">
        <f>INDEX('2017 Lockdown Update'!E$5:E$249,MATCH(B202,'2017 Lockdown Update'!B$5:B$249,0))</f>
        <v>58460.25</v>
      </c>
      <c r="G202" s="7">
        <f>INDEX('2017 Lockdown Update'!F$5:F$249,MATCH(B202,'2017 Lockdown Update'!B$5:B$249,0))</f>
        <v>0</v>
      </c>
      <c r="H202" s="7">
        <f t="shared" si="40"/>
        <v>58460.25</v>
      </c>
      <c r="I202" s="6">
        <f t="shared" si="41"/>
        <v>465.02163881367801</v>
      </c>
      <c r="J202" s="6">
        <f t="shared" si="49"/>
        <v>465.02163881367801</v>
      </c>
      <c r="K202" s="5">
        <f t="shared" si="42"/>
        <v>58460.25</v>
      </c>
      <c r="L202" s="4">
        <f t="shared" si="43"/>
        <v>0</v>
      </c>
      <c r="M202" s="2">
        <f t="shared" si="44"/>
        <v>800.14056464366138</v>
      </c>
      <c r="N202" s="1">
        <f t="shared" si="45"/>
        <v>52</v>
      </c>
      <c r="O202" s="3">
        <f t="shared" si="46"/>
        <v>112304.6944494419</v>
      </c>
      <c r="P202" s="2">
        <f t="shared" si="47"/>
        <v>738.84825375578669</v>
      </c>
      <c r="Q202" s="2">
        <f t="shared" si="39"/>
        <v>-146.73157165696136</v>
      </c>
      <c r="R202" s="2">
        <f t="shared" si="39"/>
        <v>1747.012700944284</v>
      </c>
      <c r="S202" s="2">
        <f t="shared" si="48"/>
        <v>465.02163881367801</v>
      </c>
    </row>
    <row r="203" spans="2:19" x14ac:dyDescent="0.25">
      <c r="B203" s="10">
        <v>871</v>
      </c>
      <c r="C203" s="10">
        <v>8</v>
      </c>
      <c r="D203" s="198" t="s">
        <v>494</v>
      </c>
      <c r="E203" s="162">
        <f>INDEX('2017 Lockdown Update'!H$5:H$249,MATCH(B203,'2017 Lockdown Update'!B$5:B$249,0))</f>
        <v>16.527144824886271</v>
      </c>
      <c r="F203" s="7">
        <f>INDEX('2017 Lockdown Update'!E$5:E$249,MATCH(B203,'2017 Lockdown Update'!B$5:B$249,0))</f>
        <v>10418.42</v>
      </c>
      <c r="G203" s="7">
        <f>INDEX('2017 Lockdown Update'!F$5:F$249,MATCH(B203,'2017 Lockdown Update'!B$5:B$249,0))</f>
        <v>0</v>
      </c>
      <c r="H203" s="7">
        <f t="shared" si="40"/>
        <v>10418.42</v>
      </c>
      <c r="I203" s="6">
        <f t="shared" si="41"/>
        <v>630.38232619055498</v>
      </c>
      <c r="J203" s="6">
        <f t="shared" si="49"/>
        <v>630.38232619055498</v>
      </c>
      <c r="K203" s="5">
        <f t="shared" si="42"/>
        <v>10418.42</v>
      </c>
      <c r="L203" s="4">
        <f t="shared" si="43"/>
        <v>0</v>
      </c>
      <c r="M203" s="2">
        <f t="shared" si="44"/>
        <v>800.14056464366138</v>
      </c>
      <c r="N203" s="1">
        <f t="shared" si="45"/>
        <v>52</v>
      </c>
      <c r="O203" s="3">
        <f t="shared" si="46"/>
        <v>28817.859522701732</v>
      </c>
      <c r="P203" s="2">
        <f t="shared" si="47"/>
        <v>738.84825375578669</v>
      </c>
      <c r="Q203" s="2">
        <f t="shared" si="39"/>
        <v>-146.73157165696136</v>
      </c>
      <c r="R203" s="2">
        <f t="shared" si="39"/>
        <v>1747.012700944284</v>
      </c>
      <c r="S203" s="2">
        <f t="shared" si="48"/>
        <v>630.38232619055498</v>
      </c>
    </row>
    <row r="204" spans="2:19" x14ac:dyDescent="0.25">
      <c r="B204" s="10">
        <v>873</v>
      </c>
      <c r="C204" s="10">
        <v>8</v>
      </c>
      <c r="D204" s="198" t="s">
        <v>495</v>
      </c>
      <c r="E204" s="162">
        <f>INDEX('2017 Lockdown Update'!H$5:H$249,MATCH(B204,'2017 Lockdown Update'!B$5:B$249,0))</f>
        <v>163.97</v>
      </c>
      <c r="F204" s="7">
        <f>INDEX('2017 Lockdown Update'!E$5:E$249,MATCH(B204,'2017 Lockdown Update'!B$5:B$249,0))</f>
        <v>67478.509999999995</v>
      </c>
      <c r="G204" s="7">
        <f>INDEX('2017 Lockdown Update'!F$5:F$249,MATCH(B204,'2017 Lockdown Update'!B$5:B$249,0))</f>
        <v>0</v>
      </c>
      <c r="H204" s="7">
        <f t="shared" si="40"/>
        <v>67478.509999999995</v>
      </c>
      <c r="I204" s="6">
        <f t="shared" si="41"/>
        <v>411.52960907483072</v>
      </c>
      <c r="J204" s="6">
        <f t="shared" si="49"/>
        <v>411.52960907483072</v>
      </c>
      <c r="K204" s="5">
        <f t="shared" si="42"/>
        <v>67478.509999999995</v>
      </c>
      <c r="L204" s="4">
        <f t="shared" si="43"/>
        <v>0</v>
      </c>
      <c r="M204" s="2">
        <f t="shared" si="44"/>
        <v>800.14056464366138</v>
      </c>
      <c r="N204" s="1">
        <f t="shared" si="45"/>
        <v>52</v>
      </c>
      <c r="O204" s="3">
        <f t="shared" si="46"/>
        <v>151018.47478811967</v>
      </c>
      <c r="P204" s="2">
        <f t="shared" si="47"/>
        <v>738.84825375578669</v>
      </c>
      <c r="Q204" s="2">
        <f t="shared" si="39"/>
        <v>-146.73157165696136</v>
      </c>
      <c r="R204" s="2">
        <f t="shared" si="39"/>
        <v>1747.012700944284</v>
      </c>
      <c r="S204" s="2">
        <f t="shared" si="48"/>
        <v>411.52960907483072</v>
      </c>
    </row>
    <row r="205" spans="2:19" x14ac:dyDescent="0.25">
      <c r="B205" s="10">
        <v>895</v>
      </c>
      <c r="C205" s="10">
        <v>8</v>
      </c>
      <c r="D205" s="198" t="s">
        <v>496</v>
      </c>
      <c r="E205" s="162">
        <f>INDEX('2017 Lockdown Update'!H$5:H$249,MATCH(B205,'2017 Lockdown Update'!B$5:B$249,0))</f>
        <v>33.271276233906718</v>
      </c>
      <c r="F205" s="7">
        <f>INDEX('2017 Lockdown Update'!E$5:E$249,MATCH(B205,'2017 Lockdown Update'!B$5:B$249,0))</f>
        <v>12929.53</v>
      </c>
      <c r="G205" s="7">
        <f>INDEX('2017 Lockdown Update'!F$5:F$249,MATCH(B205,'2017 Lockdown Update'!B$5:B$249,0))</f>
        <v>0</v>
      </c>
      <c r="H205" s="7">
        <f t="shared" si="40"/>
        <v>12929.53</v>
      </c>
      <c r="I205" s="6">
        <f t="shared" si="41"/>
        <v>388.60937912635683</v>
      </c>
      <c r="J205" s="6">
        <f t="shared" si="49"/>
        <v>388.60937912635683</v>
      </c>
      <c r="K205" s="5">
        <f t="shared" si="42"/>
        <v>12929.53</v>
      </c>
      <c r="L205" s="4">
        <f t="shared" si="43"/>
        <v>0</v>
      </c>
      <c r="M205" s="2">
        <f t="shared" si="44"/>
        <v>800.14056464366138</v>
      </c>
      <c r="N205" s="1">
        <f t="shared" si="45"/>
        <v>52</v>
      </c>
      <c r="O205" s="3">
        <f t="shared" si="46"/>
        <v>169357.91665327814</v>
      </c>
      <c r="P205" s="2">
        <f t="shared" si="47"/>
        <v>738.84825375578669</v>
      </c>
      <c r="Q205" s="2">
        <f t="shared" si="39"/>
        <v>-146.73157165696136</v>
      </c>
      <c r="R205" s="2">
        <f t="shared" si="39"/>
        <v>1747.012700944284</v>
      </c>
      <c r="S205" s="2">
        <f t="shared" si="48"/>
        <v>388.60937912635683</v>
      </c>
    </row>
    <row r="206" spans="2:19" x14ac:dyDescent="0.25">
      <c r="B206" s="10">
        <v>897</v>
      </c>
      <c r="C206" s="10">
        <v>8</v>
      </c>
      <c r="D206" s="198" t="s">
        <v>497</v>
      </c>
      <c r="E206" s="162">
        <f>INDEX('2017 Lockdown Update'!H$5:H$249,MATCH(B206,'2017 Lockdown Update'!B$5:B$249,0))</f>
        <v>67.748375693871196</v>
      </c>
      <c r="F206" s="7">
        <f>INDEX('2017 Lockdown Update'!E$5:E$249,MATCH(B206,'2017 Lockdown Update'!B$5:B$249,0))</f>
        <v>261720.97</v>
      </c>
      <c r="G206" s="7">
        <f>INDEX('2017 Lockdown Update'!F$5:F$249,MATCH(B206,'2017 Lockdown Update'!B$5:B$249,0))</f>
        <v>119</v>
      </c>
      <c r="H206" s="7">
        <f t="shared" si="40"/>
        <v>261601.97</v>
      </c>
      <c r="I206" s="6">
        <f t="shared" si="41"/>
        <v>3861.3762665259828</v>
      </c>
      <c r="J206" s="6">
        <f t="shared" si="49"/>
        <v>1747.012700944284</v>
      </c>
      <c r="K206" s="5">
        <f t="shared" si="42"/>
        <v>118357.272805538</v>
      </c>
      <c r="L206" s="4">
        <f t="shared" si="43"/>
        <v>0</v>
      </c>
      <c r="M206" s="2">
        <f t="shared" si="44"/>
        <v>800.14056464366138</v>
      </c>
      <c r="N206" s="1">
        <f t="shared" si="45"/>
        <v>52</v>
      </c>
      <c r="O206" s="3">
        <f t="shared" si="46"/>
        <v>9371164.0224789493</v>
      </c>
      <c r="P206" s="2">
        <f t="shared" si="47"/>
        <v>738.84825375578669</v>
      </c>
      <c r="Q206" s="2">
        <f t="shared" ref="Q206:R225" si="50">NORMINV(Q$4,$M206,$P206)</f>
        <v>-146.73157165696136</v>
      </c>
      <c r="R206" s="2">
        <f t="shared" si="50"/>
        <v>1747.012700944284</v>
      </c>
      <c r="S206" s="2">
        <f t="shared" si="48"/>
        <v>1747.012700944284</v>
      </c>
    </row>
    <row r="207" spans="2:19" x14ac:dyDescent="0.25">
      <c r="B207" s="10">
        <v>905</v>
      </c>
      <c r="C207" s="10">
        <v>8</v>
      </c>
      <c r="D207" s="198" t="s">
        <v>498</v>
      </c>
      <c r="E207" s="162">
        <f>INDEX('2017 Lockdown Update'!H$5:H$249,MATCH(B207,'2017 Lockdown Update'!B$5:B$249,0))</f>
        <v>105.28369884343577</v>
      </c>
      <c r="F207" s="7">
        <f>INDEX('2017 Lockdown Update'!E$5:E$249,MATCH(B207,'2017 Lockdown Update'!B$5:B$249,0))</f>
        <v>52773.440000000002</v>
      </c>
      <c r="G207" s="7">
        <f>INDEX('2017 Lockdown Update'!F$5:F$249,MATCH(B207,'2017 Lockdown Update'!B$5:B$249,0))</f>
        <v>0</v>
      </c>
      <c r="H207" s="7">
        <f t="shared" si="40"/>
        <v>52773.440000000002</v>
      </c>
      <c r="I207" s="6">
        <f t="shared" si="41"/>
        <v>501.24986659594663</v>
      </c>
      <c r="J207" s="6">
        <f t="shared" si="49"/>
        <v>501.24986659594663</v>
      </c>
      <c r="K207" s="5">
        <f t="shared" si="42"/>
        <v>52773.440000000002</v>
      </c>
      <c r="L207" s="4">
        <f t="shared" si="43"/>
        <v>0</v>
      </c>
      <c r="M207" s="2">
        <f t="shared" si="44"/>
        <v>800.14056464366138</v>
      </c>
      <c r="N207" s="1">
        <f t="shared" si="45"/>
        <v>52</v>
      </c>
      <c r="O207" s="3">
        <f t="shared" si="46"/>
        <v>89335.649379450188</v>
      </c>
      <c r="P207" s="2">
        <f t="shared" si="47"/>
        <v>738.84825375578669</v>
      </c>
      <c r="Q207" s="2">
        <f t="shared" si="50"/>
        <v>-146.73157165696136</v>
      </c>
      <c r="R207" s="2">
        <f t="shared" si="50"/>
        <v>1747.012700944284</v>
      </c>
      <c r="S207" s="2">
        <f t="shared" si="48"/>
        <v>501.24986659594663</v>
      </c>
    </row>
    <row r="208" spans="2:19" x14ac:dyDescent="0.25">
      <c r="B208" s="10">
        <v>907</v>
      </c>
      <c r="C208" s="10">
        <v>8</v>
      </c>
      <c r="D208" s="198" t="s">
        <v>499</v>
      </c>
      <c r="E208" s="162">
        <f>INDEX('2017 Lockdown Update'!H$5:H$249,MATCH(B208,'2017 Lockdown Update'!B$5:B$249,0))</f>
        <v>12.115084280824727</v>
      </c>
      <c r="F208" s="7">
        <f>INDEX('2017 Lockdown Update'!E$5:E$249,MATCH(B208,'2017 Lockdown Update'!B$5:B$249,0))</f>
        <v>18116.95</v>
      </c>
      <c r="G208" s="7">
        <f>INDEX('2017 Lockdown Update'!F$5:F$249,MATCH(B208,'2017 Lockdown Update'!B$5:B$249,0))</f>
        <v>0</v>
      </c>
      <c r="H208" s="7">
        <f t="shared" si="40"/>
        <v>18116.95</v>
      </c>
      <c r="I208" s="6">
        <f t="shared" si="41"/>
        <v>1495.404371942735</v>
      </c>
      <c r="J208" s="6">
        <f t="shared" si="49"/>
        <v>1495.404371942735</v>
      </c>
      <c r="K208" s="5">
        <f t="shared" si="42"/>
        <v>18116.95</v>
      </c>
      <c r="L208" s="4">
        <f t="shared" si="43"/>
        <v>0</v>
      </c>
      <c r="M208" s="2">
        <f t="shared" si="44"/>
        <v>800.14056464366138</v>
      </c>
      <c r="N208" s="1">
        <f t="shared" si="45"/>
        <v>52</v>
      </c>
      <c r="O208" s="3">
        <f t="shared" si="46"/>
        <v>483391.76174000336</v>
      </c>
      <c r="P208" s="2">
        <f t="shared" si="47"/>
        <v>738.84825375578669</v>
      </c>
      <c r="Q208" s="2">
        <f t="shared" si="50"/>
        <v>-146.73157165696136</v>
      </c>
      <c r="R208" s="2">
        <f t="shared" si="50"/>
        <v>1747.012700944284</v>
      </c>
      <c r="S208" s="2">
        <f t="shared" si="48"/>
        <v>1495.404371942735</v>
      </c>
    </row>
    <row r="209" spans="2:19" x14ac:dyDescent="0.25">
      <c r="B209" s="10">
        <v>918</v>
      </c>
      <c r="C209" s="10">
        <v>8</v>
      </c>
      <c r="D209" s="198" t="s">
        <v>500</v>
      </c>
      <c r="E209" s="162">
        <f>INDEX('2017 Lockdown Update'!H$5:H$249,MATCH(B209,'2017 Lockdown Update'!B$5:B$249,0))</f>
        <v>59.047271200750195</v>
      </c>
      <c r="F209" s="7">
        <f>INDEX('2017 Lockdown Update'!E$5:E$249,MATCH(B209,'2017 Lockdown Update'!B$5:B$249,0))</f>
        <v>37834.36</v>
      </c>
      <c r="G209" s="7">
        <f>INDEX('2017 Lockdown Update'!F$5:F$249,MATCH(B209,'2017 Lockdown Update'!B$5:B$249,0))</f>
        <v>0</v>
      </c>
      <c r="H209" s="7">
        <f t="shared" si="40"/>
        <v>37834.36</v>
      </c>
      <c r="I209" s="6">
        <f t="shared" si="41"/>
        <v>640.74696815996663</v>
      </c>
      <c r="J209" s="6">
        <f t="shared" si="49"/>
        <v>640.74696815996663</v>
      </c>
      <c r="K209" s="5">
        <f t="shared" si="42"/>
        <v>37834.36</v>
      </c>
      <c r="L209" s="4">
        <f t="shared" si="43"/>
        <v>0</v>
      </c>
      <c r="M209" s="2">
        <f t="shared" si="44"/>
        <v>800.14056464366138</v>
      </c>
      <c r="N209" s="1">
        <f t="shared" si="45"/>
        <v>52</v>
      </c>
      <c r="O209" s="3">
        <f t="shared" si="46"/>
        <v>25406.318600006907</v>
      </c>
      <c r="P209" s="2">
        <f t="shared" si="47"/>
        <v>738.84825375578669</v>
      </c>
      <c r="Q209" s="2">
        <f t="shared" si="50"/>
        <v>-146.73157165696136</v>
      </c>
      <c r="R209" s="2">
        <f t="shared" si="50"/>
        <v>1747.012700944284</v>
      </c>
      <c r="S209" s="2">
        <f t="shared" si="48"/>
        <v>640.74696815996663</v>
      </c>
    </row>
    <row r="210" spans="2:19" x14ac:dyDescent="0.25">
      <c r="B210" s="10">
        <v>922</v>
      </c>
      <c r="C210" s="10">
        <v>8</v>
      </c>
      <c r="D210" s="198" t="s">
        <v>501</v>
      </c>
      <c r="E210" s="162">
        <f>INDEX('2017 Lockdown Update'!H$5:H$249,MATCH(B210,'2017 Lockdown Update'!B$5:B$249,0))</f>
        <v>157.44</v>
      </c>
      <c r="F210" s="7">
        <f>INDEX('2017 Lockdown Update'!E$5:E$249,MATCH(B210,'2017 Lockdown Update'!B$5:B$249,0))</f>
        <v>122591.46</v>
      </c>
      <c r="G210" s="7">
        <f>INDEX('2017 Lockdown Update'!F$5:F$249,MATCH(B210,'2017 Lockdown Update'!B$5:B$249,0))</f>
        <v>18794.579999999998</v>
      </c>
      <c r="H210" s="7">
        <f t="shared" si="40"/>
        <v>103796.88</v>
      </c>
      <c r="I210" s="6">
        <f t="shared" si="41"/>
        <v>659.27896341463418</v>
      </c>
      <c r="J210" s="6">
        <f t="shared" si="49"/>
        <v>659.27896341463418</v>
      </c>
      <c r="K210" s="5">
        <f t="shared" si="42"/>
        <v>103796.88</v>
      </c>
      <c r="L210" s="4">
        <f t="shared" si="43"/>
        <v>0</v>
      </c>
      <c r="M210" s="2">
        <f t="shared" si="44"/>
        <v>800.14056464366138</v>
      </c>
      <c r="N210" s="1">
        <f t="shared" si="45"/>
        <v>52</v>
      </c>
      <c r="O210" s="3">
        <f t="shared" si="46"/>
        <v>19841.990700805476</v>
      </c>
      <c r="P210" s="2">
        <f t="shared" si="47"/>
        <v>738.84825375578669</v>
      </c>
      <c r="Q210" s="2">
        <f t="shared" si="50"/>
        <v>-146.73157165696136</v>
      </c>
      <c r="R210" s="2">
        <f t="shared" si="50"/>
        <v>1747.012700944284</v>
      </c>
      <c r="S210" s="2">
        <f t="shared" si="48"/>
        <v>659.27896341463418</v>
      </c>
    </row>
    <row r="211" spans="2:19" x14ac:dyDescent="0.25">
      <c r="B211" s="10">
        <v>924</v>
      </c>
      <c r="C211" s="10">
        <v>8</v>
      </c>
      <c r="D211" s="198" t="s">
        <v>502</v>
      </c>
      <c r="E211" s="162">
        <f>INDEX('2017 Lockdown Update'!H$5:H$249,MATCH(B211,'2017 Lockdown Update'!B$5:B$249,0))</f>
        <v>114.91247851438976</v>
      </c>
      <c r="F211" s="7">
        <f>INDEX('2017 Lockdown Update'!E$5:E$249,MATCH(B211,'2017 Lockdown Update'!B$5:B$249,0))</f>
        <v>54438.720000000001</v>
      </c>
      <c r="G211" s="7">
        <f>INDEX('2017 Lockdown Update'!F$5:F$249,MATCH(B211,'2017 Lockdown Update'!B$5:B$249,0))</f>
        <v>0</v>
      </c>
      <c r="H211" s="7">
        <f t="shared" si="40"/>
        <v>54438.720000000001</v>
      </c>
      <c r="I211" s="6">
        <f t="shared" si="41"/>
        <v>473.74071731629203</v>
      </c>
      <c r="J211" s="6">
        <f t="shared" si="49"/>
        <v>473.74071731629203</v>
      </c>
      <c r="K211" s="5">
        <f t="shared" si="42"/>
        <v>54438.720000000001</v>
      </c>
      <c r="L211" s="4">
        <f t="shared" si="43"/>
        <v>0</v>
      </c>
      <c r="M211" s="2">
        <f t="shared" si="44"/>
        <v>800.14056464366138</v>
      </c>
      <c r="N211" s="1">
        <f t="shared" si="45"/>
        <v>52</v>
      </c>
      <c r="O211" s="3">
        <f t="shared" si="46"/>
        <v>106536.86033533001</v>
      </c>
      <c r="P211" s="2">
        <f t="shared" si="47"/>
        <v>738.84825375578669</v>
      </c>
      <c r="Q211" s="2">
        <f t="shared" si="50"/>
        <v>-146.73157165696136</v>
      </c>
      <c r="R211" s="2">
        <f t="shared" si="50"/>
        <v>1747.012700944284</v>
      </c>
      <c r="S211" s="2">
        <f t="shared" si="48"/>
        <v>473.74071731629203</v>
      </c>
    </row>
    <row r="212" spans="2:19" x14ac:dyDescent="0.25">
      <c r="B212" s="10">
        <v>929</v>
      </c>
      <c r="C212" s="10">
        <v>8</v>
      </c>
      <c r="D212" s="198" t="s">
        <v>503</v>
      </c>
      <c r="E212" s="162">
        <f>INDEX('2017 Lockdown Update'!H$5:H$249,MATCH(B212,'2017 Lockdown Update'!B$5:B$249,0))</f>
        <v>48.975680260617573</v>
      </c>
      <c r="F212" s="7">
        <f>INDEX('2017 Lockdown Update'!E$5:E$249,MATCH(B212,'2017 Lockdown Update'!B$5:B$249,0))</f>
        <v>52171.61</v>
      </c>
      <c r="G212" s="7">
        <f>INDEX('2017 Lockdown Update'!F$5:F$249,MATCH(B212,'2017 Lockdown Update'!B$5:B$249,0))</f>
        <v>0</v>
      </c>
      <c r="H212" s="7">
        <f t="shared" si="40"/>
        <v>52171.61</v>
      </c>
      <c r="I212" s="6">
        <f t="shared" si="41"/>
        <v>1065.255443566597</v>
      </c>
      <c r="J212" s="6">
        <f t="shared" si="49"/>
        <v>1065.255443566597</v>
      </c>
      <c r="K212" s="5">
        <f t="shared" si="42"/>
        <v>52171.61</v>
      </c>
      <c r="L212" s="4">
        <f t="shared" si="43"/>
        <v>0</v>
      </c>
      <c r="M212" s="2">
        <f t="shared" si="44"/>
        <v>800.14056464366138</v>
      </c>
      <c r="N212" s="1">
        <f t="shared" si="45"/>
        <v>52</v>
      </c>
      <c r="O212" s="3">
        <f t="shared" si="46"/>
        <v>70285.899026322833</v>
      </c>
      <c r="P212" s="2">
        <f t="shared" si="47"/>
        <v>738.84825375578669</v>
      </c>
      <c r="Q212" s="2">
        <f t="shared" si="50"/>
        <v>-146.73157165696136</v>
      </c>
      <c r="R212" s="2">
        <f t="shared" si="50"/>
        <v>1747.012700944284</v>
      </c>
      <c r="S212" s="2">
        <f t="shared" si="48"/>
        <v>1065.255443566597</v>
      </c>
    </row>
    <row r="213" spans="2:19" x14ac:dyDescent="0.25">
      <c r="B213" s="10">
        <v>955</v>
      </c>
      <c r="C213" s="10">
        <v>8</v>
      </c>
      <c r="D213" s="198" t="s">
        <v>504</v>
      </c>
      <c r="E213" s="162">
        <f>INDEX('2017 Lockdown Update'!H$5:H$249,MATCH(B213,'2017 Lockdown Update'!B$5:B$249,0))</f>
        <v>48.241978039358088</v>
      </c>
      <c r="F213" s="7">
        <f>INDEX('2017 Lockdown Update'!E$5:E$249,MATCH(B213,'2017 Lockdown Update'!B$5:B$249,0))</f>
        <v>22749.54</v>
      </c>
      <c r="G213" s="7">
        <f>INDEX('2017 Lockdown Update'!F$5:F$249,MATCH(B213,'2017 Lockdown Update'!B$5:B$249,0))</f>
        <v>0</v>
      </c>
      <c r="H213" s="7">
        <f t="shared" si="40"/>
        <v>22749.54</v>
      </c>
      <c r="I213" s="6">
        <f t="shared" si="41"/>
        <v>471.57145964122469</v>
      </c>
      <c r="J213" s="6">
        <f t="shared" si="49"/>
        <v>471.57145964122469</v>
      </c>
      <c r="K213" s="5">
        <f t="shared" si="42"/>
        <v>22749.54</v>
      </c>
      <c r="L213" s="4">
        <f t="shared" si="43"/>
        <v>0</v>
      </c>
      <c r="M213" s="2">
        <f t="shared" si="44"/>
        <v>800.14056464366138</v>
      </c>
      <c r="N213" s="1">
        <f t="shared" si="45"/>
        <v>52</v>
      </c>
      <c r="O213" s="3">
        <f t="shared" si="46"/>
        <v>107957.65676210227</v>
      </c>
      <c r="P213" s="2">
        <f t="shared" si="47"/>
        <v>738.84825375578669</v>
      </c>
      <c r="Q213" s="2">
        <f t="shared" si="50"/>
        <v>-146.73157165696136</v>
      </c>
      <c r="R213" s="2">
        <f t="shared" si="50"/>
        <v>1747.012700944284</v>
      </c>
      <c r="S213" s="2">
        <f t="shared" si="48"/>
        <v>471.57145964122469</v>
      </c>
    </row>
    <row r="214" spans="2:19" x14ac:dyDescent="0.25">
      <c r="B214" s="10">
        <v>973</v>
      </c>
      <c r="C214" s="10">
        <v>8</v>
      </c>
      <c r="D214" s="198" t="s">
        <v>505</v>
      </c>
      <c r="E214" s="162">
        <f>INDEX('2017 Lockdown Update'!H$5:H$249,MATCH(B214,'2017 Lockdown Update'!B$5:B$249,0))</f>
        <v>7.0843726591984275</v>
      </c>
      <c r="F214" s="7">
        <f>INDEX('2017 Lockdown Update'!E$5:E$249,MATCH(B214,'2017 Lockdown Update'!B$5:B$249,0))</f>
        <v>7075.91</v>
      </c>
      <c r="G214" s="7">
        <f>INDEX('2017 Lockdown Update'!F$5:F$249,MATCH(B214,'2017 Lockdown Update'!B$5:B$249,0))</f>
        <v>0</v>
      </c>
      <c r="H214" s="7">
        <f t="shared" si="40"/>
        <v>7075.91</v>
      </c>
      <c r="I214" s="6">
        <f t="shared" si="41"/>
        <v>998.80544691738658</v>
      </c>
      <c r="J214" s="6">
        <f t="shared" si="49"/>
        <v>998.80544691738658</v>
      </c>
      <c r="K214" s="5">
        <f t="shared" si="42"/>
        <v>7075.91</v>
      </c>
      <c r="L214" s="4">
        <f t="shared" si="43"/>
        <v>0</v>
      </c>
      <c r="M214" s="2">
        <f t="shared" si="44"/>
        <v>800.14056464366138</v>
      </c>
      <c r="N214" s="1">
        <f t="shared" si="45"/>
        <v>52</v>
      </c>
      <c r="O214" s="3">
        <f t="shared" si="46"/>
        <v>39467.735448833089</v>
      </c>
      <c r="P214" s="2">
        <f t="shared" si="47"/>
        <v>738.84825375578669</v>
      </c>
      <c r="Q214" s="2">
        <f t="shared" si="50"/>
        <v>-146.73157165696136</v>
      </c>
      <c r="R214" s="2">
        <f t="shared" si="50"/>
        <v>1747.012700944284</v>
      </c>
      <c r="S214" s="2">
        <f t="shared" si="48"/>
        <v>998.80544691738658</v>
      </c>
    </row>
    <row r="215" spans="2:19" x14ac:dyDescent="0.25">
      <c r="B215" s="47">
        <v>974</v>
      </c>
      <c r="C215" s="47">
        <v>8</v>
      </c>
      <c r="D215" s="199" t="s">
        <v>506</v>
      </c>
      <c r="E215" s="162">
        <f>INDEX('2017 Lockdown Update'!H$5:H$249,MATCH(B215,'2017 Lockdown Update'!B$5:B$249,0))</f>
        <v>19.13</v>
      </c>
      <c r="F215" s="7">
        <f>INDEX('2017 Lockdown Update'!E$5:E$249,MATCH(B215,'2017 Lockdown Update'!B$5:B$249,0))</f>
        <v>13013.02</v>
      </c>
      <c r="G215" s="7">
        <f>INDEX('2017 Lockdown Update'!F$5:F$249,MATCH(B215,'2017 Lockdown Update'!B$5:B$249,0))</f>
        <v>0</v>
      </c>
      <c r="H215" s="7">
        <f t="shared" si="40"/>
        <v>13013.02</v>
      </c>
      <c r="I215" s="6">
        <f t="shared" si="41"/>
        <v>680.24150548876116</v>
      </c>
      <c r="J215" s="6">
        <f t="shared" si="49"/>
        <v>680.24150548876116</v>
      </c>
      <c r="K215" s="5">
        <f t="shared" si="42"/>
        <v>13013.02</v>
      </c>
      <c r="L215" s="4">
        <f t="shared" si="43"/>
        <v>0</v>
      </c>
      <c r="M215" s="2">
        <f t="shared" si="44"/>
        <v>800.14056464366138</v>
      </c>
      <c r="N215" s="1">
        <f t="shared" si="45"/>
        <v>52</v>
      </c>
      <c r="O215" s="3">
        <f t="shared" si="46"/>
        <v>14375.784386230262</v>
      </c>
      <c r="P215" s="2">
        <f t="shared" si="47"/>
        <v>738.84825375578669</v>
      </c>
      <c r="Q215" s="2">
        <f t="shared" si="50"/>
        <v>-146.73157165696136</v>
      </c>
      <c r="R215" s="2">
        <f t="shared" si="50"/>
        <v>1747.012700944284</v>
      </c>
      <c r="S215" s="2">
        <f t="shared" si="48"/>
        <v>680.24150548876116</v>
      </c>
    </row>
    <row r="216" spans="2:19" x14ac:dyDescent="0.25">
      <c r="B216" s="47">
        <v>978</v>
      </c>
      <c r="C216" s="47">
        <v>8</v>
      </c>
      <c r="D216" s="199" t="s">
        <v>507</v>
      </c>
      <c r="E216" s="162">
        <f>INDEX('2017 Lockdown Update'!H$5:H$249,MATCH(B216,'2017 Lockdown Update'!B$5:B$249,0))</f>
        <v>33.756385778634701</v>
      </c>
      <c r="F216" s="7">
        <f>INDEX('2017 Lockdown Update'!E$5:E$249,MATCH(B216,'2017 Lockdown Update'!B$5:B$249,0))</f>
        <v>53507.31</v>
      </c>
      <c r="G216" s="7">
        <f>INDEX('2017 Lockdown Update'!F$5:F$249,MATCH(B216,'2017 Lockdown Update'!B$5:B$249,0))</f>
        <v>1358.34</v>
      </c>
      <c r="H216" s="7">
        <f t="shared" si="40"/>
        <v>52148.97</v>
      </c>
      <c r="I216" s="6">
        <f t="shared" si="41"/>
        <v>1544.8623659528873</v>
      </c>
      <c r="J216" s="6">
        <f t="shared" si="49"/>
        <v>1544.8623659528873</v>
      </c>
      <c r="K216" s="5">
        <f t="shared" si="42"/>
        <v>52148.97</v>
      </c>
      <c r="L216" s="4">
        <f t="shared" si="43"/>
        <v>0</v>
      </c>
      <c r="M216" s="2">
        <f t="shared" si="44"/>
        <v>800.14056464366138</v>
      </c>
      <c r="N216" s="1">
        <f t="shared" si="45"/>
        <v>52</v>
      </c>
      <c r="O216" s="3">
        <f t="shared" si="46"/>
        <v>554610.56134525826</v>
      </c>
      <c r="P216" s="2">
        <f t="shared" si="47"/>
        <v>738.84825375578669</v>
      </c>
      <c r="Q216" s="2">
        <f t="shared" si="50"/>
        <v>-146.73157165696136</v>
      </c>
      <c r="R216" s="2">
        <f t="shared" si="50"/>
        <v>1747.012700944284</v>
      </c>
      <c r="S216" s="2">
        <f t="shared" si="48"/>
        <v>1544.8623659528873</v>
      </c>
    </row>
    <row r="217" spans="2:19" x14ac:dyDescent="0.25">
      <c r="B217" s="10">
        <v>985</v>
      </c>
      <c r="C217" s="10">
        <v>8</v>
      </c>
      <c r="D217" s="198" t="s">
        <v>508</v>
      </c>
      <c r="E217" s="162">
        <f>INDEX('2017 Lockdown Update'!H$5:H$249,MATCH(B217,'2017 Lockdown Update'!B$5:B$249,0))</f>
        <v>21.698658413417423</v>
      </c>
      <c r="F217" s="7">
        <f>INDEX('2017 Lockdown Update'!E$5:E$249,MATCH(B217,'2017 Lockdown Update'!B$5:B$249,0))</f>
        <v>49440</v>
      </c>
      <c r="G217" s="7">
        <f>INDEX('2017 Lockdown Update'!F$5:F$249,MATCH(B217,'2017 Lockdown Update'!B$5:B$249,0))</f>
        <v>0</v>
      </c>
      <c r="H217" s="7">
        <f t="shared" si="40"/>
        <v>49440</v>
      </c>
      <c r="I217" s="6">
        <f t="shared" si="41"/>
        <v>2278.4818792957562</v>
      </c>
      <c r="J217" s="6">
        <f t="shared" si="49"/>
        <v>1747.012700944284</v>
      </c>
      <c r="K217" s="5">
        <f t="shared" si="42"/>
        <v>37907.831841691783</v>
      </c>
      <c r="L217" s="4">
        <f t="shared" si="43"/>
        <v>0</v>
      </c>
      <c r="M217" s="2">
        <f t="shared" si="44"/>
        <v>800.14056464366138</v>
      </c>
      <c r="N217" s="1">
        <f t="shared" si="45"/>
        <v>52</v>
      </c>
      <c r="O217" s="3">
        <f t="shared" si="46"/>
        <v>2185493.0426072837</v>
      </c>
      <c r="P217" s="2">
        <f t="shared" si="47"/>
        <v>738.84825375578669</v>
      </c>
      <c r="Q217" s="2">
        <f t="shared" si="50"/>
        <v>-146.73157165696136</v>
      </c>
      <c r="R217" s="2">
        <f t="shared" si="50"/>
        <v>1747.012700944284</v>
      </c>
      <c r="S217" s="2">
        <f t="shared" si="48"/>
        <v>1747.012700944284</v>
      </c>
    </row>
    <row r="218" spans="2:19" x14ac:dyDescent="0.25">
      <c r="B218" s="10">
        <v>990</v>
      </c>
      <c r="C218" s="10">
        <v>8</v>
      </c>
      <c r="D218" s="198" t="s">
        <v>0</v>
      </c>
      <c r="E218" s="162">
        <f>INDEX('2017 Lockdown Update'!H$5:H$249,MATCH(B218,'2017 Lockdown Update'!B$5:B$249,0))</f>
        <v>4.3126083596667133</v>
      </c>
      <c r="F218" s="7">
        <f>INDEX('2017 Lockdown Update'!E$5:E$249,MATCH(B218,'2017 Lockdown Update'!B$5:B$249,0))</f>
        <v>4506.8</v>
      </c>
      <c r="G218" s="7">
        <f>INDEX('2017 Lockdown Update'!F$5:F$249,MATCH(B218,'2017 Lockdown Update'!B$5:B$249,0))</f>
        <v>0</v>
      </c>
      <c r="H218" s="7">
        <f t="shared" si="40"/>
        <v>4506.8</v>
      </c>
      <c r="I218" s="6">
        <f t="shared" si="41"/>
        <v>1045.028814150955</v>
      </c>
      <c r="J218" s="6">
        <f t="shared" si="49"/>
        <v>1045.028814150955</v>
      </c>
      <c r="K218" s="5">
        <f t="shared" si="42"/>
        <v>4506.8</v>
      </c>
      <c r="L218" s="4">
        <f t="shared" si="43"/>
        <v>0</v>
      </c>
      <c r="M218" s="2">
        <f t="shared" si="44"/>
        <v>800.14056464366138</v>
      </c>
      <c r="N218" s="1">
        <f t="shared" si="45"/>
        <v>52</v>
      </c>
      <c r="O218" s="3">
        <f t="shared" si="46"/>
        <v>59970.25474674649</v>
      </c>
      <c r="P218" s="2">
        <f t="shared" si="47"/>
        <v>738.84825375578669</v>
      </c>
      <c r="Q218" s="2">
        <f t="shared" si="50"/>
        <v>-146.73157165696136</v>
      </c>
      <c r="R218" s="2">
        <f t="shared" si="50"/>
        <v>1747.012700944284</v>
      </c>
      <c r="S218" s="2">
        <f t="shared" si="48"/>
        <v>1045.028814150955</v>
      </c>
    </row>
    <row r="219" spans="2:19" x14ac:dyDescent="0.25">
      <c r="B219" s="10">
        <v>100</v>
      </c>
      <c r="C219" s="10">
        <v>9</v>
      </c>
      <c r="D219" s="198" t="s">
        <v>509</v>
      </c>
      <c r="E219" s="162">
        <f>INDEX('2017 Lockdown Update'!H$5:H$249,MATCH(B219,'2017 Lockdown Update'!B$5:B$249,0))</f>
        <v>31.847179844103021</v>
      </c>
      <c r="F219" s="7">
        <f>INDEX('2017 Lockdown Update'!E$5:E$249,MATCH(B219,'2017 Lockdown Update'!B$5:B$249,0))</f>
        <v>29893.4</v>
      </c>
      <c r="G219" s="7">
        <f>INDEX('2017 Lockdown Update'!F$5:F$249,MATCH(B219,'2017 Lockdown Update'!B$5:B$249,0))</f>
        <v>0</v>
      </c>
      <c r="H219" s="7">
        <f t="shared" si="40"/>
        <v>29893.4</v>
      </c>
      <c r="I219" s="6">
        <f t="shared" si="41"/>
        <v>938.65140167301843</v>
      </c>
      <c r="J219" s="6">
        <f t="shared" si="49"/>
        <v>938.65140167301843</v>
      </c>
      <c r="K219" s="5">
        <f t="shared" si="42"/>
        <v>29893.4</v>
      </c>
      <c r="L219" s="4">
        <f t="shared" si="43"/>
        <v>0</v>
      </c>
      <c r="M219" s="2">
        <f t="shared" si="44"/>
        <v>526.52057791612788</v>
      </c>
      <c r="N219" s="1">
        <f t="shared" si="45"/>
        <v>32</v>
      </c>
      <c r="O219" s="3">
        <f t="shared" si="46"/>
        <v>169851.81589053318</v>
      </c>
      <c r="P219" s="2">
        <f t="shared" si="47"/>
        <v>374.5550206485139</v>
      </c>
      <c r="Q219" s="2">
        <f t="shared" si="50"/>
        <v>46.509004821434701</v>
      </c>
      <c r="R219" s="2">
        <f t="shared" si="50"/>
        <v>1006.5321510108211</v>
      </c>
      <c r="S219" s="2">
        <f t="shared" si="48"/>
        <v>938.65140167301843</v>
      </c>
    </row>
    <row r="220" spans="2:19" x14ac:dyDescent="0.25">
      <c r="B220" s="10">
        <v>159</v>
      </c>
      <c r="C220" s="10">
        <v>9</v>
      </c>
      <c r="D220" s="198" t="s">
        <v>510</v>
      </c>
      <c r="E220" s="162">
        <f>INDEX('2017 Lockdown Update'!H$5:H$249,MATCH(B220,'2017 Lockdown Update'!B$5:B$249,0))</f>
        <v>827.75861293351329</v>
      </c>
      <c r="F220" s="7">
        <f>INDEX('2017 Lockdown Update'!E$5:E$249,MATCH(B220,'2017 Lockdown Update'!B$5:B$249,0))</f>
        <v>161334.24</v>
      </c>
      <c r="G220" s="7">
        <f>INDEX('2017 Lockdown Update'!F$5:F$249,MATCH(B220,'2017 Lockdown Update'!B$5:B$249,0))</f>
        <v>0</v>
      </c>
      <c r="H220" s="7">
        <f t="shared" si="40"/>
        <v>161334.24</v>
      </c>
      <c r="I220" s="6">
        <f t="shared" si="41"/>
        <v>194.90493663151841</v>
      </c>
      <c r="J220" s="6">
        <f t="shared" si="49"/>
        <v>194.90493663151841</v>
      </c>
      <c r="K220" s="5">
        <f t="shared" si="42"/>
        <v>161334.24</v>
      </c>
      <c r="L220" s="4">
        <f t="shared" si="43"/>
        <v>0</v>
      </c>
      <c r="M220" s="2">
        <f t="shared" si="44"/>
        <v>526.52057791612788</v>
      </c>
      <c r="N220" s="1">
        <f t="shared" si="45"/>
        <v>32</v>
      </c>
      <c r="O220" s="3">
        <f t="shared" si="46"/>
        <v>109968.93354460278</v>
      </c>
      <c r="P220" s="2">
        <f t="shared" si="47"/>
        <v>374.5550206485139</v>
      </c>
      <c r="Q220" s="2">
        <f t="shared" si="50"/>
        <v>46.509004821434701</v>
      </c>
      <c r="R220" s="2">
        <f t="shared" si="50"/>
        <v>1006.5321510108211</v>
      </c>
      <c r="S220" s="2">
        <f t="shared" si="48"/>
        <v>194.90493663151841</v>
      </c>
    </row>
    <row r="221" spans="2:19" x14ac:dyDescent="0.25">
      <c r="B221" s="10">
        <v>173</v>
      </c>
      <c r="C221" s="10">
        <v>9</v>
      </c>
      <c r="D221" s="198" t="s">
        <v>511</v>
      </c>
      <c r="E221" s="162">
        <f>INDEX('2017 Lockdown Update'!H$5:H$249,MATCH(B221,'2017 Lockdown Update'!B$5:B$249,0))</f>
        <v>352.88</v>
      </c>
      <c r="F221" s="7">
        <f>INDEX('2017 Lockdown Update'!E$5:E$249,MATCH(B221,'2017 Lockdown Update'!B$5:B$249,0))</f>
        <v>161973.89000000001</v>
      </c>
      <c r="G221" s="7">
        <f>INDEX('2017 Lockdown Update'!F$5:F$249,MATCH(B221,'2017 Lockdown Update'!B$5:B$249,0))</f>
        <v>80</v>
      </c>
      <c r="H221" s="7">
        <f t="shared" si="40"/>
        <v>161893.89000000001</v>
      </c>
      <c r="I221" s="6">
        <f t="shared" si="41"/>
        <v>458.77887667195654</v>
      </c>
      <c r="J221" s="6">
        <f t="shared" si="49"/>
        <v>458.77887667195654</v>
      </c>
      <c r="K221" s="5">
        <f t="shared" si="42"/>
        <v>161893.89000000001</v>
      </c>
      <c r="L221" s="4">
        <f t="shared" si="43"/>
        <v>0</v>
      </c>
      <c r="M221" s="2">
        <f t="shared" si="44"/>
        <v>526.52057791612788</v>
      </c>
      <c r="N221" s="1">
        <f t="shared" si="45"/>
        <v>32</v>
      </c>
      <c r="O221" s="3">
        <f t="shared" si="46"/>
        <v>4588.938087454565</v>
      </c>
      <c r="P221" s="2">
        <f t="shared" si="47"/>
        <v>374.5550206485139</v>
      </c>
      <c r="Q221" s="2">
        <f t="shared" si="50"/>
        <v>46.509004821434701</v>
      </c>
      <c r="R221" s="2">
        <f t="shared" si="50"/>
        <v>1006.5321510108211</v>
      </c>
      <c r="S221" s="2">
        <f t="shared" si="48"/>
        <v>458.77887667195654</v>
      </c>
    </row>
    <row r="222" spans="2:19" x14ac:dyDescent="0.25">
      <c r="B222" s="10">
        <v>204</v>
      </c>
      <c r="C222" s="10">
        <v>9</v>
      </c>
      <c r="D222" s="198" t="s">
        <v>512</v>
      </c>
      <c r="E222" s="162">
        <f>INDEX('2017 Lockdown Update'!H$5:H$249,MATCH(B222,'2017 Lockdown Update'!B$5:B$249,0))</f>
        <v>695.26117999658322</v>
      </c>
      <c r="F222" s="7">
        <f>INDEX('2017 Lockdown Update'!E$5:E$249,MATCH(B222,'2017 Lockdown Update'!B$5:B$249,0))</f>
        <v>583867.55000000005</v>
      </c>
      <c r="G222" s="7">
        <f>INDEX('2017 Lockdown Update'!F$5:F$249,MATCH(B222,'2017 Lockdown Update'!B$5:B$249,0))</f>
        <v>36940.740000000005</v>
      </c>
      <c r="H222" s="7">
        <f t="shared" si="40"/>
        <v>546926.81000000006</v>
      </c>
      <c r="I222" s="6">
        <f t="shared" si="41"/>
        <v>786.64942864016632</v>
      </c>
      <c r="J222" s="6">
        <f t="shared" si="49"/>
        <v>786.64942864016632</v>
      </c>
      <c r="K222" s="5">
        <f t="shared" si="42"/>
        <v>546926.81000000006</v>
      </c>
      <c r="L222" s="4">
        <f t="shared" si="43"/>
        <v>0</v>
      </c>
      <c r="M222" s="2">
        <f t="shared" si="44"/>
        <v>526.52057791612788</v>
      </c>
      <c r="N222" s="1">
        <f t="shared" si="45"/>
        <v>32</v>
      </c>
      <c r="O222" s="3">
        <f t="shared" si="46"/>
        <v>67667.018979009081</v>
      </c>
      <c r="P222" s="2">
        <f t="shared" si="47"/>
        <v>374.5550206485139</v>
      </c>
      <c r="Q222" s="2">
        <f t="shared" si="50"/>
        <v>46.509004821434701</v>
      </c>
      <c r="R222" s="2">
        <f t="shared" si="50"/>
        <v>1006.5321510108211</v>
      </c>
      <c r="S222" s="2">
        <f t="shared" si="48"/>
        <v>786.64942864016632</v>
      </c>
    </row>
    <row r="223" spans="2:19" x14ac:dyDescent="0.25">
      <c r="B223" s="10">
        <v>218</v>
      </c>
      <c r="C223" s="10">
        <v>9</v>
      </c>
      <c r="D223" s="198" t="s">
        <v>513</v>
      </c>
      <c r="E223" s="162">
        <f>INDEX('2017 Lockdown Update'!H$5:H$249,MATCH(B223,'2017 Lockdown Update'!B$5:B$249,0))</f>
        <v>324.80179312584204</v>
      </c>
      <c r="F223" s="7">
        <f>INDEX('2017 Lockdown Update'!E$5:E$249,MATCH(B223,'2017 Lockdown Update'!B$5:B$249,0))</f>
        <v>203212.92</v>
      </c>
      <c r="G223" s="7">
        <f>INDEX('2017 Lockdown Update'!F$5:F$249,MATCH(B223,'2017 Lockdown Update'!B$5:B$249,0))</f>
        <v>138</v>
      </c>
      <c r="H223" s="7">
        <f t="shared" si="40"/>
        <v>203074.92</v>
      </c>
      <c r="I223" s="6">
        <f t="shared" si="41"/>
        <v>625.22721332797619</v>
      </c>
      <c r="J223" s="6">
        <f t="shared" si="49"/>
        <v>625.22721332797619</v>
      </c>
      <c r="K223" s="5">
        <f t="shared" si="42"/>
        <v>203074.92000000004</v>
      </c>
      <c r="L223" s="4">
        <f t="shared" si="43"/>
        <v>0</v>
      </c>
      <c r="M223" s="2">
        <f t="shared" si="44"/>
        <v>526.52057791612788</v>
      </c>
      <c r="N223" s="1">
        <f t="shared" si="45"/>
        <v>32</v>
      </c>
      <c r="O223" s="3">
        <f t="shared" si="46"/>
        <v>9742.9998743275464</v>
      </c>
      <c r="P223" s="2">
        <f t="shared" si="47"/>
        <v>374.5550206485139</v>
      </c>
      <c r="Q223" s="2">
        <f t="shared" si="50"/>
        <v>46.509004821434701</v>
      </c>
      <c r="R223" s="2">
        <f t="shared" si="50"/>
        <v>1006.5321510108211</v>
      </c>
      <c r="S223" s="2">
        <f t="shared" si="48"/>
        <v>625.22721332797619</v>
      </c>
    </row>
    <row r="224" spans="2:19" x14ac:dyDescent="0.25">
      <c r="B224" s="10">
        <v>230</v>
      </c>
      <c r="C224" s="10">
        <v>9</v>
      </c>
      <c r="D224" s="198" t="s">
        <v>514</v>
      </c>
      <c r="E224" s="162">
        <f>INDEX('2017 Lockdown Update'!H$5:H$249,MATCH(B224,'2017 Lockdown Update'!B$5:B$249,0))</f>
        <v>146.57443758263469</v>
      </c>
      <c r="F224" s="7">
        <f>INDEX('2017 Lockdown Update'!E$5:E$249,MATCH(B224,'2017 Lockdown Update'!B$5:B$249,0))</f>
        <v>69106.73</v>
      </c>
      <c r="G224" s="7">
        <f>INDEX('2017 Lockdown Update'!F$5:F$249,MATCH(B224,'2017 Lockdown Update'!B$5:B$249,0))</f>
        <v>4871.54</v>
      </c>
      <c r="H224" s="7">
        <f t="shared" si="40"/>
        <v>64235.189999999995</v>
      </c>
      <c r="I224" s="6">
        <f t="shared" si="41"/>
        <v>438.2427868009791</v>
      </c>
      <c r="J224" s="6">
        <f t="shared" si="49"/>
        <v>438.2427868009791</v>
      </c>
      <c r="K224" s="5">
        <f t="shared" si="42"/>
        <v>64235.189999999995</v>
      </c>
      <c r="L224" s="4">
        <f t="shared" si="43"/>
        <v>0</v>
      </c>
      <c r="M224" s="2">
        <f t="shared" si="44"/>
        <v>526.52057791612788</v>
      </c>
      <c r="N224" s="1">
        <f t="shared" si="45"/>
        <v>32</v>
      </c>
      <c r="O224" s="3">
        <f t="shared" si="46"/>
        <v>7792.9684041698392</v>
      </c>
      <c r="P224" s="2">
        <f t="shared" si="47"/>
        <v>374.5550206485139</v>
      </c>
      <c r="Q224" s="2">
        <f t="shared" si="50"/>
        <v>46.509004821434701</v>
      </c>
      <c r="R224" s="2">
        <f t="shared" si="50"/>
        <v>1006.5321510108211</v>
      </c>
      <c r="S224" s="2">
        <f t="shared" si="48"/>
        <v>438.2427868009791</v>
      </c>
    </row>
    <row r="225" spans="2:19" x14ac:dyDescent="0.25">
      <c r="B225" s="10">
        <v>277</v>
      </c>
      <c r="C225" s="10">
        <v>9</v>
      </c>
      <c r="D225" s="198" t="s">
        <v>515</v>
      </c>
      <c r="E225" s="162">
        <f>INDEX('2017 Lockdown Update'!H$5:H$249,MATCH(B225,'2017 Lockdown Update'!B$5:B$249,0))</f>
        <v>118.22152392243591</v>
      </c>
      <c r="F225" s="7">
        <f>INDEX('2017 Lockdown Update'!E$5:E$249,MATCH(B225,'2017 Lockdown Update'!B$5:B$249,0))</f>
        <v>69536.61</v>
      </c>
      <c r="G225" s="7">
        <f>INDEX('2017 Lockdown Update'!F$5:F$249,MATCH(B225,'2017 Lockdown Update'!B$5:B$249,0))</f>
        <v>0</v>
      </c>
      <c r="H225" s="7">
        <f t="shared" si="40"/>
        <v>69536.61</v>
      </c>
      <c r="I225" s="6">
        <f t="shared" si="41"/>
        <v>588.18908514174075</v>
      </c>
      <c r="J225" s="6">
        <f t="shared" si="49"/>
        <v>588.18908514174075</v>
      </c>
      <c r="K225" s="5">
        <f t="shared" si="42"/>
        <v>69536.61</v>
      </c>
      <c r="L225" s="4">
        <f t="shared" si="43"/>
        <v>0</v>
      </c>
      <c r="M225" s="2">
        <f t="shared" si="44"/>
        <v>526.52057791612788</v>
      </c>
      <c r="N225" s="1">
        <f t="shared" si="45"/>
        <v>32</v>
      </c>
      <c r="O225" s="3">
        <f t="shared" si="46"/>
        <v>3803.0047834354668</v>
      </c>
      <c r="P225" s="2">
        <f t="shared" si="47"/>
        <v>374.5550206485139</v>
      </c>
      <c r="Q225" s="2">
        <f t="shared" si="50"/>
        <v>46.509004821434701</v>
      </c>
      <c r="R225" s="2">
        <f t="shared" si="50"/>
        <v>1006.5321510108211</v>
      </c>
      <c r="S225" s="2">
        <f t="shared" si="48"/>
        <v>588.18908514174075</v>
      </c>
    </row>
    <row r="226" spans="2:19" x14ac:dyDescent="0.25">
      <c r="B226" s="10">
        <v>279</v>
      </c>
      <c r="C226" s="10">
        <v>9</v>
      </c>
      <c r="D226" s="198" t="s">
        <v>516</v>
      </c>
      <c r="E226" s="162">
        <f>INDEX('2017 Lockdown Update'!H$5:H$249,MATCH(B226,'2017 Lockdown Update'!B$5:B$249,0))</f>
        <v>540.1157723406485</v>
      </c>
      <c r="F226" s="7">
        <f>INDEX('2017 Lockdown Update'!E$5:E$249,MATCH(B226,'2017 Lockdown Update'!B$5:B$249,0))</f>
        <v>141933.18</v>
      </c>
      <c r="G226" s="7">
        <f>INDEX('2017 Lockdown Update'!F$5:F$249,MATCH(B226,'2017 Lockdown Update'!B$5:B$249,0))</f>
        <v>746</v>
      </c>
      <c r="H226" s="7">
        <f t="shared" si="40"/>
        <v>141187.18</v>
      </c>
      <c r="I226" s="6">
        <f t="shared" si="41"/>
        <v>261.40169798810075</v>
      </c>
      <c r="J226" s="6">
        <f t="shared" si="49"/>
        <v>261.40169798810075</v>
      </c>
      <c r="K226" s="5">
        <f t="shared" si="42"/>
        <v>141187.18</v>
      </c>
      <c r="L226" s="4">
        <f t="shared" si="43"/>
        <v>0</v>
      </c>
      <c r="M226" s="2">
        <f t="shared" si="44"/>
        <v>526.52057791612788</v>
      </c>
      <c r="N226" s="1">
        <f t="shared" si="45"/>
        <v>32</v>
      </c>
      <c r="O226" s="3">
        <f t="shared" si="46"/>
        <v>70288.020494291661</v>
      </c>
      <c r="P226" s="2">
        <f t="shared" si="47"/>
        <v>374.5550206485139</v>
      </c>
      <c r="Q226" s="2">
        <f t="shared" ref="Q226:R241" si="51">NORMINV(Q$4,$M226,$P226)</f>
        <v>46.509004821434701</v>
      </c>
      <c r="R226" s="2">
        <f t="shared" si="51"/>
        <v>1006.5321510108211</v>
      </c>
      <c r="S226" s="2">
        <f t="shared" si="48"/>
        <v>261.40169798810075</v>
      </c>
    </row>
    <row r="227" spans="2:19" x14ac:dyDescent="0.25">
      <c r="B227" s="10">
        <v>331</v>
      </c>
      <c r="C227" s="10">
        <v>9</v>
      </c>
      <c r="D227" s="198" t="s">
        <v>517</v>
      </c>
      <c r="E227" s="162">
        <f>INDEX('2017 Lockdown Update'!H$5:H$249,MATCH(B227,'2017 Lockdown Update'!B$5:B$249,0))</f>
        <v>398.65860170051161</v>
      </c>
      <c r="F227" s="7">
        <f>INDEX('2017 Lockdown Update'!E$5:E$249,MATCH(B227,'2017 Lockdown Update'!B$5:B$249,0))</f>
        <v>161705.39000000001</v>
      </c>
      <c r="G227" s="7">
        <f>INDEX('2017 Lockdown Update'!F$5:F$249,MATCH(B227,'2017 Lockdown Update'!B$5:B$249,0))</f>
        <v>23223.75</v>
      </c>
      <c r="H227" s="7">
        <f t="shared" si="40"/>
        <v>138481.64000000001</v>
      </c>
      <c r="I227" s="6">
        <f t="shared" si="41"/>
        <v>347.3690004663012</v>
      </c>
      <c r="J227" s="6">
        <f t="shared" si="49"/>
        <v>347.3690004663012</v>
      </c>
      <c r="K227" s="5">
        <f t="shared" si="42"/>
        <v>138481.64000000001</v>
      </c>
      <c r="L227" s="4">
        <f t="shared" si="43"/>
        <v>0</v>
      </c>
      <c r="M227" s="2">
        <f t="shared" si="44"/>
        <v>526.52057791612788</v>
      </c>
      <c r="N227" s="1">
        <f t="shared" si="45"/>
        <v>32</v>
      </c>
      <c r="O227" s="3">
        <f t="shared" si="46"/>
        <v>32095.287702761245</v>
      </c>
      <c r="P227" s="2">
        <f t="shared" si="47"/>
        <v>374.5550206485139</v>
      </c>
      <c r="Q227" s="2">
        <f t="shared" si="51"/>
        <v>46.509004821434701</v>
      </c>
      <c r="R227" s="2">
        <f t="shared" si="51"/>
        <v>1006.5321510108211</v>
      </c>
      <c r="S227" s="2">
        <f t="shared" si="48"/>
        <v>347.3690004663012</v>
      </c>
    </row>
    <row r="228" spans="2:19" x14ac:dyDescent="0.25">
      <c r="B228" s="10">
        <v>369</v>
      </c>
      <c r="C228" s="10">
        <v>9</v>
      </c>
      <c r="D228" s="198" t="s">
        <v>518</v>
      </c>
      <c r="E228" s="162">
        <f>INDEX('2017 Lockdown Update'!H$5:H$249,MATCH(B228,'2017 Lockdown Update'!B$5:B$249,0))</f>
        <v>468.64581619145497</v>
      </c>
      <c r="F228" s="7">
        <f>INDEX('2017 Lockdown Update'!E$5:E$249,MATCH(B228,'2017 Lockdown Update'!B$5:B$249,0))</f>
        <v>387832.75</v>
      </c>
      <c r="G228" s="7">
        <f>INDEX('2017 Lockdown Update'!F$5:F$249,MATCH(B228,'2017 Lockdown Update'!B$5:B$249,0))</f>
        <v>0</v>
      </c>
      <c r="H228" s="7">
        <f t="shared" si="40"/>
        <v>387832.75</v>
      </c>
      <c r="I228" s="6">
        <f t="shared" si="41"/>
        <v>827.56046592243433</v>
      </c>
      <c r="J228" s="6">
        <f t="shared" si="49"/>
        <v>827.56046592243433</v>
      </c>
      <c r="K228" s="5">
        <f t="shared" si="42"/>
        <v>387832.75</v>
      </c>
      <c r="L228" s="4">
        <f t="shared" si="43"/>
        <v>0</v>
      </c>
      <c r="M228" s="2">
        <f t="shared" si="44"/>
        <v>526.52057791612788</v>
      </c>
      <c r="N228" s="1">
        <f t="shared" si="45"/>
        <v>32</v>
      </c>
      <c r="O228" s="3">
        <f t="shared" si="46"/>
        <v>90625.014170849536</v>
      </c>
      <c r="P228" s="2">
        <f t="shared" si="47"/>
        <v>374.5550206485139</v>
      </c>
      <c r="Q228" s="2">
        <f t="shared" si="51"/>
        <v>46.509004821434701</v>
      </c>
      <c r="R228" s="2">
        <f t="shared" si="51"/>
        <v>1006.5321510108211</v>
      </c>
      <c r="S228" s="2">
        <f t="shared" si="48"/>
        <v>827.56046592243433</v>
      </c>
    </row>
    <row r="229" spans="2:19" x14ac:dyDescent="0.25">
      <c r="B229" s="10">
        <v>416</v>
      </c>
      <c r="C229" s="10">
        <v>9</v>
      </c>
      <c r="D229" s="198" t="s">
        <v>519</v>
      </c>
      <c r="E229" s="162">
        <f>INDEX('2017 Lockdown Update'!H$5:H$249,MATCH(B229,'2017 Lockdown Update'!B$5:B$249,0))</f>
        <v>79.001198840183932</v>
      </c>
      <c r="F229" s="7">
        <f>INDEX('2017 Lockdown Update'!E$5:E$249,MATCH(B229,'2017 Lockdown Update'!B$5:B$249,0))</f>
        <v>47802.65</v>
      </c>
      <c r="G229" s="7">
        <f>INDEX('2017 Lockdown Update'!F$5:F$249,MATCH(B229,'2017 Lockdown Update'!B$5:B$249,0))</f>
        <v>134.5</v>
      </c>
      <c r="H229" s="7">
        <f t="shared" si="40"/>
        <v>47668.15</v>
      </c>
      <c r="I229" s="6">
        <f t="shared" si="41"/>
        <v>603.38514731188627</v>
      </c>
      <c r="J229" s="6">
        <f t="shared" si="49"/>
        <v>603.38514731188627</v>
      </c>
      <c r="K229" s="5">
        <f t="shared" si="42"/>
        <v>47668.15</v>
      </c>
      <c r="L229" s="4">
        <f t="shared" si="43"/>
        <v>0</v>
      </c>
      <c r="M229" s="2">
        <f t="shared" si="44"/>
        <v>526.52057791612788</v>
      </c>
      <c r="N229" s="1">
        <f t="shared" si="45"/>
        <v>32</v>
      </c>
      <c r="O229" s="3">
        <f t="shared" si="46"/>
        <v>5908.162028395358</v>
      </c>
      <c r="P229" s="2">
        <f t="shared" si="47"/>
        <v>374.5550206485139</v>
      </c>
      <c r="Q229" s="2">
        <f t="shared" si="51"/>
        <v>46.509004821434701</v>
      </c>
      <c r="R229" s="2">
        <f t="shared" si="51"/>
        <v>1006.5321510108211</v>
      </c>
      <c r="S229" s="2">
        <f t="shared" si="48"/>
        <v>603.38514731188627</v>
      </c>
    </row>
    <row r="230" spans="2:19" x14ac:dyDescent="0.25">
      <c r="B230" s="10">
        <v>420</v>
      </c>
      <c r="C230" s="10">
        <v>9</v>
      </c>
      <c r="D230" s="198" t="s">
        <v>520</v>
      </c>
      <c r="E230" s="162">
        <f>INDEX('2017 Lockdown Update'!H$5:H$249,MATCH(B230,'2017 Lockdown Update'!B$5:B$249,0))</f>
        <v>423.29939066767844</v>
      </c>
      <c r="F230" s="7">
        <f>INDEX('2017 Lockdown Update'!E$5:E$249,MATCH(B230,'2017 Lockdown Update'!B$5:B$249,0))</f>
        <v>188843.04</v>
      </c>
      <c r="G230" s="7">
        <f>INDEX('2017 Lockdown Update'!F$5:F$249,MATCH(B230,'2017 Lockdown Update'!B$5:B$249,0))</f>
        <v>627.58000000000004</v>
      </c>
      <c r="H230" s="7">
        <f t="shared" si="40"/>
        <v>188215.46000000002</v>
      </c>
      <c r="I230" s="6">
        <f t="shared" si="41"/>
        <v>444.6390997707889</v>
      </c>
      <c r="J230" s="6">
        <f t="shared" si="49"/>
        <v>444.6390997707889</v>
      </c>
      <c r="K230" s="5">
        <f t="shared" si="42"/>
        <v>188215.46000000002</v>
      </c>
      <c r="L230" s="4">
        <f t="shared" si="43"/>
        <v>0</v>
      </c>
      <c r="M230" s="2">
        <f t="shared" si="44"/>
        <v>526.52057791612788</v>
      </c>
      <c r="N230" s="1">
        <f t="shared" si="45"/>
        <v>32</v>
      </c>
      <c r="O230" s="3">
        <f t="shared" si="46"/>
        <v>6704.5764632656237</v>
      </c>
      <c r="P230" s="2">
        <f t="shared" si="47"/>
        <v>374.5550206485139</v>
      </c>
      <c r="Q230" s="2">
        <f t="shared" si="51"/>
        <v>46.509004821434701</v>
      </c>
      <c r="R230" s="2">
        <f t="shared" si="51"/>
        <v>1006.5321510108211</v>
      </c>
      <c r="S230" s="2">
        <f t="shared" si="48"/>
        <v>444.6390997707889</v>
      </c>
    </row>
    <row r="231" spans="2:19" x14ac:dyDescent="0.25">
      <c r="B231" s="10">
        <v>508</v>
      </c>
      <c r="C231" s="10">
        <v>9</v>
      </c>
      <c r="D231" s="198" t="s">
        <v>521</v>
      </c>
      <c r="E231" s="162">
        <f>INDEX('2017 Lockdown Update'!H$5:H$249,MATCH(B231,'2017 Lockdown Update'!B$5:B$249,0))</f>
        <v>96.676564339446884</v>
      </c>
      <c r="F231" s="7">
        <f>INDEX('2017 Lockdown Update'!E$5:E$249,MATCH(B231,'2017 Lockdown Update'!B$5:B$249,0))</f>
        <v>60727.65</v>
      </c>
      <c r="G231" s="7">
        <f>INDEX('2017 Lockdown Update'!F$5:F$249,MATCH(B231,'2017 Lockdown Update'!B$5:B$249,0))</f>
        <v>0</v>
      </c>
      <c r="H231" s="7">
        <f t="shared" si="40"/>
        <v>60727.65</v>
      </c>
      <c r="I231" s="6">
        <f t="shared" si="41"/>
        <v>628.15275258205816</v>
      </c>
      <c r="J231" s="6">
        <f t="shared" si="49"/>
        <v>628.15275258205816</v>
      </c>
      <c r="K231" s="5">
        <f t="shared" si="42"/>
        <v>60727.65</v>
      </c>
      <c r="L231" s="4">
        <f t="shared" si="43"/>
        <v>0</v>
      </c>
      <c r="M231" s="2">
        <f t="shared" si="44"/>
        <v>526.52057791612788</v>
      </c>
      <c r="N231" s="1">
        <f t="shared" si="45"/>
        <v>32</v>
      </c>
      <c r="O231" s="3">
        <f t="shared" si="46"/>
        <v>10329.09892732616</v>
      </c>
      <c r="P231" s="2">
        <f t="shared" si="47"/>
        <v>374.5550206485139</v>
      </c>
      <c r="Q231" s="2">
        <f t="shared" si="51"/>
        <v>46.509004821434701</v>
      </c>
      <c r="R231" s="2">
        <f t="shared" si="51"/>
        <v>1006.5321510108211</v>
      </c>
      <c r="S231" s="2">
        <f t="shared" si="48"/>
        <v>628.15275258205816</v>
      </c>
    </row>
    <row r="232" spans="2:19" x14ac:dyDescent="0.25">
      <c r="B232" s="10">
        <v>512</v>
      </c>
      <c r="C232" s="10">
        <v>9</v>
      </c>
      <c r="D232" s="198" t="s">
        <v>522</v>
      </c>
      <c r="E232" s="162">
        <f>INDEX('2017 Lockdown Update'!H$5:H$249,MATCH(B232,'2017 Lockdown Update'!B$5:B$249,0))</f>
        <v>240.37592968230376</v>
      </c>
      <c r="F232" s="7">
        <f>INDEX('2017 Lockdown Update'!E$5:E$249,MATCH(B232,'2017 Lockdown Update'!B$5:B$249,0))</f>
        <v>282778.59999999998</v>
      </c>
      <c r="G232" s="7">
        <f>INDEX('2017 Lockdown Update'!F$5:F$249,MATCH(B232,'2017 Lockdown Update'!B$5:B$249,0))</f>
        <v>11398.92</v>
      </c>
      <c r="H232" s="7">
        <f t="shared" si="40"/>
        <v>271379.68</v>
      </c>
      <c r="I232" s="6">
        <f t="shared" si="41"/>
        <v>1128.9802617037103</v>
      </c>
      <c r="J232" s="6">
        <f t="shared" si="49"/>
        <v>1006.5321510108211</v>
      </c>
      <c r="K232" s="5">
        <f t="shared" si="42"/>
        <v>241946.10155435506</v>
      </c>
      <c r="L232" s="4">
        <f t="shared" si="43"/>
        <v>0</v>
      </c>
      <c r="M232" s="2">
        <f t="shared" si="44"/>
        <v>526.52057791612788</v>
      </c>
      <c r="N232" s="1">
        <f t="shared" si="45"/>
        <v>32</v>
      </c>
      <c r="O232" s="3">
        <f t="shared" si="46"/>
        <v>362957.67058943381</v>
      </c>
      <c r="P232" s="2">
        <f t="shared" si="47"/>
        <v>374.5550206485139</v>
      </c>
      <c r="Q232" s="2">
        <f t="shared" si="51"/>
        <v>46.509004821434701</v>
      </c>
      <c r="R232" s="2">
        <f t="shared" si="51"/>
        <v>1006.5321510108211</v>
      </c>
      <c r="S232" s="2">
        <f t="shared" si="48"/>
        <v>1006.5321510108211</v>
      </c>
    </row>
    <row r="233" spans="2:19" x14ac:dyDescent="0.25">
      <c r="B233" s="10">
        <v>516</v>
      </c>
      <c r="C233" s="10">
        <v>9</v>
      </c>
      <c r="D233" s="198" t="s">
        <v>523</v>
      </c>
      <c r="E233" s="162">
        <f>INDEX('2017 Lockdown Update'!H$5:H$249,MATCH(B233,'2017 Lockdown Update'!B$5:B$249,0))</f>
        <v>318.38260667853939</v>
      </c>
      <c r="F233" s="7">
        <f>INDEX('2017 Lockdown Update'!E$5:E$249,MATCH(B233,'2017 Lockdown Update'!B$5:B$249,0))</f>
        <v>149463.49</v>
      </c>
      <c r="G233" s="7">
        <f>INDEX('2017 Lockdown Update'!F$5:F$249,MATCH(B233,'2017 Lockdown Update'!B$5:B$249,0))</f>
        <v>40.049999999999997</v>
      </c>
      <c r="H233" s="7">
        <f t="shared" si="40"/>
        <v>149423.44</v>
      </c>
      <c r="I233" s="6">
        <f t="shared" si="41"/>
        <v>469.32036130625693</v>
      </c>
      <c r="J233" s="6">
        <f t="shared" si="49"/>
        <v>469.32036130625693</v>
      </c>
      <c r="K233" s="5">
        <f t="shared" si="42"/>
        <v>149423.44</v>
      </c>
      <c r="L233" s="4">
        <f t="shared" si="43"/>
        <v>0</v>
      </c>
      <c r="M233" s="2">
        <f t="shared" si="44"/>
        <v>526.52057791612788</v>
      </c>
      <c r="N233" s="1">
        <f t="shared" si="45"/>
        <v>32</v>
      </c>
      <c r="O233" s="3">
        <f t="shared" si="46"/>
        <v>3271.8647802161563</v>
      </c>
      <c r="P233" s="2">
        <f t="shared" si="47"/>
        <v>374.5550206485139</v>
      </c>
      <c r="Q233" s="2">
        <f t="shared" si="51"/>
        <v>46.509004821434701</v>
      </c>
      <c r="R233" s="2">
        <f t="shared" si="51"/>
        <v>1006.5321510108211</v>
      </c>
      <c r="S233" s="2">
        <f t="shared" si="48"/>
        <v>469.32036130625693</v>
      </c>
    </row>
    <row r="234" spans="2:19" x14ac:dyDescent="0.25">
      <c r="B234" s="10">
        <v>521</v>
      </c>
      <c r="C234" s="10">
        <v>9</v>
      </c>
      <c r="D234" s="198" t="s">
        <v>524</v>
      </c>
      <c r="E234" s="162">
        <f>INDEX('2017 Lockdown Update'!H$5:H$249,MATCH(B234,'2017 Lockdown Update'!B$5:B$249,0))</f>
        <v>130.45414260299998</v>
      </c>
      <c r="F234" s="7">
        <f>INDEX('2017 Lockdown Update'!E$5:E$249,MATCH(B234,'2017 Lockdown Update'!B$5:B$249,0))</f>
        <v>324197.18</v>
      </c>
      <c r="G234" s="7">
        <f>INDEX('2017 Lockdown Update'!F$5:F$249,MATCH(B234,'2017 Lockdown Update'!B$5:B$249,0))</f>
        <v>0</v>
      </c>
      <c r="H234" s="7">
        <f t="shared" si="40"/>
        <v>324197.18</v>
      </c>
      <c r="I234" s="6">
        <f t="shared" si="41"/>
        <v>2485.142851972143</v>
      </c>
      <c r="J234" s="6">
        <f t="shared" si="49"/>
        <v>1006.5321510108211</v>
      </c>
      <c r="K234" s="5">
        <f t="shared" si="42"/>
        <v>131306.28876246995</v>
      </c>
      <c r="L234" s="4">
        <f t="shared" si="43"/>
        <v>0</v>
      </c>
      <c r="M234" s="2">
        <f t="shared" si="44"/>
        <v>526.52057791612788</v>
      </c>
      <c r="N234" s="1">
        <f t="shared" si="45"/>
        <v>32</v>
      </c>
      <c r="O234" s="3">
        <f t="shared" si="46"/>
        <v>3836201.2124283561</v>
      </c>
      <c r="P234" s="2">
        <f t="shared" si="47"/>
        <v>374.5550206485139</v>
      </c>
      <c r="Q234" s="2">
        <f t="shared" si="51"/>
        <v>46.509004821434701</v>
      </c>
      <c r="R234" s="2">
        <f t="shared" si="51"/>
        <v>1006.5321510108211</v>
      </c>
      <c r="S234" s="2">
        <f t="shared" si="48"/>
        <v>1006.5321510108211</v>
      </c>
    </row>
    <row r="235" spans="2:19" x14ac:dyDescent="0.25">
      <c r="B235" s="10">
        <v>522</v>
      </c>
      <c r="C235" s="10">
        <v>9</v>
      </c>
      <c r="D235" s="198" t="s">
        <v>525</v>
      </c>
      <c r="E235" s="162">
        <f>INDEX('2017 Lockdown Update'!H$5:H$249,MATCH(B235,'2017 Lockdown Update'!B$5:B$249,0))</f>
        <v>100.03985639352658</v>
      </c>
      <c r="F235" s="7">
        <f>INDEX('2017 Lockdown Update'!E$5:E$249,MATCH(B235,'2017 Lockdown Update'!B$5:B$249,0))</f>
        <v>96784.89</v>
      </c>
      <c r="G235" s="7">
        <f>INDEX('2017 Lockdown Update'!F$5:F$249,MATCH(B235,'2017 Lockdown Update'!B$5:B$249,0))</f>
        <v>36</v>
      </c>
      <c r="H235" s="7">
        <f t="shared" si="40"/>
        <v>96748.89</v>
      </c>
      <c r="I235" s="6">
        <f t="shared" si="41"/>
        <v>967.1034474441775</v>
      </c>
      <c r="J235" s="6">
        <f t="shared" si="49"/>
        <v>967.1034474441775</v>
      </c>
      <c r="K235" s="5">
        <f t="shared" si="42"/>
        <v>96748.89</v>
      </c>
      <c r="L235" s="4">
        <f t="shared" si="43"/>
        <v>0</v>
      </c>
      <c r="M235" s="2">
        <f t="shared" si="44"/>
        <v>526.52057791612788</v>
      </c>
      <c r="N235" s="1">
        <f t="shared" si="45"/>
        <v>32</v>
      </c>
      <c r="O235" s="3">
        <f t="shared" si="46"/>
        <v>194113.2649215704</v>
      </c>
      <c r="P235" s="2">
        <f t="shared" si="47"/>
        <v>374.5550206485139</v>
      </c>
      <c r="Q235" s="2">
        <f t="shared" si="51"/>
        <v>46.509004821434701</v>
      </c>
      <c r="R235" s="2">
        <f t="shared" si="51"/>
        <v>1006.5321510108211</v>
      </c>
      <c r="S235" s="2">
        <f t="shared" si="48"/>
        <v>967.1034474441775</v>
      </c>
    </row>
    <row r="236" spans="2:19" x14ac:dyDescent="0.25">
      <c r="B236" s="10">
        <v>523</v>
      </c>
      <c r="C236" s="10">
        <v>9</v>
      </c>
      <c r="D236" s="198" t="s">
        <v>526</v>
      </c>
      <c r="E236" s="162">
        <f>INDEX('2017 Lockdown Update'!H$5:H$249,MATCH(B236,'2017 Lockdown Update'!B$5:B$249,0))</f>
        <v>1100.2666392830195</v>
      </c>
      <c r="F236" s="7">
        <f>INDEX('2017 Lockdown Update'!E$5:E$249,MATCH(B236,'2017 Lockdown Update'!B$5:B$249,0))</f>
        <v>241124.1</v>
      </c>
      <c r="G236" s="7">
        <f>INDEX('2017 Lockdown Update'!F$5:F$249,MATCH(B236,'2017 Lockdown Update'!B$5:B$249,0))</f>
        <v>310</v>
      </c>
      <c r="H236" s="7">
        <f t="shared" si="40"/>
        <v>240814.1</v>
      </c>
      <c r="I236" s="6">
        <f t="shared" si="41"/>
        <v>218.86885542301337</v>
      </c>
      <c r="J236" s="6">
        <f t="shared" si="49"/>
        <v>218.86885542301337</v>
      </c>
      <c r="K236" s="5">
        <f t="shared" si="42"/>
        <v>240814.09999999998</v>
      </c>
      <c r="L236" s="4">
        <f t="shared" si="43"/>
        <v>0</v>
      </c>
      <c r="M236" s="2">
        <f t="shared" si="44"/>
        <v>526.52057791612788</v>
      </c>
      <c r="N236" s="1">
        <f t="shared" si="45"/>
        <v>32</v>
      </c>
      <c r="O236" s="3">
        <f t="shared" si="46"/>
        <v>94649.582352980331</v>
      </c>
      <c r="P236" s="2">
        <f t="shared" si="47"/>
        <v>374.5550206485139</v>
      </c>
      <c r="Q236" s="2">
        <f t="shared" si="51"/>
        <v>46.509004821434701</v>
      </c>
      <c r="R236" s="2">
        <f t="shared" si="51"/>
        <v>1006.5321510108211</v>
      </c>
      <c r="S236" s="2">
        <f t="shared" si="48"/>
        <v>218.86885542301337</v>
      </c>
    </row>
    <row r="237" spans="2:19" x14ac:dyDescent="0.25">
      <c r="B237" s="49">
        <v>527</v>
      </c>
      <c r="C237" s="49">
        <v>9</v>
      </c>
      <c r="D237" s="200" t="s">
        <v>527</v>
      </c>
      <c r="E237" s="162">
        <f>INDEX('2017 Lockdown Update'!H$5:H$249,MATCH(B237,'2017 Lockdown Update'!B$5:B$249,0))</f>
        <v>202.44848299718456</v>
      </c>
      <c r="F237" s="7">
        <f>INDEX('2017 Lockdown Update'!E$5:E$249,MATCH(B237,'2017 Lockdown Update'!B$5:B$249,0))</f>
        <v>102100.27</v>
      </c>
      <c r="G237" s="7">
        <f>INDEX('2017 Lockdown Update'!F$5:F$249,MATCH(B237,'2017 Lockdown Update'!B$5:B$249,0))</f>
        <v>90</v>
      </c>
      <c r="H237" s="7">
        <f t="shared" si="40"/>
        <v>102010.27</v>
      </c>
      <c r="I237" s="6">
        <f t="shared" si="41"/>
        <v>503.88260998438136</v>
      </c>
      <c r="J237" s="6">
        <f t="shared" si="49"/>
        <v>503.88260998438136</v>
      </c>
      <c r="K237" s="5">
        <f t="shared" si="42"/>
        <v>102010.27</v>
      </c>
      <c r="L237" s="4">
        <f t="shared" si="43"/>
        <v>0</v>
      </c>
      <c r="M237" s="2">
        <f t="shared" si="44"/>
        <v>526.52057791612788</v>
      </c>
      <c r="N237" s="1">
        <f t="shared" si="45"/>
        <v>32</v>
      </c>
      <c r="O237" s="3">
        <f t="shared" si="46"/>
        <v>512.47759207878369</v>
      </c>
      <c r="P237" s="2">
        <f t="shared" si="47"/>
        <v>374.5550206485139</v>
      </c>
      <c r="Q237" s="2">
        <f t="shared" si="51"/>
        <v>46.509004821434701</v>
      </c>
      <c r="R237" s="2">
        <f t="shared" si="51"/>
        <v>1006.5321510108211</v>
      </c>
      <c r="S237" s="2">
        <f t="shared" si="48"/>
        <v>503.88260998438136</v>
      </c>
    </row>
    <row r="238" spans="2:19" x14ac:dyDescent="0.25">
      <c r="B238" s="49">
        <v>543</v>
      </c>
      <c r="C238" s="49">
        <v>9</v>
      </c>
      <c r="D238" s="200" t="s">
        <v>528</v>
      </c>
      <c r="E238" s="162">
        <f>INDEX('2017 Lockdown Update'!H$5:H$249,MATCH(B238,'2017 Lockdown Update'!B$5:B$249,0))</f>
        <v>96.866427600564279</v>
      </c>
      <c r="F238" s="7">
        <f>INDEX('2017 Lockdown Update'!E$5:E$249,MATCH(B238,'2017 Lockdown Update'!B$5:B$249,0))</f>
        <v>35958.870000000003</v>
      </c>
      <c r="G238" s="7">
        <f>INDEX('2017 Lockdown Update'!F$5:F$249,MATCH(B238,'2017 Lockdown Update'!B$5:B$249,0))</f>
        <v>0</v>
      </c>
      <c r="H238" s="7">
        <f t="shared" si="40"/>
        <v>35958.870000000003</v>
      </c>
      <c r="I238" s="6">
        <f t="shared" si="41"/>
        <v>371.22118458088499</v>
      </c>
      <c r="J238" s="6">
        <f t="shared" si="49"/>
        <v>371.22118458088499</v>
      </c>
      <c r="K238" s="5">
        <f t="shared" si="42"/>
        <v>35958.870000000003</v>
      </c>
      <c r="L238" s="4">
        <f t="shared" si="43"/>
        <v>0</v>
      </c>
      <c r="M238" s="2">
        <f t="shared" si="44"/>
        <v>526.52057791612788</v>
      </c>
      <c r="N238" s="1">
        <f t="shared" si="45"/>
        <v>32</v>
      </c>
      <c r="O238" s="3">
        <f t="shared" si="46"/>
        <v>24117.901570294482</v>
      </c>
      <c r="P238" s="2">
        <f t="shared" si="47"/>
        <v>374.5550206485139</v>
      </c>
      <c r="Q238" s="2">
        <f t="shared" si="51"/>
        <v>46.509004821434701</v>
      </c>
      <c r="R238" s="2">
        <f t="shared" si="51"/>
        <v>1006.5321510108211</v>
      </c>
      <c r="S238" s="2">
        <f t="shared" si="48"/>
        <v>371.22118458088499</v>
      </c>
    </row>
    <row r="239" spans="2:19" x14ac:dyDescent="0.25">
      <c r="B239" s="49">
        <v>547</v>
      </c>
      <c r="C239" s="49">
        <v>9</v>
      </c>
      <c r="D239" s="200" t="s">
        <v>529</v>
      </c>
      <c r="E239" s="162">
        <f>INDEX('2017 Lockdown Update'!H$5:H$249,MATCH(B239,'2017 Lockdown Update'!B$5:B$249,0))</f>
        <v>243.74826284405572</v>
      </c>
      <c r="F239" s="7">
        <f>INDEX('2017 Lockdown Update'!E$5:E$249,MATCH(B239,'2017 Lockdown Update'!B$5:B$249,0))</f>
        <v>97156.09</v>
      </c>
      <c r="G239" s="7">
        <f>INDEX('2017 Lockdown Update'!F$5:F$249,MATCH(B239,'2017 Lockdown Update'!B$5:B$249,0))</f>
        <v>0</v>
      </c>
      <c r="H239" s="7">
        <f t="shared" si="40"/>
        <v>97156.09</v>
      </c>
      <c r="I239" s="6">
        <f t="shared" si="41"/>
        <v>398.59192786189465</v>
      </c>
      <c r="J239" s="6">
        <f t="shared" si="49"/>
        <v>398.59192786189465</v>
      </c>
      <c r="K239" s="5">
        <f t="shared" si="42"/>
        <v>97156.09</v>
      </c>
      <c r="L239" s="4">
        <f t="shared" si="43"/>
        <v>0</v>
      </c>
      <c r="M239" s="2">
        <f t="shared" si="44"/>
        <v>526.52057791612788</v>
      </c>
      <c r="N239" s="1">
        <f t="shared" si="45"/>
        <v>32</v>
      </c>
      <c r="O239" s="3">
        <f t="shared" si="46"/>
        <v>16365.739504698467</v>
      </c>
      <c r="P239" s="2">
        <f t="shared" si="47"/>
        <v>374.5550206485139</v>
      </c>
      <c r="Q239" s="2">
        <f t="shared" si="51"/>
        <v>46.509004821434701</v>
      </c>
      <c r="R239" s="2">
        <f t="shared" si="51"/>
        <v>1006.5321510108211</v>
      </c>
      <c r="S239" s="2">
        <f t="shared" si="48"/>
        <v>398.59192786189465</v>
      </c>
    </row>
    <row r="240" spans="2:19" x14ac:dyDescent="0.25">
      <c r="B240" s="49">
        <v>552</v>
      </c>
      <c r="C240" s="49">
        <v>9</v>
      </c>
      <c r="D240" s="200" t="s">
        <v>530</v>
      </c>
      <c r="E240" s="162">
        <f>INDEX('2017 Lockdown Update'!H$5:H$249,MATCH(B240,'2017 Lockdown Update'!B$5:B$249,0))</f>
        <v>129.99</v>
      </c>
      <c r="F240" s="7">
        <f>INDEX('2017 Lockdown Update'!E$5:E$249,MATCH(B240,'2017 Lockdown Update'!B$5:B$249,0))</f>
        <v>103061.3</v>
      </c>
      <c r="G240" s="7">
        <f>INDEX('2017 Lockdown Update'!F$5:F$249,MATCH(B240,'2017 Lockdown Update'!B$5:B$249,0))</f>
        <v>0</v>
      </c>
      <c r="H240" s="7">
        <f t="shared" si="40"/>
        <v>103061.3</v>
      </c>
      <c r="I240" s="6">
        <f t="shared" si="41"/>
        <v>792.84021847834447</v>
      </c>
      <c r="J240" s="6">
        <f t="shared" si="49"/>
        <v>792.84021847834447</v>
      </c>
      <c r="K240" s="5">
        <f t="shared" si="42"/>
        <v>103061.3</v>
      </c>
      <c r="L240" s="4">
        <f t="shared" si="43"/>
        <v>0</v>
      </c>
      <c r="M240" s="2">
        <f t="shared" si="44"/>
        <v>526.52057791612788</v>
      </c>
      <c r="N240" s="1">
        <f t="shared" si="45"/>
        <v>32</v>
      </c>
      <c r="O240" s="3">
        <f t="shared" si="46"/>
        <v>70926.150949188246</v>
      </c>
      <c r="P240" s="2">
        <f t="shared" si="47"/>
        <v>374.5550206485139</v>
      </c>
      <c r="Q240" s="2">
        <f t="shared" si="51"/>
        <v>46.509004821434701</v>
      </c>
      <c r="R240" s="2">
        <f t="shared" si="51"/>
        <v>1006.5321510108211</v>
      </c>
      <c r="S240" s="2">
        <f t="shared" si="48"/>
        <v>792.84021847834447</v>
      </c>
    </row>
    <row r="241" spans="2:19" x14ac:dyDescent="0.25">
      <c r="B241" s="49">
        <v>567</v>
      </c>
      <c r="C241" s="49">
        <v>9</v>
      </c>
      <c r="D241" s="200" t="s">
        <v>531</v>
      </c>
      <c r="E241" s="162">
        <f>INDEX('2017 Lockdown Update'!H$5:H$249,MATCH(B241,'2017 Lockdown Update'!B$5:B$249,0))</f>
        <v>357.89224720630364</v>
      </c>
      <c r="F241" s="7">
        <f>INDEX('2017 Lockdown Update'!E$5:E$249,MATCH(B241,'2017 Lockdown Update'!B$5:B$249,0))</f>
        <v>192252.35</v>
      </c>
      <c r="G241" s="7">
        <f>INDEX('2017 Lockdown Update'!F$5:F$249,MATCH(B241,'2017 Lockdown Update'!B$5:B$249,0))</f>
        <v>160</v>
      </c>
      <c r="H241" s="7">
        <f t="shared" si="40"/>
        <v>192092.35</v>
      </c>
      <c r="I241" s="6">
        <f t="shared" si="41"/>
        <v>536.73235869026848</v>
      </c>
      <c r="J241" s="6">
        <f t="shared" si="49"/>
        <v>536.73235869026848</v>
      </c>
      <c r="K241" s="5">
        <f t="shared" si="42"/>
        <v>192092.35</v>
      </c>
      <c r="L241" s="4">
        <f t="shared" si="43"/>
        <v>0</v>
      </c>
      <c r="M241" s="2">
        <f t="shared" si="44"/>
        <v>526.52057791612788</v>
      </c>
      <c r="N241" s="1">
        <f t="shared" si="45"/>
        <v>32</v>
      </c>
      <c r="O241" s="3">
        <f t="shared" si="46"/>
        <v>104.28046657910772</v>
      </c>
      <c r="P241" s="2">
        <f t="shared" si="47"/>
        <v>374.5550206485139</v>
      </c>
      <c r="Q241" s="2">
        <f t="shared" si="51"/>
        <v>46.509004821434701</v>
      </c>
      <c r="R241" s="2">
        <f t="shared" si="51"/>
        <v>1006.5321510108211</v>
      </c>
      <c r="S241" s="2">
        <f t="shared" si="48"/>
        <v>536.73235869026848</v>
      </c>
    </row>
    <row r="242" spans="2:19" x14ac:dyDescent="0.25">
      <c r="B242" s="49">
        <v>629</v>
      </c>
      <c r="C242" s="49">
        <v>9</v>
      </c>
      <c r="D242" s="200" t="s">
        <v>532</v>
      </c>
      <c r="E242" s="162">
        <f>INDEX('2017 Lockdown Update'!H$5:H$249,MATCH(B242,'2017 Lockdown Update'!B$5:B$249,0))</f>
        <v>240.14990199049728</v>
      </c>
      <c r="F242" s="7">
        <f>INDEX('2017 Lockdown Update'!E$5:E$249,MATCH(B242,'2017 Lockdown Update'!B$5:B$249,0))</f>
        <v>176268.94</v>
      </c>
      <c r="G242" s="7">
        <f>INDEX('2017 Lockdown Update'!F$5:F$249,MATCH(B242,'2017 Lockdown Update'!B$5:B$249,0))</f>
        <v>5167.2699999999995</v>
      </c>
      <c r="H242" s="7">
        <f t="shared" si="40"/>
        <v>171101.67</v>
      </c>
      <c r="I242" s="6">
        <f t="shared" si="41"/>
        <v>712.47861682146549</v>
      </c>
      <c r="J242" s="6">
        <f t="shared" si="49"/>
        <v>712.47861682146549</v>
      </c>
      <c r="K242" s="5">
        <f t="shared" si="42"/>
        <v>171101.67</v>
      </c>
      <c r="L242" s="4">
        <f t="shared" si="43"/>
        <v>0</v>
      </c>
      <c r="M242" s="2">
        <f t="shared" si="44"/>
        <v>526.52057791612788</v>
      </c>
      <c r="N242" s="1">
        <f t="shared" si="45"/>
        <v>32</v>
      </c>
      <c r="O242" s="3">
        <f t="shared" si="46"/>
        <v>34580.392233519058</v>
      </c>
      <c r="P242" s="2">
        <f t="shared" si="47"/>
        <v>374.5550206485139</v>
      </c>
      <c r="Q242" s="2">
        <f t="shared" ref="Q242:R250" si="52">NORMINV(Q$4,$M242,$P242)</f>
        <v>46.509004821434701</v>
      </c>
      <c r="R242" s="2">
        <f t="shared" si="52"/>
        <v>1006.5321510108211</v>
      </c>
      <c r="S242" s="2">
        <f t="shared" si="48"/>
        <v>712.47861682146549</v>
      </c>
    </row>
    <row r="243" spans="2:19" x14ac:dyDescent="0.25">
      <c r="B243" s="49">
        <v>630</v>
      </c>
      <c r="C243" s="49">
        <v>9</v>
      </c>
      <c r="D243" s="200" t="s">
        <v>533</v>
      </c>
      <c r="E243" s="162">
        <f>INDEX('2017 Lockdown Update'!H$5:H$249,MATCH(B243,'2017 Lockdown Update'!B$5:B$249,0))</f>
        <v>160.09993466033154</v>
      </c>
      <c r="F243" s="7">
        <f>INDEX('2017 Lockdown Update'!E$5:E$249,MATCH(B243,'2017 Lockdown Update'!B$5:B$249,0))</f>
        <v>192209.49</v>
      </c>
      <c r="G243" s="7">
        <f>INDEX('2017 Lockdown Update'!F$5:F$249,MATCH(B243,'2017 Lockdown Update'!B$5:B$249,0))</f>
        <v>4898.67</v>
      </c>
      <c r="H243" s="7">
        <f t="shared" si="40"/>
        <v>187310.81999999998</v>
      </c>
      <c r="I243" s="6">
        <f t="shared" si="41"/>
        <v>1169.961876607877</v>
      </c>
      <c r="J243" s="6">
        <f t="shared" si="49"/>
        <v>1006.5321510108211</v>
      </c>
      <c r="K243" s="5">
        <f t="shared" si="42"/>
        <v>161145.7316103554</v>
      </c>
      <c r="L243" s="4">
        <f t="shared" si="43"/>
        <v>0</v>
      </c>
      <c r="M243" s="2">
        <f t="shared" si="44"/>
        <v>526.52057791612788</v>
      </c>
      <c r="N243" s="1">
        <f t="shared" si="45"/>
        <v>32</v>
      </c>
      <c r="O243" s="3">
        <f t="shared" si="46"/>
        <v>414016.70486212469</v>
      </c>
      <c r="P243" s="2">
        <f t="shared" si="47"/>
        <v>374.5550206485139</v>
      </c>
      <c r="Q243" s="2">
        <f t="shared" si="52"/>
        <v>46.509004821434701</v>
      </c>
      <c r="R243" s="2">
        <f t="shared" si="52"/>
        <v>1006.5321510108211</v>
      </c>
      <c r="S243" s="2">
        <f t="shared" si="48"/>
        <v>1006.5321510108211</v>
      </c>
    </row>
    <row r="244" spans="2:19" x14ac:dyDescent="0.25">
      <c r="B244" s="49">
        <v>695</v>
      </c>
      <c r="C244" s="49">
        <v>9</v>
      </c>
      <c r="D244" s="200" t="s">
        <v>534</v>
      </c>
      <c r="E244" s="162">
        <f>INDEX('2017 Lockdown Update'!H$5:H$249,MATCH(B244,'2017 Lockdown Update'!B$5:B$249,0))</f>
        <v>31.83905556353054</v>
      </c>
      <c r="F244" s="7">
        <f>INDEX('2017 Lockdown Update'!E$5:E$249,MATCH(B244,'2017 Lockdown Update'!B$5:B$249,0))</f>
        <v>14871.19</v>
      </c>
      <c r="G244" s="7">
        <f>INDEX('2017 Lockdown Update'!F$5:F$249,MATCH(B244,'2017 Lockdown Update'!B$5:B$249,0))</f>
        <v>0</v>
      </c>
      <c r="H244" s="7">
        <f t="shared" si="40"/>
        <v>14871.19</v>
      </c>
      <c r="I244" s="6">
        <f t="shared" si="41"/>
        <v>467.0738417578545</v>
      </c>
      <c r="J244" s="6">
        <f t="shared" si="49"/>
        <v>467.0738417578545</v>
      </c>
      <c r="K244" s="5">
        <f t="shared" si="42"/>
        <v>14871.19</v>
      </c>
      <c r="L244" s="4">
        <f t="shared" si="43"/>
        <v>0</v>
      </c>
      <c r="M244" s="2">
        <f t="shared" si="44"/>
        <v>526.52057791612788</v>
      </c>
      <c r="N244" s="1">
        <f t="shared" si="45"/>
        <v>32</v>
      </c>
      <c r="O244" s="3">
        <f t="shared" si="46"/>
        <v>3533.9144398713679</v>
      </c>
      <c r="P244" s="2">
        <f t="shared" si="47"/>
        <v>374.5550206485139</v>
      </c>
      <c r="Q244" s="2">
        <f t="shared" si="52"/>
        <v>46.509004821434701</v>
      </c>
      <c r="R244" s="2">
        <f t="shared" si="52"/>
        <v>1006.5321510108211</v>
      </c>
      <c r="S244" s="2">
        <f t="shared" si="48"/>
        <v>467.0738417578545</v>
      </c>
    </row>
    <row r="245" spans="2:19" x14ac:dyDescent="0.25">
      <c r="B245" s="49">
        <v>771</v>
      </c>
      <c r="C245" s="49">
        <v>9</v>
      </c>
      <c r="D245" s="200" t="s">
        <v>535</v>
      </c>
      <c r="E245" s="162">
        <f>INDEX('2017 Lockdown Update'!H$5:H$249,MATCH(B245,'2017 Lockdown Update'!B$5:B$249,0))</f>
        <v>193.04573101803697</v>
      </c>
      <c r="F245" s="7">
        <f>INDEX('2017 Lockdown Update'!E$5:E$249,MATCH(B245,'2017 Lockdown Update'!B$5:B$249,0))</f>
        <v>56478.67</v>
      </c>
      <c r="G245" s="7">
        <f>INDEX('2017 Lockdown Update'!F$5:F$249,MATCH(B245,'2017 Lockdown Update'!B$5:B$249,0))</f>
        <v>24</v>
      </c>
      <c r="H245" s="7">
        <f t="shared" si="40"/>
        <v>56454.67</v>
      </c>
      <c r="I245" s="6">
        <f t="shared" si="41"/>
        <v>292.44194990629052</v>
      </c>
      <c r="J245" s="6">
        <f t="shared" si="49"/>
        <v>292.44194990629052</v>
      </c>
      <c r="K245" s="5">
        <f t="shared" si="42"/>
        <v>56454.670000000006</v>
      </c>
      <c r="L245" s="4">
        <f t="shared" si="43"/>
        <v>0</v>
      </c>
      <c r="M245" s="2">
        <f t="shared" si="44"/>
        <v>526.52057791612788</v>
      </c>
      <c r="N245" s="1">
        <f t="shared" si="45"/>
        <v>32</v>
      </c>
      <c r="O245" s="3">
        <f t="shared" si="46"/>
        <v>54792.804090967817</v>
      </c>
      <c r="P245" s="2">
        <f t="shared" si="47"/>
        <v>374.5550206485139</v>
      </c>
      <c r="Q245" s="2">
        <f t="shared" si="52"/>
        <v>46.509004821434701</v>
      </c>
      <c r="R245" s="2">
        <f t="shared" si="52"/>
        <v>1006.5321510108211</v>
      </c>
      <c r="S245" s="2">
        <f t="shared" si="48"/>
        <v>292.44194990629052</v>
      </c>
    </row>
    <row r="246" spans="2:19" x14ac:dyDescent="0.25">
      <c r="B246" s="49">
        <v>830</v>
      </c>
      <c r="C246" s="49">
        <v>9</v>
      </c>
      <c r="D246" s="200" t="s">
        <v>536</v>
      </c>
      <c r="E246" s="162">
        <f>INDEX('2017 Lockdown Update'!H$5:H$249,MATCH(B246,'2017 Lockdown Update'!B$5:B$249,0))</f>
        <v>23.769072070364334</v>
      </c>
      <c r="F246" s="7">
        <f>INDEX('2017 Lockdown Update'!E$5:E$249,MATCH(B246,'2017 Lockdown Update'!B$5:B$249,0))</f>
        <v>24300.39</v>
      </c>
      <c r="G246" s="7">
        <f>INDEX('2017 Lockdown Update'!F$5:F$249,MATCH(B246,'2017 Lockdown Update'!B$5:B$249,0))</f>
        <v>0</v>
      </c>
      <c r="H246" s="7">
        <f t="shared" si="40"/>
        <v>24300.39</v>
      </c>
      <c r="I246" s="6">
        <f t="shared" si="41"/>
        <v>1022.3533307511033</v>
      </c>
      <c r="J246" s="6">
        <f t="shared" si="49"/>
        <v>1006.5321510108211</v>
      </c>
      <c r="K246" s="5">
        <f t="shared" si="42"/>
        <v>23924.335238515043</v>
      </c>
      <c r="L246" s="4">
        <f t="shared" si="43"/>
        <v>0</v>
      </c>
      <c r="M246" s="2">
        <f t="shared" si="44"/>
        <v>526.52057791612788</v>
      </c>
      <c r="N246" s="1" cm="1">
        <f t="array" ref="N246">SUMPRODUCT(--($L$6:$L$298&lt;&gt;1),--($C$6:$C$298=$C246),--($L$6:$L$298&lt;&gt;1))</f>
        <v>32</v>
      </c>
      <c r="O246" s="3">
        <f t="shared" si="46"/>
        <v>245850.1187839098</v>
      </c>
      <c r="P246" s="2">
        <f t="shared" si="47"/>
        <v>374.5550206485139</v>
      </c>
      <c r="Q246" s="2">
        <f t="shared" si="52"/>
        <v>46.509004821434701</v>
      </c>
      <c r="R246" s="2">
        <f t="shared" si="52"/>
        <v>1006.5321510108211</v>
      </c>
      <c r="S246" s="2">
        <f t="shared" si="48"/>
        <v>1006.5321510108211</v>
      </c>
    </row>
    <row r="247" spans="2:19" x14ac:dyDescent="0.25">
      <c r="B247" s="1">
        <v>936</v>
      </c>
      <c r="C247" s="1">
        <v>9</v>
      </c>
      <c r="D247" s="194" t="s">
        <v>537</v>
      </c>
      <c r="E247" s="162">
        <f>INDEX('2017 Lockdown Update'!H$5:H$249,MATCH(B247,'2017 Lockdown Update'!B$5:B$249,0))</f>
        <v>37.809912285379859</v>
      </c>
      <c r="F247">
        <f>INDEX('2017 Lockdown Update'!E$5:E$249,MATCH(B247,'2017 Lockdown Update'!B$5:B$249,0))</f>
        <v>55239.58</v>
      </c>
      <c r="G247">
        <f>INDEX('2017 Lockdown Update'!F$5:F$249,MATCH(B247,'2017 Lockdown Update'!B$5:B$249,0))</f>
        <v>0</v>
      </c>
      <c r="H247" s="7">
        <f>F247-G247</f>
        <v>55239.58</v>
      </c>
      <c r="I247" s="6">
        <f>H247/E247</f>
        <v>1460.9814374353828</v>
      </c>
      <c r="J247" s="6">
        <f>IF(ISERROR(IF($J$2=1,MAX(MIN(I247,R247),Q247),MIN(I247,R247))),R247,IF($J$2=1,MAX(MIN(I247,R247),Q247),MIN(I247,R247)))</f>
        <v>1006.5321510108211</v>
      </c>
      <c r="K247" s="5">
        <f>J247*E247</f>
        <v>38056.892342133855</v>
      </c>
      <c r="L247" s="4">
        <f>IF(ISERROR(I247),1,0)</f>
        <v>0</v>
      </c>
      <c r="M247" s="2">
        <f t="shared" si="44"/>
        <v>526.52057791612788</v>
      </c>
      <c r="N247" s="1" cm="1">
        <f t="array" ref="N247">SUMPRODUCT(--($L$6:$L$298&lt;&gt;1),--($C$6:$C$298=$C247),--($L$6:$L$298&lt;&gt;1))</f>
        <v>32</v>
      </c>
      <c r="O247" s="3">
        <f>IF(ISERROR((I247-M247)^2),0,(I247-M247)^2)</f>
        <v>873217.09797346464</v>
      </c>
      <c r="P247" s="2">
        <f>SQRT(SUMPRODUCT(--($L$6:$L$298&lt;&gt;1),--($C$6:$C$298=$C247),$E$6:$E$298,$O$6:$O$298)/((N247-1)*SUMPRODUCT(--($L$6:$L$298&lt;&gt;1),--($C$6:$C$298=$C247),$E$6:$E$298)/N247))</f>
        <v>374.5550206485139</v>
      </c>
      <c r="Q247" s="2">
        <f t="shared" si="52"/>
        <v>46.509004821434701</v>
      </c>
      <c r="R247" s="2">
        <f t="shared" si="52"/>
        <v>1006.5321510108211</v>
      </c>
      <c r="S247" s="2">
        <f>IF(ISERROR(MAX(MIN(I247,R247),Q247)),R247,MAX(MIN(I247,R247),Q247))</f>
        <v>1006.5321510108211</v>
      </c>
    </row>
    <row r="248" spans="2:19" x14ac:dyDescent="0.25">
      <c r="B248" s="1">
        <v>952</v>
      </c>
      <c r="C248" s="1">
        <v>9</v>
      </c>
      <c r="D248" s="194" t="s">
        <v>538</v>
      </c>
      <c r="E248" s="162">
        <f>INDEX('2017 Lockdown Update'!H$5:H$249,MATCH(B248,'2017 Lockdown Update'!B$5:B$249,0))</f>
        <v>68.811870493550018</v>
      </c>
      <c r="F248">
        <f>INDEX('2017 Lockdown Update'!E$5:E$249,MATCH(B248,'2017 Lockdown Update'!B$5:B$249,0))</f>
        <v>91119.41</v>
      </c>
      <c r="G248">
        <f>INDEX('2017 Lockdown Update'!F$5:F$249,MATCH(B248,'2017 Lockdown Update'!B$5:B$249,0))</f>
        <v>3493</v>
      </c>
      <c r="H248" s="7">
        <f>F248-G248</f>
        <v>87626.41</v>
      </c>
      <c r="I248" s="6">
        <f>H248/E248</f>
        <v>1273.4199691347374</v>
      </c>
      <c r="J248" s="6">
        <f>IF(ISERROR(IF($J$2=1,MAX(MIN(I248,R248),Q248),MIN(I248,R248))),R248,IF($J$2=1,MAX(MIN(I248,R248),Q248),MIN(I248,R248)))</f>
        <v>1006.5321510108211</v>
      </c>
      <c r="K248" s="5">
        <f>J248*E248</f>
        <v>69261.360022950947</v>
      </c>
      <c r="L248" s="4">
        <f>IF(ISERROR(I248),1,0)</f>
        <v>0</v>
      </c>
      <c r="M248" s="2">
        <f t="shared" si="44"/>
        <v>526.52057791612788</v>
      </c>
      <c r="N248" s="1" cm="1">
        <f t="array" ref="N248">SUMPRODUCT(--($L$6:$L$298&lt;&gt;1),--($C$6:$C$298=$C248),--($L$6:$L$298&lt;&gt;1))</f>
        <v>32</v>
      </c>
      <c r="O248" s="3">
        <f>IF(ISERROR((I248-M248)^2),0,(I248-M248)^2)</f>
        <v>557858.70060272946</v>
      </c>
      <c r="P248" s="2">
        <f>SQRT(SUMPRODUCT(--($L$6:$L$298&lt;&gt;1),--($C$6:$C$298=$C248),$E$6:$E$298,$O$6:$O$298)/((N248-1)*SUMPRODUCT(--($L$6:$L$298&lt;&gt;1),--($C$6:$C$298=$C248),$E$6:$E$298)/N248))</f>
        <v>374.5550206485139</v>
      </c>
      <c r="Q248" s="2">
        <f t="shared" si="52"/>
        <v>46.509004821434701</v>
      </c>
      <c r="R248" s="2">
        <f t="shared" si="52"/>
        <v>1006.5321510108211</v>
      </c>
      <c r="S248" s="2">
        <f>IF(ISERROR(MAX(MIN(I248,R248),Q248)),R248,MAX(MIN(I248,R248),Q248))</f>
        <v>1006.5321510108211</v>
      </c>
    </row>
    <row r="249" spans="2:19" x14ac:dyDescent="0.25">
      <c r="B249" s="1">
        <v>982</v>
      </c>
      <c r="C249" s="1">
        <v>9</v>
      </c>
      <c r="D249" s="194" t="s">
        <v>539</v>
      </c>
      <c r="E249" s="162">
        <f>INDEX('2017 Lockdown Update'!H$5:H$249,MATCH(B249,'2017 Lockdown Update'!B$5:B$249,0))</f>
        <v>93.22611956915361</v>
      </c>
      <c r="F249">
        <f>INDEX('2017 Lockdown Update'!E$5:E$249,MATCH(B249,'2017 Lockdown Update'!B$5:B$249,0))</f>
        <v>21464.959999999999</v>
      </c>
      <c r="G249">
        <f>INDEX('2017 Lockdown Update'!F$5:F$249,MATCH(B249,'2017 Lockdown Update'!B$5:B$249,0))</f>
        <v>0</v>
      </c>
      <c r="H249" s="7">
        <f>F249-G249</f>
        <v>21464.959999999999</v>
      </c>
      <c r="I249" s="6">
        <f>H249/E249</f>
        <v>230.24620245056582</v>
      </c>
      <c r="J249" s="6">
        <f>IF(ISERROR(IF($J$2=1,MAX(MIN(I249,R249),Q249),MIN(I249,R249))),R249,IF($J$2=1,MAX(MIN(I249,R249),Q249),MIN(I249,R249)))</f>
        <v>230.24620245056582</v>
      </c>
      <c r="K249" s="5">
        <f>J249*E249</f>
        <v>21464.959999999999</v>
      </c>
      <c r="L249" s="4">
        <f>IF(ISERROR(I249),1,0)</f>
        <v>0</v>
      </c>
      <c r="M249" s="2">
        <f t="shared" si="44"/>
        <v>526.52057791612788</v>
      </c>
      <c r="N249" s="1" cm="1">
        <f t="array" ref="N249">SUMPRODUCT(--($L$6:$L$298&lt;&gt;1),--($C$6:$C$298=$C249),--($L$6:$L$298&lt;&gt;1))</f>
        <v>32</v>
      </c>
      <c r="O249" s="3">
        <f>IF(ISERROR((I249-M249)^2),0,(I249-M249)^2)</f>
        <v>87778.505557508848</v>
      </c>
      <c r="P249" s="2">
        <f>SQRT(SUMPRODUCT(--($L$6:$L$298&lt;&gt;1),--($C$6:$C$298=$C249),$E$6:$E$298,$O$6:$O$298)/((N249-1)*SUMPRODUCT(--($L$6:$L$298&lt;&gt;1),--($C$6:$C$298=$C249),$E$6:$E$298)/N249))</f>
        <v>374.5550206485139</v>
      </c>
      <c r="Q249" s="2">
        <f t="shared" si="52"/>
        <v>46.509004821434701</v>
      </c>
      <c r="R249" s="2">
        <f t="shared" si="52"/>
        <v>1006.5321510108211</v>
      </c>
      <c r="S249" s="2">
        <f>IF(ISERROR(MAX(MIN(I249,R249),Q249)),R249,MAX(MIN(I249,R249),Q249))</f>
        <v>230.24620245056582</v>
      </c>
    </row>
    <row r="250" spans="2:19" x14ac:dyDescent="0.25">
      <c r="B250" s="1">
        <v>987</v>
      </c>
      <c r="C250" s="1">
        <v>9</v>
      </c>
      <c r="D250" s="194" t="s">
        <v>540</v>
      </c>
      <c r="E250" s="162">
        <f>INDEX('2017 Lockdown Update'!H$5:H$249,MATCH(B250,'2017 Lockdown Update'!B$5:B$249,0))</f>
        <v>301.89162628434212</v>
      </c>
      <c r="F250">
        <f>INDEX('2017 Lockdown Update'!E$5:E$249,MATCH(B250,'2017 Lockdown Update'!B$5:B$249,0))</f>
        <v>82615.17</v>
      </c>
      <c r="G250">
        <f>INDEX('2017 Lockdown Update'!F$5:F$249,MATCH(B250,'2017 Lockdown Update'!B$5:B$249,0))</f>
        <v>0</v>
      </c>
      <c r="H250" s="7">
        <f>F250-G250</f>
        <v>82615.17</v>
      </c>
      <c r="I250" s="6">
        <f>H250/E250</f>
        <v>273.65836878889576</v>
      </c>
      <c r="J250" s="6">
        <f>IF(ISERROR(IF($J$2=1,MAX(MIN(I250,R250),Q250),MIN(I250,R250))),R250,IF($J$2=1,MAX(MIN(I250,R250),Q250),MIN(I250,R250)))</f>
        <v>273.65836878889576</v>
      </c>
      <c r="K250" s="5">
        <f>J250*E250</f>
        <v>82615.17</v>
      </c>
      <c r="L250" s="4">
        <f>IF(ISERROR(I250),1,0)</f>
        <v>0</v>
      </c>
      <c r="M250" s="2">
        <f t="shared" si="44"/>
        <v>526.52057791612788</v>
      </c>
      <c r="N250" s="1" cm="1">
        <f t="array" ref="N250">SUMPRODUCT(--($L$6:$L$298&lt;&gt;1),--($C$6:$C$298=$C250),--($L$6:$L$298&lt;&gt;1))</f>
        <v>32</v>
      </c>
      <c r="O250" s="3">
        <f>IF(ISERROR((I250-M250)^2),0,(I250-M250)^2)</f>
        <v>63939.29680470407</v>
      </c>
      <c r="P250" s="2">
        <f>SQRT(SUMPRODUCT(--($L$6:$L$298&lt;&gt;1),--($C$6:$C$298=$C250),$E$6:$E$298,$O$6:$O$298)/((N250-1)*SUMPRODUCT(--($L$6:$L$298&lt;&gt;1),--($C$6:$C$298=$C250),$E$6:$E$298)/N250))</f>
        <v>374.5550206485139</v>
      </c>
      <c r="Q250" s="2">
        <f t="shared" si="52"/>
        <v>46.509004821434701</v>
      </c>
      <c r="R250" s="2">
        <f t="shared" si="52"/>
        <v>1006.5321510108211</v>
      </c>
      <c r="S250" s="2">
        <f>IF(ISERROR(MAX(MIN(I250,R250),Q250)),R250,MAX(MIN(I250,R250),Q250))</f>
        <v>273.65836878889576</v>
      </c>
    </row>
  </sheetData>
  <conditionalFormatting sqref="E6:S6 F7:S246 E7:E250 H247:S250">
    <cfRule type="expression" dxfId="21" priority="8">
      <formula>$C6&lt;&gt;$C5</formula>
    </cfRule>
  </conditionalFormatting>
  <conditionalFormatting sqref="J6:J250">
    <cfRule type="expression" dxfId="20" priority="7">
      <formula>$J6&lt;$I6=TRUE</formula>
    </cfRule>
  </conditionalFormatting>
  <conditionalFormatting sqref="B51:D77 B151:D163 B165:D170 B214:D236 B84:D149 B79:D81 B172:D182 B184:D212 B6:D49">
    <cfRule type="expression" dxfId="19" priority="3">
      <formula>$C6&lt;&gt;$C5</formula>
    </cfRule>
  </conditionalFormatting>
  <conditionalFormatting sqref="B50:D50 B78:D78 B164:D164 B213:D213 B82:D82 B183:D183">
    <cfRule type="expression" dxfId="18" priority="4">
      <formula>$C50&lt;&gt;$C48</formula>
    </cfRule>
  </conditionalFormatting>
  <conditionalFormatting sqref="B150:D150 B171:D171">
    <cfRule type="expression" dxfId="17" priority="5">
      <formula>$C150&lt;&gt;#REF!</formula>
    </cfRule>
  </conditionalFormatting>
  <conditionalFormatting sqref="B83:D83">
    <cfRule type="expression" dxfId="16" priority="6">
      <formula>$C83&lt;&gt;$C80</formula>
    </cfRule>
  </conditionalFormatting>
  <conditionalFormatting sqref="E6:E250">
    <cfRule type="expression" dxfId="15" priority="2">
      <formula>$C6&lt;&gt;$C5</formula>
    </cfRule>
  </conditionalFormatting>
  <conditionalFormatting sqref="E4">
    <cfRule type="expression" dxfId="14" priority="1">
      <formula>$C4&lt;&gt;$C3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7902-10F5-4AF9-BA76-44083489842D}">
  <sheetPr codeName="Sheet3">
    <tabColor rgb="FFFFCCFF"/>
  </sheetPr>
  <dimension ref="A1:L249"/>
  <sheetViews>
    <sheetView workbookViewId="0"/>
  </sheetViews>
  <sheetFormatPr defaultColWidth="8.85546875" defaultRowHeight="15" x14ac:dyDescent="0.25"/>
  <cols>
    <col min="1" max="1" width="4.85546875" style="36" customWidth="1"/>
    <col min="2" max="2" width="8.5703125" style="36" customWidth="1"/>
    <col min="3" max="3" width="8.85546875" style="36" customWidth="1"/>
    <col min="4" max="4" width="53" style="36" customWidth="1"/>
    <col min="5" max="8" width="13.85546875" style="36" customWidth="1"/>
    <col min="9" max="9" width="12.85546875" style="36" customWidth="1"/>
    <col min="10" max="11" width="8.85546875" style="36"/>
    <col min="12" max="12" width="12.140625" style="36" bestFit="1" customWidth="1"/>
    <col min="13" max="16384" width="8.85546875" style="36"/>
  </cols>
  <sheetData>
    <row r="1" spans="1:12" x14ac:dyDescent="0.25">
      <c r="E1" s="36" t="s">
        <v>14</v>
      </c>
      <c r="F1" s="182">
        <v>1000</v>
      </c>
      <c r="H1" s="36" t="s">
        <v>15</v>
      </c>
      <c r="I1" s="183" cm="1">
        <f t="array" ref="I1">AVERAGE(IF($I$5:$I$250&lt;&gt;0,IF($I$5:$I$250&lt;=F1,$I$5:$I$250)))</f>
        <v>463.1831443051048</v>
      </c>
    </row>
    <row r="2" spans="1:12" x14ac:dyDescent="0.25">
      <c r="B2" s="33" t="s">
        <v>574</v>
      </c>
      <c r="E2" s="34"/>
      <c r="H2" s="36" t="s">
        <v>16</v>
      </c>
      <c r="I2" s="183" cm="1">
        <f t="array" ref="I2">STDEV(IF($I$5:$I$250&lt;&gt;0,IF($I$5:$I$250&lt;=F1,$I$5:$I$250)))</f>
        <v>206.67596992668098</v>
      </c>
    </row>
    <row r="3" spans="1:12" ht="15.75" thickBot="1" x14ac:dyDescent="0.3">
      <c r="E3" s="35">
        <f>SUM(E5:E282)</f>
        <v>351426496.14000005</v>
      </c>
      <c r="F3" s="35">
        <f>SUM(F5:F282)</f>
        <v>112335663.32999997</v>
      </c>
      <c r="G3" s="35">
        <f>SUM(G5:G282)</f>
        <v>239090832.80999985</v>
      </c>
      <c r="H3" s="163">
        <f>SUM(H5:H282)</f>
        <v>822833.11032573436</v>
      </c>
      <c r="I3" s="182">
        <f>G3/H3</f>
        <v>290.57026243797014</v>
      </c>
    </row>
    <row r="4" spans="1:12" ht="45.75" thickBot="1" x14ac:dyDescent="0.3">
      <c r="B4" s="184" t="s">
        <v>11</v>
      </c>
      <c r="C4" s="184" t="s">
        <v>10</v>
      </c>
      <c r="D4" s="184" t="s">
        <v>9</v>
      </c>
      <c r="E4" s="184" t="s">
        <v>17</v>
      </c>
      <c r="F4" s="184" t="s">
        <v>18</v>
      </c>
      <c r="G4" s="184" t="s">
        <v>19</v>
      </c>
      <c r="H4" s="185" t="s">
        <v>20</v>
      </c>
      <c r="I4" s="184" t="s">
        <v>21</v>
      </c>
      <c r="L4" s="35"/>
    </row>
    <row r="5" spans="1:12" x14ac:dyDescent="0.25">
      <c r="A5" s="45">
        <v>1</v>
      </c>
      <c r="B5" s="193">
        <v>1</v>
      </c>
      <c r="C5" s="187">
        <v>1</v>
      </c>
      <c r="D5" s="188" t="s">
        <v>299</v>
      </c>
      <c r="E5" s="189">
        <v>9441139.5399999991</v>
      </c>
      <c r="F5" s="190">
        <v>1552688.8099999998</v>
      </c>
      <c r="G5" s="190">
        <f>E5-F5</f>
        <v>7888450.7299999995</v>
      </c>
      <c r="H5" s="191">
        <v>43741.089999999989</v>
      </c>
      <c r="I5" s="192">
        <f>IFERROR(G5/H5,0)</f>
        <v>180.34417363627659</v>
      </c>
    </row>
    <row r="6" spans="1:12" x14ac:dyDescent="0.25">
      <c r="A6" s="45">
        <v>1</v>
      </c>
      <c r="B6" s="193">
        <v>6</v>
      </c>
      <c r="C6" s="187">
        <v>2</v>
      </c>
      <c r="D6" s="188" t="s">
        <v>305</v>
      </c>
      <c r="E6" s="189">
        <v>18925384.940000001</v>
      </c>
      <c r="F6" s="190">
        <v>6221539.9700000007</v>
      </c>
      <c r="G6" s="190">
        <f t="shared" ref="G6:G69" si="0">E6-F6</f>
        <v>12703844.970000001</v>
      </c>
      <c r="H6" s="191">
        <v>43390.189999999995</v>
      </c>
      <c r="I6" s="192">
        <f t="shared" ref="I6:I69" si="1">IFERROR(G6/H6,0)</f>
        <v>292.78150130248338</v>
      </c>
    </row>
    <row r="7" spans="1:12" x14ac:dyDescent="0.25">
      <c r="A7" s="45">
        <v>1</v>
      </c>
      <c r="B7" s="193">
        <v>8</v>
      </c>
      <c r="C7" s="187">
        <v>5</v>
      </c>
      <c r="D7" s="188" t="s">
        <v>333</v>
      </c>
      <c r="E7" s="189">
        <v>612861.15</v>
      </c>
      <c r="F7" s="190">
        <v>115862.97</v>
      </c>
      <c r="G7" s="190">
        <f t="shared" si="0"/>
        <v>496998.18000000005</v>
      </c>
      <c r="H7" s="191">
        <v>2267.96</v>
      </c>
      <c r="I7" s="192">
        <f t="shared" si="1"/>
        <v>219.13886488297857</v>
      </c>
    </row>
    <row r="8" spans="1:12" x14ac:dyDescent="0.25">
      <c r="A8" s="45">
        <v>1</v>
      </c>
      <c r="B8" s="193">
        <v>12</v>
      </c>
      <c r="C8" s="187">
        <v>4</v>
      </c>
      <c r="D8" s="188" t="s">
        <v>318</v>
      </c>
      <c r="E8" s="189">
        <v>3099070.13</v>
      </c>
      <c r="F8" s="190">
        <v>783502.69</v>
      </c>
      <c r="G8" s="190">
        <f t="shared" si="0"/>
        <v>2315567.44</v>
      </c>
      <c r="H8" s="191">
        <v>6061.0499999999993</v>
      </c>
      <c r="I8" s="192">
        <f t="shared" si="1"/>
        <v>382.04064312289131</v>
      </c>
    </row>
    <row r="9" spans="1:12" x14ac:dyDescent="0.25">
      <c r="A9" s="45">
        <v>1</v>
      </c>
      <c r="B9" s="193">
        <v>14</v>
      </c>
      <c r="C9" s="187">
        <v>3</v>
      </c>
      <c r="D9" s="188" t="s">
        <v>311</v>
      </c>
      <c r="E9" s="189">
        <v>2611555.13</v>
      </c>
      <c r="F9" s="190">
        <v>371291.85</v>
      </c>
      <c r="G9" s="190">
        <f t="shared" si="0"/>
        <v>2240263.2799999998</v>
      </c>
      <c r="H9" s="191">
        <v>11944.66</v>
      </c>
      <c r="I9" s="192">
        <f t="shared" si="1"/>
        <v>187.55354108028189</v>
      </c>
    </row>
    <row r="10" spans="1:12" x14ac:dyDescent="0.25">
      <c r="A10" s="45">
        <v>1</v>
      </c>
      <c r="B10" s="193">
        <v>18</v>
      </c>
      <c r="C10" s="187">
        <v>2</v>
      </c>
      <c r="D10" s="188" t="s">
        <v>306</v>
      </c>
      <c r="E10" s="189">
        <v>7710688.1500000004</v>
      </c>
      <c r="F10" s="190">
        <v>4165073.71</v>
      </c>
      <c r="G10" s="190">
        <f t="shared" si="0"/>
        <v>3545614.4400000004</v>
      </c>
      <c r="H10" s="191">
        <v>23534.330000000005</v>
      </c>
      <c r="I10" s="192">
        <f t="shared" si="1"/>
        <v>150.65712259494958</v>
      </c>
    </row>
    <row r="11" spans="1:12" x14ac:dyDescent="0.25">
      <c r="A11" s="45">
        <v>2</v>
      </c>
      <c r="B11" s="193">
        <v>20</v>
      </c>
      <c r="C11" s="187">
        <v>1</v>
      </c>
      <c r="D11" s="188" t="s">
        <v>300</v>
      </c>
      <c r="E11" s="189">
        <v>69057219.019999996</v>
      </c>
      <c r="F11" s="190">
        <v>19755178.539999999</v>
      </c>
      <c r="G11" s="190">
        <f t="shared" si="0"/>
        <v>49302040.479999997</v>
      </c>
      <c r="H11" s="191">
        <v>120692.16</v>
      </c>
      <c r="I11" s="192">
        <f t="shared" si="1"/>
        <v>408.4941431158411</v>
      </c>
    </row>
    <row r="12" spans="1:12" x14ac:dyDescent="0.25">
      <c r="A12" s="45">
        <v>2</v>
      </c>
      <c r="B12" s="193">
        <v>21</v>
      </c>
      <c r="C12" s="187">
        <v>4</v>
      </c>
      <c r="D12" s="188" t="s">
        <v>319</v>
      </c>
      <c r="E12" s="189">
        <v>2877654.83</v>
      </c>
      <c r="F12" s="190">
        <v>827724.42999999982</v>
      </c>
      <c r="G12" s="190">
        <f t="shared" si="0"/>
        <v>2049930.4000000004</v>
      </c>
      <c r="H12" s="191">
        <v>5307.0800000000008</v>
      </c>
      <c r="I12" s="192">
        <f t="shared" si="1"/>
        <v>386.26333124806865</v>
      </c>
    </row>
    <row r="13" spans="1:12" x14ac:dyDescent="0.25">
      <c r="A13" s="45">
        <v>2</v>
      </c>
      <c r="B13" s="193">
        <v>34</v>
      </c>
      <c r="C13" s="187">
        <v>4</v>
      </c>
      <c r="D13" s="188" t="s">
        <v>320</v>
      </c>
      <c r="E13" s="189">
        <v>2531654.36</v>
      </c>
      <c r="F13" s="190">
        <v>716928.97</v>
      </c>
      <c r="G13" s="190">
        <f t="shared" si="0"/>
        <v>1814725.39</v>
      </c>
      <c r="H13" s="191">
        <v>4735.1400000000003</v>
      </c>
      <c r="I13" s="192">
        <f t="shared" si="1"/>
        <v>383.24640665323511</v>
      </c>
    </row>
    <row r="14" spans="1:12" x14ac:dyDescent="0.25">
      <c r="A14" s="45">
        <v>2</v>
      </c>
      <c r="B14" s="193">
        <v>36</v>
      </c>
      <c r="C14" s="187">
        <v>3</v>
      </c>
      <c r="D14" s="188" t="s">
        <v>312</v>
      </c>
      <c r="E14" s="189">
        <v>6199296.2199999997</v>
      </c>
      <c r="F14" s="190">
        <v>1477647.7100000002</v>
      </c>
      <c r="G14" s="190">
        <f t="shared" si="0"/>
        <v>4721648.51</v>
      </c>
      <c r="H14" s="191">
        <v>8403.0400000000009</v>
      </c>
      <c r="I14" s="192">
        <f t="shared" si="1"/>
        <v>561.8976596565052</v>
      </c>
    </row>
    <row r="15" spans="1:12" x14ac:dyDescent="0.25">
      <c r="A15" s="45">
        <v>2</v>
      </c>
      <c r="B15" s="193">
        <v>39</v>
      </c>
      <c r="C15" s="187">
        <v>7</v>
      </c>
      <c r="D15" s="188" t="s">
        <v>399</v>
      </c>
      <c r="E15" s="189">
        <v>115923.68</v>
      </c>
      <c r="F15" s="190">
        <v>480</v>
      </c>
      <c r="G15" s="190">
        <f t="shared" si="0"/>
        <v>115443.68</v>
      </c>
      <c r="H15" s="191">
        <v>410.4</v>
      </c>
      <c r="I15" s="192">
        <f t="shared" si="1"/>
        <v>281.2955165692008</v>
      </c>
    </row>
    <row r="16" spans="1:12" x14ac:dyDescent="0.25">
      <c r="A16" s="45">
        <v>2</v>
      </c>
      <c r="B16" s="193">
        <v>41</v>
      </c>
      <c r="C16" s="187">
        <v>5</v>
      </c>
      <c r="D16" s="188" t="s">
        <v>334</v>
      </c>
      <c r="E16" s="189">
        <v>622722.11</v>
      </c>
      <c r="F16" s="190">
        <v>293926.43000000005</v>
      </c>
      <c r="G16" s="190">
        <f t="shared" si="0"/>
        <v>328795.67999999993</v>
      </c>
      <c r="H16" s="191">
        <v>1693.7200000000003</v>
      </c>
      <c r="I16" s="192">
        <f t="shared" si="1"/>
        <v>194.12634910138624</v>
      </c>
    </row>
    <row r="17" spans="1:9" x14ac:dyDescent="0.25">
      <c r="A17" s="45">
        <v>3</v>
      </c>
      <c r="B17" s="193">
        <v>50</v>
      </c>
      <c r="C17" s="187">
        <v>1</v>
      </c>
      <c r="D17" s="188" t="s">
        <v>301</v>
      </c>
      <c r="E17" s="189">
        <v>9780998.0399999991</v>
      </c>
      <c r="F17" s="190">
        <v>3906984.9000000004</v>
      </c>
      <c r="G17" s="190">
        <f t="shared" si="0"/>
        <v>5874013.1399999987</v>
      </c>
      <c r="H17" s="191">
        <v>22747.62</v>
      </c>
      <c r="I17" s="192">
        <f t="shared" si="1"/>
        <v>258.22539412914404</v>
      </c>
    </row>
    <row r="18" spans="1:9" x14ac:dyDescent="0.25">
      <c r="A18" s="45">
        <v>3</v>
      </c>
      <c r="B18" s="193">
        <v>53</v>
      </c>
      <c r="C18" s="187">
        <v>2</v>
      </c>
      <c r="D18" s="188" t="s">
        <v>307</v>
      </c>
      <c r="E18" s="189">
        <v>11731139.85</v>
      </c>
      <c r="F18" s="190">
        <v>5054300.95</v>
      </c>
      <c r="G18" s="190">
        <f t="shared" si="0"/>
        <v>6676838.8999999994</v>
      </c>
      <c r="H18" s="191">
        <v>36088.47</v>
      </c>
      <c r="I18" s="192">
        <f t="shared" si="1"/>
        <v>185.01307758405937</v>
      </c>
    </row>
    <row r="19" spans="1:9" x14ac:dyDescent="0.25">
      <c r="A19" s="45">
        <v>3</v>
      </c>
      <c r="B19" s="193">
        <v>55</v>
      </c>
      <c r="C19" s="187">
        <v>3</v>
      </c>
      <c r="D19" s="188" t="s">
        <v>313</v>
      </c>
      <c r="E19" s="189">
        <v>1452092.17</v>
      </c>
      <c r="F19" s="190">
        <v>244179.87</v>
      </c>
      <c r="G19" s="190">
        <f t="shared" si="0"/>
        <v>1207912.2999999998</v>
      </c>
      <c r="H19" s="191">
        <v>4130.9700000000012</v>
      </c>
      <c r="I19" s="192">
        <f t="shared" si="1"/>
        <v>292.40403585598528</v>
      </c>
    </row>
    <row r="20" spans="1:9" x14ac:dyDescent="0.25">
      <c r="A20" s="45">
        <v>3</v>
      </c>
      <c r="B20" s="193">
        <v>56</v>
      </c>
      <c r="C20" s="187">
        <v>5</v>
      </c>
      <c r="D20" s="188" t="s">
        <v>335</v>
      </c>
      <c r="E20" s="189">
        <v>521383.94</v>
      </c>
      <c r="F20" s="190">
        <v>3002.24</v>
      </c>
      <c r="G20" s="190">
        <f t="shared" si="0"/>
        <v>518381.7</v>
      </c>
      <c r="H20" s="191">
        <v>3045.59</v>
      </c>
      <c r="I20" s="192">
        <f t="shared" si="1"/>
        <v>170.20731615220697</v>
      </c>
    </row>
    <row r="21" spans="1:9" x14ac:dyDescent="0.25">
      <c r="A21" s="45">
        <v>3</v>
      </c>
      <c r="B21" s="193">
        <v>59</v>
      </c>
      <c r="C21" s="187">
        <v>7</v>
      </c>
      <c r="D21" s="188" t="s">
        <v>400</v>
      </c>
      <c r="E21" s="189">
        <v>160123.23000000001</v>
      </c>
      <c r="F21" s="190">
        <v>0</v>
      </c>
      <c r="G21" s="190">
        <f t="shared" si="0"/>
        <v>160123.23000000001</v>
      </c>
      <c r="H21" s="191">
        <v>270.47377712324817</v>
      </c>
      <c r="I21" s="192">
        <f t="shared" si="1"/>
        <v>592.01018192250058</v>
      </c>
    </row>
    <row r="22" spans="1:9" x14ac:dyDescent="0.25">
      <c r="A22" s="45">
        <v>3</v>
      </c>
      <c r="B22" s="193">
        <v>67</v>
      </c>
      <c r="C22" s="187">
        <v>5</v>
      </c>
      <c r="D22" s="188" t="s">
        <v>336</v>
      </c>
      <c r="E22" s="189">
        <v>211733.41</v>
      </c>
      <c r="F22" s="190">
        <v>0</v>
      </c>
      <c r="G22" s="190">
        <f t="shared" si="0"/>
        <v>211733.41</v>
      </c>
      <c r="H22" s="191">
        <v>1517.5318405730366</v>
      </c>
      <c r="I22" s="192">
        <f t="shared" si="1"/>
        <v>139.52485499088255</v>
      </c>
    </row>
    <row r="23" spans="1:9" x14ac:dyDescent="0.25">
      <c r="A23" s="45">
        <v>3</v>
      </c>
      <c r="B23" s="193">
        <v>87</v>
      </c>
      <c r="C23" s="187">
        <v>4</v>
      </c>
      <c r="D23" s="188" t="s">
        <v>321</v>
      </c>
      <c r="E23" s="189">
        <v>4885516.33</v>
      </c>
      <c r="F23" s="190">
        <v>1799892.97</v>
      </c>
      <c r="G23" s="190">
        <f t="shared" si="0"/>
        <v>3085623.3600000003</v>
      </c>
      <c r="H23" s="191">
        <v>11432.019999999997</v>
      </c>
      <c r="I23" s="192">
        <f t="shared" si="1"/>
        <v>269.91059847690968</v>
      </c>
    </row>
    <row r="24" spans="1:9" x14ac:dyDescent="0.25">
      <c r="A24" s="45">
        <v>4</v>
      </c>
      <c r="B24" s="193">
        <v>88</v>
      </c>
      <c r="C24" s="187">
        <v>4</v>
      </c>
      <c r="D24" s="188" t="s">
        <v>322</v>
      </c>
      <c r="E24" s="189">
        <v>2105518.15</v>
      </c>
      <c r="F24" s="190">
        <v>782435.3</v>
      </c>
      <c r="G24" s="190">
        <f t="shared" si="0"/>
        <v>1323082.8499999999</v>
      </c>
      <c r="H24" s="191">
        <v>5008.41</v>
      </c>
      <c r="I24" s="192">
        <f t="shared" si="1"/>
        <v>264.17223230526253</v>
      </c>
    </row>
    <row r="25" spans="1:9" x14ac:dyDescent="0.25">
      <c r="A25" s="45">
        <v>4</v>
      </c>
      <c r="B25" s="193">
        <v>89</v>
      </c>
      <c r="C25" s="187">
        <v>4</v>
      </c>
      <c r="D25" s="188" t="s">
        <v>323</v>
      </c>
      <c r="E25" s="189">
        <v>3518610.54</v>
      </c>
      <c r="F25" s="190">
        <v>652661.15999999992</v>
      </c>
      <c r="G25" s="190">
        <f t="shared" si="0"/>
        <v>2865949.38</v>
      </c>
      <c r="H25" s="191">
        <v>5649.21</v>
      </c>
      <c r="I25" s="192">
        <f t="shared" si="1"/>
        <v>507.318612690978</v>
      </c>
    </row>
    <row r="26" spans="1:9" x14ac:dyDescent="0.25">
      <c r="A26" s="45">
        <v>4</v>
      </c>
      <c r="B26" s="193">
        <v>97</v>
      </c>
      <c r="C26" s="187">
        <v>1</v>
      </c>
      <c r="D26" s="188" t="s">
        <v>302</v>
      </c>
      <c r="E26" s="189">
        <v>25692503.82</v>
      </c>
      <c r="F26" s="190">
        <v>9202443.370000001</v>
      </c>
      <c r="G26" s="190">
        <f t="shared" si="0"/>
        <v>16490060.449999999</v>
      </c>
      <c r="H26" s="191">
        <v>65618.490000000005</v>
      </c>
      <c r="I26" s="192">
        <f t="shared" si="1"/>
        <v>251.3020407814931</v>
      </c>
    </row>
    <row r="27" spans="1:9" x14ac:dyDescent="0.25">
      <c r="A27" s="45">
        <v>4</v>
      </c>
      <c r="B27" s="193">
        <v>100</v>
      </c>
      <c r="C27" s="187">
        <v>9</v>
      </c>
      <c r="D27" s="188" t="s">
        <v>509</v>
      </c>
      <c r="E27" s="189">
        <v>29893.4</v>
      </c>
      <c r="F27" s="190">
        <v>0</v>
      </c>
      <c r="G27" s="190">
        <f t="shared" si="0"/>
        <v>29893.4</v>
      </c>
      <c r="H27" s="191">
        <v>31.847179844103021</v>
      </c>
      <c r="I27" s="192">
        <f t="shared" si="1"/>
        <v>938.65140167301843</v>
      </c>
    </row>
    <row r="28" spans="1:9" x14ac:dyDescent="0.25">
      <c r="A28" s="45">
        <v>4</v>
      </c>
      <c r="B28" s="193">
        <v>103</v>
      </c>
      <c r="C28" s="187">
        <v>3</v>
      </c>
      <c r="D28" s="188" t="s">
        <v>314</v>
      </c>
      <c r="E28" s="189">
        <v>1477231.12</v>
      </c>
      <c r="F28" s="190">
        <v>390505.4200000001</v>
      </c>
      <c r="G28" s="190">
        <f t="shared" si="0"/>
        <v>1086725.7</v>
      </c>
      <c r="H28" s="191">
        <v>4390.6400000000003</v>
      </c>
      <c r="I28" s="192">
        <f t="shared" si="1"/>
        <v>247.50963413078728</v>
      </c>
    </row>
    <row r="29" spans="1:9" x14ac:dyDescent="0.25">
      <c r="A29" s="45">
        <v>4</v>
      </c>
      <c r="B29" s="193">
        <v>123</v>
      </c>
      <c r="C29" s="187">
        <v>3</v>
      </c>
      <c r="D29" s="188" t="s">
        <v>315</v>
      </c>
      <c r="E29" s="189">
        <v>1280665.4099999999</v>
      </c>
      <c r="F29" s="190">
        <v>0</v>
      </c>
      <c r="G29" s="190">
        <f t="shared" si="0"/>
        <v>1280665.4099999999</v>
      </c>
      <c r="H29" s="191">
        <v>6452.95</v>
      </c>
      <c r="I29" s="192">
        <f t="shared" si="1"/>
        <v>198.46200729898729</v>
      </c>
    </row>
    <row r="30" spans="1:9" x14ac:dyDescent="0.25">
      <c r="A30" s="45">
        <v>4</v>
      </c>
      <c r="B30" s="193">
        <v>128</v>
      </c>
      <c r="C30" s="187">
        <v>7</v>
      </c>
      <c r="D30" s="188" t="s">
        <v>401</v>
      </c>
      <c r="E30" s="189">
        <v>97728.05</v>
      </c>
      <c r="F30" s="190">
        <v>305.20999999999998</v>
      </c>
      <c r="G30" s="190">
        <f t="shared" si="0"/>
        <v>97422.84</v>
      </c>
      <c r="H30" s="191">
        <v>162.90807403927388</v>
      </c>
      <c r="I30" s="192">
        <f t="shared" si="1"/>
        <v>598.02339800858056</v>
      </c>
    </row>
    <row r="31" spans="1:9" x14ac:dyDescent="0.25">
      <c r="A31" s="45">
        <v>4</v>
      </c>
      <c r="B31" s="193">
        <v>143</v>
      </c>
      <c r="C31" s="187">
        <v>4</v>
      </c>
      <c r="D31" s="188" t="s">
        <v>324</v>
      </c>
      <c r="E31" s="189">
        <v>975888.65</v>
      </c>
      <c r="F31" s="190">
        <v>393302.16</v>
      </c>
      <c r="G31" s="190">
        <f t="shared" si="0"/>
        <v>582586.49</v>
      </c>
      <c r="H31" s="191">
        <v>3054.17</v>
      </c>
      <c r="I31" s="192">
        <f t="shared" si="1"/>
        <v>190.75116643801752</v>
      </c>
    </row>
    <row r="32" spans="1:9" x14ac:dyDescent="0.25">
      <c r="A32" s="45">
        <v>4</v>
      </c>
      <c r="B32" s="193">
        <v>152</v>
      </c>
      <c r="C32" s="187">
        <v>7</v>
      </c>
      <c r="D32" s="188" t="s">
        <v>402</v>
      </c>
      <c r="E32" s="189">
        <v>154963.87</v>
      </c>
      <c r="F32" s="190">
        <v>38032.97</v>
      </c>
      <c r="G32" s="190">
        <f t="shared" si="0"/>
        <v>116930.9</v>
      </c>
      <c r="H32" s="191">
        <v>349.11658476040691</v>
      </c>
      <c r="I32" s="192">
        <f t="shared" si="1"/>
        <v>334.93367288823526</v>
      </c>
    </row>
    <row r="33" spans="1:9" x14ac:dyDescent="0.25">
      <c r="A33" s="45">
        <v>4</v>
      </c>
      <c r="B33" s="193">
        <v>157</v>
      </c>
      <c r="C33" s="187">
        <v>5</v>
      </c>
      <c r="D33" s="188" t="s">
        <v>337</v>
      </c>
      <c r="E33" s="189">
        <v>145658.07999999999</v>
      </c>
      <c r="F33" s="190">
        <v>150</v>
      </c>
      <c r="G33" s="190">
        <f t="shared" si="0"/>
        <v>145508.07999999999</v>
      </c>
      <c r="H33" s="191">
        <v>458.49377410764129</v>
      </c>
      <c r="I33" s="192">
        <f t="shared" si="1"/>
        <v>317.36108147422482</v>
      </c>
    </row>
    <row r="34" spans="1:9" x14ac:dyDescent="0.25">
      <c r="A34" s="45">
        <v>4</v>
      </c>
      <c r="B34" s="193">
        <v>159</v>
      </c>
      <c r="C34" s="187">
        <v>9</v>
      </c>
      <c r="D34" s="188" t="s">
        <v>510</v>
      </c>
      <c r="E34" s="189">
        <v>161334.24</v>
      </c>
      <c r="F34" s="190">
        <v>0</v>
      </c>
      <c r="G34" s="190">
        <f t="shared" si="0"/>
        <v>161334.24</v>
      </c>
      <c r="H34" s="191">
        <v>827.75861293351329</v>
      </c>
      <c r="I34" s="192">
        <f t="shared" si="1"/>
        <v>194.90493663151841</v>
      </c>
    </row>
    <row r="35" spans="1:9" x14ac:dyDescent="0.25">
      <c r="A35" s="45">
        <v>4</v>
      </c>
      <c r="B35" s="193">
        <v>162</v>
      </c>
      <c r="C35" s="187">
        <v>7</v>
      </c>
      <c r="D35" s="188" t="s">
        <v>403</v>
      </c>
      <c r="E35" s="189">
        <v>369094.26</v>
      </c>
      <c r="F35" s="190">
        <v>31965.68</v>
      </c>
      <c r="G35" s="190">
        <f t="shared" si="0"/>
        <v>337128.58</v>
      </c>
      <c r="H35" s="191">
        <v>801.95999999999992</v>
      </c>
      <c r="I35" s="192">
        <f t="shared" si="1"/>
        <v>420.38079205945439</v>
      </c>
    </row>
    <row r="36" spans="1:9" x14ac:dyDescent="0.25">
      <c r="A36" s="45">
        <v>4</v>
      </c>
      <c r="B36" s="193">
        <v>166</v>
      </c>
      <c r="C36" s="187">
        <v>7</v>
      </c>
      <c r="D36" s="188" t="s">
        <v>404</v>
      </c>
      <c r="E36" s="189">
        <v>426068.96</v>
      </c>
      <c r="F36" s="190">
        <v>137468.31999999998</v>
      </c>
      <c r="G36" s="190">
        <f t="shared" si="0"/>
        <v>288600.64</v>
      </c>
      <c r="H36" s="191">
        <v>890.20999999999981</v>
      </c>
      <c r="I36" s="192">
        <f t="shared" si="1"/>
        <v>324.19388683569053</v>
      </c>
    </row>
    <row r="37" spans="1:9" x14ac:dyDescent="0.25">
      <c r="A37" s="45">
        <v>4</v>
      </c>
      <c r="B37" s="193">
        <v>172</v>
      </c>
      <c r="C37" s="187">
        <v>1</v>
      </c>
      <c r="D37" s="188" t="s">
        <v>303</v>
      </c>
      <c r="E37" s="189">
        <v>14723683.560000001</v>
      </c>
      <c r="F37" s="190">
        <v>5464143.8599999994</v>
      </c>
      <c r="G37" s="190">
        <f t="shared" si="0"/>
        <v>9259539.7000000011</v>
      </c>
      <c r="H37" s="191">
        <v>35538.149999999994</v>
      </c>
      <c r="I37" s="192">
        <f t="shared" si="1"/>
        <v>260.55210245890692</v>
      </c>
    </row>
    <row r="38" spans="1:9" x14ac:dyDescent="0.25">
      <c r="A38" s="45">
        <v>4</v>
      </c>
      <c r="B38" s="193">
        <v>173</v>
      </c>
      <c r="C38" s="187">
        <v>9</v>
      </c>
      <c r="D38" s="188" t="s">
        <v>511</v>
      </c>
      <c r="E38" s="189">
        <v>161973.89000000001</v>
      </c>
      <c r="F38" s="190">
        <v>80</v>
      </c>
      <c r="G38" s="190">
        <f t="shared" si="0"/>
        <v>161893.89000000001</v>
      </c>
      <c r="H38" s="191">
        <v>352.88</v>
      </c>
      <c r="I38" s="192">
        <f t="shared" si="1"/>
        <v>458.77887667195654</v>
      </c>
    </row>
    <row r="39" spans="1:9" x14ac:dyDescent="0.25">
      <c r="A39" s="45">
        <v>5</v>
      </c>
      <c r="B39" s="193">
        <v>179</v>
      </c>
      <c r="C39" s="187">
        <v>3</v>
      </c>
      <c r="D39" s="188" t="s">
        <v>316</v>
      </c>
      <c r="E39" s="189">
        <v>2375493.86</v>
      </c>
      <c r="F39" s="190">
        <v>1060798.6800000002</v>
      </c>
      <c r="G39" s="190">
        <f t="shared" si="0"/>
        <v>1314695.1799999997</v>
      </c>
      <c r="H39" s="191">
        <v>6470.7699999999995</v>
      </c>
      <c r="I39" s="192">
        <f t="shared" si="1"/>
        <v>203.17445682662185</v>
      </c>
    </row>
    <row r="40" spans="1:9" x14ac:dyDescent="0.25">
      <c r="A40" s="45">
        <v>5</v>
      </c>
      <c r="B40" s="193">
        <v>183</v>
      </c>
      <c r="C40" s="187">
        <v>4</v>
      </c>
      <c r="D40" s="188" t="s">
        <v>325</v>
      </c>
      <c r="E40" s="189">
        <v>7022821.2999999998</v>
      </c>
      <c r="F40" s="190">
        <v>656113.0199999999</v>
      </c>
      <c r="G40" s="190">
        <f t="shared" si="0"/>
        <v>6366708.2800000003</v>
      </c>
      <c r="H40" s="191">
        <v>11921.288399999999</v>
      </c>
      <c r="I40" s="192">
        <f t="shared" si="1"/>
        <v>534.06209684516989</v>
      </c>
    </row>
    <row r="41" spans="1:9" x14ac:dyDescent="0.25">
      <c r="A41" s="45">
        <v>5</v>
      </c>
      <c r="B41" s="193">
        <v>186</v>
      </c>
      <c r="C41" s="187">
        <v>4</v>
      </c>
      <c r="D41" s="188" t="s">
        <v>326</v>
      </c>
      <c r="E41" s="189">
        <v>7142685.9100000001</v>
      </c>
      <c r="F41" s="190">
        <v>1669583.4900000002</v>
      </c>
      <c r="G41" s="190">
        <f t="shared" si="0"/>
        <v>5473102.4199999999</v>
      </c>
      <c r="H41" s="191">
        <v>11753.909999999998</v>
      </c>
      <c r="I41" s="192">
        <f t="shared" si="1"/>
        <v>465.64100116471889</v>
      </c>
    </row>
    <row r="42" spans="1:9" x14ac:dyDescent="0.25">
      <c r="A42" s="45">
        <v>5</v>
      </c>
      <c r="B42" s="193">
        <v>188</v>
      </c>
      <c r="C42" s="187">
        <v>8</v>
      </c>
      <c r="D42" s="188" t="s">
        <v>460</v>
      </c>
      <c r="E42" s="189">
        <v>224188.27</v>
      </c>
      <c r="F42" s="190">
        <v>33999</v>
      </c>
      <c r="G42" s="190">
        <f t="shared" si="0"/>
        <v>190189.27</v>
      </c>
      <c r="H42" s="191">
        <v>291.43</v>
      </c>
      <c r="I42" s="192">
        <f t="shared" si="1"/>
        <v>652.60704114195516</v>
      </c>
    </row>
    <row r="43" spans="1:9" x14ac:dyDescent="0.25">
      <c r="A43" s="45">
        <v>5</v>
      </c>
      <c r="B43" s="193">
        <v>190</v>
      </c>
      <c r="C43" s="187">
        <v>4</v>
      </c>
      <c r="D43" s="188" t="s">
        <v>327</v>
      </c>
      <c r="E43" s="189">
        <v>1959680.03</v>
      </c>
      <c r="F43" s="190">
        <v>576911.32999999996</v>
      </c>
      <c r="G43" s="190">
        <f t="shared" si="0"/>
        <v>1382768.7000000002</v>
      </c>
      <c r="H43" s="191">
        <v>3149.7200000000003</v>
      </c>
      <c r="I43" s="192">
        <f t="shared" si="1"/>
        <v>439.01321387297924</v>
      </c>
    </row>
    <row r="44" spans="1:9" x14ac:dyDescent="0.25">
      <c r="A44" s="45">
        <v>5</v>
      </c>
      <c r="B44" s="193">
        <v>192</v>
      </c>
      <c r="C44" s="187">
        <v>7</v>
      </c>
      <c r="D44" s="188" t="s">
        <v>405</v>
      </c>
      <c r="E44" s="189">
        <v>96817.45</v>
      </c>
      <c r="F44" s="190">
        <v>28148.03</v>
      </c>
      <c r="G44" s="190">
        <f t="shared" si="0"/>
        <v>68669.42</v>
      </c>
      <c r="H44" s="191">
        <v>179.21000000000006</v>
      </c>
      <c r="I44" s="192">
        <f t="shared" si="1"/>
        <v>383.17850566374631</v>
      </c>
    </row>
    <row r="45" spans="1:9" x14ac:dyDescent="0.25">
      <c r="A45" s="45">
        <v>5</v>
      </c>
      <c r="B45" s="193">
        <v>204</v>
      </c>
      <c r="C45" s="187">
        <v>9</v>
      </c>
      <c r="D45" s="188" t="s">
        <v>512</v>
      </c>
      <c r="E45" s="189">
        <v>583867.55000000005</v>
      </c>
      <c r="F45" s="190">
        <v>36940.740000000005</v>
      </c>
      <c r="G45" s="190">
        <f t="shared" si="0"/>
        <v>546926.81000000006</v>
      </c>
      <c r="H45" s="191">
        <v>695.26117999658322</v>
      </c>
      <c r="I45" s="192">
        <f t="shared" si="1"/>
        <v>786.64942864016632</v>
      </c>
    </row>
    <row r="46" spans="1:9" x14ac:dyDescent="0.25">
      <c r="A46" s="45">
        <v>5</v>
      </c>
      <c r="B46" s="193">
        <v>205</v>
      </c>
      <c r="C46" s="187">
        <v>7</v>
      </c>
      <c r="D46" s="188" t="s">
        <v>406</v>
      </c>
      <c r="E46" s="189">
        <v>396318.41</v>
      </c>
      <c r="F46" s="190">
        <v>15454.5</v>
      </c>
      <c r="G46" s="190">
        <f t="shared" si="0"/>
        <v>380863.91</v>
      </c>
      <c r="H46" s="191">
        <v>697.88310122153791</v>
      </c>
      <c r="I46" s="192">
        <f t="shared" si="1"/>
        <v>545.74169991128281</v>
      </c>
    </row>
    <row r="47" spans="1:9" x14ac:dyDescent="0.25">
      <c r="A47" s="45">
        <v>5</v>
      </c>
      <c r="B47" s="193">
        <v>212</v>
      </c>
      <c r="C47" s="187">
        <v>7</v>
      </c>
      <c r="D47" s="188" t="s">
        <v>407</v>
      </c>
      <c r="E47" s="189">
        <v>240439.65</v>
      </c>
      <c r="F47" s="190">
        <v>909</v>
      </c>
      <c r="G47" s="190">
        <f t="shared" si="0"/>
        <v>239530.65</v>
      </c>
      <c r="H47" s="191">
        <v>463.08399263108981</v>
      </c>
      <c r="I47" s="192">
        <f t="shared" si="1"/>
        <v>517.25098213623448</v>
      </c>
    </row>
    <row r="48" spans="1:9" x14ac:dyDescent="0.25">
      <c r="A48" s="45">
        <v>5</v>
      </c>
      <c r="B48" s="193">
        <v>214</v>
      </c>
      <c r="C48" s="187">
        <v>5</v>
      </c>
      <c r="D48" s="188" t="s">
        <v>338</v>
      </c>
      <c r="E48" s="189">
        <v>1693525.15</v>
      </c>
      <c r="F48" s="190">
        <v>371766.18000000005</v>
      </c>
      <c r="G48" s="190">
        <f t="shared" si="0"/>
        <v>1321758.9699999997</v>
      </c>
      <c r="H48" s="191">
        <v>3109.6</v>
      </c>
      <c r="I48" s="192">
        <f t="shared" si="1"/>
        <v>425.05755402624123</v>
      </c>
    </row>
    <row r="49" spans="1:9" x14ac:dyDescent="0.25">
      <c r="A49" s="45">
        <v>5</v>
      </c>
      <c r="B49" s="193">
        <v>216</v>
      </c>
      <c r="C49" s="187">
        <v>7</v>
      </c>
      <c r="D49" s="188" t="s">
        <v>408</v>
      </c>
      <c r="E49" s="189">
        <v>336769.59</v>
      </c>
      <c r="F49" s="190">
        <v>500</v>
      </c>
      <c r="G49" s="190">
        <f t="shared" si="0"/>
        <v>336269.59</v>
      </c>
      <c r="H49" s="191">
        <v>764.29003707426727</v>
      </c>
      <c r="I49" s="192">
        <f t="shared" si="1"/>
        <v>439.97641430372875</v>
      </c>
    </row>
    <row r="50" spans="1:9" x14ac:dyDescent="0.25">
      <c r="A50" s="45">
        <v>5</v>
      </c>
      <c r="B50" s="193">
        <v>218</v>
      </c>
      <c r="C50" s="187">
        <v>9</v>
      </c>
      <c r="D50" s="188" t="s">
        <v>513</v>
      </c>
      <c r="E50" s="189">
        <v>203212.92</v>
      </c>
      <c r="F50" s="190">
        <v>138</v>
      </c>
      <c r="G50" s="190">
        <f t="shared" si="0"/>
        <v>203074.92</v>
      </c>
      <c r="H50" s="191">
        <v>324.80179312584204</v>
      </c>
      <c r="I50" s="192">
        <f t="shared" si="1"/>
        <v>625.22721332797619</v>
      </c>
    </row>
    <row r="51" spans="1:9" x14ac:dyDescent="0.25">
      <c r="A51" s="45">
        <v>5</v>
      </c>
      <c r="B51" s="193">
        <v>223</v>
      </c>
      <c r="C51" s="187">
        <v>5</v>
      </c>
      <c r="D51" s="188" t="s">
        <v>339</v>
      </c>
      <c r="E51" s="189">
        <v>205904.35</v>
      </c>
      <c r="F51" s="190">
        <v>3510.12</v>
      </c>
      <c r="G51" s="190">
        <f t="shared" si="0"/>
        <v>202394.23</v>
      </c>
      <c r="H51" s="191">
        <v>333.74</v>
      </c>
      <c r="I51" s="192">
        <f t="shared" si="1"/>
        <v>606.44282974770783</v>
      </c>
    </row>
    <row r="52" spans="1:9" x14ac:dyDescent="0.25">
      <c r="A52" s="45">
        <v>5</v>
      </c>
      <c r="B52" s="193">
        <v>224</v>
      </c>
      <c r="C52" s="187">
        <v>5</v>
      </c>
      <c r="D52" s="188" t="s">
        <v>340</v>
      </c>
      <c r="E52" s="189">
        <v>77159.710000000006</v>
      </c>
      <c r="F52" s="190">
        <v>180</v>
      </c>
      <c r="G52" s="190">
        <f t="shared" si="0"/>
        <v>76979.710000000006</v>
      </c>
      <c r="H52" s="191">
        <v>274.49707003740264</v>
      </c>
      <c r="I52" s="192">
        <f t="shared" si="1"/>
        <v>280.43909535905374</v>
      </c>
    </row>
    <row r="53" spans="1:9" x14ac:dyDescent="0.25">
      <c r="A53" s="45">
        <v>5</v>
      </c>
      <c r="B53" s="193">
        <v>229</v>
      </c>
      <c r="C53" s="187">
        <v>7</v>
      </c>
      <c r="D53" s="188" t="s">
        <v>409</v>
      </c>
      <c r="E53" s="189">
        <v>433626.26</v>
      </c>
      <c r="F53" s="190">
        <v>126732.33000000002</v>
      </c>
      <c r="G53" s="190">
        <f t="shared" si="0"/>
        <v>306893.93</v>
      </c>
      <c r="H53" s="191">
        <v>820.78999999999985</v>
      </c>
      <c r="I53" s="192">
        <f t="shared" si="1"/>
        <v>373.90066886779817</v>
      </c>
    </row>
    <row r="54" spans="1:9" x14ac:dyDescent="0.25">
      <c r="A54" s="45">
        <v>5</v>
      </c>
      <c r="B54" s="193">
        <v>230</v>
      </c>
      <c r="C54" s="187">
        <v>9</v>
      </c>
      <c r="D54" s="188" t="s">
        <v>514</v>
      </c>
      <c r="E54" s="189">
        <v>69106.73</v>
      </c>
      <c r="F54" s="190">
        <v>4871.54</v>
      </c>
      <c r="G54" s="190">
        <f t="shared" si="0"/>
        <v>64235.189999999995</v>
      </c>
      <c r="H54" s="191">
        <v>146.57443758263469</v>
      </c>
      <c r="I54" s="192">
        <f t="shared" si="1"/>
        <v>438.2427868009791</v>
      </c>
    </row>
    <row r="55" spans="1:9" x14ac:dyDescent="0.25">
      <c r="A55" s="45">
        <v>5</v>
      </c>
      <c r="B55" s="193">
        <v>232</v>
      </c>
      <c r="C55" s="187">
        <v>8</v>
      </c>
      <c r="D55" s="188" t="s">
        <v>461</v>
      </c>
      <c r="E55" s="189">
        <v>85300.54</v>
      </c>
      <c r="F55" s="190">
        <v>0</v>
      </c>
      <c r="G55" s="190">
        <f t="shared" si="0"/>
        <v>85300.54</v>
      </c>
      <c r="H55" s="191">
        <v>100.04889750119882</v>
      </c>
      <c r="I55" s="192">
        <f t="shared" si="1"/>
        <v>852.58850552528963</v>
      </c>
    </row>
    <row r="56" spans="1:9" x14ac:dyDescent="0.25">
      <c r="A56" s="45">
        <v>5</v>
      </c>
      <c r="B56" s="193">
        <v>233</v>
      </c>
      <c r="C56" s="187">
        <v>5</v>
      </c>
      <c r="D56" s="188" t="s">
        <v>341</v>
      </c>
      <c r="E56" s="189">
        <v>629398.4</v>
      </c>
      <c r="F56" s="190">
        <v>324977.27999999997</v>
      </c>
      <c r="G56" s="190">
        <f t="shared" si="0"/>
        <v>304421.12000000005</v>
      </c>
      <c r="H56" s="191">
        <v>2132.25</v>
      </c>
      <c r="I56" s="192">
        <f t="shared" si="1"/>
        <v>142.76990034001645</v>
      </c>
    </row>
    <row r="57" spans="1:9" x14ac:dyDescent="0.25">
      <c r="A57" s="45">
        <v>5</v>
      </c>
      <c r="B57" s="193">
        <v>236</v>
      </c>
      <c r="C57" s="187">
        <v>7</v>
      </c>
      <c r="D57" s="188" t="s">
        <v>410</v>
      </c>
      <c r="E57" s="189">
        <v>596827.42000000004</v>
      </c>
      <c r="F57" s="190">
        <v>137001.84999999998</v>
      </c>
      <c r="G57" s="190">
        <f t="shared" si="0"/>
        <v>459825.57000000007</v>
      </c>
      <c r="H57" s="191">
        <v>1079.3800000000001</v>
      </c>
      <c r="I57" s="192">
        <f t="shared" si="1"/>
        <v>426.008977375901</v>
      </c>
    </row>
    <row r="58" spans="1:9" x14ac:dyDescent="0.25">
      <c r="A58" s="45">
        <v>5</v>
      </c>
      <c r="B58" s="193">
        <v>239</v>
      </c>
      <c r="C58" s="187">
        <v>7</v>
      </c>
      <c r="D58" s="188" t="s">
        <v>411</v>
      </c>
      <c r="E58" s="189">
        <v>1716224.8</v>
      </c>
      <c r="F58" s="190">
        <v>526079.6</v>
      </c>
      <c r="G58" s="190">
        <f t="shared" si="0"/>
        <v>1190145.2000000002</v>
      </c>
      <c r="H58" s="191">
        <v>3332.4437947019587</v>
      </c>
      <c r="I58" s="192">
        <f t="shared" si="1"/>
        <v>357.13886664559402</v>
      </c>
    </row>
    <row r="59" spans="1:9" x14ac:dyDescent="0.25">
      <c r="A59" s="45">
        <v>5</v>
      </c>
      <c r="B59" s="193">
        <v>245</v>
      </c>
      <c r="C59" s="187">
        <v>8</v>
      </c>
      <c r="D59" s="188" t="s">
        <v>462</v>
      </c>
      <c r="E59" s="189">
        <v>634489.53</v>
      </c>
      <c r="F59" s="190">
        <v>0</v>
      </c>
      <c r="G59" s="190">
        <f t="shared" si="0"/>
        <v>634489.53</v>
      </c>
      <c r="H59" s="191">
        <v>192.11449692779453</v>
      </c>
      <c r="I59" s="192">
        <f t="shared" si="1"/>
        <v>3302.6634644780106</v>
      </c>
    </row>
    <row r="60" spans="1:9" x14ac:dyDescent="0.25">
      <c r="A60" s="45">
        <v>6</v>
      </c>
      <c r="B60" s="193">
        <v>249</v>
      </c>
      <c r="C60" s="187">
        <v>7</v>
      </c>
      <c r="D60" s="188" t="s">
        <v>412</v>
      </c>
      <c r="E60" s="189">
        <v>536656.37</v>
      </c>
      <c r="F60" s="190">
        <v>0</v>
      </c>
      <c r="G60" s="190">
        <f t="shared" si="0"/>
        <v>536656.37</v>
      </c>
      <c r="H60" s="191">
        <v>1232.5183570890767</v>
      </c>
      <c r="I60" s="192">
        <f t="shared" si="1"/>
        <v>435.41450471168497</v>
      </c>
    </row>
    <row r="61" spans="1:9" x14ac:dyDescent="0.25">
      <c r="A61" s="45">
        <v>6</v>
      </c>
      <c r="B61" s="193">
        <v>270</v>
      </c>
      <c r="C61" s="187">
        <v>1</v>
      </c>
      <c r="D61" s="188" t="s">
        <v>304</v>
      </c>
      <c r="E61" s="189">
        <v>37087418.170000002</v>
      </c>
      <c r="F61" s="190">
        <v>11034183.389999999</v>
      </c>
      <c r="G61" s="190">
        <f t="shared" si="0"/>
        <v>26053234.780000001</v>
      </c>
      <c r="H61" s="191">
        <v>82092.200000000026</v>
      </c>
      <c r="I61" s="192">
        <f t="shared" si="1"/>
        <v>317.36553265718294</v>
      </c>
    </row>
    <row r="62" spans="1:9" x14ac:dyDescent="0.25">
      <c r="A62" s="45">
        <v>6</v>
      </c>
      <c r="B62" s="193">
        <v>271</v>
      </c>
      <c r="C62" s="187">
        <v>7</v>
      </c>
      <c r="D62" s="188" t="s">
        <v>413</v>
      </c>
      <c r="E62" s="189">
        <v>610218.35</v>
      </c>
      <c r="F62" s="190">
        <v>147638.22</v>
      </c>
      <c r="G62" s="190">
        <f t="shared" si="0"/>
        <v>462580.13</v>
      </c>
      <c r="H62" s="191">
        <v>877.30000000000018</v>
      </c>
      <c r="I62" s="192">
        <f t="shared" si="1"/>
        <v>527.27702040351062</v>
      </c>
    </row>
    <row r="63" spans="1:9" x14ac:dyDescent="0.25">
      <c r="A63" s="45">
        <v>6</v>
      </c>
      <c r="B63" s="193">
        <v>272</v>
      </c>
      <c r="C63" s="187">
        <v>5</v>
      </c>
      <c r="D63" s="188" t="s">
        <v>342</v>
      </c>
      <c r="E63" s="189">
        <v>101161.37</v>
      </c>
      <c r="F63" s="190">
        <v>0</v>
      </c>
      <c r="G63" s="190">
        <f t="shared" si="0"/>
        <v>101161.37</v>
      </c>
      <c r="H63" s="191">
        <v>386.38981858925848</v>
      </c>
      <c r="I63" s="192">
        <f t="shared" si="1"/>
        <v>261.81168636727699</v>
      </c>
    </row>
    <row r="64" spans="1:9" x14ac:dyDescent="0.25">
      <c r="A64" s="45">
        <v>6</v>
      </c>
      <c r="B64" s="193">
        <v>275</v>
      </c>
      <c r="C64" s="187">
        <v>7</v>
      </c>
      <c r="D64" s="188" t="s">
        <v>414</v>
      </c>
      <c r="E64" s="189">
        <v>307156.09999999998</v>
      </c>
      <c r="F64" s="190">
        <v>62551.649999999994</v>
      </c>
      <c r="G64" s="190">
        <f t="shared" si="0"/>
        <v>244604.44999999998</v>
      </c>
      <c r="H64" s="191">
        <v>688.04999999999984</v>
      </c>
      <c r="I64" s="192">
        <f t="shared" si="1"/>
        <v>355.50388779885191</v>
      </c>
    </row>
    <row r="65" spans="1:9" x14ac:dyDescent="0.25">
      <c r="A65" s="45">
        <v>6</v>
      </c>
      <c r="B65" s="193">
        <v>277</v>
      </c>
      <c r="C65" s="187">
        <v>9</v>
      </c>
      <c r="D65" s="188" t="s">
        <v>515</v>
      </c>
      <c r="E65" s="189">
        <v>69536.61</v>
      </c>
      <c r="F65" s="190">
        <v>0</v>
      </c>
      <c r="G65" s="190">
        <f t="shared" si="0"/>
        <v>69536.61</v>
      </c>
      <c r="H65" s="191">
        <v>118.22152392243591</v>
      </c>
      <c r="I65" s="192">
        <f t="shared" si="1"/>
        <v>588.18908514174075</v>
      </c>
    </row>
    <row r="66" spans="1:9" x14ac:dyDescent="0.25">
      <c r="A66" s="45">
        <v>6</v>
      </c>
      <c r="B66" s="193">
        <v>279</v>
      </c>
      <c r="C66" s="187">
        <v>9</v>
      </c>
      <c r="D66" s="188" t="s">
        <v>516</v>
      </c>
      <c r="E66" s="189">
        <v>141933.18</v>
      </c>
      <c r="F66" s="190">
        <v>746</v>
      </c>
      <c r="G66" s="190">
        <f t="shared" si="0"/>
        <v>141187.18</v>
      </c>
      <c r="H66" s="191">
        <v>540.1157723406485</v>
      </c>
      <c r="I66" s="192">
        <f t="shared" si="1"/>
        <v>261.40169798810075</v>
      </c>
    </row>
    <row r="67" spans="1:9" x14ac:dyDescent="0.25">
      <c r="A67" s="45">
        <v>6</v>
      </c>
      <c r="B67" s="193">
        <v>282</v>
      </c>
      <c r="C67" s="187">
        <v>7</v>
      </c>
      <c r="D67" s="188" t="s">
        <v>415</v>
      </c>
      <c r="E67" s="189">
        <v>53696.52</v>
      </c>
      <c r="F67" s="190">
        <v>0</v>
      </c>
      <c r="G67" s="190">
        <f t="shared" si="0"/>
        <v>53696.52</v>
      </c>
      <c r="H67" s="191">
        <v>157.14795911338896</v>
      </c>
      <c r="I67" s="192">
        <f t="shared" si="1"/>
        <v>341.69403346342961</v>
      </c>
    </row>
    <row r="68" spans="1:9" x14ac:dyDescent="0.25">
      <c r="A68" s="45">
        <v>6</v>
      </c>
      <c r="B68" s="193">
        <v>287</v>
      </c>
      <c r="C68" s="187">
        <v>7</v>
      </c>
      <c r="D68" s="188" t="s">
        <v>416</v>
      </c>
      <c r="E68" s="189">
        <v>120033.56</v>
      </c>
      <c r="F68" s="190">
        <v>0</v>
      </c>
      <c r="G68" s="190">
        <f t="shared" si="0"/>
        <v>120033.56</v>
      </c>
      <c r="H68" s="191">
        <v>197.77748625633771</v>
      </c>
      <c r="I68" s="192">
        <f t="shared" si="1"/>
        <v>606.91215300626038</v>
      </c>
    </row>
    <row r="69" spans="1:9" x14ac:dyDescent="0.25">
      <c r="A69" s="45">
        <v>6</v>
      </c>
      <c r="B69" s="193">
        <v>290</v>
      </c>
      <c r="C69" s="187">
        <v>7</v>
      </c>
      <c r="D69" s="188" t="s">
        <v>417</v>
      </c>
      <c r="E69" s="189">
        <v>175443.77</v>
      </c>
      <c r="F69" s="190">
        <v>210</v>
      </c>
      <c r="G69" s="190">
        <f t="shared" si="0"/>
        <v>175233.77</v>
      </c>
      <c r="H69" s="191">
        <v>355.11230382289364</v>
      </c>
      <c r="I69" s="192">
        <f t="shared" si="1"/>
        <v>493.46014799699793</v>
      </c>
    </row>
    <row r="70" spans="1:9" x14ac:dyDescent="0.25">
      <c r="A70" s="45">
        <v>6</v>
      </c>
      <c r="B70" s="193">
        <v>293</v>
      </c>
      <c r="C70" s="187">
        <v>3</v>
      </c>
      <c r="D70" s="188" t="s">
        <v>317</v>
      </c>
      <c r="E70" s="189">
        <v>2246062.3199999998</v>
      </c>
      <c r="F70" s="190">
        <v>1355934.76</v>
      </c>
      <c r="G70" s="190">
        <f t="shared" ref="G70:G133" si="2">E70-F70</f>
        <v>890127.55999999982</v>
      </c>
      <c r="H70" s="191">
        <v>7745.28</v>
      </c>
      <c r="I70" s="192">
        <f t="shared" ref="I70:I133" si="3">IFERROR(G70/H70,0)</f>
        <v>114.92516216327878</v>
      </c>
    </row>
    <row r="71" spans="1:9" x14ac:dyDescent="0.25">
      <c r="A71" s="45">
        <v>6</v>
      </c>
      <c r="B71" s="193">
        <v>294</v>
      </c>
      <c r="C71" s="187">
        <v>7</v>
      </c>
      <c r="D71" s="188" t="s">
        <v>418</v>
      </c>
      <c r="E71" s="189">
        <v>609291.72</v>
      </c>
      <c r="F71" s="190">
        <v>700</v>
      </c>
      <c r="G71" s="190">
        <f t="shared" si="2"/>
        <v>608591.72</v>
      </c>
      <c r="H71" s="191">
        <v>1263.4393689479177</v>
      </c>
      <c r="I71" s="192">
        <f t="shared" si="3"/>
        <v>481.69444055458092</v>
      </c>
    </row>
    <row r="72" spans="1:9" x14ac:dyDescent="0.25">
      <c r="A72" s="45">
        <v>6</v>
      </c>
      <c r="B72" s="193">
        <v>296</v>
      </c>
      <c r="C72" s="187">
        <v>7</v>
      </c>
      <c r="D72" s="188" t="s">
        <v>419</v>
      </c>
      <c r="E72" s="189">
        <v>788176.46</v>
      </c>
      <c r="F72" s="190">
        <v>204908.74000000002</v>
      </c>
      <c r="G72" s="190">
        <f t="shared" si="2"/>
        <v>583267.72</v>
      </c>
      <c r="H72" s="191">
        <v>884.62</v>
      </c>
      <c r="I72" s="192">
        <f t="shared" si="3"/>
        <v>659.3426782121137</v>
      </c>
    </row>
    <row r="73" spans="1:9" x14ac:dyDescent="0.25">
      <c r="A73" s="45">
        <v>6</v>
      </c>
      <c r="B73" s="193">
        <v>301</v>
      </c>
      <c r="C73" s="187">
        <v>7</v>
      </c>
      <c r="D73" s="188" t="s">
        <v>420</v>
      </c>
      <c r="E73" s="189">
        <v>219085.76</v>
      </c>
      <c r="F73" s="190">
        <v>380.36</v>
      </c>
      <c r="G73" s="190">
        <f t="shared" si="2"/>
        <v>218705.40000000002</v>
      </c>
      <c r="H73" s="191">
        <v>640.13643914704323</v>
      </c>
      <c r="I73" s="192">
        <f t="shared" si="3"/>
        <v>341.65435151827387</v>
      </c>
    </row>
    <row r="74" spans="1:9" x14ac:dyDescent="0.25">
      <c r="A74" s="45">
        <v>6</v>
      </c>
      <c r="B74" s="193">
        <v>321</v>
      </c>
      <c r="C74" s="187">
        <v>7</v>
      </c>
      <c r="D74" s="188" t="s">
        <v>421</v>
      </c>
      <c r="E74" s="189">
        <v>430321.48</v>
      </c>
      <c r="F74" s="190">
        <v>59452.28</v>
      </c>
      <c r="G74" s="190">
        <f t="shared" si="2"/>
        <v>370869.19999999995</v>
      </c>
      <c r="H74" s="191">
        <v>443.10000000000008</v>
      </c>
      <c r="I74" s="192">
        <f t="shared" si="3"/>
        <v>836.98758745204213</v>
      </c>
    </row>
    <row r="75" spans="1:9" x14ac:dyDescent="0.25">
      <c r="A75" s="45">
        <v>6</v>
      </c>
      <c r="B75" s="193">
        <v>324</v>
      </c>
      <c r="C75" s="187">
        <v>4</v>
      </c>
      <c r="D75" s="188" t="s">
        <v>328</v>
      </c>
      <c r="E75" s="189">
        <v>4083823.39</v>
      </c>
      <c r="F75" s="190">
        <v>1467151.12</v>
      </c>
      <c r="G75" s="190">
        <f t="shared" si="2"/>
        <v>2616672.27</v>
      </c>
      <c r="H75" s="191">
        <v>8276.9499999999971</v>
      </c>
      <c r="I75" s="192">
        <f t="shared" si="3"/>
        <v>316.13967343043038</v>
      </c>
    </row>
    <row r="76" spans="1:9" x14ac:dyDescent="0.25">
      <c r="A76" s="45">
        <v>6</v>
      </c>
      <c r="B76" s="193">
        <v>325</v>
      </c>
      <c r="C76" s="187">
        <v>7</v>
      </c>
      <c r="D76" s="188" t="s">
        <v>422</v>
      </c>
      <c r="E76" s="189">
        <v>173160.4</v>
      </c>
      <c r="F76" s="190">
        <v>1356</v>
      </c>
      <c r="G76" s="190">
        <f t="shared" si="2"/>
        <v>171804.4</v>
      </c>
      <c r="H76" s="191">
        <v>400.69285092676949</v>
      </c>
      <c r="I76" s="192">
        <f t="shared" si="3"/>
        <v>428.76831868257841</v>
      </c>
    </row>
    <row r="77" spans="1:9" x14ac:dyDescent="0.25">
      <c r="A77" s="45">
        <v>6</v>
      </c>
      <c r="B77" s="193">
        <v>331</v>
      </c>
      <c r="C77" s="187">
        <v>9</v>
      </c>
      <c r="D77" s="188" t="s">
        <v>517</v>
      </c>
      <c r="E77" s="189">
        <v>161705.39000000001</v>
      </c>
      <c r="F77" s="190">
        <v>23223.75</v>
      </c>
      <c r="G77" s="190">
        <f t="shared" si="2"/>
        <v>138481.64000000001</v>
      </c>
      <c r="H77" s="191">
        <v>398.65860170051161</v>
      </c>
      <c r="I77" s="192">
        <f t="shared" si="3"/>
        <v>347.3690004663012</v>
      </c>
    </row>
    <row r="78" spans="1:9" x14ac:dyDescent="0.25">
      <c r="A78" s="45">
        <v>6</v>
      </c>
      <c r="B78" s="193">
        <v>335</v>
      </c>
      <c r="C78" s="187">
        <v>2</v>
      </c>
      <c r="D78" s="188" t="s">
        <v>308</v>
      </c>
      <c r="E78" s="189">
        <v>9859566.0800000001</v>
      </c>
      <c r="F78" s="190">
        <v>4583108.9400000004</v>
      </c>
      <c r="G78" s="190">
        <f t="shared" si="2"/>
        <v>5276457.1399999997</v>
      </c>
      <c r="H78" s="191">
        <v>24460.199999999997</v>
      </c>
      <c r="I78" s="192">
        <f t="shared" si="3"/>
        <v>215.71602603412893</v>
      </c>
    </row>
    <row r="79" spans="1:9" x14ac:dyDescent="0.25">
      <c r="A79" s="45">
        <v>6</v>
      </c>
      <c r="B79" s="193">
        <v>346</v>
      </c>
      <c r="C79" s="187">
        <v>7</v>
      </c>
      <c r="D79" s="188" t="s">
        <v>423</v>
      </c>
      <c r="E79" s="189">
        <v>112381.75999999999</v>
      </c>
      <c r="F79" s="190">
        <v>26716.230000000003</v>
      </c>
      <c r="G79" s="190">
        <f t="shared" si="2"/>
        <v>85665.53</v>
      </c>
      <c r="H79" s="191">
        <v>177.69000000000003</v>
      </c>
      <c r="I79" s="192">
        <f t="shared" si="3"/>
        <v>482.10664640666323</v>
      </c>
    </row>
    <row r="80" spans="1:9" x14ac:dyDescent="0.25">
      <c r="A80" s="45">
        <v>6</v>
      </c>
      <c r="B80" s="193">
        <v>357</v>
      </c>
      <c r="C80" s="187">
        <v>2</v>
      </c>
      <c r="D80" s="188" t="s">
        <v>309</v>
      </c>
      <c r="E80" s="189">
        <v>12281303.27</v>
      </c>
      <c r="F80" s="190">
        <v>6866116.8200000003</v>
      </c>
      <c r="G80" s="190">
        <f t="shared" si="2"/>
        <v>5415186.4499999993</v>
      </c>
      <c r="H80" s="191">
        <v>36671.049999999996</v>
      </c>
      <c r="I80" s="192">
        <f t="shared" si="3"/>
        <v>147.66924999420525</v>
      </c>
    </row>
    <row r="81" spans="1:9" x14ac:dyDescent="0.25">
      <c r="A81" s="45">
        <v>6</v>
      </c>
      <c r="B81" s="193">
        <v>358</v>
      </c>
      <c r="C81" s="187">
        <v>7</v>
      </c>
      <c r="D81" s="188" t="s">
        <v>424</v>
      </c>
      <c r="E81" s="189">
        <v>233117</v>
      </c>
      <c r="F81" s="190">
        <v>65089.860000000008</v>
      </c>
      <c r="G81" s="190">
        <f t="shared" si="2"/>
        <v>168027.13999999998</v>
      </c>
      <c r="H81" s="191">
        <v>418.90000000000003</v>
      </c>
      <c r="I81" s="192">
        <f t="shared" si="3"/>
        <v>401.11515874910475</v>
      </c>
    </row>
    <row r="82" spans="1:9" x14ac:dyDescent="0.25">
      <c r="A82" s="45">
        <v>6</v>
      </c>
      <c r="B82" s="193">
        <v>361</v>
      </c>
      <c r="C82" s="187">
        <v>7</v>
      </c>
      <c r="D82" s="188" t="s">
        <v>425</v>
      </c>
      <c r="E82" s="189">
        <v>891571.84</v>
      </c>
      <c r="F82" s="190">
        <v>7476</v>
      </c>
      <c r="G82" s="190">
        <f t="shared" si="2"/>
        <v>884095.84</v>
      </c>
      <c r="H82" s="191">
        <v>1508.942788284392</v>
      </c>
      <c r="I82" s="192">
        <f t="shared" si="3"/>
        <v>585.9041488280559</v>
      </c>
    </row>
    <row r="83" spans="1:9" x14ac:dyDescent="0.25">
      <c r="A83" s="45">
        <v>6</v>
      </c>
      <c r="B83" s="193">
        <v>369</v>
      </c>
      <c r="C83" s="187">
        <v>9</v>
      </c>
      <c r="D83" s="188" t="s">
        <v>518</v>
      </c>
      <c r="E83" s="189">
        <v>387832.75</v>
      </c>
      <c r="F83" s="190">
        <v>0</v>
      </c>
      <c r="G83" s="190">
        <f t="shared" si="2"/>
        <v>387832.75</v>
      </c>
      <c r="H83" s="191">
        <v>468.64581619145497</v>
      </c>
      <c r="I83" s="192">
        <f t="shared" si="3"/>
        <v>827.56046592243433</v>
      </c>
    </row>
    <row r="84" spans="1:9" x14ac:dyDescent="0.25">
      <c r="A84" s="45">
        <v>6</v>
      </c>
      <c r="B84" s="193">
        <v>372</v>
      </c>
      <c r="C84" s="187">
        <v>8</v>
      </c>
      <c r="D84" s="188" t="s">
        <v>463</v>
      </c>
      <c r="E84" s="189">
        <v>75377.2</v>
      </c>
      <c r="F84" s="190">
        <v>0</v>
      </c>
      <c r="G84" s="190">
        <f t="shared" si="2"/>
        <v>75377.2</v>
      </c>
      <c r="H84" s="191">
        <v>125.81000000000002</v>
      </c>
      <c r="I84" s="192">
        <f t="shared" si="3"/>
        <v>599.1352038788649</v>
      </c>
    </row>
    <row r="85" spans="1:9" x14ac:dyDescent="0.25">
      <c r="A85" s="45">
        <v>6</v>
      </c>
      <c r="B85" s="193">
        <v>375</v>
      </c>
      <c r="C85" s="187">
        <v>8</v>
      </c>
      <c r="D85" s="188" t="s">
        <v>464</v>
      </c>
      <c r="E85" s="189">
        <v>216301.79</v>
      </c>
      <c r="F85" s="190">
        <v>0</v>
      </c>
      <c r="G85" s="190">
        <f t="shared" si="2"/>
        <v>216301.79</v>
      </c>
      <c r="H85" s="191">
        <v>176.49</v>
      </c>
      <c r="I85" s="192">
        <f t="shared" si="3"/>
        <v>1225.575330047028</v>
      </c>
    </row>
    <row r="86" spans="1:9" x14ac:dyDescent="0.25">
      <c r="A86" s="45">
        <v>6</v>
      </c>
      <c r="B86" s="193">
        <v>376</v>
      </c>
      <c r="C86" s="187">
        <v>7</v>
      </c>
      <c r="D86" s="188" t="s">
        <v>426</v>
      </c>
      <c r="E86" s="189">
        <v>270593.59000000003</v>
      </c>
      <c r="F86" s="190">
        <v>205</v>
      </c>
      <c r="G86" s="190">
        <f t="shared" si="2"/>
        <v>270388.59000000003</v>
      </c>
      <c r="H86" s="191">
        <v>785.0248588765669</v>
      </c>
      <c r="I86" s="192">
        <f t="shared" si="3"/>
        <v>344.43315640596097</v>
      </c>
    </row>
    <row r="87" spans="1:9" x14ac:dyDescent="0.25">
      <c r="A87" s="45">
        <v>6</v>
      </c>
      <c r="B87" s="193">
        <v>382</v>
      </c>
      <c r="C87" s="187">
        <v>7</v>
      </c>
      <c r="D87" s="188" t="s">
        <v>427</v>
      </c>
      <c r="E87" s="189">
        <v>106501.09</v>
      </c>
      <c r="F87" s="190">
        <v>27668.13</v>
      </c>
      <c r="G87" s="190">
        <f t="shared" si="2"/>
        <v>78832.959999999992</v>
      </c>
      <c r="H87" s="191">
        <v>177.19</v>
      </c>
      <c r="I87" s="192">
        <f t="shared" si="3"/>
        <v>444.90637169140467</v>
      </c>
    </row>
    <row r="88" spans="1:9" x14ac:dyDescent="0.25">
      <c r="A88" s="45">
        <v>6</v>
      </c>
      <c r="B88" s="193">
        <v>389</v>
      </c>
      <c r="C88" s="187">
        <v>7</v>
      </c>
      <c r="D88" s="188" t="s">
        <v>428</v>
      </c>
      <c r="E88" s="189">
        <v>148142.21</v>
      </c>
      <c r="F88" s="190">
        <v>987</v>
      </c>
      <c r="G88" s="190">
        <f t="shared" si="2"/>
        <v>147155.21</v>
      </c>
      <c r="H88" s="191">
        <v>909.4811851830467</v>
      </c>
      <c r="I88" s="192">
        <f t="shared" si="3"/>
        <v>161.80126911628503</v>
      </c>
    </row>
    <row r="89" spans="1:9" x14ac:dyDescent="0.25">
      <c r="A89" s="45">
        <v>6</v>
      </c>
      <c r="B89" s="193">
        <v>394</v>
      </c>
      <c r="C89" s="187">
        <v>6</v>
      </c>
      <c r="D89" s="188" t="s">
        <v>354</v>
      </c>
      <c r="E89" s="189">
        <v>403733.09</v>
      </c>
      <c r="F89" s="190">
        <v>74442.03</v>
      </c>
      <c r="G89" s="190">
        <f t="shared" si="2"/>
        <v>329291.06000000006</v>
      </c>
      <c r="H89" s="191">
        <v>703.72</v>
      </c>
      <c r="I89" s="192">
        <f t="shared" si="3"/>
        <v>467.92909111578473</v>
      </c>
    </row>
    <row r="90" spans="1:9" x14ac:dyDescent="0.25">
      <c r="A90" s="45">
        <v>6</v>
      </c>
      <c r="B90" s="193">
        <v>404</v>
      </c>
      <c r="C90" s="187">
        <v>8</v>
      </c>
      <c r="D90" s="188" t="s">
        <v>465</v>
      </c>
      <c r="E90" s="189">
        <v>227998.07999999999</v>
      </c>
      <c r="F90" s="190">
        <v>8.66</v>
      </c>
      <c r="G90" s="190">
        <f t="shared" si="2"/>
        <v>227989.41999999998</v>
      </c>
      <c r="H90" s="191">
        <v>464.38745447782185</v>
      </c>
      <c r="I90" s="192">
        <f t="shared" si="3"/>
        <v>490.94655293037908</v>
      </c>
    </row>
    <row r="91" spans="1:9" x14ac:dyDescent="0.25">
      <c r="A91" s="45">
        <v>6</v>
      </c>
      <c r="B91" s="193">
        <v>413</v>
      </c>
      <c r="C91" s="187">
        <v>8</v>
      </c>
      <c r="D91" s="188" t="s">
        <v>466</v>
      </c>
      <c r="E91" s="189">
        <v>54520.28</v>
      </c>
      <c r="F91" s="190">
        <v>115</v>
      </c>
      <c r="G91" s="190">
        <f t="shared" si="2"/>
        <v>54405.279999999999</v>
      </c>
      <c r="H91" s="191">
        <v>86.789999999999992</v>
      </c>
      <c r="I91" s="192">
        <f t="shared" si="3"/>
        <v>626.86115911971433</v>
      </c>
    </row>
    <row r="92" spans="1:9" x14ac:dyDescent="0.25">
      <c r="A92" s="45">
        <v>6</v>
      </c>
      <c r="B92" s="193">
        <v>414</v>
      </c>
      <c r="C92" s="187">
        <v>6</v>
      </c>
      <c r="D92" s="188" t="s">
        <v>355</v>
      </c>
      <c r="E92" s="189">
        <v>229275.21</v>
      </c>
      <c r="F92" s="190">
        <v>14423.09</v>
      </c>
      <c r="G92" s="190">
        <f t="shared" si="2"/>
        <v>214852.12</v>
      </c>
      <c r="H92" s="191">
        <v>239.14632293138175</v>
      </c>
      <c r="I92" s="192">
        <f t="shared" si="3"/>
        <v>898.41281005875021</v>
      </c>
    </row>
    <row r="93" spans="1:9" x14ac:dyDescent="0.25">
      <c r="A93" s="45">
        <v>6</v>
      </c>
      <c r="B93" s="193">
        <v>416</v>
      </c>
      <c r="C93" s="187">
        <v>9</v>
      </c>
      <c r="D93" s="188" t="s">
        <v>519</v>
      </c>
      <c r="E93" s="189">
        <v>47802.65</v>
      </c>
      <c r="F93" s="190">
        <v>134.5</v>
      </c>
      <c r="G93" s="190">
        <f t="shared" si="2"/>
        <v>47668.15</v>
      </c>
      <c r="H93" s="191">
        <v>79.001198840183932</v>
      </c>
      <c r="I93" s="192">
        <f t="shared" si="3"/>
        <v>603.38514731188627</v>
      </c>
    </row>
    <row r="94" spans="1:9" x14ac:dyDescent="0.25">
      <c r="A94" s="45">
        <v>6</v>
      </c>
      <c r="B94" s="193">
        <v>420</v>
      </c>
      <c r="C94" s="187">
        <v>9</v>
      </c>
      <c r="D94" s="188" t="s">
        <v>520</v>
      </c>
      <c r="E94" s="189">
        <v>188843.04</v>
      </c>
      <c r="F94" s="190">
        <v>627.58000000000004</v>
      </c>
      <c r="G94" s="190">
        <f t="shared" si="2"/>
        <v>188215.46000000002</v>
      </c>
      <c r="H94" s="191">
        <v>423.29939066767844</v>
      </c>
      <c r="I94" s="192">
        <f t="shared" si="3"/>
        <v>444.6390997707889</v>
      </c>
    </row>
    <row r="95" spans="1:9" x14ac:dyDescent="0.25">
      <c r="A95" s="45">
        <v>6</v>
      </c>
      <c r="B95" s="193">
        <v>426</v>
      </c>
      <c r="C95" s="187">
        <v>6</v>
      </c>
      <c r="D95" s="188" t="s">
        <v>356</v>
      </c>
      <c r="E95" s="189">
        <v>142088.12</v>
      </c>
      <c r="F95" s="190">
        <v>0</v>
      </c>
      <c r="G95" s="190">
        <f t="shared" si="2"/>
        <v>142088.12</v>
      </c>
      <c r="H95" s="191">
        <v>354.4475851831736</v>
      </c>
      <c r="I95" s="192">
        <f t="shared" si="3"/>
        <v>400.87202153336955</v>
      </c>
    </row>
    <row r="96" spans="1:9" x14ac:dyDescent="0.25">
      <c r="A96" s="45">
        <v>6</v>
      </c>
      <c r="B96" s="193">
        <v>427</v>
      </c>
      <c r="C96" s="187">
        <v>5</v>
      </c>
      <c r="D96" s="188" t="s">
        <v>343</v>
      </c>
      <c r="E96" s="189">
        <v>190983.95</v>
      </c>
      <c r="F96" s="190">
        <v>69834.559999999998</v>
      </c>
      <c r="G96" s="190">
        <f t="shared" si="2"/>
        <v>121149.39000000001</v>
      </c>
      <c r="H96" s="191">
        <v>452.62</v>
      </c>
      <c r="I96" s="192">
        <f t="shared" si="3"/>
        <v>267.66247624939245</v>
      </c>
    </row>
    <row r="97" spans="1:9" x14ac:dyDescent="0.25">
      <c r="A97" s="45">
        <v>6</v>
      </c>
      <c r="B97" s="193">
        <v>429</v>
      </c>
      <c r="C97" s="187">
        <v>4</v>
      </c>
      <c r="D97" s="188" t="s">
        <v>329</v>
      </c>
      <c r="E97" s="189">
        <v>1634027.55</v>
      </c>
      <c r="F97" s="190">
        <v>574685.66</v>
      </c>
      <c r="G97" s="190">
        <f t="shared" si="2"/>
        <v>1059341.8900000001</v>
      </c>
      <c r="H97" s="191">
        <v>4436.7299999999996</v>
      </c>
      <c r="I97" s="192">
        <f t="shared" si="3"/>
        <v>238.76636396625449</v>
      </c>
    </row>
    <row r="98" spans="1:9" x14ac:dyDescent="0.25">
      <c r="A98" s="45">
        <v>6</v>
      </c>
      <c r="B98" s="193">
        <v>430</v>
      </c>
      <c r="C98" s="187">
        <v>6</v>
      </c>
      <c r="D98" s="188" t="s">
        <v>357</v>
      </c>
      <c r="E98" s="189">
        <v>1647154.35</v>
      </c>
      <c r="F98" s="190">
        <v>350</v>
      </c>
      <c r="G98" s="190">
        <f t="shared" si="2"/>
        <v>1646804.35</v>
      </c>
      <c r="H98" s="191">
        <v>2825.6247831068954</v>
      </c>
      <c r="I98" s="192">
        <f t="shared" si="3"/>
        <v>582.81069724666986</v>
      </c>
    </row>
    <row r="99" spans="1:9" x14ac:dyDescent="0.25">
      <c r="A99" s="45">
        <v>6</v>
      </c>
      <c r="B99" s="193">
        <v>434</v>
      </c>
      <c r="C99" s="187">
        <v>7</v>
      </c>
      <c r="D99" s="188" t="s">
        <v>429</v>
      </c>
      <c r="E99" s="189">
        <v>128474.53</v>
      </c>
      <c r="F99" s="190">
        <v>0</v>
      </c>
      <c r="G99" s="190">
        <f t="shared" si="2"/>
        <v>128474.53</v>
      </c>
      <c r="H99" s="191">
        <v>342.03221210120842</v>
      </c>
      <c r="I99" s="192">
        <f t="shared" si="3"/>
        <v>375.62114167768499</v>
      </c>
    </row>
    <row r="100" spans="1:9" x14ac:dyDescent="0.25">
      <c r="A100" s="45">
        <v>6</v>
      </c>
      <c r="B100" s="193">
        <v>437</v>
      </c>
      <c r="C100" s="187">
        <v>7</v>
      </c>
      <c r="D100" s="188" t="s">
        <v>430</v>
      </c>
      <c r="E100" s="189">
        <v>225876.05</v>
      </c>
      <c r="F100" s="190">
        <v>0</v>
      </c>
      <c r="G100" s="190">
        <f t="shared" si="2"/>
        <v>225876.05</v>
      </c>
      <c r="H100" s="191">
        <v>349.75027864505995</v>
      </c>
      <c r="I100" s="192">
        <f t="shared" si="3"/>
        <v>645.82092936437004</v>
      </c>
    </row>
    <row r="101" spans="1:9" x14ac:dyDescent="0.25">
      <c r="A101" s="45">
        <v>6</v>
      </c>
      <c r="B101" s="193">
        <v>441</v>
      </c>
      <c r="C101" s="187">
        <v>2</v>
      </c>
      <c r="D101" s="188" t="s">
        <v>310</v>
      </c>
      <c r="E101" s="189">
        <v>18938888.59</v>
      </c>
      <c r="F101" s="190">
        <v>11778447.52</v>
      </c>
      <c r="G101" s="190">
        <f t="shared" si="2"/>
        <v>7160441.0700000003</v>
      </c>
      <c r="H101" s="191">
        <v>59667.6</v>
      </c>
      <c r="I101" s="192">
        <f t="shared" si="3"/>
        <v>120.00551505339583</v>
      </c>
    </row>
    <row r="102" spans="1:9" x14ac:dyDescent="0.25">
      <c r="A102" s="45">
        <v>6</v>
      </c>
      <c r="B102" s="193">
        <v>443</v>
      </c>
      <c r="C102" s="187">
        <v>6</v>
      </c>
      <c r="D102" s="188" t="s">
        <v>358</v>
      </c>
      <c r="E102" s="189">
        <v>15600.67</v>
      </c>
      <c r="F102" s="190">
        <v>0</v>
      </c>
      <c r="G102" s="190">
        <f t="shared" si="2"/>
        <v>15600.67</v>
      </c>
      <c r="H102" s="191">
        <v>14.58</v>
      </c>
      <c r="I102" s="192">
        <f t="shared" si="3"/>
        <v>1070.0048010973937</v>
      </c>
    </row>
    <row r="103" spans="1:9" x14ac:dyDescent="0.25">
      <c r="A103" s="45">
        <v>6</v>
      </c>
      <c r="B103" s="193">
        <v>502</v>
      </c>
      <c r="C103" s="187">
        <v>7</v>
      </c>
      <c r="D103" s="188" t="s">
        <v>431</v>
      </c>
      <c r="E103" s="189">
        <v>297076.51</v>
      </c>
      <c r="F103" s="190">
        <v>0</v>
      </c>
      <c r="G103" s="190">
        <f t="shared" si="2"/>
        <v>297076.51</v>
      </c>
      <c r="H103" s="191">
        <v>616.38916703369796</v>
      </c>
      <c r="I103" s="192">
        <f t="shared" si="3"/>
        <v>481.96257476367822</v>
      </c>
    </row>
    <row r="104" spans="1:9" x14ac:dyDescent="0.25">
      <c r="A104" s="45">
        <v>6</v>
      </c>
      <c r="B104" s="193">
        <v>503</v>
      </c>
      <c r="C104" s="187">
        <v>7</v>
      </c>
      <c r="D104" s="188" t="s">
        <v>432</v>
      </c>
      <c r="E104" s="189">
        <v>197273.02</v>
      </c>
      <c r="F104" s="190">
        <v>62642.149999999994</v>
      </c>
      <c r="G104" s="190">
        <f t="shared" si="2"/>
        <v>134630.87</v>
      </c>
      <c r="H104" s="191">
        <v>360.0499999999999</v>
      </c>
      <c r="I104" s="192">
        <f t="shared" si="3"/>
        <v>373.92270517983621</v>
      </c>
    </row>
    <row r="105" spans="1:9" x14ac:dyDescent="0.25">
      <c r="A105" s="45">
        <v>6</v>
      </c>
      <c r="B105" s="193">
        <v>508</v>
      </c>
      <c r="C105" s="187">
        <v>9</v>
      </c>
      <c r="D105" s="188" t="s">
        <v>521</v>
      </c>
      <c r="E105" s="189">
        <v>60727.65</v>
      </c>
      <c r="F105" s="190">
        <v>0</v>
      </c>
      <c r="G105" s="190">
        <f t="shared" si="2"/>
        <v>60727.65</v>
      </c>
      <c r="H105" s="191">
        <v>96.676564339446884</v>
      </c>
      <c r="I105" s="192">
        <f t="shared" si="3"/>
        <v>628.15275258205816</v>
      </c>
    </row>
    <row r="106" spans="1:9" x14ac:dyDescent="0.25">
      <c r="A106" s="45">
        <v>7</v>
      </c>
      <c r="B106" s="193">
        <v>510</v>
      </c>
      <c r="C106" s="187">
        <v>7</v>
      </c>
      <c r="D106" s="188" t="s">
        <v>433</v>
      </c>
      <c r="E106" s="189">
        <v>221305.23</v>
      </c>
      <c r="F106" s="190">
        <v>819</v>
      </c>
      <c r="G106" s="190">
        <f t="shared" si="2"/>
        <v>220486.23</v>
      </c>
      <c r="H106" s="191">
        <v>476.19514109778987</v>
      </c>
      <c r="I106" s="192">
        <f t="shared" si="3"/>
        <v>463.01654714851799</v>
      </c>
    </row>
    <row r="107" spans="1:9" x14ac:dyDescent="0.25">
      <c r="A107" s="45">
        <v>7</v>
      </c>
      <c r="B107" s="193">
        <v>512</v>
      </c>
      <c r="C107" s="187">
        <v>9</v>
      </c>
      <c r="D107" s="188" t="s">
        <v>522</v>
      </c>
      <c r="E107" s="189">
        <v>282778.59999999998</v>
      </c>
      <c r="F107" s="190">
        <v>11398.92</v>
      </c>
      <c r="G107" s="190">
        <f t="shared" si="2"/>
        <v>271379.68</v>
      </c>
      <c r="H107" s="191">
        <v>240.37592968230376</v>
      </c>
      <c r="I107" s="192">
        <f t="shared" si="3"/>
        <v>1128.9802617037103</v>
      </c>
    </row>
    <row r="108" spans="1:9" x14ac:dyDescent="0.25">
      <c r="A108" s="45">
        <v>7</v>
      </c>
      <c r="B108" s="193">
        <v>516</v>
      </c>
      <c r="C108" s="187">
        <v>9</v>
      </c>
      <c r="D108" s="188" t="s">
        <v>523</v>
      </c>
      <c r="E108" s="189">
        <v>149463.49</v>
      </c>
      <c r="F108" s="190">
        <v>40.049999999999997</v>
      </c>
      <c r="G108" s="190">
        <f t="shared" si="2"/>
        <v>149423.44</v>
      </c>
      <c r="H108" s="191">
        <v>318.38260667853939</v>
      </c>
      <c r="I108" s="192">
        <f t="shared" si="3"/>
        <v>469.32036130625693</v>
      </c>
    </row>
    <row r="109" spans="1:9" x14ac:dyDescent="0.25">
      <c r="A109" s="45">
        <v>7</v>
      </c>
      <c r="B109" s="193">
        <v>521</v>
      </c>
      <c r="C109" s="187">
        <v>9</v>
      </c>
      <c r="D109" s="188" t="s">
        <v>524</v>
      </c>
      <c r="E109" s="189">
        <v>324197.18</v>
      </c>
      <c r="F109" s="190">
        <v>0</v>
      </c>
      <c r="G109" s="190">
        <f t="shared" si="2"/>
        <v>324197.18</v>
      </c>
      <c r="H109" s="191">
        <v>130.45414260299998</v>
      </c>
      <c r="I109" s="192">
        <f t="shared" si="3"/>
        <v>2485.142851972143</v>
      </c>
    </row>
    <row r="110" spans="1:9" x14ac:dyDescent="0.25">
      <c r="A110" s="45">
        <v>7</v>
      </c>
      <c r="B110" s="193">
        <v>522</v>
      </c>
      <c r="C110" s="187">
        <v>9</v>
      </c>
      <c r="D110" s="188" t="s">
        <v>525</v>
      </c>
      <c r="E110" s="189">
        <v>96784.89</v>
      </c>
      <c r="F110" s="190">
        <v>36</v>
      </c>
      <c r="G110" s="190">
        <f t="shared" si="2"/>
        <v>96748.89</v>
      </c>
      <c r="H110" s="191">
        <v>100.03985639352658</v>
      </c>
      <c r="I110" s="192">
        <f t="shared" si="3"/>
        <v>967.1034474441775</v>
      </c>
    </row>
    <row r="111" spans="1:9" x14ac:dyDescent="0.25">
      <c r="A111" s="45">
        <v>7</v>
      </c>
      <c r="B111" s="193">
        <v>523</v>
      </c>
      <c r="C111" s="187">
        <v>9</v>
      </c>
      <c r="D111" s="188" t="s">
        <v>526</v>
      </c>
      <c r="E111" s="189">
        <v>241124.1</v>
      </c>
      <c r="F111" s="190">
        <v>310</v>
      </c>
      <c r="G111" s="190">
        <f t="shared" si="2"/>
        <v>240814.1</v>
      </c>
      <c r="H111" s="191">
        <v>1100.2666392830195</v>
      </c>
      <c r="I111" s="192">
        <f t="shared" si="3"/>
        <v>218.86885542301337</v>
      </c>
    </row>
    <row r="112" spans="1:9" x14ac:dyDescent="0.25">
      <c r="A112" s="45">
        <v>7</v>
      </c>
      <c r="B112" s="193">
        <v>524</v>
      </c>
      <c r="C112" s="187">
        <v>5</v>
      </c>
      <c r="D112" s="188" t="s">
        <v>344</v>
      </c>
      <c r="E112" s="189">
        <v>245808.58</v>
      </c>
      <c r="F112" s="190">
        <v>450.32</v>
      </c>
      <c r="G112" s="190">
        <f t="shared" si="2"/>
        <v>245358.25999999998</v>
      </c>
      <c r="H112" s="191">
        <v>529.66425187151924</v>
      </c>
      <c r="I112" s="192">
        <f t="shared" si="3"/>
        <v>463.23356566551251</v>
      </c>
    </row>
    <row r="113" spans="1:9" x14ac:dyDescent="0.25">
      <c r="A113" s="45">
        <v>7</v>
      </c>
      <c r="B113" s="193">
        <v>527</v>
      </c>
      <c r="C113" s="187">
        <v>9</v>
      </c>
      <c r="D113" s="188" t="s">
        <v>527</v>
      </c>
      <c r="E113" s="189">
        <v>102100.27</v>
      </c>
      <c r="F113" s="190">
        <v>90</v>
      </c>
      <c r="G113" s="190">
        <f t="shared" si="2"/>
        <v>102010.27</v>
      </c>
      <c r="H113" s="191">
        <v>202.44848299718456</v>
      </c>
      <c r="I113" s="192">
        <f t="shared" si="3"/>
        <v>503.88260998438136</v>
      </c>
    </row>
    <row r="114" spans="1:9" x14ac:dyDescent="0.25">
      <c r="A114" s="45">
        <v>7</v>
      </c>
      <c r="B114" s="193">
        <v>531</v>
      </c>
      <c r="C114" s="187">
        <v>7</v>
      </c>
      <c r="D114" s="188" t="s">
        <v>434</v>
      </c>
      <c r="E114" s="189">
        <v>856693.39</v>
      </c>
      <c r="F114" s="190">
        <v>7890.9400000000005</v>
      </c>
      <c r="G114" s="190">
        <f t="shared" si="2"/>
        <v>848802.45000000007</v>
      </c>
      <c r="H114" s="191">
        <v>2029.4400000000003</v>
      </c>
      <c r="I114" s="192">
        <f t="shared" si="3"/>
        <v>418.24466355250706</v>
      </c>
    </row>
    <row r="115" spans="1:9" x14ac:dyDescent="0.25">
      <c r="A115" s="45">
        <v>7</v>
      </c>
      <c r="B115" s="193">
        <v>537</v>
      </c>
      <c r="C115" s="187">
        <v>8</v>
      </c>
      <c r="D115" s="188" t="s">
        <v>467</v>
      </c>
      <c r="E115" s="189">
        <v>11142.79</v>
      </c>
      <c r="F115" s="190">
        <v>0</v>
      </c>
      <c r="G115" s="190">
        <f t="shared" si="2"/>
        <v>11142.79</v>
      </c>
      <c r="H115" s="191">
        <v>19.904487402564385</v>
      </c>
      <c r="I115" s="192">
        <f t="shared" si="3"/>
        <v>559.81295949195987</v>
      </c>
    </row>
    <row r="116" spans="1:9" x14ac:dyDescent="0.25">
      <c r="A116" s="45">
        <v>7</v>
      </c>
      <c r="B116" s="193">
        <v>543</v>
      </c>
      <c r="C116" s="187">
        <v>9</v>
      </c>
      <c r="D116" s="188" t="s">
        <v>528</v>
      </c>
      <c r="E116" s="189">
        <v>35958.870000000003</v>
      </c>
      <c r="F116" s="190">
        <v>0</v>
      </c>
      <c r="G116" s="190">
        <f t="shared" si="2"/>
        <v>35958.870000000003</v>
      </c>
      <c r="H116" s="191">
        <v>96.866427600564279</v>
      </c>
      <c r="I116" s="192">
        <f t="shared" si="3"/>
        <v>371.22118458088499</v>
      </c>
    </row>
    <row r="117" spans="1:9" x14ac:dyDescent="0.25">
      <c r="A117" s="45">
        <v>7</v>
      </c>
      <c r="B117" s="193">
        <v>545</v>
      </c>
      <c r="C117" s="187">
        <v>8</v>
      </c>
      <c r="D117" s="188" t="s">
        <v>468</v>
      </c>
      <c r="E117" s="189">
        <v>6076.64</v>
      </c>
      <c r="F117" s="190">
        <v>0</v>
      </c>
      <c r="G117" s="190">
        <f t="shared" si="2"/>
        <v>6076.64</v>
      </c>
      <c r="H117" s="191">
        <v>16.281058267240422</v>
      </c>
      <c r="I117" s="192">
        <f t="shared" si="3"/>
        <v>373.23372352440873</v>
      </c>
    </row>
    <row r="118" spans="1:9" x14ac:dyDescent="0.25">
      <c r="A118" s="45">
        <v>7</v>
      </c>
      <c r="B118" s="193">
        <v>547</v>
      </c>
      <c r="C118" s="187">
        <v>9</v>
      </c>
      <c r="D118" s="188" t="s">
        <v>529</v>
      </c>
      <c r="E118" s="189">
        <v>97156.09</v>
      </c>
      <c r="F118" s="190">
        <v>0</v>
      </c>
      <c r="G118" s="190">
        <f t="shared" si="2"/>
        <v>97156.09</v>
      </c>
      <c r="H118" s="191">
        <v>243.74826284405572</v>
      </c>
      <c r="I118" s="192">
        <f t="shared" si="3"/>
        <v>398.59192786189465</v>
      </c>
    </row>
    <row r="119" spans="1:9" x14ac:dyDescent="0.25">
      <c r="A119" s="45">
        <v>7</v>
      </c>
      <c r="B119" s="193">
        <v>550</v>
      </c>
      <c r="C119" s="187">
        <v>7</v>
      </c>
      <c r="D119" s="188" t="s">
        <v>435</v>
      </c>
      <c r="E119" s="189">
        <v>135191.09</v>
      </c>
      <c r="F119" s="190">
        <v>0</v>
      </c>
      <c r="G119" s="190">
        <f t="shared" si="2"/>
        <v>135191.09</v>
      </c>
      <c r="H119" s="191">
        <v>277.95981427587719</v>
      </c>
      <c r="I119" s="192">
        <f t="shared" si="3"/>
        <v>486.3691910004726</v>
      </c>
    </row>
    <row r="120" spans="1:9" x14ac:dyDescent="0.25">
      <c r="A120" s="45">
        <v>7</v>
      </c>
      <c r="B120" s="193">
        <v>551</v>
      </c>
      <c r="C120" s="187">
        <v>7</v>
      </c>
      <c r="D120" s="188" t="s">
        <v>436</v>
      </c>
      <c r="E120" s="189">
        <v>86625.43</v>
      </c>
      <c r="F120" s="190">
        <v>246</v>
      </c>
      <c r="G120" s="190">
        <f t="shared" si="2"/>
        <v>86379.43</v>
      </c>
      <c r="H120" s="191">
        <v>165.07</v>
      </c>
      <c r="I120" s="192">
        <f t="shared" si="3"/>
        <v>523.28969528078994</v>
      </c>
    </row>
    <row r="121" spans="1:9" x14ac:dyDescent="0.25">
      <c r="A121" s="45">
        <v>7</v>
      </c>
      <c r="B121" s="193">
        <v>552</v>
      </c>
      <c r="C121" s="187">
        <v>9</v>
      </c>
      <c r="D121" s="188" t="s">
        <v>530</v>
      </c>
      <c r="E121" s="189">
        <v>103061.3</v>
      </c>
      <c r="F121" s="190">
        <v>0</v>
      </c>
      <c r="G121" s="190">
        <f t="shared" si="2"/>
        <v>103061.3</v>
      </c>
      <c r="H121" s="191">
        <v>129.99</v>
      </c>
      <c r="I121" s="192">
        <f t="shared" si="3"/>
        <v>792.84021847834447</v>
      </c>
    </row>
    <row r="122" spans="1:9" x14ac:dyDescent="0.25">
      <c r="A122" s="45">
        <v>7</v>
      </c>
      <c r="B122" s="193">
        <v>555</v>
      </c>
      <c r="C122" s="187">
        <v>7</v>
      </c>
      <c r="D122" s="188" t="s">
        <v>437</v>
      </c>
      <c r="E122" s="189">
        <v>467594.79</v>
      </c>
      <c r="F122" s="190">
        <v>774.21</v>
      </c>
      <c r="G122" s="190">
        <f t="shared" si="2"/>
        <v>466820.57999999996</v>
      </c>
      <c r="H122" s="191">
        <v>705.82</v>
      </c>
      <c r="I122" s="192">
        <f t="shared" si="3"/>
        <v>661.38757756935183</v>
      </c>
    </row>
    <row r="123" spans="1:9" x14ac:dyDescent="0.25">
      <c r="A123" s="45">
        <v>7</v>
      </c>
      <c r="B123" s="193">
        <v>556</v>
      </c>
      <c r="C123" s="187">
        <v>7</v>
      </c>
      <c r="D123" s="188" t="s">
        <v>438</v>
      </c>
      <c r="E123" s="189">
        <v>156309.14000000001</v>
      </c>
      <c r="F123" s="190">
        <v>427</v>
      </c>
      <c r="G123" s="190">
        <f t="shared" si="2"/>
        <v>155882.14000000001</v>
      </c>
      <c r="H123" s="191">
        <v>399.46326028334249</v>
      </c>
      <c r="I123" s="192">
        <f t="shared" si="3"/>
        <v>390.22897847835009</v>
      </c>
    </row>
    <row r="124" spans="1:9" x14ac:dyDescent="0.25">
      <c r="A124" s="45">
        <v>7</v>
      </c>
      <c r="B124" s="193">
        <v>558</v>
      </c>
      <c r="C124" s="187">
        <v>7</v>
      </c>
      <c r="D124" s="188" t="s">
        <v>439</v>
      </c>
      <c r="E124" s="189">
        <v>165308.60999999999</v>
      </c>
      <c r="F124" s="190">
        <v>22409</v>
      </c>
      <c r="G124" s="190">
        <f t="shared" si="2"/>
        <v>142899.60999999999</v>
      </c>
      <c r="H124" s="191">
        <v>305.78979646739623</v>
      </c>
      <c r="I124" s="192">
        <f t="shared" si="3"/>
        <v>467.31320551186593</v>
      </c>
    </row>
    <row r="125" spans="1:9" x14ac:dyDescent="0.25">
      <c r="A125" s="45">
        <v>7</v>
      </c>
      <c r="B125" s="193">
        <v>562</v>
      </c>
      <c r="C125" s="187">
        <v>6</v>
      </c>
      <c r="D125" s="188" t="s">
        <v>359</v>
      </c>
      <c r="E125" s="189">
        <v>43377.29</v>
      </c>
      <c r="F125" s="190">
        <v>0</v>
      </c>
      <c r="G125" s="190">
        <f t="shared" si="2"/>
        <v>43377.29</v>
      </c>
      <c r="H125" s="191">
        <v>52.103903515218583</v>
      </c>
      <c r="I125" s="192">
        <f t="shared" si="3"/>
        <v>832.51516822209487</v>
      </c>
    </row>
    <row r="126" spans="1:9" x14ac:dyDescent="0.25">
      <c r="A126" s="45">
        <v>7</v>
      </c>
      <c r="B126" s="193">
        <v>565</v>
      </c>
      <c r="C126" s="187">
        <v>5</v>
      </c>
      <c r="D126" s="188" t="s">
        <v>345</v>
      </c>
      <c r="E126" s="189">
        <v>183464.86</v>
      </c>
      <c r="F126" s="190">
        <v>760</v>
      </c>
      <c r="G126" s="190">
        <f t="shared" si="2"/>
        <v>182704.86</v>
      </c>
      <c r="H126" s="191">
        <v>445.33784061237589</v>
      </c>
      <c r="I126" s="192">
        <f t="shared" si="3"/>
        <v>410.26125188186546</v>
      </c>
    </row>
    <row r="127" spans="1:9" x14ac:dyDescent="0.25">
      <c r="A127" s="45">
        <v>7</v>
      </c>
      <c r="B127" s="193">
        <v>567</v>
      </c>
      <c r="C127" s="187">
        <v>9</v>
      </c>
      <c r="D127" s="188" t="s">
        <v>531</v>
      </c>
      <c r="E127" s="189">
        <v>192252.35</v>
      </c>
      <c r="F127" s="190">
        <v>160</v>
      </c>
      <c r="G127" s="190">
        <f t="shared" si="2"/>
        <v>192092.35</v>
      </c>
      <c r="H127" s="191">
        <v>357.89224720630364</v>
      </c>
      <c r="I127" s="192">
        <f t="shared" si="3"/>
        <v>536.73235869026848</v>
      </c>
    </row>
    <row r="128" spans="1:9" x14ac:dyDescent="0.25">
      <c r="A128" s="45">
        <v>7</v>
      </c>
      <c r="B128" s="193">
        <v>600</v>
      </c>
      <c r="C128" s="187">
        <v>7</v>
      </c>
      <c r="D128" s="188" t="s">
        <v>440</v>
      </c>
      <c r="E128" s="189">
        <v>238860.15</v>
      </c>
      <c r="F128" s="190">
        <v>10</v>
      </c>
      <c r="G128" s="190">
        <f t="shared" si="2"/>
        <v>238850.15</v>
      </c>
      <c r="H128" s="191">
        <v>741.18</v>
      </c>
      <c r="I128" s="192">
        <f t="shared" si="3"/>
        <v>322.25660433363015</v>
      </c>
    </row>
    <row r="129" spans="1:9" x14ac:dyDescent="0.25">
      <c r="A129" s="45">
        <v>7</v>
      </c>
      <c r="B129" s="193">
        <v>601</v>
      </c>
      <c r="C129" s="187">
        <v>4</v>
      </c>
      <c r="D129" s="188" t="s">
        <v>330</v>
      </c>
      <c r="E129" s="189">
        <v>2724212.74</v>
      </c>
      <c r="F129" s="190">
        <v>460929.09000000008</v>
      </c>
      <c r="G129" s="190">
        <f t="shared" si="2"/>
        <v>2263283.6500000004</v>
      </c>
      <c r="H129" s="191">
        <v>5722.57</v>
      </c>
      <c r="I129" s="192">
        <f t="shared" si="3"/>
        <v>395.50126079715938</v>
      </c>
    </row>
    <row r="130" spans="1:9" x14ac:dyDescent="0.25">
      <c r="A130" s="45">
        <v>7</v>
      </c>
      <c r="B130" s="193">
        <v>602</v>
      </c>
      <c r="C130" s="187">
        <v>8</v>
      </c>
      <c r="D130" s="188" t="s">
        <v>469</v>
      </c>
      <c r="E130" s="189">
        <v>12099.67</v>
      </c>
      <c r="F130" s="190">
        <v>0</v>
      </c>
      <c r="G130" s="190">
        <f t="shared" si="2"/>
        <v>12099.67</v>
      </c>
      <c r="H130" s="191">
        <v>10.602186147080214</v>
      </c>
      <c r="I130" s="192">
        <f t="shared" si="3"/>
        <v>1141.2429316129471</v>
      </c>
    </row>
    <row r="131" spans="1:9" x14ac:dyDescent="0.25">
      <c r="A131" s="45">
        <v>7</v>
      </c>
      <c r="B131" s="193">
        <v>603</v>
      </c>
      <c r="C131" s="187">
        <v>6</v>
      </c>
      <c r="D131" s="188" t="s">
        <v>360</v>
      </c>
      <c r="E131" s="189">
        <v>85468.56</v>
      </c>
      <c r="F131" s="190">
        <v>0</v>
      </c>
      <c r="G131" s="190">
        <f t="shared" si="2"/>
        <v>85468.56</v>
      </c>
      <c r="H131" s="191">
        <v>94.022299065256178</v>
      </c>
      <c r="I131" s="192">
        <f t="shared" si="3"/>
        <v>909.02435751630094</v>
      </c>
    </row>
    <row r="132" spans="1:9" x14ac:dyDescent="0.25">
      <c r="A132" s="45">
        <v>7</v>
      </c>
      <c r="B132" s="193">
        <v>604</v>
      </c>
      <c r="C132" s="187">
        <v>7</v>
      </c>
      <c r="D132" s="188" t="s">
        <v>441</v>
      </c>
      <c r="E132" s="189">
        <v>218649.53</v>
      </c>
      <c r="F132" s="190">
        <v>40098.400000000001</v>
      </c>
      <c r="G132" s="190">
        <f t="shared" si="2"/>
        <v>178551.13</v>
      </c>
      <c r="H132" s="191">
        <v>663.01441323913355</v>
      </c>
      <c r="I132" s="192">
        <f t="shared" si="3"/>
        <v>269.30203391460941</v>
      </c>
    </row>
    <row r="133" spans="1:9" x14ac:dyDescent="0.25">
      <c r="A133" s="45">
        <v>7</v>
      </c>
      <c r="B133" s="193">
        <v>605</v>
      </c>
      <c r="C133" s="187">
        <v>8</v>
      </c>
      <c r="D133" s="188" t="s">
        <v>470</v>
      </c>
      <c r="E133" s="189">
        <v>9953.11</v>
      </c>
      <c r="F133" s="190">
        <v>0</v>
      </c>
      <c r="G133" s="190">
        <f t="shared" si="2"/>
        <v>9953.11</v>
      </c>
      <c r="H133" s="191">
        <v>17.987157187460227</v>
      </c>
      <c r="I133" s="192">
        <f t="shared" si="3"/>
        <v>553.34536170834303</v>
      </c>
    </row>
    <row r="134" spans="1:9" x14ac:dyDescent="0.25">
      <c r="A134" s="45">
        <v>7</v>
      </c>
      <c r="B134" s="193">
        <v>607</v>
      </c>
      <c r="C134" s="187">
        <v>8</v>
      </c>
      <c r="D134" s="188" t="s">
        <v>471</v>
      </c>
      <c r="E134" s="189">
        <v>15112.39</v>
      </c>
      <c r="F134" s="190">
        <v>0</v>
      </c>
      <c r="G134" s="190">
        <f t="shared" ref="G134:G197" si="4">E134-F134</f>
        <v>15112.39</v>
      </c>
      <c r="H134" s="191">
        <v>26.988860061762811</v>
      </c>
      <c r="I134" s="192">
        <f t="shared" ref="I134:I197" si="5">IFERROR(G134/H134,0)</f>
        <v>559.949177750226</v>
      </c>
    </row>
    <row r="135" spans="1:9" x14ac:dyDescent="0.25">
      <c r="A135" s="45">
        <v>7</v>
      </c>
      <c r="B135" s="193">
        <v>610</v>
      </c>
      <c r="C135" s="187">
        <v>8</v>
      </c>
      <c r="D135" s="188" t="s">
        <v>472</v>
      </c>
      <c r="E135" s="189">
        <v>26597.53</v>
      </c>
      <c r="F135" s="190">
        <v>0</v>
      </c>
      <c r="G135" s="190">
        <f t="shared" si="4"/>
        <v>26597.53</v>
      </c>
      <c r="H135" s="191">
        <v>66.425018068074081</v>
      </c>
      <c r="I135" s="192">
        <f t="shared" si="5"/>
        <v>400.41434347435421</v>
      </c>
    </row>
    <row r="136" spans="1:9" x14ac:dyDescent="0.25">
      <c r="A136" s="45">
        <v>7</v>
      </c>
      <c r="B136" s="193">
        <v>611</v>
      </c>
      <c r="C136" s="187">
        <v>8</v>
      </c>
      <c r="D136" s="188" t="s">
        <v>473</v>
      </c>
      <c r="E136" s="189">
        <v>27958.57</v>
      </c>
      <c r="F136" s="190">
        <v>0</v>
      </c>
      <c r="G136" s="190">
        <f t="shared" si="4"/>
        <v>27958.57</v>
      </c>
      <c r="H136" s="191">
        <v>19.031531650101531</v>
      </c>
      <c r="I136" s="192">
        <f t="shared" si="5"/>
        <v>1469.0656807882744</v>
      </c>
    </row>
    <row r="137" spans="1:9" x14ac:dyDescent="0.25">
      <c r="A137" s="45">
        <v>7</v>
      </c>
      <c r="B137" s="193">
        <v>612</v>
      </c>
      <c r="C137" s="187">
        <v>7</v>
      </c>
      <c r="D137" s="188" t="s">
        <v>442</v>
      </c>
      <c r="E137" s="189">
        <v>194053.99</v>
      </c>
      <c r="F137" s="190">
        <v>1285.3399999999999</v>
      </c>
      <c r="G137" s="190">
        <f t="shared" si="4"/>
        <v>192768.65</v>
      </c>
      <c r="H137" s="191">
        <v>520.57952624249731</v>
      </c>
      <c r="I137" s="192">
        <f t="shared" si="5"/>
        <v>370.29625692617839</v>
      </c>
    </row>
    <row r="138" spans="1:9" x14ac:dyDescent="0.25">
      <c r="A138" s="45">
        <v>7</v>
      </c>
      <c r="B138" s="193">
        <v>613</v>
      </c>
      <c r="C138" s="187">
        <v>5</v>
      </c>
      <c r="D138" s="188" t="s">
        <v>346</v>
      </c>
      <c r="E138" s="189">
        <v>62648.94</v>
      </c>
      <c r="F138" s="190">
        <v>0</v>
      </c>
      <c r="G138" s="190">
        <f t="shared" si="4"/>
        <v>62648.94</v>
      </c>
      <c r="H138" s="191">
        <v>94.470534067416096</v>
      </c>
      <c r="I138" s="192">
        <f t="shared" si="5"/>
        <v>663.15852470244783</v>
      </c>
    </row>
    <row r="139" spans="1:9" x14ac:dyDescent="0.25">
      <c r="A139" s="45">
        <v>7</v>
      </c>
      <c r="B139" s="193">
        <v>616</v>
      </c>
      <c r="C139" s="187">
        <v>8</v>
      </c>
      <c r="D139" s="188" t="s">
        <v>474</v>
      </c>
      <c r="E139" s="189">
        <v>213811.28</v>
      </c>
      <c r="F139" s="190">
        <v>0</v>
      </c>
      <c r="G139" s="190">
        <f t="shared" si="4"/>
        <v>213811.28</v>
      </c>
      <c r="H139" s="191">
        <v>179.09000000000003</v>
      </c>
      <c r="I139" s="192">
        <f t="shared" si="5"/>
        <v>1193.8761516555919</v>
      </c>
    </row>
    <row r="140" spans="1:9" x14ac:dyDescent="0.25">
      <c r="A140" s="45">
        <v>7</v>
      </c>
      <c r="B140" s="193">
        <v>618</v>
      </c>
      <c r="C140" s="187">
        <v>6</v>
      </c>
      <c r="D140" s="188" t="s">
        <v>361</v>
      </c>
      <c r="E140" s="189">
        <v>16015.47</v>
      </c>
      <c r="F140" s="190">
        <v>0</v>
      </c>
      <c r="G140" s="190">
        <f t="shared" si="4"/>
        <v>16015.47</v>
      </c>
      <c r="H140" s="191">
        <v>17.150356288495274</v>
      </c>
      <c r="I140" s="192">
        <f t="shared" si="5"/>
        <v>933.82724711925812</v>
      </c>
    </row>
    <row r="141" spans="1:9" x14ac:dyDescent="0.25">
      <c r="A141" s="45">
        <v>7</v>
      </c>
      <c r="B141" s="193">
        <v>620</v>
      </c>
      <c r="C141" s="187">
        <v>6</v>
      </c>
      <c r="D141" s="188" t="s">
        <v>362</v>
      </c>
      <c r="E141" s="189">
        <v>117371.79</v>
      </c>
      <c r="F141" s="190">
        <v>0</v>
      </c>
      <c r="G141" s="190">
        <f t="shared" si="4"/>
        <v>117371.79</v>
      </c>
      <c r="H141" s="191">
        <v>236.62386999831702</v>
      </c>
      <c r="I141" s="192">
        <f t="shared" si="5"/>
        <v>496.02683787073045</v>
      </c>
    </row>
    <row r="142" spans="1:9" x14ac:dyDescent="0.25">
      <c r="A142" s="45">
        <v>7</v>
      </c>
      <c r="B142" s="193">
        <v>622</v>
      </c>
      <c r="C142" s="187">
        <v>6</v>
      </c>
      <c r="D142" s="188" t="s">
        <v>363</v>
      </c>
      <c r="E142" s="189">
        <v>78014.31</v>
      </c>
      <c r="F142" s="190">
        <v>228</v>
      </c>
      <c r="G142" s="190">
        <f t="shared" si="4"/>
        <v>77786.31</v>
      </c>
      <c r="H142" s="191">
        <v>117.57960527770567</v>
      </c>
      <c r="I142" s="192">
        <f t="shared" si="5"/>
        <v>661.56294551491487</v>
      </c>
    </row>
    <row r="143" spans="1:9" x14ac:dyDescent="0.25">
      <c r="A143" s="45">
        <v>7</v>
      </c>
      <c r="B143" s="193">
        <v>623</v>
      </c>
      <c r="C143" s="187">
        <v>6</v>
      </c>
      <c r="D143" s="188" t="s">
        <v>364</v>
      </c>
      <c r="E143" s="189">
        <v>84819.42</v>
      </c>
      <c r="F143" s="190">
        <v>0</v>
      </c>
      <c r="G143" s="190">
        <f t="shared" si="4"/>
        <v>84819.42</v>
      </c>
      <c r="H143" s="191">
        <v>232.45591936140642</v>
      </c>
      <c r="I143" s="192">
        <f t="shared" si="5"/>
        <v>364.88388952629174</v>
      </c>
    </row>
    <row r="144" spans="1:9" x14ac:dyDescent="0.25">
      <c r="A144" s="45">
        <v>7</v>
      </c>
      <c r="B144" s="193">
        <v>626</v>
      </c>
      <c r="C144" s="187">
        <v>6</v>
      </c>
      <c r="D144" s="188" t="s">
        <v>365</v>
      </c>
      <c r="E144" s="189">
        <v>17580.990000000002</v>
      </c>
      <c r="F144" s="190">
        <v>0</v>
      </c>
      <c r="G144" s="190">
        <f t="shared" si="4"/>
        <v>17580.990000000002</v>
      </c>
      <c r="H144" s="191">
        <v>21.725781736434193</v>
      </c>
      <c r="I144" s="192">
        <f t="shared" si="5"/>
        <v>809.22243504438029</v>
      </c>
    </row>
    <row r="145" spans="1:9" x14ac:dyDescent="0.25">
      <c r="A145" s="45">
        <v>7</v>
      </c>
      <c r="B145" s="193">
        <v>627</v>
      </c>
      <c r="C145" s="187">
        <v>6</v>
      </c>
      <c r="D145" s="188" t="s">
        <v>366</v>
      </c>
      <c r="E145" s="189">
        <v>80106.67</v>
      </c>
      <c r="F145" s="190">
        <v>21.24</v>
      </c>
      <c r="G145" s="190">
        <f t="shared" si="4"/>
        <v>80085.429999999993</v>
      </c>
      <c r="H145" s="191">
        <v>163.57172000647836</v>
      </c>
      <c r="I145" s="192">
        <f t="shared" si="5"/>
        <v>489.6043765806715</v>
      </c>
    </row>
    <row r="146" spans="1:9" x14ac:dyDescent="0.25">
      <c r="A146" s="45">
        <v>7</v>
      </c>
      <c r="B146" s="193">
        <v>629</v>
      </c>
      <c r="C146" s="187">
        <v>9</v>
      </c>
      <c r="D146" s="188" t="s">
        <v>532</v>
      </c>
      <c r="E146" s="189">
        <v>176268.94</v>
      </c>
      <c r="F146" s="190">
        <v>5167.2699999999995</v>
      </c>
      <c r="G146" s="190">
        <f t="shared" si="4"/>
        <v>171101.67</v>
      </c>
      <c r="H146" s="191">
        <v>240.14990199049728</v>
      </c>
      <c r="I146" s="192">
        <f t="shared" si="5"/>
        <v>712.47861682146549</v>
      </c>
    </row>
    <row r="147" spans="1:9" x14ac:dyDescent="0.25">
      <c r="A147" s="45">
        <v>7</v>
      </c>
      <c r="B147" s="193">
        <v>630</v>
      </c>
      <c r="C147" s="187">
        <v>9</v>
      </c>
      <c r="D147" s="188" t="s">
        <v>533</v>
      </c>
      <c r="E147" s="189">
        <v>192209.49</v>
      </c>
      <c r="F147" s="190">
        <v>4898.67</v>
      </c>
      <c r="G147" s="190">
        <f t="shared" si="4"/>
        <v>187310.81999999998</v>
      </c>
      <c r="H147" s="191">
        <v>160.09993466033154</v>
      </c>
      <c r="I147" s="192">
        <f t="shared" si="5"/>
        <v>1169.961876607877</v>
      </c>
    </row>
    <row r="148" spans="1:9" x14ac:dyDescent="0.25">
      <c r="A148" s="45">
        <v>7</v>
      </c>
      <c r="B148" s="193">
        <v>634</v>
      </c>
      <c r="C148" s="187">
        <v>6</v>
      </c>
      <c r="D148" s="188" t="s">
        <v>367</v>
      </c>
      <c r="E148" s="189">
        <v>571666.62</v>
      </c>
      <c r="F148" s="190">
        <v>0</v>
      </c>
      <c r="G148" s="190">
        <f t="shared" si="4"/>
        <v>571666.62</v>
      </c>
      <c r="H148" s="191">
        <v>626.47952350471223</v>
      </c>
      <c r="I148" s="192">
        <f t="shared" si="5"/>
        <v>912.50647236150257</v>
      </c>
    </row>
    <row r="149" spans="1:9" x14ac:dyDescent="0.25">
      <c r="A149" s="45">
        <v>7</v>
      </c>
      <c r="B149" s="193">
        <v>692</v>
      </c>
      <c r="C149" s="187">
        <v>8</v>
      </c>
      <c r="D149" s="188" t="s">
        <v>475</v>
      </c>
      <c r="E149" s="189">
        <v>103835.41</v>
      </c>
      <c r="F149" s="190">
        <v>0</v>
      </c>
      <c r="G149" s="190">
        <f t="shared" si="4"/>
        <v>103835.41</v>
      </c>
      <c r="H149" s="191">
        <v>324.73850537213622</v>
      </c>
      <c r="I149" s="192">
        <f t="shared" si="5"/>
        <v>319.75084039082196</v>
      </c>
    </row>
    <row r="150" spans="1:9" x14ac:dyDescent="0.25">
      <c r="A150" s="45">
        <v>7</v>
      </c>
      <c r="B150" s="193">
        <v>694</v>
      </c>
      <c r="C150" s="187">
        <v>6</v>
      </c>
      <c r="D150" s="188" t="s">
        <v>368</v>
      </c>
      <c r="E150" s="189">
        <v>48928.97</v>
      </c>
      <c r="F150" s="190">
        <v>0</v>
      </c>
      <c r="G150" s="190">
        <f t="shared" si="4"/>
        <v>48928.97</v>
      </c>
      <c r="H150" s="191">
        <v>14.249988124121606</v>
      </c>
      <c r="I150" s="192">
        <f t="shared" si="5"/>
        <v>3433.614791381875</v>
      </c>
    </row>
    <row r="151" spans="1:9" x14ac:dyDescent="0.25">
      <c r="A151" s="45">
        <v>7</v>
      </c>
      <c r="B151" s="193">
        <v>695</v>
      </c>
      <c r="C151" s="187">
        <v>9</v>
      </c>
      <c r="D151" s="188" t="s">
        <v>534</v>
      </c>
      <c r="E151" s="189">
        <v>14871.19</v>
      </c>
      <c r="F151" s="190">
        <v>0</v>
      </c>
      <c r="G151" s="190">
        <f t="shared" si="4"/>
        <v>14871.19</v>
      </c>
      <c r="H151" s="191">
        <v>31.83905556353054</v>
      </c>
      <c r="I151" s="192">
        <f t="shared" si="5"/>
        <v>467.0738417578545</v>
      </c>
    </row>
    <row r="152" spans="1:9" x14ac:dyDescent="0.25">
      <c r="A152" s="45">
        <v>7</v>
      </c>
      <c r="B152" s="193">
        <v>696</v>
      </c>
      <c r="C152" s="187">
        <v>5</v>
      </c>
      <c r="D152" s="188" t="s">
        <v>347</v>
      </c>
      <c r="E152" s="189">
        <v>124256.29</v>
      </c>
      <c r="F152" s="190">
        <v>136.29</v>
      </c>
      <c r="G152" s="190">
        <f t="shared" si="4"/>
        <v>124120</v>
      </c>
      <c r="H152" s="191">
        <v>317.03380077970206</v>
      </c>
      <c r="I152" s="192">
        <f t="shared" si="5"/>
        <v>391.50399640272906</v>
      </c>
    </row>
    <row r="153" spans="1:9" x14ac:dyDescent="0.25">
      <c r="A153" s="45">
        <v>7</v>
      </c>
      <c r="B153" s="193">
        <v>697</v>
      </c>
      <c r="C153" s="187">
        <v>6</v>
      </c>
      <c r="D153" s="188" t="s">
        <v>369</v>
      </c>
      <c r="E153" s="189">
        <v>100771.09</v>
      </c>
      <c r="F153" s="190">
        <v>0</v>
      </c>
      <c r="G153" s="190">
        <f t="shared" si="4"/>
        <v>100771.09</v>
      </c>
      <c r="H153" s="191">
        <v>62.556960408059503</v>
      </c>
      <c r="I153" s="192">
        <f t="shared" si="5"/>
        <v>1610.8693475940879</v>
      </c>
    </row>
    <row r="154" spans="1:9" x14ac:dyDescent="0.25">
      <c r="A154" s="45">
        <v>7</v>
      </c>
      <c r="B154" s="193">
        <v>706</v>
      </c>
      <c r="C154" s="187">
        <v>8</v>
      </c>
      <c r="D154" s="188" t="s">
        <v>476</v>
      </c>
      <c r="E154" s="189">
        <v>62987.97</v>
      </c>
      <c r="F154" s="190">
        <v>45530</v>
      </c>
      <c r="G154" s="190">
        <f t="shared" si="4"/>
        <v>17457.97</v>
      </c>
      <c r="H154" s="191">
        <v>68.365821017379318</v>
      </c>
      <c r="I154" s="192">
        <f t="shared" si="5"/>
        <v>255.36108160775251</v>
      </c>
    </row>
    <row r="155" spans="1:9" x14ac:dyDescent="0.25">
      <c r="A155" s="45">
        <v>7</v>
      </c>
      <c r="B155" s="193">
        <v>709</v>
      </c>
      <c r="C155" s="187">
        <v>8</v>
      </c>
      <c r="D155" s="188" t="s">
        <v>477</v>
      </c>
      <c r="E155" s="189">
        <v>48233.84</v>
      </c>
      <c r="F155" s="190">
        <v>0</v>
      </c>
      <c r="G155" s="190">
        <f t="shared" si="4"/>
        <v>48233.84</v>
      </c>
      <c r="H155" s="191">
        <v>82.545313047708774</v>
      </c>
      <c r="I155" s="192">
        <f t="shared" si="5"/>
        <v>584.33166244244842</v>
      </c>
    </row>
    <row r="156" spans="1:9" x14ac:dyDescent="0.25">
      <c r="A156" s="45">
        <v>7</v>
      </c>
      <c r="B156" s="193">
        <v>710</v>
      </c>
      <c r="C156" s="187">
        <v>6</v>
      </c>
      <c r="D156" s="188" t="s">
        <v>370</v>
      </c>
      <c r="E156" s="189">
        <v>46102.8</v>
      </c>
      <c r="F156" s="190">
        <v>0</v>
      </c>
      <c r="G156" s="190">
        <f t="shared" si="4"/>
        <v>46102.8</v>
      </c>
      <c r="H156" s="191">
        <v>43.94</v>
      </c>
      <c r="I156" s="192">
        <f t="shared" si="5"/>
        <v>1049.2216659080566</v>
      </c>
    </row>
    <row r="157" spans="1:9" x14ac:dyDescent="0.25">
      <c r="A157" s="45">
        <v>7</v>
      </c>
      <c r="B157" s="193">
        <v>711</v>
      </c>
      <c r="C157" s="187">
        <v>7</v>
      </c>
      <c r="D157" s="188" t="s">
        <v>443</v>
      </c>
      <c r="E157" s="189">
        <v>210277.86</v>
      </c>
      <c r="F157" s="190">
        <v>25071.68</v>
      </c>
      <c r="G157" s="190">
        <f t="shared" si="4"/>
        <v>185206.18</v>
      </c>
      <c r="H157" s="191">
        <v>383.03000000000003</v>
      </c>
      <c r="I157" s="192">
        <f t="shared" si="5"/>
        <v>483.52917526042341</v>
      </c>
    </row>
    <row r="158" spans="1:9" x14ac:dyDescent="0.25">
      <c r="A158" s="45">
        <v>7</v>
      </c>
      <c r="B158" s="193">
        <v>712</v>
      </c>
      <c r="C158" s="187">
        <v>7</v>
      </c>
      <c r="D158" s="188" t="s">
        <v>444</v>
      </c>
      <c r="E158" s="189">
        <v>276945.74</v>
      </c>
      <c r="F158" s="190">
        <v>0</v>
      </c>
      <c r="G158" s="190">
        <f t="shared" si="4"/>
        <v>276945.74</v>
      </c>
      <c r="H158" s="191">
        <v>577.44136596925159</v>
      </c>
      <c r="I158" s="192">
        <f t="shared" si="5"/>
        <v>479.60841796489376</v>
      </c>
    </row>
    <row r="159" spans="1:9" x14ac:dyDescent="0.25">
      <c r="A159" s="45">
        <v>7</v>
      </c>
      <c r="B159" s="193">
        <v>714</v>
      </c>
      <c r="C159" s="187">
        <v>8</v>
      </c>
      <c r="D159" s="188" t="s">
        <v>478</v>
      </c>
      <c r="E159" s="189">
        <v>36713.449999999997</v>
      </c>
      <c r="F159" s="190">
        <v>0</v>
      </c>
      <c r="G159" s="190">
        <f t="shared" si="4"/>
        <v>36713.449999999997</v>
      </c>
      <c r="H159" s="191">
        <v>47.438691956333841</v>
      </c>
      <c r="I159" s="192">
        <f t="shared" si="5"/>
        <v>773.91362379455643</v>
      </c>
    </row>
    <row r="160" spans="1:9" x14ac:dyDescent="0.25">
      <c r="A160" s="45">
        <v>7</v>
      </c>
      <c r="B160" s="193">
        <v>718</v>
      </c>
      <c r="C160" s="187">
        <v>7</v>
      </c>
      <c r="D160" s="188" t="s">
        <v>445</v>
      </c>
      <c r="E160" s="189">
        <v>21138.42</v>
      </c>
      <c r="F160" s="190">
        <v>0</v>
      </c>
      <c r="G160" s="190">
        <f t="shared" si="4"/>
        <v>21138.42</v>
      </c>
      <c r="H160" s="191">
        <v>41.596316531073334</v>
      </c>
      <c r="I160" s="192">
        <f t="shared" si="5"/>
        <v>508.18009292263048</v>
      </c>
    </row>
    <row r="161" spans="1:9" x14ac:dyDescent="0.25">
      <c r="A161" s="45">
        <v>7</v>
      </c>
      <c r="B161" s="193">
        <v>731</v>
      </c>
      <c r="C161" s="187">
        <v>5</v>
      </c>
      <c r="D161" s="188" t="s">
        <v>348</v>
      </c>
      <c r="E161" s="189">
        <v>224685.08</v>
      </c>
      <c r="F161" s="190">
        <v>35649.1</v>
      </c>
      <c r="G161" s="190">
        <f t="shared" si="4"/>
        <v>189035.97999999998</v>
      </c>
      <c r="H161" s="191">
        <v>862.70999999999992</v>
      </c>
      <c r="I161" s="192">
        <f t="shared" si="5"/>
        <v>219.11880006027519</v>
      </c>
    </row>
    <row r="162" spans="1:9" x14ac:dyDescent="0.25">
      <c r="A162" s="45">
        <v>7</v>
      </c>
      <c r="B162" s="193">
        <v>732</v>
      </c>
      <c r="C162" s="187">
        <v>5</v>
      </c>
      <c r="D162" s="188" t="s">
        <v>349</v>
      </c>
      <c r="E162" s="189">
        <v>69015.66</v>
      </c>
      <c r="F162" s="190">
        <v>0</v>
      </c>
      <c r="G162" s="190">
        <f t="shared" si="4"/>
        <v>69015.66</v>
      </c>
      <c r="H162" s="191">
        <v>222.6459090886845</v>
      </c>
      <c r="I162" s="192">
        <f t="shared" si="5"/>
        <v>309.97946597127742</v>
      </c>
    </row>
    <row r="163" spans="1:9" x14ac:dyDescent="0.25">
      <c r="A163" s="45">
        <v>7</v>
      </c>
      <c r="B163" s="193">
        <v>736</v>
      </c>
      <c r="C163" s="187">
        <v>7</v>
      </c>
      <c r="D163" s="188" t="s">
        <v>446</v>
      </c>
      <c r="E163" s="189">
        <v>50940.17</v>
      </c>
      <c r="F163" s="190">
        <v>0</v>
      </c>
      <c r="G163" s="190">
        <f t="shared" si="4"/>
        <v>50940.17</v>
      </c>
      <c r="H163" s="191">
        <v>139.26018147577855</v>
      </c>
      <c r="I163" s="192">
        <f t="shared" si="5"/>
        <v>365.79135155629535</v>
      </c>
    </row>
    <row r="164" spans="1:9" x14ac:dyDescent="0.25">
      <c r="A164" s="45">
        <v>7</v>
      </c>
      <c r="B164" s="193">
        <v>743</v>
      </c>
      <c r="C164" s="187">
        <v>6</v>
      </c>
      <c r="D164" s="188" t="s">
        <v>371</v>
      </c>
      <c r="E164" s="189">
        <v>135598.5</v>
      </c>
      <c r="F164" s="190">
        <v>0</v>
      </c>
      <c r="G164" s="190">
        <f t="shared" si="4"/>
        <v>135598.5</v>
      </c>
      <c r="H164" s="191">
        <v>87.262897628956765</v>
      </c>
      <c r="I164" s="192">
        <f t="shared" si="5"/>
        <v>1553.9078312132951</v>
      </c>
    </row>
    <row r="165" spans="1:9" x14ac:dyDescent="0.25">
      <c r="A165" s="45">
        <v>7</v>
      </c>
      <c r="B165" s="193">
        <v>747</v>
      </c>
      <c r="C165" s="187">
        <v>6</v>
      </c>
      <c r="D165" s="188" t="s">
        <v>372</v>
      </c>
      <c r="E165" s="189">
        <v>57407.45</v>
      </c>
      <c r="F165" s="190">
        <v>0</v>
      </c>
      <c r="G165" s="190">
        <f t="shared" si="4"/>
        <v>57407.45</v>
      </c>
      <c r="H165" s="191">
        <v>33.619999999999997</v>
      </c>
      <c r="I165" s="192">
        <f t="shared" si="5"/>
        <v>1707.5386674598453</v>
      </c>
    </row>
    <row r="166" spans="1:9" x14ac:dyDescent="0.25">
      <c r="A166" s="45">
        <v>7</v>
      </c>
      <c r="B166" s="193">
        <v>749</v>
      </c>
      <c r="C166" s="187">
        <v>8</v>
      </c>
      <c r="D166" s="188" t="s">
        <v>479</v>
      </c>
      <c r="E166" s="189">
        <v>8284.82</v>
      </c>
      <c r="F166" s="190">
        <v>0</v>
      </c>
      <c r="G166" s="190">
        <f t="shared" si="4"/>
        <v>8284.82</v>
      </c>
      <c r="H166" s="191">
        <v>22.087426043324484</v>
      </c>
      <c r="I166" s="192">
        <f t="shared" si="5"/>
        <v>375.09214445129669</v>
      </c>
    </row>
    <row r="167" spans="1:9" x14ac:dyDescent="0.25">
      <c r="A167" s="45">
        <v>7</v>
      </c>
      <c r="B167" s="193">
        <v>754</v>
      </c>
      <c r="C167" s="187">
        <v>5</v>
      </c>
      <c r="D167" s="188" t="s">
        <v>350</v>
      </c>
      <c r="E167" s="189">
        <v>29707.96</v>
      </c>
      <c r="F167" s="190">
        <v>0</v>
      </c>
      <c r="G167" s="190">
        <f t="shared" si="4"/>
        <v>29707.96</v>
      </c>
      <c r="H167" s="191">
        <v>120.10207431826544</v>
      </c>
      <c r="I167" s="192">
        <f t="shared" si="5"/>
        <v>247.35592760267534</v>
      </c>
    </row>
    <row r="168" spans="1:9" x14ac:dyDescent="0.25">
      <c r="A168" s="45">
        <v>8</v>
      </c>
      <c r="B168" s="193">
        <v>757</v>
      </c>
      <c r="C168" s="187">
        <v>7</v>
      </c>
      <c r="D168" s="188" t="s">
        <v>447</v>
      </c>
      <c r="E168" s="189">
        <v>297694.98</v>
      </c>
      <c r="F168" s="190">
        <v>55134</v>
      </c>
      <c r="G168" s="190">
        <f t="shared" si="4"/>
        <v>242560.97999999998</v>
      </c>
      <c r="H168" s="191">
        <v>451.19999999999993</v>
      </c>
      <c r="I168" s="192">
        <f t="shared" si="5"/>
        <v>537.5908244680852</v>
      </c>
    </row>
    <row r="169" spans="1:9" x14ac:dyDescent="0.25">
      <c r="A169" s="45">
        <v>8</v>
      </c>
      <c r="B169" s="193">
        <v>758</v>
      </c>
      <c r="C169" s="187">
        <v>6</v>
      </c>
      <c r="D169" s="188" t="s">
        <v>373</v>
      </c>
      <c r="E169" s="189">
        <v>290135.25</v>
      </c>
      <c r="F169" s="190">
        <v>1630.1100000000001</v>
      </c>
      <c r="G169" s="190">
        <f t="shared" si="4"/>
        <v>288505.14</v>
      </c>
      <c r="H169" s="191">
        <v>337.19826516058561</v>
      </c>
      <c r="I169" s="192">
        <f t="shared" si="5"/>
        <v>855.5949712926423</v>
      </c>
    </row>
    <row r="170" spans="1:9" x14ac:dyDescent="0.25">
      <c r="A170" s="45">
        <v>8</v>
      </c>
      <c r="B170" s="193">
        <v>760</v>
      </c>
      <c r="C170" s="187">
        <v>4</v>
      </c>
      <c r="D170" s="188" t="s">
        <v>331</v>
      </c>
      <c r="E170" s="189">
        <v>1383723.61</v>
      </c>
      <c r="F170" s="190">
        <v>1018311.7500000002</v>
      </c>
      <c r="G170" s="190">
        <f t="shared" si="4"/>
        <v>365411.85999999987</v>
      </c>
      <c r="H170" s="191">
        <v>5279.67</v>
      </c>
      <c r="I170" s="192">
        <f t="shared" si="5"/>
        <v>69.211117361501735</v>
      </c>
    </row>
    <row r="171" spans="1:9" x14ac:dyDescent="0.25">
      <c r="A171" s="45">
        <v>8</v>
      </c>
      <c r="B171" s="193">
        <v>764</v>
      </c>
      <c r="C171" s="187">
        <v>8</v>
      </c>
      <c r="D171" s="188" t="s">
        <v>480</v>
      </c>
      <c r="E171" s="189">
        <v>15230.64</v>
      </c>
      <c r="F171" s="190">
        <v>0</v>
      </c>
      <c r="G171" s="190">
        <f t="shared" si="4"/>
        <v>15230.64</v>
      </c>
      <c r="H171" s="191">
        <v>56.099999999999994</v>
      </c>
      <c r="I171" s="192">
        <f t="shared" si="5"/>
        <v>271.4909090909091</v>
      </c>
    </row>
    <row r="172" spans="1:9" x14ac:dyDescent="0.25">
      <c r="A172" s="45">
        <v>8</v>
      </c>
      <c r="B172" s="193">
        <v>765</v>
      </c>
      <c r="C172" s="187">
        <v>6</v>
      </c>
      <c r="D172" s="188" t="s">
        <v>374</v>
      </c>
      <c r="E172" s="189">
        <v>86841.69</v>
      </c>
      <c r="F172" s="190">
        <v>0</v>
      </c>
      <c r="G172" s="190">
        <f t="shared" si="4"/>
        <v>86841.69</v>
      </c>
      <c r="H172" s="191">
        <v>80.350199999999987</v>
      </c>
      <c r="I172" s="192">
        <f t="shared" si="5"/>
        <v>1080.7899669198086</v>
      </c>
    </row>
    <row r="173" spans="1:9" x14ac:dyDescent="0.25">
      <c r="A173" s="45">
        <v>8</v>
      </c>
      <c r="B173" s="193">
        <v>770</v>
      </c>
      <c r="C173" s="187">
        <v>6</v>
      </c>
      <c r="D173" s="188" t="s">
        <v>375</v>
      </c>
      <c r="E173" s="189">
        <v>24693.97</v>
      </c>
      <c r="F173" s="190">
        <v>0</v>
      </c>
      <c r="G173" s="190">
        <f t="shared" si="4"/>
        <v>24693.97</v>
      </c>
      <c r="H173" s="191">
        <v>25.493992436427366</v>
      </c>
      <c r="I173" s="192">
        <f t="shared" si="5"/>
        <v>968.61917808980581</v>
      </c>
    </row>
    <row r="174" spans="1:9" x14ac:dyDescent="0.25">
      <c r="A174" s="45">
        <v>8</v>
      </c>
      <c r="B174" s="193">
        <v>771</v>
      </c>
      <c r="C174" s="187">
        <v>9</v>
      </c>
      <c r="D174" s="188" t="s">
        <v>535</v>
      </c>
      <c r="E174" s="189">
        <v>56478.67</v>
      </c>
      <c r="F174" s="190">
        <v>24</v>
      </c>
      <c r="G174" s="190">
        <f t="shared" si="4"/>
        <v>56454.67</v>
      </c>
      <c r="H174" s="191">
        <v>193.04573101803697</v>
      </c>
      <c r="I174" s="192">
        <f t="shared" si="5"/>
        <v>292.44194990629052</v>
      </c>
    </row>
    <row r="175" spans="1:9" x14ac:dyDescent="0.25">
      <c r="A175" s="45">
        <v>8</v>
      </c>
      <c r="B175" s="193">
        <v>774</v>
      </c>
      <c r="C175" s="187">
        <v>6</v>
      </c>
      <c r="D175" s="188" t="s">
        <v>376</v>
      </c>
      <c r="E175" s="189">
        <v>279347.78000000003</v>
      </c>
      <c r="F175" s="190">
        <v>0</v>
      </c>
      <c r="G175" s="190">
        <f t="shared" si="4"/>
        <v>279347.78000000003</v>
      </c>
      <c r="H175" s="191">
        <v>421.00021926566802</v>
      </c>
      <c r="I175" s="192">
        <f t="shared" si="5"/>
        <v>663.53357365764305</v>
      </c>
    </row>
    <row r="176" spans="1:9" x14ac:dyDescent="0.25">
      <c r="A176" s="45">
        <v>8</v>
      </c>
      <c r="B176" s="193">
        <v>775</v>
      </c>
      <c r="C176" s="187">
        <v>8</v>
      </c>
      <c r="D176" s="188" t="s">
        <v>481</v>
      </c>
      <c r="E176" s="189">
        <v>28443.79</v>
      </c>
      <c r="F176" s="190">
        <v>0</v>
      </c>
      <c r="G176" s="190">
        <f t="shared" si="4"/>
        <v>28443.79</v>
      </c>
      <c r="H176" s="191">
        <v>224.96988220877736</v>
      </c>
      <c r="I176" s="192">
        <f t="shared" si="5"/>
        <v>126.43376847041014</v>
      </c>
    </row>
    <row r="177" spans="1:9" x14ac:dyDescent="0.25">
      <c r="A177" s="45">
        <v>8</v>
      </c>
      <c r="B177" s="193">
        <v>786</v>
      </c>
      <c r="C177" s="187">
        <v>7</v>
      </c>
      <c r="D177" s="188" t="s">
        <v>448</v>
      </c>
      <c r="E177" s="189">
        <v>1542106.66</v>
      </c>
      <c r="F177" s="190">
        <v>369767.38</v>
      </c>
      <c r="G177" s="190">
        <f t="shared" si="4"/>
        <v>1172339.2799999998</v>
      </c>
      <c r="H177" s="191">
        <v>3074.8799999999992</v>
      </c>
      <c r="I177" s="192">
        <f t="shared" si="5"/>
        <v>381.263424914143</v>
      </c>
    </row>
    <row r="178" spans="1:9" x14ac:dyDescent="0.25">
      <c r="A178" s="45">
        <v>8</v>
      </c>
      <c r="B178" s="193">
        <v>790</v>
      </c>
      <c r="C178" s="187">
        <v>8</v>
      </c>
      <c r="D178" s="188" t="s">
        <v>482</v>
      </c>
      <c r="E178" s="189">
        <v>11267.83</v>
      </c>
      <c r="F178" s="190">
        <v>0</v>
      </c>
      <c r="G178" s="190">
        <f t="shared" si="4"/>
        <v>11267.83</v>
      </c>
      <c r="H178" s="191">
        <v>19.904487402564385</v>
      </c>
      <c r="I178" s="192">
        <f t="shared" si="5"/>
        <v>566.09496000124648</v>
      </c>
    </row>
    <row r="179" spans="1:9" x14ac:dyDescent="0.25">
      <c r="A179" s="45">
        <v>8</v>
      </c>
      <c r="B179" s="193">
        <v>794</v>
      </c>
      <c r="C179" s="187">
        <v>6</v>
      </c>
      <c r="D179" s="188" t="s">
        <v>377</v>
      </c>
      <c r="E179" s="189">
        <v>39895.620000000003</v>
      </c>
      <c r="F179" s="190">
        <v>0</v>
      </c>
      <c r="G179" s="190">
        <f t="shared" si="4"/>
        <v>39895.620000000003</v>
      </c>
      <c r="H179" s="191">
        <v>18.66988734321124</v>
      </c>
      <c r="I179" s="192">
        <f t="shared" si="5"/>
        <v>2136.8966650196139</v>
      </c>
    </row>
    <row r="180" spans="1:9" x14ac:dyDescent="0.25">
      <c r="A180" s="45">
        <v>8</v>
      </c>
      <c r="B180" s="193">
        <v>795</v>
      </c>
      <c r="C180" s="187">
        <v>8</v>
      </c>
      <c r="D180" s="188" t="s">
        <v>575</v>
      </c>
      <c r="E180" s="189">
        <v>115302.87</v>
      </c>
      <c r="F180" s="190">
        <v>44679.360000000001</v>
      </c>
      <c r="G180" s="190">
        <f t="shared" si="4"/>
        <v>70623.509999999995</v>
      </c>
      <c r="H180" s="191">
        <v>54.951852431979624</v>
      </c>
      <c r="I180" s="192">
        <f t="shared" si="5"/>
        <v>1285.1888858054244</v>
      </c>
    </row>
    <row r="181" spans="1:9" x14ac:dyDescent="0.25">
      <c r="A181" s="45">
        <v>8</v>
      </c>
      <c r="B181" s="193">
        <v>796</v>
      </c>
      <c r="C181" s="187">
        <v>8</v>
      </c>
      <c r="D181" s="188" t="s">
        <v>483</v>
      </c>
      <c r="E181" s="189">
        <v>19373.02</v>
      </c>
      <c r="F181" s="190">
        <v>0</v>
      </c>
      <c r="G181" s="190">
        <f t="shared" si="4"/>
        <v>19373.02</v>
      </c>
      <c r="H181" s="191">
        <v>19.498273373940624</v>
      </c>
      <c r="I181" s="192">
        <f t="shared" si="5"/>
        <v>993.57618125777105</v>
      </c>
    </row>
    <row r="182" spans="1:9" x14ac:dyDescent="0.25">
      <c r="A182" s="45">
        <v>8</v>
      </c>
      <c r="B182" s="193">
        <v>797</v>
      </c>
      <c r="C182" s="187">
        <v>8</v>
      </c>
      <c r="D182" s="188" t="s">
        <v>484</v>
      </c>
      <c r="E182" s="189">
        <v>30616.75</v>
      </c>
      <c r="F182" s="190">
        <v>980</v>
      </c>
      <c r="G182" s="190">
        <f t="shared" si="4"/>
        <v>29636.75</v>
      </c>
      <c r="H182" s="191">
        <v>30.721683870330171</v>
      </c>
      <c r="I182" s="192">
        <f t="shared" si="5"/>
        <v>964.68507797588666</v>
      </c>
    </row>
    <row r="183" spans="1:9" x14ac:dyDescent="0.25">
      <c r="A183" s="45">
        <v>8</v>
      </c>
      <c r="B183" s="193">
        <v>801</v>
      </c>
      <c r="C183" s="187">
        <v>8</v>
      </c>
      <c r="D183" s="188" t="s">
        <v>485</v>
      </c>
      <c r="E183" s="189">
        <v>96218.880000000005</v>
      </c>
      <c r="F183" s="190">
        <v>0</v>
      </c>
      <c r="G183" s="190">
        <f t="shared" si="4"/>
        <v>96218.880000000005</v>
      </c>
      <c r="H183" s="191">
        <v>143.04840559045437</v>
      </c>
      <c r="I183" s="192">
        <f t="shared" si="5"/>
        <v>672.63161447233006</v>
      </c>
    </row>
    <row r="184" spans="1:9" x14ac:dyDescent="0.25">
      <c r="A184" s="45">
        <v>8</v>
      </c>
      <c r="B184" s="193">
        <v>806</v>
      </c>
      <c r="C184" s="187">
        <v>6</v>
      </c>
      <c r="D184" s="188" t="s">
        <v>378</v>
      </c>
      <c r="E184" s="189">
        <v>38615.089999999997</v>
      </c>
      <c r="F184" s="190">
        <v>0</v>
      </c>
      <c r="G184" s="190">
        <f t="shared" si="4"/>
        <v>38615.089999999997</v>
      </c>
      <c r="H184" s="191">
        <v>27</v>
      </c>
      <c r="I184" s="192">
        <f t="shared" si="5"/>
        <v>1430.1885185185183</v>
      </c>
    </row>
    <row r="185" spans="1:9" x14ac:dyDescent="0.25">
      <c r="A185" s="45">
        <v>8</v>
      </c>
      <c r="B185" s="193">
        <v>810</v>
      </c>
      <c r="C185" s="187">
        <v>8</v>
      </c>
      <c r="D185" s="188" t="s">
        <v>486</v>
      </c>
      <c r="E185" s="189">
        <v>111927.06</v>
      </c>
      <c r="F185" s="190">
        <v>0</v>
      </c>
      <c r="G185" s="190">
        <f t="shared" si="4"/>
        <v>111927.06</v>
      </c>
      <c r="H185" s="191">
        <v>125.74000000000001</v>
      </c>
      <c r="I185" s="192">
        <f t="shared" si="5"/>
        <v>890.14681087959275</v>
      </c>
    </row>
    <row r="186" spans="1:9" x14ac:dyDescent="0.25">
      <c r="A186" s="45">
        <v>8</v>
      </c>
      <c r="B186" s="193">
        <v>811</v>
      </c>
      <c r="C186" s="187">
        <v>6</v>
      </c>
      <c r="D186" s="188" t="s">
        <v>379</v>
      </c>
      <c r="E186" s="189">
        <v>471184.23</v>
      </c>
      <c r="F186" s="190">
        <v>11327.71</v>
      </c>
      <c r="G186" s="190">
        <f t="shared" si="4"/>
        <v>459856.51999999996</v>
      </c>
      <c r="H186" s="191">
        <v>804.4337651642104</v>
      </c>
      <c r="I186" s="192">
        <f t="shared" si="5"/>
        <v>571.6524341890705</v>
      </c>
    </row>
    <row r="187" spans="1:9" x14ac:dyDescent="0.25">
      <c r="A187" s="45">
        <v>8</v>
      </c>
      <c r="B187" s="193">
        <v>812</v>
      </c>
      <c r="C187" s="187">
        <v>8</v>
      </c>
      <c r="D187" s="188" t="s">
        <v>487</v>
      </c>
      <c r="E187" s="189">
        <v>82675.56</v>
      </c>
      <c r="F187" s="190">
        <v>265.60000000000002</v>
      </c>
      <c r="G187" s="190">
        <f t="shared" si="4"/>
        <v>82409.959999999992</v>
      </c>
      <c r="H187" s="191">
        <v>55.821931813477519</v>
      </c>
      <c r="I187" s="192">
        <f t="shared" si="5"/>
        <v>1476.3007535347087</v>
      </c>
    </row>
    <row r="188" spans="1:9" x14ac:dyDescent="0.25">
      <c r="A188" s="45">
        <v>8</v>
      </c>
      <c r="B188" s="193">
        <v>818</v>
      </c>
      <c r="C188" s="187">
        <v>8</v>
      </c>
      <c r="D188" s="188" t="s">
        <v>488</v>
      </c>
      <c r="E188" s="189">
        <v>18460.29</v>
      </c>
      <c r="F188" s="190">
        <v>0</v>
      </c>
      <c r="G188" s="190">
        <f t="shared" si="4"/>
        <v>18460.29</v>
      </c>
      <c r="H188" s="191">
        <v>40.59703002065887</v>
      </c>
      <c r="I188" s="192">
        <f t="shared" si="5"/>
        <v>454.72020959676104</v>
      </c>
    </row>
    <row r="189" spans="1:9" x14ac:dyDescent="0.25">
      <c r="A189" s="45">
        <v>8</v>
      </c>
      <c r="B189" s="193">
        <v>824</v>
      </c>
      <c r="C189" s="187">
        <v>6</v>
      </c>
      <c r="D189" s="188" t="s">
        <v>380</v>
      </c>
      <c r="E189" s="189">
        <v>54441.32</v>
      </c>
      <c r="F189" s="190">
        <v>0</v>
      </c>
      <c r="G189" s="190">
        <f t="shared" si="4"/>
        <v>54441.32</v>
      </c>
      <c r="H189" s="191">
        <v>31.519999999999996</v>
      </c>
      <c r="I189" s="192">
        <f t="shared" si="5"/>
        <v>1727.1992385786805</v>
      </c>
    </row>
    <row r="190" spans="1:9" x14ac:dyDescent="0.25">
      <c r="A190" s="45">
        <v>8</v>
      </c>
      <c r="B190" s="193">
        <v>826</v>
      </c>
      <c r="C190" s="187">
        <v>6</v>
      </c>
      <c r="D190" s="188" t="s">
        <v>381</v>
      </c>
      <c r="E190" s="189">
        <v>28069.94</v>
      </c>
      <c r="F190" s="190">
        <v>0</v>
      </c>
      <c r="G190" s="190">
        <f t="shared" si="4"/>
        <v>28069.94</v>
      </c>
      <c r="H190" s="191">
        <v>37.220399999999998</v>
      </c>
      <c r="I190" s="192">
        <f t="shared" si="5"/>
        <v>754.15471085748675</v>
      </c>
    </row>
    <row r="191" spans="1:9" x14ac:dyDescent="0.25">
      <c r="A191" s="45">
        <v>8</v>
      </c>
      <c r="B191" s="193">
        <v>830</v>
      </c>
      <c r="C191" s="187">
        <v>9</v>
      </c>
      <c r="D191" s="188" t="s">
        <v>536</v>
      </c>
      <c r="E191" s="189">
        <v>24300.39</v>
      </c>
      <c r="F191" s="190">
        <v>0</v>
      </c>
      <c r="G191" s="190">
        <f t="shared" si="4"/>
        <v>24300.39</v>
      </c>
      <c r="H191" s="191">
        <v>23.769072070364334</v>
      </c>
      <c r="I191" s="192">
        <f t="shared" si="5"/>
        <v>1022.3533307511033</v>
      </c>
    </row>
    <row r="192" spans="1:9" x14ac:dyDescent="0.25">
      <c r="A192" s="45">
        <v>8</v>
      </c>
      <c r="B192" s="193">
        <v>833</v>
      </c>
      <c r="C192" s="187">
        <v>8</v>
      </c>
      <c r="D192" s="188" t="s">
        <v>489</v>
      </c>
      <c r="E192" s="189">
        <v>52482.54</v>
      </c>
      <c r="F192" s="190">
        <v>0</v>
      </c>
      <c r="G192" s="190">
        <f t="shared" si="4"/>
        <v>52482.54</v>
      </c>
      <c r="H192" s="191">
        <v>72.202285870646477</v>
      </c>
      <c r="I192" s="192">
        <f t="shared" si="5"/>
        <v>726.88197287859759</v>
      </c>
    </row>
    <row r="193" spans="1:9" x14ac:dyDescent="0.25">
      <c r="A193" s="45">
        <v>8</v>
      </c>
      <c r="B193" s="193">
        <v>834</v>
      </c>
      <c r="C193" s="187">
        <v>8</v>
      </c>
      <c r="D193" s="188" t="s">
        <v>490</v>
      </c>
      <c r="E193" s="189">
        <v>49019.92</v>
      </c>
      <c r="F193" s="190">
        <v>7882.9</v>
      </c>
      <c r="G193" s="190">
        <f t="shared" si="4"/>
        <v>41137.019999999997</v>
      </c>
      <c r="H193" s="191">
        <v>109.27</v>
      </c>
      <c r="I193" s="192">
        <f t="shared" si="5"/>
        <v>376.4713096000732</v>
      </c>
    </row>
    <row r="194" spans="1:9" x14ac:dyDescent="0.25">
      <c r="A194" s="45"/>
      <c r="B194" s="193">
        <v>837</v>
      </c>
      <c r="C194" s="187">
        <v>8</v>
      </c>
      <c r="D194" s="188" t="s">
        <v>491</v>
      </c>
      <c r="E194" s="189">
        <v>97723.08</v>
      </c>
      <c r="F194" s="190">
        <v>0</v>
      </c>
      <c r="G194" s="190">
        <f t="shared" si="4"/>
        <v>97723.08</v>
      </c>
      <c r="H194" s="191">
        <v>177.75</v>
      </c>
      <c r="I194" s="192">
        <f t="shared" si="5"/>
        <v>549.77822784810132</v>
      </c>
    </row>
    <row r="195" spans="1:9" x14ac:dyDescent="0.25">
      <c r="A195" s="45">
        <v>8</v>
      </c>
      <c r="B195" s="193">
        <v>840</v>
      </c>
      <c r="C195" s="187">
        <v>6</v>
      </c>
      <c r="D195" s="188" t="s">
        <v>382</v>
      </c>
      <c r="E195" s="189">
        <v>88471.82</v>
      </c>
      <c r="F195" s="190">
        <v>0</v>
      </c>
      <c r="G195" s="190">
        <f t="shared" si="4"/>
        <v>88471.82</v>
      </c>
      <c r="H195" s="191">
        <v>134.24236671767576</v>
      </c>
      <c r="I195" s="192">
        <f t="shared" si="5"/>
        <v>659.04544268103155</v>
      </c>
    </row>
    <row r="196" spans="1:9" x14ac:dyDescent="0.25">
      <c r="A196" s="45">
        <v>8</v>
      </c>
      <c r="B196" s="193">
        <v>843</v>
      </c>
      <c r="C196" s="187">
        <v>6</v>
      </c>
      <c r="D196" s="188" t="s">
        <v>383</v>
      </c>
      <c r="E196" s="189">
        <v>32653.86</v>
      </c>
      <c r="F196" s="190">
        <v>0</v>
      </c>
      <c r="G196" s="190">
        <f t="shared" si="4"/>
        <v>32653.86</v>
      </c>
      <c r="H196" s="191">
        <v>19.498273373940624</v>
      </c>
      <c r="I196" s="192">
        <f t="shared" si="5"/>
        <v>1674.7052097259941</v>
      </c>
    </row>
    <row r="197" spans="1:9" x14ac:dyDescent="0.25">
      <c r="A197" s="45">
        <v>8</v>
      </c>
      <c r="B197" s="193">
        <v>845</v>
      </c>
      <c r="C197" s="187">
        <v>8</v>
      </c>
      <c r="D197" s="188" t="s">
        <v>576</v>
      </c>
      <c r="E197" s="189">
        <v>4119.76</v>
      </c>
      <c r="F197" s="190">
        <v>0</v>
      </c>
      <c r="G197" s="190">
        <f t="shared" si="4"/>
        <v>4119.76</v>
      </c>
      <c r="H197" s="191">
        <v>2.3479170854453502</v>
      </c>
      <c r="I197" s="192">
        <f t="shared" si="5"/>
        <v>1754.6445849975869</v>
      </c>
    </row>
    <row r="198" spans="1:9" x14ac:dyDescent="0.25">
      <c r="A198" s="45">
        <v>8</v>
      </c>
      <c r="B198" s="193">
        <v>846</v>
      </c>
      <c r="C198" s="187">
        <v>6</v>
      </c>
      <c r="D198" s="188" t="s">
        <v>384</v>
      </c>
      <c r="E198" s="189">
        <v>39845.980000000003</v>
      </c>
      <c r="F198" s="190">
        <v>0</v>
      </c>
      <c r="G198" s="190">
        <f t="shared" ref="G198:G249" si="6">E198-F198</f>
        <v>39845.980000000003</v>
      </c>
      <c r="H198" s="191">
        <v>20.237582906035872</v>
      </c>
      <c r="I198" s="192">
        <f t="shared" ref="I198:I249" si="7">IFERROR(G198/H198,0)</f>
        <v>1968.9100316478957</v>
      </c>
    </row>
    <row r="199" spans="1:9" x14ac:dyDescent="0.25">
      <c r="A199" s="45">
        <v>8</v>
      </c>
      <c r="B199" s="193">
        <v>847</v>
      </c>
      <c r="C199" s="187">
        <v>8</v>
      </c>
      <c r="D199" s="188" t="s">
        <v>492</v>
      </c>
      <c r="E199" s="189">
        <v>85855.54</v>
      </c>
      <c r="F199" s="190">
        <v>0</v>
      </c>
      <c r="G199" s="190">
        <f t="shared" si="6"/>
        <v>85855.54</v>
      </c>
      <c r="H199" s="191">
        <v>69.978173383271198</v>
      </c>
      <c r="I199" s="192">
        <f t="shared" si="7"/>
        <v>1226.8902694811466</v>
      </c>
    </row>
    <row r="200" spans="1:9" x14ac:dyDescent="0.25">
      <c r="A200" s="45">
        <v>8</v>
      </c>
      <c r="B200" s="193">
        <v>854</v>
      </c>
      <c r="C200" s="187">
        <v>7</v>
      </c>
      <c r="D200" s="188" t="s">
        <v>449</v>
      </c>
      <c r="E200" s="189">
        <v>485829.07</v>
      </c>
      <c r="F200" s="190">
        <v>31273.13</v>
      </c>
      <c r="G200" s="190">
        <f t="shared" si="6"/>
        <v>454555.94</v>
      </c>
      <c r="H200" s="191">
        <v>831.67</v>
      </c>
      <c r="I200" s="192">
        <f t="shared" si="7"/>
        <v>546.55805788353553</v>
      </c>
    </row>
    <row r="201" spans="1:9" x14ac:dyDescent="0.25">
      <c r="A201" s="45">
        <v>8</v>
      </c>
      <c r="B201" s="193">
        <v>855</v>
      </c>
      <c r="C201" s="187">
        <v>7</v>
      </c>
      <c r="D201" s="188" t="s">
        <v>450</v>
      </c>
      <c r="E201" s="189">
        <v>130165.58</v>
      </c>
      <c r="F201" s="190">
        <v>8084</v>
      </c>
      <c r="G201" s="190">
        <f t="shared" si="6"/>
        <v>122081.58</v>
      </c>
      <c r="H201" s="191">
        <v>235.38</v>
      </c>
      <c r="I201" s="192">
        <f t="shared" si="7"/>
        <v>518.65740504715779</v>
      </c>
    </row>
    <row r="202" spans="1:9" x14ac:dyDescent="0.25">
      <c r="A202" s="45">
        <v>8</v>
      </c>
      <c r="B202" s="193">
        <v>862</v>
      </c>
      <c r="C202" s="187">
        <v>7</v>
      </c>
      <c r="D202" s="188" t="s">
        <v>451</v>
      </c>
      <c r="E202" s="189">
        <v>10279.34</v>
      </c>
      <c r="F202" s="190">
        <v>7583.34</v>
      </c>
      <c r="G202" s="190">
        <f t="shared" si="6"/>
        <v>2696</v>
      </c>
      <c r="H202" s="191">
        <v>13.661113692780718</v>
      </c>
      <c r="I202" s="192">
        <f t="shared" si="7"/>
        <v>197.3484783619592</v>
      </c>
    </row>
    <row r="203" spans="1:9" x14ac:dyDescent="0.25">
      <c r="A203" s="45">
        <v>8</v>
      </c>
      <c r="B203" s="193">
        <v>866</v>
      </c>
      <c r="C203" s="187">
        <v>8</v>
      </c>
      <c r="D203" s="188" t="s">
        <v>493</v>
      </c>
      <c r="E203" s="189">
        <v>58460.25</v>
      </c>
      <c r="F203" s="190">
        <v>0</v>
      </c>
      <c r="G203" s="190">
        <f t="shared" si="6"/>
        <v>58460.25</v>
      </c>
      <c r="H203" s="191">
        <v>125.71511757848218</v>
      </c>
      <c r="I203" s="192">
        <f t="shared" si="7"/>
        <v>465.02163881367801</v>
      </c>
    </row>
    <row r="204" spans="1:9" x14ac:dyDescent="0.25">
      <c r="A204" s="45">
        <v>8</v>
      </c>
      <c r="B204" s="193">
        <v>871</v>
      </c>
      <c r="C204" s="187">
        <v>8</v>
      </c>
      <c r="D204" s="188" t="s">
        <v>494</v>
      </c>
      <c r="E204" s="189">
        <v>10418.42</v>
      </c>
      <c r="F204" s="190">
        <v>0</v>
      </c>
      <c r="G204" s="190">
        <f t="shared" si="6"/>
        <v>10418.42</v>
      </c>
      <c r="H204" s="191">
        <v>16.527144824886271</v>
      </c>
      <c r="I204" s="192">
        <f t="shared" si="7"/>
        <v>630.38232619055498</v>
      </c>
    </row>
    <row r="205" spans="1:9" x14ac:dyDescent="0.25">
      <c r="A205" s="45">
        <v>8</v>
      </c>
      <c r="B205" s="193">
        <v>873</v>
      </c>
      <c r="C205" s="187">
        <v>8</v>
      </c>
      <c r="D205" s="188" t="s">
        <v>495</v>
      </c>
      <c r="E205" s="189">
        <v>67478.509999999995</v>
      </c>
      <c r="F205" s="190">
        <v>0</v>
      </c>
      <c r="G205" s="190">
        <f t="shared" si="6"/>
        <v>67478.509999999995</v>
      </c>
      <c r="H205" s="191">
        <v>163.97</v>
      </c>
      <c r="I205" s="192">
        <f t="shared" si="7"/>
        <v>411.52960907483072</v>
      </c>
    </row>
    <row r="206" spans="1:9" x14ac:dyDescent="0.25">
      <c r="A206" s="45">
        <v>8</v>
      </c>
      <c r="B206" s="193">
        <v>878</v>
      </c>
      <c r="C206" s="187">
        <v>4</v>
      </c>
      <c r="D206" s="188" t="s">
        <v>332</v>
      </c>
      <c r="E206" s="189">
        <v>2784486.68</v>
      </c>
      <c r="F206" s="190">
        <v>1233731.0899999999</v>
      </c>
      <c r="G206" s="190">
        <f t="shared" si="6"/>
        <v>1550755.5900000003</v>
      </c>
      <c r="H206" s="191">
        <v>7770.5700000000015</v>
      </c>
      <c r="I206" s="192">
        <f t="shared" si="7"/>
        <v>199.56780390627713</v>
      </c>
    </row>
    <row r="207" spans="1:9" x14ac:dyDescent="0.25">
      <c r="A207" s="45">
        <v>8</v>
      </c>
      <c r="B207" s="193">
        <v>885</v>
      </c>
      <c r="C207" s="187">
        <v>5</v>
      </c>
      <c r="D207" s="188" t="s">
        <v>351</v>
      </c>
      <c r="E207" s="189">
        <v>134922.51999999999</v>
      </c>
      <c r="F207" s="190">
        <v>72127.05</v>
      </c>
      <c r="G207" s="190">
        <f t="shared" si="6"/>
        <v>62795.469999999987</v>
      </c>
      <c r="H207" s="191">
        <v>411.83000000000004</v>
      </c>
      <c r="I207" s="192">
        <f t="shared" si="7"/>
        <v>152.47910545613476</v>
      </c>
    </row>
    <row r="208" spans="1:9" x14ac:dyDescent="0.25">
      <c r="A208" s="45">
        <v>8</v>
      </c>
      <c r="B208" s="193">
        <v>888</v>
      </c>
      <c r="C208" s="187">
        <v>6</v>
      </c>
      <c r="D208" s="188" t="s">
        <v>385</v>
      </c>
      <c r="E208" s="189">
        <v>45506.29</v>
      </c>
      <c r="F208" s="190">
        <v>0</v>
      </c>
      <c r="G208" s="190">
        <f t="shared" si="6"/>
        <v>45506.29</v>
      </c>
      <c r="H208" s="191">
        <v>96.531906616690762</v>
      </c>
      <c r="I208" s="192">
        <f t="shared" si="7"/>
        <v>471.41190508850656</v>
      </c>
    </row>
    <row r="209" spans="1:9" x14ac:dyDescent="0.25">
      <c r="A209" s="45">
        <v>8</v>
      </c>
      <c r="B209" s="193">
        <v>889</v>
      </c>
      <c r="C209" s="187">
        <v>6</v>
      </c>
      <c r="D209" s="188" t="s">
        <v>386</v>
      </c>
      <c r="E209" s="189">
        <v>49421.78</v>
      </c>
      <c r="F209" s="190">
        <v>0</v>
      </c>
      <c r="G209" s="190">
        <f t="shared" si="6"/>
        <v>49421.78</v>
      </c>
      <c r="H209" s="191">
        <v>31.318396976699148</v>
      </c>
      <c r="I209" s="192">
        <f t="shared" si="7"/>
        <v>1578.0430919491105</v>
      </c>
    </row>
    <row r="210" spans="1:9" x14ac:dyDescent="0.25">
      <c r="A210" s="45">
        <v>8</v>
      </c>
      <c r="B210" s="193">
        <v>891</v>
      </c>
      <c r="C210" s="187">
        <v>6</v>
      </c>
      <c r="D210" s="188" t="s">
        <v>387</v>
      </c>
      <c r="E210" s="189">
        <v>86921.99</v>
      </c>
      <c r="F210" s="190">
        <v>0</v>
      </c>
      <c r="G210" s="190">
        <f t="shared" si="6"/>
        <v>86921.99</v>
      </c>
      <c r="H210" s="191">
        <v>364.17087666120352</v>
      </c>
      <c r="I210" s="192">
        <f t="shared" si="7"/>
        <v>238.68462738404398</v>
      </c>
    </row>
    <row r="211" spans="1:9" x14ac:dyDescent="0.25">
      <c r="A211" s="45">
        <v>8</v>
      </c>
      <c r="B211" s="193">
        <v>895</v>
      </c>
      <c r="C211" s="187">
        <v>8</v>
      </c>
      <c r="D211" s="188" t="s">
        <v>496</v>
      </c>
      <c r="E211" s="189">
        <v>12929.53</v>
      </c>
      <c r="F211" s="190">
        <v>0</v>
      </c>
      <c r="G211" s="190">
        <f t="shared" si="6"/>
        <v>12929.53</v>
      </c>
      <c r="H211" s="191">
        <v>33.271276233906718</v>
      </c>
      <c r="I211" s="192">
        <f t="shared" si="7"/>
        <v>388.60937912635683</v>
      </c>
    </row>
    <row r="212" spans="1:9" x14ac:dyDescent="0.25">
      <c r="A212" s="45">
        <v>8</v>
      </c>
      <c r="B212" s="193">
        <v>897</v>
      </c>
      <c r="C212" s="187">
        <v>8</v>
      </c>
      <c r="D212" s="188" t="s">
        <v>497</v>
      </c>
      <c r="E212" s="189">
        <v>261720.97</v>
      </c>
      <c r="F212" s="190">
        <v>119</v>
      </c>
      <c r="G212" s="190">
        <f t="shared" si="6"/>
        <v>261601.97</v>
      </c>
      <c r="H212" s="191">
        <v>67.748375693871196</v>
      </c>
      <c r="I212" s="192">
        <f t="shared" si="7"/>
        <v>3861.3762665259828</v>
      </c>
    </row>
    <row r="213" spans="1:9" x14ac:dyDescent="0.25">
      <c r="A213" s="45">
        <v>8</v>
      </c>
      <c r="B213" s="193">
        <v>904</v>
      </c>
      <c r="C213" s="187">
        <v>6</v>
      </c>
      <c r="D213" s="188" t="s">
        <v>388</v>
      </c>
      <c r="E213" s="189">
        <v>13685.12</v>
      </c>
      <c r="F213" s="190">
        <v>0</v>
      </c>
      <c r="G213" s="190">
        <f t="shared" si="6"/>
        <v>13685.12</v>
      </c>
      <c r="H213" s="191">
        <v>25.493992436427366</v>
      </c>
      <c r="I213" s="192">
        <f t="shared" si="7"/>
        <v>536.79783714244263</v>
      </c>
    </row>
    <row r="214" spans="1:9" x14ac:dyDescent="0.25">
      <c r="A214" s="45">
        <v>8</v>
      </c>
      <c r="B214" s="193">
        <v>905</v>
      </c>
      <c r="C214" s="187">
        <v>8</v>
      </c>
      <c r="D214" s="188" t="s">
        <v>498</v>
      </c>
      <c r="E214" s="189">
        <v>52773.440000000002</v>
      </c>
      <c r="F214" s="190">
        <v>0</v>
      </c>
      <c r="G214" s="190">
        <f t="shared" si="6"/>
        <v>52773.440000000002</v>
      </c>
      <c r="H214" s="191">
        <v>105.28369884343577</v>
      </c>
      <c r="I214" s="192">
        <f t="shared" si="7"/>
        <v>501.24986659594663</v>
      </c>
    </row>
    <row r="215" spans="1:9" x14ac:dyDescent="0.25">
      <c r="A215" s="45">
        <v>8</v>
      </c>
      <c r="B215" s="193">
        <v>906</v>
      </c>
      <c r="C215" s="187">
        <v>6</v>
      </c>
      <c r="D215" s="188" t="s">
        <v>389</v>
      </c>
      <c r="E215" s="189">
        <v>119241.63</v>
      </c>
      <c r="F215" s="190">
        <v>36</v>
      </c>
      <c r="G215" s="190">
        <f t="shared" si="6"/>
        <v>119205.63</v>
      </c>
      <c r="H215" s="191">
        <v>223.33999999999997</v>
      </c>
      <c r="I215" s="192">
        <f t="shared" si="7"/>
        <v>533.74061968299463</v>
      </c>
    </row>
    <row r="216" spans="1:9" x14ac:dyDescent="0.25">
      <c r="A216" s="45">
        <v>8</v>
      </c>
      <c r="B216" s="193">
        <v>907</v>
      </c>
      <c r="C216" s="187">
        <v>8</v>
      </c>
      <c r="D216" s="188" t="s">
        <v>499</v>
      </c>
      <c r="E216" s="189">
        <v>18116.95</v>
      </c>
      <c r="F216" s="190">
        <v>0</v>
      </c>
      <c r="G216" s="190">
        <f t="shared" si="6"/>
        <v>18116.95</v>
      </c>
      <c r="H216" s="191">
        <v>12.115084280824727</v>
      </c>
      <c r="I216" s="192">
        <f t="shared" si="7"/>
        <v>1495.404371942735</v>
      </c>
    </row>
    <row r="217" spans="1:9" x14ac:dyDescent="0.25">
      <c r="A217" s="45">
        <v>8</v>
      </c>
      <c r="B217" s="193">
        <v>909</v>
      </c>
      <c r="C217" s="187">
        <v>5</v>
      </c>
      <c r="D217" s="188" t="s">
        <v>352</v>
      </c>
      <c r="E217" s="189">
        <v>229582.5</v>
      </c>
      <c r="F217" s="190">
        <v>97120.69</v>
      </c>
      <c r="G217" s="190">
        <f t="shared" si="6"/>
        <v>132461.81</v>
      </c>
      <c r="H217" s="191">
        <v>535.34</v>
      </c>
      <c r="I217" s="192">
        <f t="shared" si="7"/>
        <v>247.43491986401165</v>
      </c>
    </row>
    <row r="218" spans="1:9" x14ac:dyDescent="0.25">
      <c r="A218" s="45">
        <v>8</v>
      </c>
      <c r="B218" s="193">
        <v>917</v>
      </c>
      <c r="C218" s="187">
        <v>6</v>
      </c>
      <c r="D218" s="188" t="s">
        <v>390</v>
      </c>
      <c r="E218" s="189">
        <v>58138.080000000002</v>
      </c>
      <c r="F218" s="190">
        <v>0</v>
      </c>
      <c r="G218" s="190">
        <f t="shared" si="6"/>
        <v>58138.080000000002</v>
      </c>
      <c r="H218" s="191">
        <v>83.135763098139336</v>
      </c>
      <c r="I218" s="192">
        <f t="shared" si="7"/>
        <v>699.31492577231415</v>
      </c>
    </row>
    <row r="219" spans="1:9" x14ac:dyDescent="0.25">
      <c r="A219" s="45">
        <v>8</v>
      </c>
      <c r="B219" s="193">
        <v>918</v>
      </c>
      <c r="C219" s="187">
        <v>8</v>
      </c>
      <c r="D219" s="188" t="s">
        <v>500</v>
      </c>
      <c r="E219" s="189">
        <v>37834.36</v>
      </c>
      <c r="F219" s="190">
        <v>0</v>
      </c>
      <c r="G219" s="190">
        <f t="shared" si="6"/>
        <v>37834.36</v>
      </c>
      <c r="H219" s="191">
        <v>59.047271200750195</v>
      </c>
      <c r="I219" s="192">
        <f t="shared" si="7"/>
        <v>640.74696815996663</v>
      </c>
    </row>
    <row r="220" spans="1:9" x14ac:dyDescent="0.25">
      <c r="A220" s="45">
        <v>8</v>
      </c>
      <c r="B220" s="193">
        <v>922</v>
      </c>
      <c r="C220" s="187">
        <v>8</v>
      </c>
      <c r="D220" s="188" t="s">
        <v>501</v>
      </c>
      <c r="E220" s="189">
        <v>122591.46</v>
      </c>
      <c r="F220" s="190">
        <v>18794.579999999998</v>
      </c>
      <c r="G220" s="190">
        <f t="shared" si="6"/>
        <v>103796.88</v>
      </c>
      <c r="H220" s="191">
        <v>157.44</v>
      </c>
      <c r="I220" s="192">
        <f t="shared" si="7"/>
        <v>659.27896341463418</v>
      </c>
    </row>
    <row r="221" spans="1:9" x14ac:dyDescent="0.25">
      <c r="A221" s="45">
        <v>9</v>
      </c>
      <c r="B221" s="193">
        <v>923</v>
      </c>
      <c r="C221" s="187">
        <v>5</v>
      </c>
      <c r="D221" s="188" t="s">
        <v>353</v>
      </c>
      <c r="E221" s="189">
        <v>31066.29</v>
      </c>
      <c r="F221" s="190">
        <v>93.24</v>
      </c>
      <c r="G221" s="190">
        <f t="shared" si="6"/>
        <v>30973.05</v>
      </c>
      <c r="H221" s="191">
        <v>48.433213800282132</v>
      </c>
      <c r="I221" s="192">
        <f t="shared" si="7"/>
        <v>639.50020181852096</v>
      </c>
    </row>
    <row r="222" spans="1:9" x14ac:dyDescent="0.25">
      <c r="A222" s="45">
        <v>9</v>
      </c>
      <c r="B222" s="193">
        <v>924</v>
      </c>
      <c r="C222" s="187">
        <v>8</v>
      </c>
      <c r="D222" s="188" t="s">
        <v>502</v>
      </c>
      <c r="E222" s="189">
        <v>54438.720000000001</v>
      </c>
      <c r="F222" s="190">
        <v>0</v>
      </c>
      <c r="G222" s="190">
        <f t="shared" si="6"/>
        <v>54438.720000000001</v>
      </c>
      <c r="H222" s="191">
        <v>114.91247851438976</v>
      </c>
      <c r="I222" s="192">
        <f t="shared" si="7"/>
        <v>473.74071731629203</v>
      </c>
    </row>
    <row r="223" spans="1:9" x14ac:dyDescent="0.25">
      <c r="A223" s="45">
        <v>9</v>
      </c>
      <c r="B223" s="193">
        <v>929</v>
      </c>
      <c r="C223" s="187">
        <v>8</v>
      </c>
      <c r="D223" s="188" t="s">
        <v>503</v>
      </c>
      <c r="E223" s="189">
        <v>52171.61</v>
      </c>
      <c r="F223" s="190">
        <v>0</v>
      </c>
      <c r="G223" s="190">
        <f t="shared" si="6"/>
        <v>52171.61</v>
      </c>
      <c r="H223" s="191">
        <v>48.975680260617573</v>
      </c>
      <c r="I223" s="192">
        <f t="shared" si="7"/>
        <v>1065.255443566597</v>
      </c>
    </row>
    <row r="224" spans="1:9" x14ac:dyDescent="0.25">
      <c r="A224" s="45">
        <v>9</v>
      </c>
      <c r="B224" s="193">
        <v>936</v>
      </c>
      <c r="C224" s="187">
        <v>9</v>
      </c>
      <c r="D224" s="188" t="s">
        <v>537</v>
      </c>
      <c r="E224" s="189">
        <v>55239.58</v>
      </c>
      <c r="F224" s="190">
        <v>0</v>
      </c>
      <c r="G224" s="190">
        <f t="shared" si="6"/>
        <v>55239.58</v>
      </c>
      <c r="H224" s="191">
        <v>37.809912285379859</v>
      </c>
      <c r="I224" s="192">
        <f t="shared" si="7"/>
        <v>1460.9814374353828</v>
      </c>
    </row>
    <row r="225" spans="1:9" x14ac:dyDescent="0.25">
      <c r="A225" s="45">
        <v>9</v>
      </c>
      <c r="B225" s="193">
        <v>952</v>
      </c>
      <c r="C225" s="187">
        <v>9</v>
      </c>
      <c r="D225" s="188" t="s">
        <v>538</v>
      </c>
      <c r="E225" s="189">
        <v>91119.41</v>
      </c>
      <c r="F225" s="190">
        <v>3493</v>
      </c>
      <c r="G225" s="190">
        <f t="shared" si="6"/>
        <v>87626.41</v>
      </c>
      <c r="H225" s="191">
        <v>68.811870493550018</v>
      </c>
      <c r="I225" s="192">
        <f t="shared" si="7"/>
        <v>1273.4199691347374</v>
      </c>
    </row>
    <row r="226" spans="1:9" x14ac:dyDescent="0.25">
      <c r="A226" s="45">
        <v>9</v>
      </c>
      <c r="B226" s="193">
        <v>955</v>
      </c>
      <c r="C226" s="187">
        <v>8</v>
      </c>
      <c r="D226" s="188" t="s">
        <v>504</v>
      </c>
      <c r="E226" s="189">
        <v>22749.54</v>
      </c>
      <c r="F226" s="190">
        <v>0</v>
      </c>
      <c r="G226" s="190">
        <f t="shared" si="6"/>
        <v>22749.54</v>
      </c>
      <c r="H226" s="191">
        <v>48.241978039358088</v>
      </c>
      <c r="I226" s="192">
        <f t="shared" si="7"/>
        <v>471.57145964122469</v>
      </c>
    </row>
    <row r="227" spans="1:9" x14ac:dyDescent="0.25">
      <c r="A227" s="45">
        <v>9</v>
      </c>
      <c r="B227" s="193">
        <v>957</v>
      </c>
      <c r="C227" s="187">
        <v>6</v>
      </c>
      <c r="D227" s="188" t="s">
        <v>391</v>
      </c>
      <c r="E227" s="189">
        <v>36361.17</v>
      </c>
      <c r="F227" s="190">
        <v>0</v>
      </c>
      <c r="G227" s="190">
        <f t="shared" si="6"/>
        <v>36361.17</v>
      </c>
      <c r="H227" s="191">
        <v>102.78835312589278</v>
      </c>
      <c r="I227" s="192">
        <f t="shared" si="7"/>
        <v>353.74795776196243</v>
      </c>
    </row>
    <row r="228" spans="1:9" x14ac:dyDescent="0.25">
      <c r="A228" s="45">
        <v>9</v>
      </c>
      <c r="B228" s="193">
        <v>958</v>
      </c>
      <c r="C228" s="187">
        <v>7</v>
      </c>
      <c r="D228" s="188" t="s">
        <v>452</v>
      </c>
      <c r="E228" s="189">
        <v>140218.67000000001</v>
      </c>
      <c r="F228" s="190">
        <v>354.28</v>
      </c>
      <c r="G228" s="190">
        <f t="shared" si="6"/>
        <v>139864.39000000001</v>
      </c>
      <c r="H228" s="191">
        <v>546.78810980277444</v>
      </c>
      <c r="I228" s="192">
        <f t="shared" si="7"/>
        <v>255.7926690294141</v>
      </c>
    </row>
    <row r="229" spans="1:9" x14ac:dyDescent="0.25">
      <c r="A229" s="45">
        <v>9</v>
      </c>
      <c r="B229" s="193">
        <v>959</v>
      </c>
      <c r="C229" s="187">
        <v>6</v>
      </c>
      <c r="D229" s="188" t="s">
        <v>392</v>
      </c>
      <c r="E229" s="189">
        <v>116846.11</v>
      </c>
      <c r="F229" s="190">
        <v>434.45</v>
      </c>
      <c r="G229" s="190">
        <f t="shared" si="6"/>
        <v>116411.66</v>
      </c>
      <c r="H229" s="191">
        <v>350.17274123482861</v>
      </c>
      <c r="I229" s="192">
        <f t="shared" si="7"/>
        <v>332.44066796716601</v>
      </c>
    </row>
    <row r="230" spans="1:9" x14ac:dyDescent="0.25">
      <c r="A230" s="45">
        <v>9</v>
      </c>
      <c r="B230" s="193">
        <v>967</v>
      </c>
      <c r="C230" s="187">
        <v>7</v>
      </c>
      <c r="D230" s="188" t="s">
        <v>453</v>
      </c>
      <c r="E230" s="189">
        <v>78031.91</v>
      </c>
      <c r="F230" s="190">
        <v>0</v>
      </c>
      <c r="G230" s="190">
        <f t="shared" si="6"/>
        <v>78031.91</v>
      </c>
      <c r="H230" s="191">
        <v>164.34925526629246</v>
      </c>
      <c r="I230" s="192">
        <f t="shared" si="7"/>
        <v>474.79320714636737</v>
      </c>
    </row>
    <row r="231" spans="1:9" x14ac:dyDescent="0.25">
      <c r="A231" s="45">
        <v>9</v>
      </c>
      <c r="B231" s="193">
        <v>969</v>
      </c>
      <c r="C231" s="187">
        <v>6</v>
      </c>
      <c r="D231" s="188" t="s">
        <v>393</v>
      </c>
      <c r="E231" s="189">
        <v>38489.4</v>
      </c>
      <c r="F231" s="190">
        <v>0</v>
      </c>
      <c r="G231" s="190">
        <f t="shared" si="6"/>
        <v>38489.4</v>
      </c>
      <c r="H231" s="191">
        <v>20.31070143118815</v>
      </c>
      <c r="I231" s="192">
        <f t="shared" si="7"/>
        <v>1895.030564572108</v>
      </c>
    </row>
    <row r="232" spans="1:9" x14ac:dyDescent="0.25">
      <c r="A232" s="45">
        <v>9</v>
      </c>
      <c r="B232" s="193">
        <v>970</v>
      </c>
      <c r="C232" s="187">
        <v>6</v>
      </c>
      <c r="D232" s="188" t="s">
        <v>394</v>
      </c>
      <c r="E232" s="189">
        <v>60933.56</v>
      </c>
      <c r="F232" s="190">
        <v>134.5</v>
      </c>
      <c r="G232" s="190">
        <f t="shared" si="6"/>
        <v>60799.06</v>
      </c>
      <c r="H232" s="191">
        <v>175.80943158836462</v>
      </c>
      <c r="I232" s="192">
        <f t="shared" si="7"/>
        <v>345.82365377503322</v>
      </c>
    </row>
    <row r="233" spans="1:9" x14ac:dyDescent="0.25">
      <c r="A233" s="45">
        <v>9</v>
      </c>
      <c r="B233" s="193">
        <v>971</v>
      </c>
      <c r="C233" s="187">
        <v>7</v>
      </c>
      <c r="D233" s="188" t="s">
        <v>454</v>
      </c>
      <c r="E233" s="189">
        <v>514125.27</v>
      </c>
      <c r="F233" s="190">
        <v>183938.21</v>
      </c>
      <c r="G233" s="190">
        <f t="shared" si="6"/>
        <v>330187.06000000006</v>
      </c>
      <c r="H233" s="191">
        <v>998.46</v>
      </c>
      <c r="I233" s="192">
        <f t="shared" si="7"/>
        <v>330.69633235182187</v>
      </c>
    </row>
    <row r="234" spans="1:9" x14ac:dyDescent="0.25">
      <c r="A234" s="45">
        <v>9</v>
      </c>
      <c r="B234" s="193">
        <v>973</v>
      </c>
      <c r="C234" s="187">
        <v>8</v>
      </c>
      <c r="D234" s="188" t="s">
        <v>505</v>
      </c>
      <c r="E234" s="189">
        <v>7075.91</v>
      </c>
      <c r="F234" s="190">
        <v>0</v>
      </c>
      <c r="G234" s="190">
        <f t="shared" si="6"/>
        <v>7075.91</v>
      </c>
      <c r="H234" s="191">
        <v>7.0843726591984275</v>
      </c>
      <c r="I234" s="192">
        <f t="shared" si="7"/>
        <v>998.80544691738658</v>
      </c>
    </row>
    <row r="235" spans="1:9" x14ac:dyDescent="0.25">
      <c r="A235" s="45">
        <v>9</v>
      </c>
      <c r="B235" s="193">
        <v>974</v>
      </c>
      <c r="C235" s="187">
        <v>8</v>
      </c>
      <c r="D235" s="188" t="s">
        <v>506</v>
      </c>
      <c r="E235" s="189">
        <v>13013.02</v>
      </c>
      <c r="F235" s="190">
        <v>0</v>
      </c>
      <c r="G235" s="190">
        <f t="shared" si="6"/>
        <v>13013.02</v>
      </c>
      <c r="H235" s="191">
        <v>19.13</v>
      </c>
      <c r="I235" s="192">
        <f t="shared" si="7"/>
        <v>680.24150548876116</v>
      </c>
    </row>
    <row r="236" spans="1:9" x14ac:dyDescent="0.25">
      <c r="A236" s="45">
        <v>9</v>
      </c>
      <c r="B236" s="193">
        <v>975</v>
      </c>
      <c r="C236" s="187">
        <v>7</v>
      </c>
      <c r="D236" s="188" t="s">
        <v>455</v>
      </c>
      <c r="E236" s="189">
        <v>28116.78</v>
      </c>
      <c r="F236" s="190">
        <v>0</v>
      </c>
      <c r="G236" s="190">
        <f t="shared" si="6"/>
        <v>28116.78</v>
      </c>
      <c r="H236" s="191">
        <v>44.57792750117175</v>
      </c>
      <c r="I236" s="192">
        <f t="shared" si="7"/>
        <v>630.73322552424486</v>
      </c>
    </row>
    <row r="237" spans="1:9" x14ac:dyDescent="0.25">
      <c r="A237" s="45">
        <v>9</v>
      </c>
      <c r="B237" s="193">
        <v>976</v>
      </c>
      <c r="C237" s="187">
        <v>7</v>
      </c>
      <c r="D237" s="188" t="s">
        <v>456</v>
      </c>
      <c r="E237" s="189">
        <v>18946.21</v>
      </c>
      <c r="F237" s="190">
        <v>0</v>
      </c>
      <c r="G237" s="190">
        <f t="shared" si="6"/>
        <v>18946.21</v>
      </c>
      <c r="H237" s="191">
        <v>26.241426249095088</v>
      </c>
      <c r="I237" s="192">
        <f t="shared" si="7"/>
        <v>721.99619868807019</v>
      </c>
    </row>
    <row r="238" spans="1:9" x14ac:dyDescent="0.25">
      <c r="A238" s="45">
        <v>9</v>
      </c>
      <c r="B238" s="193">
        <v>977</v>
      </c>
      <c r="C238" s="187">
        <v>7</v>
      </c>
      <c r="D238" s="188" t="s">
        <v>457</v>
      </c>
      <c r="E238" s="189">
        <v>31092.49</v>
      </c>
      <c r="F238" s="190">
        <v>0</v>
      </c>
      <c r="G238" s="190">
        <f t="shared" si="6"/>
        <v>31092.49</v>
      </c>
      <c r="H238" s="191">
        <v>38.56595987754006</v>
      </c>
      <c r="I238" s="192">
        <f t="shared" si="7"/>
        <v>806.21589865075714</v>
      </c>
    </row>
    <row r="239" spans="1:9" x14ac:dyDescent="0.25">
      <c r="A239" s="45"/>
      <c r="B239" s="193">
        <v>978</v>
      </c>
      <c r="C239" s="187">
        <v>8</v>
      </c>
      <c r="D239" s="188" t="s">
        <v>507</v>
      </c>
      <c r="E239" s="189">
        <v>53507.31</v>
      </c>
      <c r="F239" s="190">
        <v>1358.34</v>
      </c>
      <c r="G239" s="190">
        <f t="shared" si="6"/>
        <v>52148.97</v>
      </c>
      <c r="H239" s="191">
        <v>33.756385778634701</v>
      </c>
      <c r="I239" s="192">
        <f t="shared" si="7"/>
        <v>1544.8623659528873</v>
      </c>
    </row>
    <row r="240" spans="1:9" x14ac:dyDescent="0.25">
      <c r="A240" s="45"/>
      <c r="B240" s="193">
        <v>980</v>
      </c>
      <c r="C240" s="187">
        <v>6</v>
      </c>
      <c r="D240" s="188" t="s">
        <v>395</v>
      </c>
      <c r="E240" s="189">
        <v>27355.57</v>
      </c>
      <c r="F240" s="190">
        <v>0</v>
      </c>
      <c r="G240" s="190">
        <f t="shared" si="6"/>
        <v>27355.57</v>
      </c>
      <c r="H240" s="191">
        <v>27.105240801427264</v>
      </c>
      <c r="I240" s="192">
        <f t="shared" si="7"/>
        <v>1009.235453778354</v>
      </c>
    </row>
    <row r="241" spans="1:9" x14ac:dyDescent="0.25">
      <c r="A241" s="45"/>
      <c r="B241" s="193">
        <v>981</v>
      </c>
      <c r="C241" s="187">
        <v>7</v>
      </c>
      <c r="D241" s="188" t="s">
        <v>458</v>
      </c>
      <c r="E241" s="189">
        <v>175857.35</v>
      </c>
      <c r="F241" s="190">
        <v>0</v>
      </c>
      <c r="G241" s="190">
        <f t="shared" si="6"/>
        <v>175857.35</v>
      </c>
      <c r="H241" s="191">
        <v>106.73027607099695</v>
      </c>
      <c r="I241" s="192">
        <f t="shared" si="7"/>
        <v>1647.68008173257</v>
      </c>
    </row>
    <row r="242" spans="1:9" x14ac:dyDescent="0.25">
      <c r="A242" s="45"/>
      <c r="B242" s="193">
        <v>982</v>
      </c>
      <c r="C242" s="187">
        <v>9</v>
      </c>
      <c r="D242" s="188" t="s">
        <v>539</v>
      </c>
      <c r="E242" s="189">
        <v>21464.959999999999</v>
      </c>
      <c r="F242" s="190">
        <v>0</v>
      </c>
      <c r="G242" s="190">
        <f t="shared" si="6"/>
        <v>21464.959999999999</v>
      </c>
      <c r="H242" s="191">
        <v>93.22611956915361</v>
      </c>
      <c r="I242" s="192">
        <f t="shared" si="7"/>
        <v>230.24620245056582</v>
      </c>
    </row>
    <row r="243" spans="1:9" x14ac:dyDescent="0.25">
      <c r="A243" s="45"/>
      <c r="B243" s="193">
        <v>983</v>
      </c>
      <c r="C243" s="187">
        <v>7</v>
      </c>
      <c r="D243" s="188" t="s">
        <v>459</v>
      </c>
      <c r="E243" s="189">
        <v>30365.53</v>
      </c>
      <c r="F243" s="190">
        <v>300</v>
      </c>
      <c r="G243" s="190">
        <f t="shared" si="6"/>
        <v>30065.53</v>
      </c>
      <c r="H243" s="191">
        <v>130.98756795566317</v>
      </c>
      <c r="I243" s="192">
        <f t="shared" si="7"/>
        <v>229.52964521164799</v>
      </c>
    </row>
    <row r="244" spans="1:9" x14ac:dyDescent="0.25">
      <c r="B244" s="193">
        <v>985</v>
      </c>
      <c r="C244" s="187">
        <v>8</v>
      </c>
      <c r="D244" s="188" t="s">
        <v>508</v>
      </c>
      <c r="E244" s="189">
        <v>49440</v>
      </c>
      <c r="F244" s="190">
        <v>0</v>
      </c>
      <c r="G244" s="190">
        <f t="shared" si="6"/>
        <v>49440</v>
      </c>
      <c r="H244" s="191">
        <v>21.698658413417423</v>
      </c>
      <c r="I244" s="192">
        <f t="shared" si="7"/>
        <v>2278.4818792957562</v>
      </c>
    </row>
    <row r="245" spans="1:9" x14ac:dyDescent="0.25">
      <c r="B245" s="193">
        <v>986</v>
      </c>
      <c r="C245" s="187">
        <v>6</v>
      </c>
      <c r="D245" s="188" t="s">
        <v>396</v>
      </c>
      <c r="E245" s="189">
        <v>38850.550000000003</v>
      </c>
      <c r="F245" s="190">
        <v>0</v>
      </c>
      <c r="G245" s="190">
        <f t="shared" si="6"/>
        <v>38850.550000000003</v>
      </c>
      <c r="H245" s="191">
        <v>8.1405291336202108</v>
      </c>
      <c r="I245" s="192">
        <f t="shared" si="7"/>
        <v>4772.48460908371</v>
      </c>
    </row>
    <row r="246" spans="1:9" x14ac:dyDescent="0.25">
      <c r="B246" s="193">
        <v>987</v>
      </c>
      <c r="C246" s="187">
        <v>9</v>
      </c>
      <c r="D246" s="188" t="s">
        <v>540</v>
      </c>
      <c r="E246" s="189">
        <v>82615.17</v>
      </c>
      <c r="F246" s="190">
        <v>0</v>
      </c>
      <c r="G246" s="190">
        <f t="shared" si="6"/>
        <v>82615.17</v>
      </c>
      <c r="H246" s="191">
        <v>301.89162628434212</v>
      </c>
      <c r="I246" s="192">
        <f t="shared" si="7"/>
        <v>273.65836878889576</v>
      </c>
    </row>
    <row r="247" spans="1:9" x14ac:dyDescent="0.25">
      <c r="B247" s="193">
        <v>988</v>
      </c>
      <c r="C247" s="187">
        <v>6</v>
      </c>
      <c r="D247" s="188" t="s">
        <v>397</v>
      </c>
      <c r="E247" s="189">
        <v>73398.22</v>
      </c>
      <c r="F247" s="190">
        <v>0</v>
      </c>
      <c r="G247" s="190">
        <f t="shared" si="6"/>
        <v>73398.22</v>
      </c>
      <c r="H247" s="191">
        <v>136.34894480531173</v>
      </c>
      <c r="I247" s="192">
        <f t="shared" si="7"/>
        <v>538.31161000037775</v>
      </c>
    </row>
    <row r="248" spans="1:9" x14ac:dyDescent="0.25">
      <c r="B248" s="193">
        <v>989</v>
      </c>
      <c r="C248" s="187">
        <v>6</v>
      </c>
      <c r="D248" s="188" t="s">
        <v>398</v>
      </c>
      <c r="E248" s="189">
        <v>332675.46000000002</v>
      </c>
      <c r="F248" s="190">
        <v>32018.95</v>
      </c>
      <c r="G248" s="190">
        <f t="shared" si="6"/>
        <v>300656.51</v>
      </c>
      <c r="H248" s="191">
        <v>440.04353292754996</v>
      </c>
      <c r="I248" s="192">
        <f t="shared" si="7"/>
        <v>683.24265101630522</v>
      </c>
    </row>
    <row r="249" spans="1:9" x14ac:dyDescent="0.25">
      <c r="B249" s="193">
        <v>990</v>
      </c>
      <c r="C249" s="187">
        <v>8</v>
      </c>
      <c r="D249" s="188" t="s">
        <v>0</v>
      </c>
      <c r="E249" s="189">
        <v>4506.8</v>
      </c>
      <c r="F249" s="190">
        <v>0</v>
      </c>
      <c r="G249" s="190">
        <f t="shared" si="6"/>
        <v>4506.8</v>
      </c>
      <c r="H249" s="191">
        <v>4.3126083596667133</v>
      </c>
      <c r="I249" s="192">
        <f t="shared" si="7"/>
        <v>1045.028814150955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1E64-16BC-4EC1-B482-C57C011ABFB6}">
  <sheetPr codeName="Sheet31">
    <tabColor theme="8" tint="0.59999389629810485"/>
  </sheetPr>
  <dimension ref="B1:AF266"/>
  <sheetViews>
    <sheetView workbookViewId="0"/>
  </sheetViews>
  <sheetFormatPr defaultRowHeight="15" x14ac:dyDescent="0.25"/>
  <cols>
    <col min="1" max="1" width="5.7109375" style="17" customWidth="1"/>
    <col min="2" max="2" width="11.42578125" style="1" customWidth="1"/>
    <col min="3" max="3" width="13.85546875" style="1" customWidth="1"/>
    <col min="4" max="4" width="55.28515625" style="17" customWidth="1"/>
    <col min="5" max="5" width="16.28515625" style="17" customWidth="1"/>
    <col min="6" max="6" width="17.7109375" style="17" customWidth="1"/>
    <col min="7" max="7" width="16.28515625" style="17" customWidth="1"/>
    <col min="8" max="10" width="14.7109375" style="17" customWidth="1"/>
    <col min="11" max="11" width="15.42578125" style="17" customWidth="1"/>
    <col min="12" max="13" width="14.7109375" style="17" customWidth="1"/>
    <col min="14" max="14" width="14.7109375" style="24" customWidth="1"/>
    <col min="15" max="24" width="14.7109375" style="17" customWidth="1"/>
    <col min="25" max="25" width="17.42578125" style="17" customWidth="1"/>
    <col min="26" max="26" width="20.7109375" style="17" customWidth="1"/>
    <col min="27" max="27" width="22.85546875" style="17" customWidth="1"/>
    <col min="28" max="28" width="5.7109375" style="28" customWidth="1"/>
    <col min="29" max="32" width="19.140625" style="17" customWidth="1"/>
    <col min="33" max="34" width="12.7109375" style="17" customWidth="1"/>
    <col min="35" max="16384" width="9.140625" style="17"/>
  </cols>
  <sheetData>
    <row r="1" spans="2:27" ht="58.5" customHeight="1" thickBot="1" x14ac:dyDescent="0.3">
      <c r="D1" s="51"/>
      <c r="X1" s="28"/>
      <c r="Y1" s="28"/>
      <c r="Z1" s="28"/>
      <c r="AA1" s="28"/>
    </row>
    <row r="2" spans="2:27" ht="45.75" thickBot="1" x14ac:dyDescent="0.3">
      <c r="B2" s="220" t="s">
        <v>594</v>
      </c>
      <c r="C2" s="221"/>
      <c r="D2" s="221"/>
      <c r="E2" s="221"/>
      <c r="F2" s="221"/>
      <c r="G2" s="221"/>
      <c r="H2" s="221"/>
      <c r="I2" s="221"/>
      <c r="J2" s="221"/>
      <c r="K2" s="222"/>
      <c r="L2" s="146"/>
      <c r="M2" s="146"/>
      <c r="N2" s="202"/>
      <c r="O2" s="110"/>
      <c r="P2" s="110"/>
      <c r="R2" s="54" t="s">
        <v>24</v>
      </c>
      <c r="S2" s="14">
        <v>0.9</v>
      </c>
      <c r="T2" s="125" t="s">
        <v>25</v>
      </c>
      <c r="U2" s="125" t="s">
        <v>26</v>
      </c>
      <c r="V2" s="125" t="s">
        <v>27</v>
      </c>
      <c r="W2" s="52"/>
      <c r="X2" s="147"/>
      <c r="Y2" s="147"/>
      <c r="Z2" s="28"/>
      <c r="AA2" s="28"/>
    </row>
    <row r="3" spans="2:27" ht="15.75" thickBot="1" x14ac:dyDescent="0.3">
      <c r="B3" s="22"/>
      <c r="N3" s="202"/>
      <c r="O3" s="110"/>
      <c r="P3" s="110"/>
      <c r="S3" s="55">
        <v>1</v>
      </c>
      <c r="T3" s="166">
        <f t="shared" ref="T3:T11" si="0">SUMPRODUCT(--($C$26:$C$298=$S3),$F$26:$F$298)</f>
        <v>382054.9</v>
      </c>
      <c r="U3" s="56">
        <f>INDEX('Revised 2018 MFAM Cost Bands'!M$6:M$246,MATCH(S3,'Revised 2018 MFAM Cost Bands'!C$6:C$246,0))</f>
        <v>308.63242622984279</v>
      </c>
      <c r="V3" s="109">
        <f>INDEX('Revised 2018 MFAM Cost Bands'!R$6:R$246,MATCH(S3,'Revised 2018 MFAM Cost Bands'!C$6:C$246,0))</f>
        <v>422.27561186724529</v>
      </c>
      <c r="W3" s="141"/>
      <c r="X3" s="28"/>
      <c r="Y3" s="26"/>
      <c r="Z3" s="28"/>
      <c r="AA3" s="28"/>
    </row>
    <row r="4" spans="2:27" x14ac:dyDescent="0.25">
      <c r="D4" s="233" t="s">
        <v>593</v>
      </c>
      <c r="E4" s="234"/>
      <c r="F4" s="234"/>
      <c r="G4" s="234"/>
      <c r="H4" s="234"/>
      <c r="I4" s="234"/>
      <c r="J4" s="234"/>
      <c r="K4" s="235"/>
      <c r="L4" s="148"/>
      <c r="M4" s="116"/>
      <c r="N4" s="202"/>
      <c r="O4" s="110"/>
      <c r="P4" s="110"/>
      <c r="S4" s="62">
        <v>2</v>
      </c>
      <c r="T4" s="164">
        <f t="shared" si="0"/>
        <v>222792.08560000002</v>
      </c>
      <c r="U4" s="63">
        <f>INDEX('Revised 2018 MFAM Cost Bands'!M$6:M$246,MATCH(S4,'Revised 2018 MFAM Cost Bands'!C$6:C$246,0))</f>
        <v>207.30218910433319</v>
      </c>
      <c r="V4" s="126">
        <f>INDEX('Revised 2018 MFAM Cost Bands'!R$6:R$246,MATCH(S4,'Revised 2018 MFAM Cost Bands'!C$6:C$246,0))</f>
        <v>278.01657705657993</v>
      </c>
      <c r="W4" s="141"/>
      <c r="X4" s="28"/>
      <c r="Y4" s="26"/>
      <c r="Z4" s="28"/>
      <c r="AA4" s="28"/>
    </row>
    <row r="5" spans="2:27" x14ac:dyDescent="0.25">
      <c r="D5" s="64"/>
      <c r="E5" s="65"/>
      <c r="F5" s="65"/>
      <c r="G5" s="65"/>
      <c r="H5" s="65"/>
      <c r="I5" s="65"/>
      <c r="J5" s="65"/>
      <c r="K5" s="66"/>
      <c r="L5" s="65"/>
      <c r="M5" s="65"/>
      <c r="N5" s="203"/>
      <c r="O5" s="67"/>
      <c r="P5" s="67"/>
      <c r="Q5" s="68"/>
      <c r="S5" s="62">
        <v>3</v>
      </c>
      <c r="T5" s="164">
        <f t="shared" si="0"/>
        <v>49552.469999999994</v>
      </c>
      <c r="U5" s="63">
        <f>INDEX('Revised 2018 MFAM Cost Bands'!M$6:M$246,MATCH(S5,'Revised 2018 MFAM Cost Bands'!C$6:C$246,0))</f>
        <v>260.89981165419198</v>
      </c>
      <c r="V5" s="126">
        <f>INDEX('Revised 2018 MFAM Cost Bands'!R$6:R$246,MATCH(S5,'Revised 2018 MFAM Cost Bands'!C$6:C$246,0))</f>
        <v>492.62747352019579</v>
      </c>
      <c r="W5" s="141"/>
      <c r="X5" s="28"/>
      <c r="Y5" s="26"/>
      <c r="Z5" s="28"/>
      <c r="AA5" s="28"/>
    </row>
    <row r="6" spans="2:27" x14ac:dyDescent="0.25">
      <c r="D6" s="70" t="s">
        <v>31</v>
      </c>
      <c r="E6" s="206">
        <v>124844186</v>
      </c>
      <c r="F6" s="138"/>
      <c r="G6" s="138"/>
      <c r="H6" s="52"/>
      <c r="I6" s="52"/>
      <c r="J6" s="52"/>
      <c r="K6" s="58"/>
      <c r="L6" s="52"/>
      <c r="M6" s="52"/>
      <c r="N6" s="203"/>
      <c r="O6" s="67"/>
      <c r="P6" s="67"/>
      <c r="Q6" s="68"/>
      <c r="S6" s="62">
        <v>4</v>
      </c>
      <c r="T6" s="164">
        <f t="shared" si="0"/>
        <v>100359.48218655407</v>
      </c>
      <c r="U6" s="63">
        <f>INDEX('Revised 2018 MFAM Cost Bands'!M$6:M$246,MATCH(S6,'Revised 2018 MFAM Cost Bands'!C$6:C$246,0))</f>
        <v>347.34803339460058</v>
      </c>
      <c r="V6" s="126">
        <f>INDEX('Revised 2018 MFAM Cost Bands'!R$6:R$246,MATCH(S6,'Revised 2018 MFAM Cost Bands'!C$6:C$246,0))</f>
        <v>477.43668750946097</v>
      </c>
      <c r="W6" s="141"/>
      <c r="X6" s="28"/>
      <c r="Y6" s="26"/>
      <c r="Z6" s="28"/>
      <c r="AA6" s="28"/>
    </row>
    <row r="7" spans="2:27" x14ac:dyDescent="0.25">
      <c r="D7" s="70"/>
      <c r="E7" s="52"/>
      <c r="F7" s="52"/>
      <c r="G7" s="52"/>
      <c r="H7" s="52"/>
      <c r="I7" s="52"/>
      <c r="J7" s="52"/>
      <c r="K7" s="58"/>
      <c r="L7" s="52"/>
      <c r="M7" s="52"/>
      <c r="N7" s="203"/>
      <c r="O7" s="67"/>
      <c r="P7" s="67"/>
      <c r="Q7" s="68"/>
      <c r="S7" s="62">
        <v>5</v>
      </c>
      <c r="T7" s="164">
        <f t="shared" si="0"/>
        <v>19114.931972076211</v>
      </c>
      <c r="U7" s="63">
        <f>INDEX('Revised 2018 MFAM Cost Bands'!M$6:M$246,MATCH(S7,'Revised 2018 MFAM Cost Bands'!C$6:C$246,0))</f>
        <v>266.04217307332851</v>
      </c>
      <c r="V7" s="126">
        <f>INDEX('Revised 2018 MFAM Cost Bands'!R$6:R$246,MATCH(S7,'Revised 2018 MFAM Cost Bands'!C$6:C$246,0))</f>
        <v>421.5267809765856</v>
      </c>
      <c r="W7" s="141"/>
      <c r="X7" s="28"/>
      <c r="Y7" s="26"/>
      <c r="Z7" s="28"/>
      <c r="AA7" s="28"/>
    </row>
    <row r="8" spans="2:27" x14ac:dyDescent="0.25">
      <c r="D8" s="70" t="s">
        <v>34</v>
      </c>
      <c r="E8" s="201">
        <v>-5932643</v>
      </c>
      <c r="F8" s="71"/>
      <c r="G8" s="71"/>
      <c r="H8" s="71"/>
      <c r="I8" s="71"/>
      <c r="J8" s="71"/>
      <c r="K8" s="58"/>
      <c r="L8" s="52"/>
      <c r="M8" s="52"/>
      <c r="N8" s="203"/>
      <c r="O8" s="67"/>
      <c r="P8" s="67"/>
      <c r="Q8" s="68"/>
      <c r="S8" s="62">
        <v>6</v>
      </c>
      <c r="T8" s="164">
        <f t="shared" si="0"/>
        <v>10660.825218682012</v>
      </c>
      <c r="U8" s="63">
        <f>INDEX('Revised 2018 MFAM Cost Bands'!M$6:M$246,MATCH(S8,'Revised 2018 MFAM Cost Bands'!C$6:C$246,0))</f>
        <v>597.08305027319</v>
      </c>
      <c r="V8" s="126">
        <f>INDEX('Revised 2018 MFAM Cost Bands'!R$6:R$246,MATCH(S8,'Revised 2018 MFAM Cost Bands'!C$6:C$246,0))</f>
        <v>976.36315547304241</v>
      </c>
      <c r="W8" s="141"/>
      <c r="X8" s="28"/>
      <c r="Y8" s="128"/>
      <c r="Z8" s="28"/>
      <c r="AA8" s="28"/>
    </row>
    <row r="9" spans="2:27" x14ac:dyDescent="0.25">
      <c r="D9" s="73" t="s">
        <v>36</v>
      </c>
      <c r="E9" s="71">
        <v>0</v>
      </c>
      <c r="F9" s="71"/>
      <c r="G9" s="71"/>
      <c r="H9" s="19"/>
      <c r="I9" s="19"/>
      <c r="J9" s="19"/>
      <c r="K9" s="74"/>
      <c r="L9" s="19"/>
      <c r="M9" s="19"/>
      <c r="N9" s="203"/>
      <c r="O9" s="67"/>
      <c r="P9" s="67"/>
      <c r="Q9" s="68"/>
      <c r="S9" s="62">
        <v>7</v>
      </c>
      <c r="T9" s="164">
        <f t="shared" si="0"/>
        <v>37740.272543456682</v>
      </c>
      <c r="U9" s="63">
        <f>INDEX('Revised 2018 MFAM Cost Bands'!M$6:M$246,MATCH(S9,'Revised 2018 MFAM Cost Bands'!C$6:C$246,0))</f>
        <v>432.75783663707733</v>
      </c>
      <c r="V9" s="126">
        <f>INDEX('Revised 2018 MFAM Cost Bands'!R$6:R$246,MATCH(S9,'Revised 2018 MFAM Cost Bands'!C$6:C$246,0))</f>
        <v>588.67949380837035</v>
      </c>
      <c r="W9" s="141"/>
      <c r="X9" s="28"/>
      <c r="Y9" s="26"/>
      <c r="Z9" s="28"/>
      <c r="AA9" s="28"/>
    </row>
    <row r="10" spans="2:27" ht="15.75" thickBot="1" x14ac:dyDescent="0.3">
      <c r="D10" s="70" t="s">
        <v>573</v>
      </c>
      <c r="E10" s="77">
        <f>E6+E8+E9</f>
        <v>118911543</v>
      </c>
      <c r="F10" s="117"/>
      <c r="G10" s="117"/>
      <c r="H10" s="52"/>
      <c r="I10" s="52"/>
      <c r="J10" s="52"/>
      <c r="K10" s="58"/>
      <c r="L10" s="52"/>
      <c r="M10" s="52"/>
      <c r="N10" s="203"/>
      <c r="O10" s="67"/>
      <c r="P10" s="67"/>
      <c r="Q10" s="68"/>
      <c r="S10" s="62">
        <v>8</v>
      </c>
      <c r="T10" s="164">
        <f t="shared" si="0"/>
        <v>4856.1745774051205</v>
      </c>
      <c r="U10" s="63">
        <f>INDEX('Revised 2018 MFAM Cost Bands'!M$6:M$246,MATCH(S10,'Revised 2018 MFAM Cost Bands'!C$6:C$246,0))</f>
        <v>765.45823276111946</v>
      </c>
      <c r="V10" s="126">
        <f>INDEX('Revised 2018 MFAM Cost Bands'!R$6:R$246,MATCH(S10,'Revised 2018 MFAM Cost Bands'!C$6:C$246,0))</f>
        <v>1599.0740489486416</v>
      </c>
      <c r="W10" s="142"/>
      <c r="X10" s="78"/>
      <c r="Y10" s="84"/>
      <c r="Z10" s="78"/>
      <c r="AA10" s="28"/>
    </row>
    <row r="11" spans="2:27" ht="16.5" thickTop="1" thickBot="1" x14ac:dyDescent="0.3">
      <c r="D11" s="70" t="s">
        <v>38</v>
      </c>
      <c r="E11" s="52">
        <f>E10-E9</f>
        <v>118911543</v>
      </c>
      <c r="F11" s="52"/>
      <c r="G11" s="52"/>
      <c r="H11" s="79"/>
      <c r="I11" s="79"/>
      <c r="J11" s="79"/>
      <c r="K11" s="58"/>
      <c r="L11" s="52"/>
      <c r="M11" s="52"/>
      <c r="N11" s="203"/>
      <c r="O11" s="67"/>
      <c r="P11" s="67"/>
      <c r="Q11" s="68"/>
      <c r="S11" s="80">
        <v>9</v>
      </c>
      <c r="T11" s="167">
        <f t="shared" si="0"/>
        <v>8725.0970378090242</v>
      </c>
      <c r="U11" s="82">
        <f>INDEX('Revised 2018 MFAM Cost Bands'!M$6:M$246,MATCH(S11,'Revised 2018 MFAM Cost Bands'!C$6:C$246,0))</f>
        <v>505.29824607052115</v>
      </c>
      <c r="V11" s="127">
        <f>INDEX('Revised 2018 MFAM Cost Bands'!R$6:R$246,MATCH(S11,'Revised 2018 MFAM Cost Bands'!C$6:C$246,0))</f>
        <v>1107.7956815413972</v>
      </c>
      <c r="W11" s="142"/>
      <c r="X11" s="78"/>
      <c r="Y11" s="78"/>
      <c r="Z11" s="78"/>
      <c r="AA11" s="28"/>
    </row>
    <row r="12" spans="2:27" x14ac:dyDescent="0.25">
      <c r="D12" s="57"/>
      <c r="E12" s="19"/>
      <c r="F12" s="19"/>
      <c r="G12" s="19"/>
      <c r="H12" s="19"/>
      <c r="I12" s="19"/>
      <c r="J12" s="19"/>
      <c r="K12" s="74"/>
      <c r="L12" s="19"/>
      <c r="M12" s="19"/>
      <c r="N12" s="204"/>
      <c r="O12" s="68"/>
      <c r="P12" s="68"/>
      <c r="Q12" s="68"/>
      <c r="R12" s="68"/>
      <c r="S12" s="110"/>
      <c r="T12" s="110"/>
      <c r="W12" s="78"/>
      <c r="X12" s="78"/>
      <c r="Y12" s="83"/>
      <c r="Z12" s="78"/>
      <c r="AA12" s="28"/>
    </row>
    <row r="13" spans="2:27" x14ac:dyDescent="0.25">
      <c r="D13" s="230" t="s">
        <v>295</v>
      </c>
      <c r="E13" s="231"/>
      <c r="F13" s="231"/>
      <c r="G13" s="231"/>
      <c r="H13" s="231"/>
      <c r="I13" s="231"/>
      <c r="J13" s="231"/>
      <c r="K13" s="232"/>
      <c r="L13" s="65"/>
      <c r="M13" s="65"/>
      <c r="N13" s="203"/>
      <c r="O13" s="67"/>
      <c r="P13" s="67"/>
      <c r="Q13" s="68"/>
      <c r="R13" s="84"/>
      <c r="S13" s="110"/>
      <c r="T13" s="168"/>
      <c r="U13" s="110"/>
      <c r="W13" s="78"/>
      <c r="X13" s="78"/>
      <c r="Y13" s="78"/>
      <c r="Z13" s="78"/>
    </row>
    <row r="14" spans="2:27" x14ac:dyDescent="0.25">
      <c r="D14" s="70" t="s">
        <v>51</v>
      </c>
      <c r="E14" s="16">
        <f>$E$11*K14</f>
        <v>59455771.5</v>
      </c>
      <c r="F14" s="16"/>
      <c r="G14" s="16"/>
      <c r="H14" s="16"/>
      <c r="I14" s="16"/>
      <c r="J14" s="16"/>
      <c r="K14" s="85">
        <v>0.5</v>
      </c>
      <c r="L14" s="118"/>
      <c r="M14" s="118"/>
      <c r="N14" s="202"/>
      <c r="O14" s="110"/>
      <c r="P14" s="110"/>
      <c r="Q14" s="110"/>
      <c r="R14" s="110"/>
      <c r="S14" s="110"/>
      <c r="W14" s="78"/>
      <c r="X14" s="78"/>
      <c r="Y14" s="78"/>
      <c r="Z14" s="78"/>
    </row>
    <row r="15" spans="2:27" x14ac:dyDescent="0.25">
      <c r="D15" s="70" t="s">
        <v>50</v>
      </c>
      <c r="E15" s="16">
        <f>$E$11*K15</f>
        <v>41619040.049999997</v>
      </c>
      <c r="F15" s="16"/>
      <c r="G15" s="16"/>
      <c r="H15" s="86">
        <f>E15/E19</f>
        <v>49.792103116944183</v>
      </c>
      <c r="I15" s="86"/>
      <c r="J15" s="86"/>
      <c r="K15" s="85">
        <v>0.35</v>
      </c>
      <c r="L15" s="118"/>
      <c r="M15" s="118"/>
      <c r="N15" s="202"/>
      <c r="O15" s="110"/>
      <c r="P15" s="110"/>
      <c r="Q15" s="110"/>
      <c r="R15" s="110"/>
      <c r="S15" s="110"/>
      <c r="T15" s="110"/>
    </row>
    <row r="16" spans="2:27" x14ac:dyDescent="0.25">
      <c r="D16" s="70" t="s">
        <v>49</v>
      </c>
      <c r="E16" s="87">
        <f>$E$11*K16</f>
        <v>17836731.449999999</v>
      </c>
      <c r="F16" s="16"/>
      <c r="G16" s="16"/>
      <c r="H16" s="16"/>
      <c r="I16" s="16"/>
      <c r="J16" s="16"/>
      <c r="K16" s="85">
        <v>0.15</v>
      </c>
      <c r="L16" s="118"/>
      <c r="M16" s="118"/>
      <c r="N16" s="202"/>
      <c r="O16" s="110"/>
      <c r="P16" s="110"/>
      <c r="Q16" s="110"/>
      <c r="R16" s="110"/>
      <c r="S16" s="110"/>
      <c r="T16" s="88"/>
    </row>
    <row r="17" spans="2:32" ht="15.75" thickBot="1" x14ac:dyDescent="0.3">
      <c r="D17" s="70" t="s">
        <v>554</v>
      </c>
      <c r="E17" s="89">
        <f>E14+E15+E16</f>
        <v>118911543</v>
      </c>
      <c r="F17" s="16"/>
      <c r="G17" s="16"/>
      <c r="H17" s="16"/>
      <c r="I17" s="16"/>
      <c r="J17" s="16"/>
      <c r="K17" s="90"/>
      <c r="L17" s="16"/>
      <c r="M17" s="16"/>
      <c r="N17" s="202"/>
      <c r="O17" s="110"/>
      <c r="P17" s="110"/>
      <c r="Q17" s="110"/>
      <c r="R17" s="110"/>
      <c r="S17" s="110"/>
      <c r="U17" s="14">
        <v>0.5</v>
      </c>
      <c r="V17" s="14">
        <v>0.35</v>
      </c>
      <c r="W17" s="14">
        <v>0.15</v>
      </c>
      <c r="X17" s="14"/>
    </row>
    <row r="18" spans="2:32" ht="16.5" thickTop="1" thickBot="1" x14ac:dyDescent="0.3">
      <c r="D18" s="57"/>
      <c r="E18" s="16"/>
      <c r="F18" s="16"/>
      <c r="G18" s="16"/>
      <c r="H18" s="16"/>
      <c r="I18" s="16"/>
      <c r="J18" s="16"/>
      <c r="K18" s="90"/>
      <c r="L18" s="16"/>
      <c r="M18" s="16"/>
      <c r="N18" s="52"/>
      <c r="O18" s="52"/>
      <c r="P18" s="52"/>
      <c r="T18" s="110"/>
      <c r="U18" s="227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8"/>
      <c r="W18" s="228"/>
      <c r="X18" s="228"/>
      <c r="Y18" s="228"/>
      <c r="Z18" s="228"/>
      <c r="AA18" s="229"/>
      <c r="AB18" s="91"/>
    </row>
    <row r="19" spans="2:32" ht="15.75" thickBot="1" x14ac:dyDescent="0.3">
      <c r="D19" s="92" t="s">
        <v>39</v>
      </c>
      <c r="E19" s="167">
        <f>F24</f>
        <v>835856.23913598247</v>
      </c>
      <c r="F19" s="167"/>
      <c r="G19" s="167"/>
      <c r="H19" s="167"/>
      <c r="I19" s="167"/>
      <c r="J19" s="167"/>
      <c r="K19" s="169"/>
      <c r="L19" s="164"/>
      <c r="M19" s="164"/>
      <c r="N19" s="52"/>
      <c r="O19" s="52"/>
      <c r="P19" s="52"/>
      <c r="T19" s="110"/>
      <c r="U19" s="130"/>
      <c r="V19" s="131"/>
      <c r="W19" s="131"/>
      <c r="X19" s="131"/>
      <c r="Y19" s="131"/>
      <c r="Z19" s="132">
        <f>75%</f>
        <v>0.75</v>
      </c>
      <c r="AA19" s="137">
        <f>SUMPRODUCT(--(Z$26:Z$304&lt;Z$19-0.5%),Y$26:Y$304)</f>
        <v>118485647.93628573</v>
      </c>
      <c r="AB19" s="94"/>
    </row>
    <row r="20" spans="2:32" x14ac:dyDescent="0.25">
      <c r="N20" s="52"/>
      <c r="O20" s="52"/>
      <c r="P20" s="52"/>
      <c r="U20" s="134"/>
      <c r="V20" s="133"/>
      <c r="W20" s="133"/>
      <c r="X20" s="133"/>
      <c r="Y20" s="133"/>
      <c r="Z20" s="135"/>
      <c r="AA20" s="137"/>
      <c r="AB20" s="95"/>
    </row>
    <row r="21" spans="2:32" x14ac:dyDescent="0.25">
      <c r="M21" s="24"/>
      <c r="N21" s="52"/>
      <c r="O21" s="52"/>
      <c r="P21" s="52"/>
      <c r="U21" s="134"/>
      <c r="V21" s="133"/>
      <c r="W21" s="133"/>
      <c r="X21" s="133"/>
      <c r="Y21" s="133"/>
      <c r="Z21" s="133"/>
      <c r="AA21" s="137"/>
      <c r="AB21" s="94"/>
    </row>
    <row r="22" spans="2:32" x14ac:dyDescent="0.25">
      <c r="E22" s="165"/>
      <c r="I22" s="24"/>
      <c r="M22" s="17" t="s">
        <v>577</v>
      </c>
      <c r="N22" s="52">
        <f>N24-N23</f>
        <v>4.4703483581542969E-7</v>
      </c>
      <c r="O22" s="52">
        <f>O24-O23</f>
        <v>0</v>
      </c>
      <c r="P22" s="52"/>
      <c r="U22" s="134"/>
      <c r="V22" s="133"/>
      <c r="W22" s="136"/>
      <c r="X22" s="136"/>
      <c r="Y22" s="136"/>
      <c r="Z22" s="133">
        <f>SUMPRODUCT(--($Z$26:$Z$266&lt;Z19),Y26:Y266)</f>
        <v>118485647.93628573</v>
      </c>
      <c r="AA22" s="137">
        <f>SUMPRODUCT(--(Z$26:Z$304&gt;Z$19),Y$26:Y$304)-SUMPRODUCT(--(Z$26:Z$304&gt;Z$19),$S$26:$S$304)*Z$19</f>
        <v>34986.25121437473</v>
      </c>
      <c r="AB22" s="94"/>
    </row>
    <row r="23" spans="2:32" ht="15.75" thickBot="1" x14ac:dyDescent="0.3">
      <c r="D23" s="19"/>
      <c r="E23" s="164"/>
      <c r="F23" s="23"/>
      <c r="G23" s="164"/>
      <c r="H23" s="164"/>
      <c r="I23" s="164"/>
      <c r="J23" s="164"/>
      <c r="K23" s="164"/>
      <c r="L23" s="164"/>
      <c r="M23" s="19"/>
      <c r="N23" s="52">
        <f>H24-K24</f>
        <v>251943321.99999967</v>
      </c>
      <c r="O23" s="16">
        <f>'2016 Lockdown Update'!G3</f>
        <v>247796866.48000005</v>
      </c>
      <c r="P23" s="16"/>
      <c r="Q23" s="151"/>
      <c r="S23" s="96">
        <v>244990724.68231803</v>
      </c>
      <c r="U23" s="134"/>
      <c r="V23" s="133"/>
      <c r="W23" s="133">
        <f>E16-W24</f>
        <v>3652454.9531588219</v>
      </c>
      <c r="X23" s="136"/>
      <c r="Y23" s="136"/>
      <c r="Z23" s="133">
        <f>SUMPRODUCT(--($Z$26:$Z$266&gt;$Z$19),$Y$26:$Y$266)-$Z$19*SUMPRODUCT(--($Z$26:$Z$266&gt;$Z$19),$S$26:$S$266)</f>
        <v>34986.25121437473</v>
      </c>
      <c r="AA23" s="137">
        <f>SUM(AA26:AA304)</f>
        <v>118911542.99999999</v>
      </c>
      <c r="AB23" s="94"/>
    </row>
    <row r="24" spans="2:32" ht="15.75" thickBot="1" x14ac:dyDescent="0.3">
      <c r="E24" s="165">
        <f t="shared" ref="E24:P24" si="1">SUM(E26:E304)</f>
        <v>836226.57012641197</v>
      </c>
      <c r="F24" s="165">
        <f t="shared" si="1"/>
        <v>835856.23913598247</v>
      </c>
      <c r="G24" s="165">
        <f t="shared" si="1"/>
        <v>-370.3309904295545</v>
      </c>
      <c r="H24" s="5">
        <f t="shared" si="1"/>
        <v>346999803.20999968</v>
      </c>
      <c r="I24" s="5">
        <f t="shared" si="1"/>
        <v>344197317.13999963</v>
      </c>
      <c r="J24" s="5">
        <f t="shared" si="1"/>
        <v>-2802486.0700000203</v>
      </c>
      <c r="K24" s="5">
        <f t="shared" si="1"/>
        <v>95056481.210000008</v>
      </c>
      <c r="L24" s="5">
        <f t="shared" si="1"/>
        <v>96400450.660000026</v>
      </c>
      <c r="M24" s="5">
        <f t="shared" si="1"/>
        <v>1343969.4500000032</v>
      </c>
      <c r="N24" s="5">
        <f t="shared" si="1"/>
        <v>251943322.00000012</v>
      </c>
      <c r="O24" s="5">
        <f t="shared" si="1"/>
        <v>247796866.48000008</v>
      </c>
      <c r="P24" s="5">
        <f t="shared" si="1"/>
        <v>-4146455.52000002</v>
      </c>
      <c r="R24" s="17" t="s">
        <v>12</v>
      </c>
      <c r="S24" s="16">
        <f>SUM(S26:S304)</f>
        <v>244619802.15225312</v>
      </c>
      <c r="T24" s="98"/>
      <c r="U24" s="99">
        <f>SUM(U26:U304)</f>
        <v>59455771.49999997</v>
      </c>
      <c r="V24" s="100">
        <f>SUM(V26:V304)</f>
        <v>41619040.050000019</v>
      </c>
      <c r="W24" s="100">
        <f>IFERROR(SUM(W26:W304),0)</f>
        <v>14184276.496841177</v>
      </c>
      <c r="X24" s="100">
        <f>SUM(X26:X304)</f>
        <v>3652454.9531588196</v>
      </c>
      <c r="Y24" s="100">
        <f>SUM(Y26:Y304)</f>
        <v>118911543.0000001</v>
      </c>
      <c r="Z24" s="225" t="str">
        <f xml:space="preserve"> "Limit: "&amp;TEXT(Z19,"#,##0.0%")&amp;" of Filtered Net Cost"</f>
        <v>Limit: 75.0% of Filtered Net Cost</v>
      </c>
      <c r="AA24" s="226"/>
      <c r="AB24" s="91"/>
      <c r="AC24" s="104">
        <f>SUM(AC26:AC266)</f>
        <v>118911543.0000001</v>
      </c>
    </row>
    <row r="25" spans="2:32" ht="65.25" customHeight="1" thickBot="1" x14ac:dyDescent="0.3">
      <c r="B25" s="113" t="s">
        <v>11</v>
      </c>
      <c r="C25" s="113" t="s">
        <v>10</v>
      </c>
      <c r="D25" s="113" t="s">
        <v>9</v>
      </c>
      <c r="E25" s="139" t="s">
        <v>612</v>
      </c>
      <c r="F25" s="119" t="s">
        <v>613</v>
      </c>
      <c r="G25" s="120" t="s">
        <v>55</v>
      </c>
      <c r="H25" s="139" t="s">
        <v>614</v>
      </c>
      <c r="I25" s="119" t="s">
        <v>541</v>
      </c>
      <c r="J25" s="120" t="s">
        <v>55</v>
      </c>
      <c r="K25" s="139" t="s">
        <v>615</v>
      </c>
      <c r="L25" s="119" t="s">
        <v>542</v>
      </c>
      <c r="M25" s="120" t="s">
        <v>55</v>
      </c>
      <c r="N25" s="205" t="s">
        <v>616</v>
      </c>
      <c r="O25" s="119" t="s">
        <v>543</v>
      </c>
      <c r="P25" s="120" t="s">
        <v>55</v>
      </c>
      <c r="Q25" s="114" t="s">
        <v>8</v>
      </c>
      <c r="R25" s="114" t="s">
        <v>1</v>
      </c>
      <c r="S25" s="114" t="str">
        <f>"Adjusted Net Cost"&amp;CHAR(10)&amp;TEXT(SUM(S26:S304),"$#,##0")</f>
        <v>Adjusted Net Cost
$244,619,802</v>
      </c>
      <c r="T25" s="139" t="s">
        <v>40</v>
      </c>
      <c r="U25" s="114" t="s">
        <v>41</v>
      </c>
      <c r="V25" s="114" t="s">
        <v>42</v>
      </c>
      <c r="W25" s="156" t="s">
        <v>43</v>
      </c>
      <c r="X25" s="114" t="s">
        <v>44</v>
      </c>
      <c r="Y25" s="114" t="str">
        <f>"Subtotal Funding Net of CIF"&amp;CHAR(10)&amp;TEXT(SUM(Y26:Y304),"$#,##0")</f>
        <v>Subtotal Funding Net of CIF
$118,911,543</v>
      </c>
      <c r="Z25" s="156" t="s">
        <v>45</v>
      </c>
      <c r="AA25" s="114" t="str">
        <f>"Total 2016 Adjusted Payment"&amp;CHAR(10)&amp;TEXT(SUM($AA$26:$AA$298),"$#,##0;(-$#,##0)")</f>
        <v>Total 2016 Adjusted Payment
$118,911,543</v>
      </c>
      <c r="AB25" s="102"/>
      <c r="AC25" s="121" t="s">
        <v>547</v>
      </c>
      <c r="AD25" s="121" t="s">
        <v>591</v>
      </c>
      <c r="AE25" s="121" t="s">
        <v>595</v>
      </c>
      <c r="AF25" s="121" t="s">
        <v>552</v>
      </c>
    </row>
    <row r="26" spans="2:32" x14ac:dyDescent="0.25">
      <c r="B26" s="11">
        <v>1</v>
      </c>
      <c r="C26" s="11">
        <v>1</v>
      </c>
      <c r="D26" s="8" t="s">
        <v>59</v>
      </c>
      <c r="E26" s="162">
        <v>43970.659999999996</v>
      </c>
      <c r="F26" s="162">
        <f>INDEX('2016 Lockdown Update'!H$5:H$245,MATCH(B26,'2016 Lockdown Update'!B$5:B$245,0))</f>
        <v>43970.659999999996</v>
      </c>
      <c r="G26" s="162">
        <f>F26-E26</f>
        <v>0</v>
      </c>
      <c r="H26" s="5">
        <v>9112990.4000000004</v>
      </c>
      <c r="I26" s="5">
        <f>INDEX('2016 Lockdown Update'!E$5:E$245,MATCH(B26,'2016 Lockdown Update'!B$5:B$245,0))</f>
        <v>9112990.4000000004</v>
      </c>
      <c r="J26" s="5">
        <f t="shared" ref="J26:J89" si="2">I26-H26</f>
        <v>0</v>
      </c>
      <c r="K26" s="5">
        <v>1406231.25</v>
      </c>
      <c r="L26" s="5">
        <f>INDEX('2016 Lockdown Update'!F$5:F$245,MATCH(B26,'2016 Lockdown Update'!B$5:B$245,0))</f>
        <v>1406231.25</v>
      </c>
      <c r="M26" s="5">
        <f t="shared" ref="M26:M89" si="3">L26-K26</f>
        <v>0</v>
      </c>
      <c r="N26" s="5">
        <v>7706759.1500000004</v>
      </c>
      <c r="O26" s="105">
        <f t="shared" ref="O26:O89" si="4">I26-L26</f>
        <v>7706759.1500000004</v>
      </c>
      <c r="P26" s="105">
        <f t="shared" ref="P26:P89" si="5">O26-N26</f>
        <v>0</v>
      </c>
      <c r="Q26" s="103">
        <f t="shared" ref="Q26:Q89" si="6">IFERROR(O26/F26,"n.a.")</f>
        <v>175.27049059531973</v>
      </c>
      <c r="R26" s="6">
        <f t="shared" ref="R26:R89" si="7">MIN(Q26,INDEX($V$3:$V$11,MATCH(C26,$S$3:$S$11,0)))</f>
        <v>175.27049059531973</v>
      </c>
      <c r="S26" s="5">
        <f t="shared" ref="S26:S89" si="8">F26*R26</f>
        <v>7706759.1500000004</v>
      </c>
      <c r="T26" s="140">
        <v>1</v>
      </c>
      <c r="U26" s="105">
        <f t="shared" ref="U26:U89" si="9">$E$14*(S26/$S$24)</f>
        <v>1873157.0665842509</v>
      </c>
      <c r="V26" s="105">
        <f t="shared" ref="V26:V89" si="10">$E$15*(F26/$F$24)</f>
        <v>2189391.6368400925</v>
      </c>
      <c r="W26" s="105">
        <f t="shared" ref="W26:W89" si="11">IFERROR(T26*$E$16*(S26/$S$24),0)</f>
        <v>561947.11997527524</v>
      </c>
      <c r="X26" s="105">
        <f t="shared" ref="X26:X89" si="12">($W$23+$E$9)*(S26/$S$24)</f>
        <v>115070.77670146954</v>
      </c>
      <c r="Y26" s="105">
        <f>U26+V26+W26+X26</f>
        <v>4739566.6001010882</v>
      </c>
      <c r="Z26" s="112">
        <f>IFERROR((Y26/S26),0)</f>
        <v>0.6149882859776522</v>
      </c>
      <c r="AA26" s="104">
        <f>IF(Z26&gt;$Z$19,$Z$19*S26,Y26+($Z$23*Y26/$Z$22))</f>
        <v>4740966.0916902097</v>
      </c>
      <c r="AB26" s="105"/>
      <c r="AC26" s="104">
        <v>4696013.4176183213</v>
      </c>
      <c r="AD26" s="5">
        <f>AA26-AC26</f>
        <v>44952.674071888439</v>
      </c>
      <c r="AE26" s="5">
        <v>-13538.726895666681</v>
      </c>
      <c r="AF26" s="5">
        <f>AD26-AE26</f>
        <v>58491.400967555121</v>
      </c>
    </row>
    <row r="27" spans="2:32" x14ac:dyDescent="0.25">
      <c r="B27" s="10">
        <v>20</v>
      </c>
      <c r="C27" s="10">
        <v>1</v>
      </c>
      <c r="D27" s="9" t="s">
        <v>60</v>
      </c>
      <c r="E27" s="162">
        <v>125140.00999999998</v>
      </c>
      <c r="F27" s="162">
        <f>INDEX('2016 Lockdown Update'!H$5:H$245,MATCH(B27,'2016 Lockdown Update'!B$5:B$245,0))</f>
        <v>125140.01999999999</v>
      </c>
      <c r="G27" s="162">
        <f t="shared" ref="G27:G90" si="13">F27-E27</f>
        <v>1.0000000009313226E-2</v>
      </c>
      <c r="H27" s="5">
        <v>70701384.180000007</v>
      </c>
      <c r="I27" s="5">
        <f>INDEX('2016 Lockdown Update'!E$5:E$245,MATCH(B27,'2016 Lockdown Update'!B$5:B$245,0))</f>
        <v>68990192.879999995</v>
      </c>
      <c r="J27" s="5">
        <f t="shared" si="2"/>
        <v>-1711191.3000000119</v>
      </c>
      <c r="K27" s="5">
        <v>16340187.689999999</v>
      </c>
      <c r="L27" s="5">
        <f>INDEX('2016 Lockdown Update'!F$5:F$245,MATCH(B27,'2016 Lockdown Update'!B$5:B$245,0))</f>
        <v>17704198.630000003</v>
      </c>
      <c r="M27" s="5">
        <f t="shared" si="3"/>
        <v>1364010.9400000032</v>
      </c>
      <c r="N27" s="5">
        <v>54361196.490000002</v>
      </c>
      <c r="O27" s="105">
        <f t="shared" si="4"/>
        <v>51285994.249999993</v>
      </c>
      <c r="P27" s="105">
        <f t="shared" si="5"/>
        <v>-3075202.2400000095</v>
      </c>
      <c r="Q27" s="103">
        <f t="shared" si="6"/>
        <v>409.82888008168766</v>
      </c>
      <c r="R27" s="6">
        <f t="shared" si="7"/>
        <v>409.82888008168766</v>
      </c>
      <c r="S27" s="5">
        <f t="shared" si="8"/>
        <v>51285994.249999993</v>
      </c>
      <c r="T27" s="140">
        <v>0.78333333333333344</v>
      </c>
      <c r="U27" s="105">
        <f t="shared" si="9"/>
        <v>12465255.586219627</v>
      </c>
      <c r="V27" s="105">
        <f t="shared" si="10"/>
        <v>6230984.7798964567</v>
      </c>
      <c r="W27" s="105">
        <f t="shared" si="11"/>
        <v>2929335.0627616132</v>
      </c>
      <c r="X27" s="105">
        <f t="shared" si="12"/>
        <v>765758.87184103823</v>
      </c>
      <c r="Y27" s="105">
        <f t="shared" ref="Y27:Y90" si="14">U27+V27+W27+X27</f>
        <v>22391334.300718736</v>
      </c>
      <c r="Z27" s="112">
        <f t="shared" ref="Z27:Z90" si="15">IFERROR((Y27/S27),0)</f>
        <v>0.43659744981386883</v>
      </c>
      <c r="AA27" s="104">
        <f t="shared" ref="AA27:AA90" si="16">IF(Z27&gt;$Z$19,$Z$19*S27,Y27+($Z$23*Y27/$Z$22))</f>
        <v>22397945.977833346</v>
      </c>
      <c r="AB27" s="105"/>
      <c r="AC27" s="104">
        <v>23046150.62821481</v>
      </c>
      <c r="AD27" s="5">
        <f t="shared" ref="AD27:AD90" si="17">AA27-AC27</f>
        <v>-648204.65038146451</v>
      </c>
      <c r="AE27" s="5">
        <v>591618.95697484538</v>
      </c>
      <c r="AF27" s="5">
        <f t="shared" ref="AF27:AF90" si="18">AD27-AE27</f>
        <v>-1239823.6073563099</v>
      </c>
    </row>
    <row r="28" spans="2:32" x14ac:dyDescent="0.25">
      <c r="B28" s="10">
        <v>50</v>
      </c>
      <c r="C28" s="10">
        <v>1</v>
      </c>
      <c r="D28" s="9" t="s">
        <v>61</v>
      </c>
      <c r="E28" s="162">
        <v>23190.65</v>
      </c>
      <c r="F28" s="162">
        <f>INDEX('2016 Lockdown Update'!H$5:H$245,MATCH(B28,'2016 Lockdown Update'!B$5:B$245,0))</f>
        <v>23190.65</v>
      </c>
      <c r="G28" s="162">
        <f t="shared" si="13"/>
        <v>0</v>
      </c>
      <c r="H28" s="5">
        <v>9911640.4600000009</v>
      </c>
      <c r="I28" s="5">
        <f>INDEX('2016 Lockdown Update'!E$5:E$245,MATCH(B28,'2016 Lockdown Update'!B$5:B$245,0))</f>
        <v>9617663.75</v>
      </c>
      <c r="J28" s="5">
        <f t="shared" si="2"/>
        <v>-293976.71000000089</v>
      </c>
      <c r="K28" s="5">
        <v>3453614.89</v>
      </c>
      <c r="L28" s="5">
        <f>INDEX('2016 Lockdown Update'!F$5:F$245,MATCH(B28,'2016 Lockdown Update'!B$5:B$245,0))</f>
        <v>3453614.8900000006</v>
      </c>
      <c r="M28" s="5">
        <f t="shared" si="3"/>
        <v>0</v>
      </c>
      <c r="N28" s="5">
        <v>6458025.5700000003</v>
      </c>
      <c r="O28" s="105">
        <f t="shared" si="4"/>
        <v>6164048.8599999994</v>
      </c>
      <c r="P28" s="105">
        <f t="shared" si="5"/>
        <v>-293976.71000000089</v>
      </c>
      <c r="Q28" s="103">
        <f t="shared" si="6"/>
        <v>265.79888273937985</v>
      </c>
      <c r="R28" s="6">
        <f t="shared" si="7"/>
        <v>265.79888273937985</v>
      </c>
      <c r="S28" s="5">
        <f t="shared" si="8"/>
        <v>6164048.8599999994</v>
      </c>
      <c r="T28" s="140">
        <v>0.83899999999999997</v>
      </c>
      <c r="U28" s="105">
        <f t="shared" si="9"/>
        <v>1498195.47440763</v>
      </c>
      <c r="V28" s="105">
        <f t="shared" si="10"/>
        <v>1154711.2361489618</v>
      </c>
      <c r="W28" s="105">
        <f t="shared" si="11"/>
        <v>377095.80090840044</v>
      </c>
      <c r="X28" s="105">
        <f t="shared" si="12"/>
        <v>92036.337991178531</v>
      </c>
      <c r="Y28" s="105">
        <f t="shared" si="14"/>
        <v>3122038.849456171</v>
      </c>
      <c r="Z28" s="112">
        <f t="shared" si="15"/>
        <v>0.50649158051225629</v>
      </c>
      <c r="AA28" s="104">
        <f t="shared" si="16"/>
        <v>3122960.7200572994</v>
      </c>
      <c r="AB28" s="105"/>
      <c r="AC28" s="104">
        <v>3178014.2445185822</v>
      </c>
      <c r="AD28" s="5">
        <f t="shared" si="17"/>
        <v>-55053.524461282883</v>
      </c>
      <c r="AE28" s="5">
        <v>-102846.01362102432</v>
      </c>
      <c r="AF28" s="5">
        <f t="shared" si="18"/>
        <v>47792.489159741439</v>
      </c>
    </row>
    <row r="29" spans="2:32" x14ac:dyDescent="0.25">
      <c r="B29" s="10">
        <v>97</v>
      </c>
      <c r="C29" s="10">
        <v>1</v>
      </c>
      <c r="D29" s="9" t="s">
        <v>62</v>
      </c>
      <c r="E29" s="162">
        <v>67811.190000000017</v>
      </c>
      <c r="F29" s="162">
        <f>INDEX('2016 Lockdown Update'!H$5:H$245,MATCH(B29,'2016 Lockdown Update'!B$5:B$245,0))</f>
        <v>67811.190000000017</v>
      </c>
      <c r="G29" s="162">
        <f t="shared" si="13"/>
        <v>0</v>
      </c>
      <c r="H29" s="5">
        <v>25009982.5</v>
      </c>
      <c r="I29" s="5">
        <f>INDEX('2016 Lockdown Update'!E$5:E$245,MATCH(B29,'2016 Lockdown Update'!B$5:B$245,0))</f>
        <v>25009982.5</v>
      </c>
      <c r="J29" s="5">
        <f t="shared" si="2"/>
        <v>0</v>
      </c>
      <c r="K29" s="5">
        <v>9071705.5600000005</v>
      </c>
      <c r="L29" s="5">
        <f>INDEX('2016 Lockdown Update'!F$5:F$245,MATCH(B29,'2016 Lockdown Update'!B$5:B$245,0))</f>
        <v>9071705.5600000005</v>
      </c>
      <c r="M29" s="5">
        <f t="shared" si="3"/>
        <v>0</v>
      </c>
      <c r="N29" s="5">
        <v>15938276.939999999</v>
      </c>
      <c r="O29" s="105">
        <f t="shared" si="4"/>
        <v>15938276.939999999</v>
      </c>
      <c r="P29" s="105">
        <f t="shared" si="5"/>
        <v>0</v>
      </c>
      <c r="Q29" s="103">
        <f t="shared" si="6"/>
        <v>235.039039132037</v>
      </c>
      <c r="R29" s="6">
        <f t="shared" si="7"/>
        <v>235.039039132037</v>
      </c>
      <c r="S29" s="5">
        <f t="shared" si="8"/>
        <v>15938276.939999999</v>
      </c>
      <c r="T29" s="140">
        <v>0.88075000000000003</v>
      </c>
      <c r="U29" s="105">
        <f t="shared" si="9"/>
        <v>3873858.7126260204</v>
      </c>
      <c r="V29" s="105">
        <f t="shared" si="10"/>
        <v>3376461.7649626951</v>
      </c>
      <c r="W29" s="105">
        <f t="shared" si="11"/>
        <v>1023570.3183436103</v>
      </c>
      <c r="X29" s="105">
        <f t="shared" si="12"/>
        <v>237976.80335824698</v>
      </c>
      <c r="Y29" s="105">
        <f t="shared" si="14"/>
        <v>8511867.5992905721</v>
      </c>
      <c r="Z29" s="112">
        <f t="shared" si="15"/>
        <v>0.53405193242241233</v>
      </c>
      <c r="AA29" s="104">
        <f t="shared" si="16"/>
        <v>8514380.96984067</v>
      </c>
      <c r="AB29" s="105"/>
      <c r="AC29" s="104">
        <v>8369833.5349807274</v>
      </c>
      <c r="AD29" s="5">
        <f>AA29-AC29</f>
        <v>144547.43485994264</v>
      </c>
      <c r="AE29" s="5">
        <v>-27521.585391116329</v>
      </c>
      <c r="AF29" s="5">
        <f t="shared" si="18"/>
        <v>172069.02025105897</v>
      </c>
    </row>
    <row r="30" spans="2:32" x14ac:dyDescent="0.25">
      <c r="B30" s="10">
        <v>172</v>
      </c>
      <c r="C30" s="10">
        <v>1</v>
      </c>
      <c r="D30" s="9" t="s">
        <v>63</v>
      </c>
      <c r="E30" s="162">
        <v>35625.740000000005</v>
      </c>
      <c r="F30" s="162">
        <f>INDEX('2016 Lockdown Update'!H$5:H$245,MATCH(B30,'2016 Lockdown Update'!B$5:B$245,0))</f>
        <v>35625.740000000005</v>
      </c>
      <c r="G30" s="162">
        <f t="shared" si="13"/>
        <v>0</v>
      </c>
      <c r="H30" s="5">
        <v>14136507.07</v>
      </c>
      <c r="I30" s="5">
        <f>INDEX('2016 Lockdown Update'!E$5:E$245,MATCH(B30,'2016 Lockdown Update'!B$5:B$245,0))</f>
        <v>14136507.07</v>
      </c>
      <c r="J30" s="5">
        <f t="shared" si="2"/>
        <v>0</v>
      </c>
      <c r="K30" s="5">
        <v>4169394.91</v>
      </c>
      <c r="L30" s="5">
        <f>INDEX('2016 Lockdown Update'!F$5:F$245,MATCH(B30,'2016 Lockdown Update'!B$5:B$245,0))</f>
        <v>4169394.9099999997</v>
      </c>
      <c r="M30" s="5">
        <f t="shared" si="3"/>
        <v>0</v>
      </c>
      <c r="N30" s="5">
        <v>9967112.1600000001</v>
      </c>
      <c r="O30" s="105">
        <f t="shared" si="4"/>
        <v>9967112.1600000001</v>
      </c>
      <c r="P30" s="105">
        <f t="shared" si="5"/>
        <v>0</v>
      </c>
      <c r="Q30" s="103">
        <f t="shared" si="6"/>
        <v>279.77277552690833</v>
      </c>
      <c r="R30" s="6">
        <f t="shared" si="7"/>
        <v>279.77277552690833</v>
      </c>
      <c r="S30" s="5">
        <f t="shared" si="8"/>
        <v>9967112.1600000001</v>
      </c>
      <c r="T30" s="140">
        <v>0.84254166666666663</v>
      </c>
      <c r="U30" s="105">
        <f t="shared" si="9"/>
        <v>2422544.4460583432</v>
      </c>
      <c r="V30" s="105">
        <f t="shared" si="10"/>
        <v>1773880.5196974436</v>
      </c>
      <c r="W30" s="105">
        <f t="shared" si="11"/>
        <v>612328.39054682187</v>
      </c>
      <c r="X30" s="105">
        <f t="shared" si="12"/>
        <v>148820.44649362913</v>
      </c>
      <c r="Y30" s="105">
        <f t="shared" si="14"/>
        <v>4957573.8027962381</v>
      </c>
      <c r="Z30" s="112">
        <f t="shared" si="15"/>
        <v>0.49739319907444868</v>
      </c>
      <c r="AA30" s="104">
        <f t="shared" si="16"/>
        <v>4959037.6672009099</v>
      </c>
      <c r="AB30" s="105"/>
      <c r="AC30" s="104">
        <v>4928893.5091625936</v>
      </c>
      <c r="AD30" s="5">
        <f t="shared" si="17"/>
        <v>30144.158038316295</v>
      </c>
      <c r="AE30" s="5">
        <v>-17606.12610405311</v>
      </c>
      <c r="AF30" s="5">
        <f t="shared" si="18"/>
        <v>47750.284142369404</v>
      </c>
    </row>
    <row r="31" spans="2:32" x14ac:dyDescent="0.25">
      <c r="B31" s="10">
        <v>270</v>
      </c>
      <c r="C31" s="10">
        <v>1</v>
      </c>
      <c r="D31" s="9" t="s">
        <v>64</v>
      </c>
      <c r="E31" s="162">
        <v>86316.640000000029</v>
      </c>
      <c r="F31" s="162">
        <f>INDEX('2016 Lockdown Update'!H$5:H$245,MATCH(B31,'2016 Lockdown Update'!B$5:B$245,0))</f>
        <v>86316.640000000029</v>
      </c>
      <c r="G31" s="162">
        <f t="shared" si="13"/>
        <v>0</v>
      </c>
      <c r="H31" s="5">
        <v>36856703.810000002</v>
      </c>
      <c r="I31" s="5">
        <f>INDEX('2016 Lockdown Update'!E$5:E$245,MATCH(B31,'2016 Lockdown Update'!B$5:B$245,0))</f>
        <v>37138695.909999996</v>
      </c>
      <c r="J31" s="5">
        <f t="shared" si="2"/>
        <v>281992.09999999404</v>
      </c>
      <c r="K31" s="5">
        <v>10286356.529999999</v>
      </c>
      <c r="L31" s="5">
        <f>INDEX('2016 Lockdown Update'!F$5:F$245,MATCH(B31,'2016 Lockdown Update'!B$5:B$245,0))</f>
        <v>10286356.529999999</v>
      </c>
      <c r="M31" s="5">
        <f t="shared" si="3"/>
        <v>0</v>
      </c>
      <c r="N31" s="5">
        <v>26570347.280000001</v>
      </c>
      <c r="O31" s="105">
        <f t="shared" si="4"/>
        <v>26852339.379999995</v>
      </c>
      <c r="P31" s="105">
        <f t="shared" si="5"/>
        <v>281992.09999999404</v>
      </c>
      <c r="Q31" s="103">
        <f t="shared" si="6"/>
        <v>311.09111035832706</v>
      </c>
      <c r="R31" s="6">
        <f t="shared" si="7"/>
        <v>311.09111035832706</v>
      </c>
      <c r="S31" s="5">
        <f t="shared" si="8"/>
        <v>26852339.379999995</v>
      </c>
      <c r="T31" s="140">
        <v>0.88075000000000003</v>
      </c>
      <c r="U31" s="105">
        <f t="shared" si="9"/>
        <v>6526563.0189008238</v>
      </c>
      <c r="V31" s="105">
        <f t="shared" si="10"/>
        <v>4297887.0395881506</v>
      </c>
      <c r="W31" s="105">
        <f t="shared" si="11"/>
        <v>1724481.1136690702</v>
      </c>
      <c r="X31" s="105">
        <f t="shared" si="12"/>
        <v>400936.3065028516</v>
      </c>
      <c r="Y31" s="105">
        <f t="shared" si="14"/>
        <v>12949867.478660895</v>
      </c>
      <c r="Z31" s="112">
        <f t="shared" si="15"/>
        <v>0.48226217073310718</v>
      </c>
      <c r="AA31" s="104">
        <f t="shared" si="16"/>
        <v>12953691.294664711</v>
      </c>
      <c r="AB31" s="105"/>
      <c r="AC31" s="104">
        <v>12781488.289456831</v>
      </c>
      <c r="AD31" s="5">
        <f t="shared" si="17"/>
        <v>172203.00520787947</v>
      </c>
      <c r="AE31" s="5">
        <v>-30743.123157726601</v>
      </c>
      <c r="AF31" s="5">
        <f t="shared" si="18"/>
        <v>202946.12836560607</v>
      </c>
    </row>
    <row r="32" spans="2:32" x14ac:dyDescent="0.25">
      <c r="B32" s="10">
        <v>6</v>
      </c>
      <c r="C32" s="10">
        <v>2</v>
      </c>
      <c r="D32" s="9" t="s">
        <v>65</v>
      </c>
      <c r="E32" s="162">
        <v>43777</v>
      </c>
      <c r="F32" s="162">
        <f>INDEX('2016 Lockdown Update'!H$5:H$245,MATCH(B32,'2016 Lockdown Update'!B$5:B$245,0))</f>
        <v>43706.960000000006</v>
      </c>
      <c r="G32" s="162">
        <f t="shared" si="13"/>
        <v>-70.039999999993597</v>
      </c>
      <c r="H32" s="5">
        <v>18528228.559999999</v>
      </c>
      <c r="I32" s="5">
        <f>INDEX('2016 Lockdown Update'!E$5:E$245,MATCH(B32,'2016 Lockdown Update'!B$5:B$245,0))</f>
        <v>17861250.059999999</v>
      </c>
      <c r="J32" s="5">
        <f t="shared" si="2"/>
        <v>-666978.5</v>
      </c>
      <c r="K32" s="5">
        <v>5350826.83</v>
      </c>
      <c r="L32" s="5">
        <f>INDEX('2016 Lockdown Update'!F$5:F$245,MATCH(B32,'2016 Lockdown Update'!B$5:B$245,0))</f>
        <v>5342280.3</v>
      </c>
      <c r="M32" s="5">
        <f t="shared" si="3"/>
        <v>-8546.5300000002608</v>
      </c>
      <c r="N32" s="5">
        <v>13177401.73</v>
      </c>
      <c r="O32" s="105">
        <f t="shared" si="4"/>
        <v>12518969.759999998</v>
      </c>
      <c r="P32" s="105">
        <f t="shared" si="5"/>
        <v>-658431.97000000253</v>
      </c>
      <c r="Q32" s="103">
        <f t="shared" si="6"/>
        <v>286.42966154589556</v>
      </c>
      <c r="R32" s="6">
        <f t="shared" si="7"/>
        <v>278.01657705657993</v>
      </c>
      <c r="S32" s="5">
        <f t="shared" si="8"/>
        <v>12151259.412748858</v>
      </c>
      <c r="T32" s="140">
        <v>0.77573266666666674</v>
      </c>
      <c r="U32" s="105">
        <f t="shared" si="9"/>
        <v>2953409.7269523358</v>
      </c>
      <c r="V32" s="105">
        <f t="shared" si="10"/>
        <v>2176261.4592481549</v>
      </c>
      <c r="W32" s="105">
        <f t="shared" si="11"/>
        <v>687316.92097440222</v>
      </c>
      <c r="X32" s="105">
        <f t="shared" si="12"/>
        <v>181432.27669519861</v>
      </c>
      <c r="Y32" s="105">
        <f t="shared" si="14"/>
        <v>5998420.3838700904</v>
      </c>
      <c r="Z32" s="112">
        <f t="shared" si="15"/>
        <v>0.49364598187877279</v>
      </c>
      <c r="AA32" s="104">
        <f t="shared" si="16"/>
        <v>6000191.5877761729</v>
      </c>
      <c r="AB32" s="105"/>
      <c r="AC32" s="104">
        <v>6102264.0157708973</v>
      </c>
      <c r="AD32" s="5">
        <f t="shared" si="17"/>
        <v>-102072.42799472436</v>
      </c>
      <c r="AE32" s="5">
        <v>-152788.29506753571</v>
      </c>
      <c r="AF32" s="5">
        <f t="shared" si="18"/>
        <v>50715.86707281135</v>
      </c>
    </row>
    <row r="33" spans="2:32" x14ac:dyDescent="0.25">
      <c r="B33" s="10">
        <v>18</v>
      </c>
      <c r="C33" s="10">
        <v>2</v>
      </c>
      <c r="D33" s="9" t="s">
        <v>66</v>
      </c>
      <c r="E33" s="162">
        <v>23044.730000000003</v>
      </c>
      <c r="F33" s="162">
        <f>INDEX('2016 Lockdown Update'!H$5:H$245,MATCH(B33,'2016 Lockdown Update'!B$5:B$245,0))</f>
        <v>23044.73</v>
      </c>
      <c r="G33" s="162">
        <f t="shared" si="13"/>
        <v>0</v>
      </c>
      <c r="H33" s="5">
        <v>7643001.5800000001</v>
      </c>
      <c r="I33" s="5">
        <f>INDEX('2016 Lockdown Update'!E$5:E$245,MATCH(B33,'2016 Lockdown Update'!B$5:B$245,0))</f>
        <v>7643001.5800000001</v>
      </c>
      <c r="J33" s="5">
        <f t="shared" si="2"/>
        <v>0</v>
      </c>
      <c r="K33" s="5">
        <v>3443707.6</v>
      </c>
      <c r="L33" s="5">
        <f>INDEX('2016 Lockdown Update'!F$5:F$245,MATCH(B33,'2016 Lockdown Update'!B$5:B$245,0))</f>
        <v>3443707.5999999996</v>
      </c>
      <c r="M33" s="5">
        <f t="shared" si="3"/>
        <v>0</v>
      </c>
      <c r="N33" s="5">
        <v>4199293.9800000004</v>
      </c>
      <c r="O33" s="105">
        <f t="shared" si="4"/>
        <v>4199293.9800000004</v>
      </c>
      <c r="P33" s="105">
        <f t="shared" si="5"/>
        <v>0</v>
      </c>
      <c r="Q33" s="103">
        <f t="shared" si="6"/>
        <v>182.22361381539295</v>
      </c>
      <c r="R33" s="6">
        <f t="shared" si="7"/>
        <v>182.22361381539295</v>
      </c>
      <c r="S33" s="5">
        <f t="shared" si="8"/>
        <v>4199293.9800000004</v>
      </c>
      <c r="T33" s="140">
        <v>0.79725000000000001</v>
      </c>
      <c r="U33" s="105">
        <f t="shared" si="9"/>
        <v>1020654.3425327758</v>
      </c>
      <c r="V33" s="105">
        <f t="shared" si="10"/>
        <v>1147445.5724621373</v>
      </c>
      <c r="W33" s="105">
        <f t="shared" si="11"/>
        <v>244115.00237527664</v>
      </c>
      <c r="X33" s="105">
        <f t="shared" si="12"/>
        <v>62700.288210824037</v>
      </c>
      <c r="Y33" s="105">
        <f t="shared" si="14"/>
        <v>2474915.205581014</v>
      </c>
      <c r="Z33" s="112">
        <f t="shared" si="15"/>
        <v>0.5893645973271473</v>
      </c>
      <c r="AA33" s="104">
        <f t="shared" si="16"/>
        <v>2475645.9945552475</v>
      </c>
      <c r="AB33" s="105"/>
      <c r="AC33" s="104">
        <v>2437881.1210492165</v>
      </c>
      <c r="AD33" s="5">
        <f t="shared" si="17"/>
        <v>37764.873506030999</v>
      </c>
      <c r="AE33" s="5">
        <v>-6946.505046769511</v>
      </c>
      <c r="AF33" s="5">
        <f t="shared" si="18"/>
        <v>44711.37855280051</v>
      </c>
    </row>
    <row r="34" spans="2:32" x14ac:dyDescent="0.25">
      <c r="B34" s="10">
        <v>53</v>
      </c>
      <c r="C34" s="10">
        <v>2</v>
      </c>
      <c r="D34" s="9" t="s">
        <v>67</v>
      </c>
      <c r="E34" s="162">
        <v>33262.797399999996</v>
      </c>
      <c r="F34" s="162">
        <f>INDEX('2016 Lockdown Update'!H$5:H$245,MATCH(B34,'2016 Lockdown Update'!B$5:B$245,0))</f>
        <v>33262.797399999996</v>
      </c>
      <c r="G34" s="162">
        <f t="shared" si="13"/>
        <v>0</v>
      </c>
      <c r="H34" s="5">
        <v>11890778.710000001</v>
      </c>
      <c r="I34" s="5">
        <f>INDEX('2016 Lockdown Update'!E$5:E$245,MATCH(B34,'2016 Lockdown Update'!B$5:B$245,0))</f>
        <v>11890778.710000001</v>
      </c>
      <c r="J34" s="5">
        <f t="shared" si="2"/>
        <v>0</v>
      </c>
      <c r="K34" s="5">
        <v>4165499.05</v>
      </c>
      <c r="L34" s="5">
        <f>INDEX('2016 Lockdown Update'!F$5:F$245,MATCH(B34,'2016 Lockdown Update'!B$5:B$245,0))</f>
        <v>4165499.05</v>
      </c>
      <c r="M34" s="5">
        <f t="shared" si="3"/>
        <v>0</v>
      </c>
      <c r="N34" s="5">
        <v>7725279.6600000001</v>
      </c>
      <c r="O34" s="105">
        <f t="shared" si="4"/>
        <v>7725279.6600000011</v>
      </c>
      <c r="P34" s="105">
        <f t="shared" si="5"/>
        <v>0</v>
      </c>
      <c r="Q34" s="103">
        <f t="shared" si="6"/>
        <v>232.24984859511551</v>
      </c>
      <c r="R34" s="6">
        <f t="shared" si="7"/>
        <v>232.24984859511551</v>
      </c>
      <c r="S34" s="5">
        <f t="shared" si="8"/>
        <v>7725279.6600000011</v>
      </c>
      <c r="T34" s="140">
        <v>0.75958333333333339</v>
      </c>
      <c r="U34" s="105">
        <f t="shared" si="9"/>
        <v>1877658.5468443735</v>
      </c>
      <c r="V34" s="105">
        <f t="shared" si="10"/>
        <v>1656224.6380988227</v>
      </c>
      <c r="W34" s="105">
        <f t="shared" si="11"/>
        <v>427871.4413621616</v>
      </c>
      <c r="X34" s="105">
        <f t="shared" si="12"/>
        <v>115347.30921392093</v>
      </c>
      <c r="Y34" s="105">
        <f t="shared" si="14"/>
        <v>4077101.935519279</v>
      </c>
      <c r="Z34" s="112">
        <f t="shared" si="15"/>
        <v>0.52776107985186882</v>
      </c>
      <c r="AA34" s="104">
        <f t="shared" si="16"/>
        <v>4078305.8156096288</v>
      </c>
      <c r="AB34" s="105"/>
      <c r="AC34" s="104">
        <v>4009727.3436349742</v>
      </c>
      <c r="AD34" s="5">
        <f t="shared" si="17"/>
        <v>68578.471974654589</v>
      </c>
      <c r="AE34" s="5">
        <v>-12922.950321732089</v>
      </c>
      <c r="AF34" s="5">
        <f t="shared" si="18"/>
        <v>81501.422296386678</v>
      </c>
    </row>
    <row r="35" spans="2:32" x14ac:dyDescent="0.25">
      <c r="B35" s="10">
        <v>335</v>
      </c>
      <c r="C35" s="10">
        <v>2</v>
      </c>
      <c r="D35" s="9" t="s">
        <v>68</v>
      </c>
      <c r="E35" s="162">
        <v>25734.3982</v>
      </c>
      <c r="F35" s="162">
        <f>INDEX('2016 Lockdown Update'!H$5:H$245,MATCH(B35,'2016 Lockdown Update'!B$5:B$245,0))</f>
        <v>25734.3982</v>
      </c>
      <c r="G35" s="162">
        <f t="shared" si="13"/>
        <v>0</v>
      </c>
      <c r="H35" s="5">
        <v>9551725.4100000001</v>
      </c>
      <c r="I35" s="5">
        <f>INDEX('2016 Lockdown Update'!E$5:E$245,MATCH(B35,'2016 Lockdown Update'!B$5:B$245,0))</f>
        <v>9551725.4100000001</v>
      </c>
      <c r="J35" s="5">
        <f t="shared" si="2"/>
        <v>0</v>
      </c>
      <c r="K35" s="5">
        <v>3540849.72</v>
      </c>
      <c r="L35" s="5">
        <f>INDEX('2016 Lockdown Update'!F$5:F$245,MATCH(B35,'2016 Lockdown Update'!B$5:B$245,0))</f>
        <v>3540849.7199999997</v>
      </c>
      <c r="M35" s="5">
        <f t="shared" si="3"/>
        <v>0</v>
      </c>
      <c r="N35" s="5">
        <v>6010875.6900000004</v>
      </c>
      <c r="O35" s="105">
        <f t="shared" si="4"/>
        <v>6010875.6900000004</v>
      </c>
      <c r="P35" s="105">
        <f t="shared" si="5"/>
        <v>0</v>
      </c>
      <c r="Q35" s="103">
        <f t="shared" si="6"/>
        <v>233.57358673341739</v>
      </c>
      <c r="R35" s="6">
        <f t="shared" si="7"/>
        <v>233.57358673341739</v>
      </c>
      <c r="S35" s="5">
        <f t="shared" si="8"/>
        <v>6010875.6900000004</v>
      </c>
      <c r="T35" s="140">
        <v>0.92249999999999999</v>
      </c>
      <c r="U35" s="105">
        <f t="shared" si="9"/>
        <v>1460966.1539874363</v>
      </c>
      <c r="V35" s="105">
        <f t="shared" si="10"/>
        <v>1281369.8088269029</v>
      </c>
      <c r="W35" s="105">
        <f t="shared" si="11"/>
        <v>404322.38311602303</v>
      </c>
      <c r="X35" s="105">
        <f t="shared" si="12"/>
        <v>89749.28641753149</v>
      </c>
      <c r="Y35" s="105">
        <f t="shared" si="14"/>
        <v>3236407.6323478939</v>
      </c>
      <c r="Z35" s="112">
        <f t="shared" si="15"/>
        <v>0.53842531425698037</v>
      </c>
      <c r="AA35" s="104">
        <f t="shared" si="16"/>
        <v>3237363.2735789595</v>
      </c>
      <c r="AB35" s="105"/>
      <c r="AC35" s="104">
        <v>3236486.1990025816</v>
      </c>
      <c r="AD35" s="5">
        <f t="shared" si="17"/>
        <v>877.07457637786865</v>
      </c>
      <c r="AE35" s="5">
        <v>-10811.115721163806</v>
      </c>
      <c r="AF35" s="5">
        <f t="shared" si="18"/>
        <v>11688.190297541674</v>
      </c>
    </row>
    <row r="36" spans="2:32" x14ac:dyDescent="0.25">
      <c r="B36" s="10">
        <v>357</v>
      </c>
      <c r="C36" s="10">
        <v>2</v>
      </c>
      <c r="D36" s="9" t="s">
        <v>69</v>
      </c>
      <c r="E36" s="162">
        <v>36939.97</v>
      </c>
      <c r="F36" s="162">
        <f>INDEX('2016 Lockdown Update'!H$5:H$245,MATCH(B36,'2016 Lockdown Update'!B$5:B$245,0))</f>
        <v>36939.97</v>
      </c>
      <c r="G36" s="162">
        <f t="shared" si="13"/>
        <v>0</v>
      </c>
      <c r="H36" s="5">
        <v>11871410.609999999</v>
      </c>
      <c r="I36" s="5">
        <f>INDEX('2016 Lockdown Update'!E$5:E$245,MATCH(B36,'2016 Lockdown Update'!B$5:B$245,0))</f>
        <v>11871410.609999999</v>
      </c>
      <c r="J36" s="5">
        <f t="shared" si="2"/>
        <v>0</v>
      </c>
      <c r="K36" s="5">
        <v>4922014.18</v>
      </c>
      <c r="L36" s="5">
        <f>INDEX('2016 Lockdown Update'!F$5:F$245,MATCH(B36,'2016 Lockdown Update'!B$5:B$245,0))</f>
        <v>4922014.18</v>
      </c>
      <c r="M36" s="5">
        <f t="shared" si="3"/>
        <v>0</v>
      </c>
      <c r="N36" s="5">
        <v>6949396.4299999997</v>
      </c>
      <c r="O36" s="105">
        <f t="shared" si="4"/>
        <v>6949396.4299999997</v>
      </c>
      <c r="P36" s="105">
        <f t="shared" si="5"/>
        <v>0</v>
      </c>
      <c r="Q36" s="103">
        <f t="shared" si="6"/>
        <v>188.12674807261618</v>
      </c>
      <c r="R36" s="6">
        <f t="shared" si="7"/>
        <v>188.12674807261618</v>
      </c>
      <c r="S36" s="5">
        <f t="shared" si="8"/>
        <v>6949396.4299999997</v>
      </c>
      <c r="T36" s="140">
        <v>0.92249999999999999</v>
      </c>
      <c r="U36" s="105">
        <f t="shared" si="9"/>
        <v>1689077.1825080148</v>
      </c>
      <c r="V36" s="105">
        <f t="shared" si="10"/>
        <v>1839318.7953768247</v>
      </c>
      <c r="W36" s="105">
        <f t="shared" si="11"/>
        <v>467452.11025909311</v>
      </c>
      <c r="X36" s="105">
        <f t="shared" si="12"/>
        <v>103762.48034253405</v>
      </c>
      <c r="Y36" s="105">
        <f t="shared" si="14"/>
        <v>4099610.5684864665</v>
      </c>
      <c r="Z36" s="112">
        <f t="shared" si="15"/>
        <v>0.58992325589439232</v>
      </c>
      <c r="AA36" s="104">
        <f t="shared" si="16"/>
        <v>4100821.094889692</v>
      </c>
      <c r="AB36" s="105"/>
      <c r="AC36" s="104">
        <v>4099633.9431313174</v>
      </c>
      <c r="AD36" s="5">
        <f t="shared" si="17"/>
        <v>1187.1517583746463</v>
      </c>
      <c r="AE36" s="5">
        <v>-12287.880816402379</v>
      </c>
      <c r="AF36" s="5">
        <f t="shared" si="18"/>
        <v>13475.032574777026</v>
      </c>
    </row>
    <row r="37" spans="2:32" x14ac:dyDescent="0.25">
      <c r="B37" s="10">
        <v>441</v>
      </c>
      <c r="C37" s="10">
        <v>2</v>
      </c>
      <c r="D37" s="9" t="s">
        <v>70</v>
      </c>
      <c r="E37" s="162">
        <v>60103.23000000001</v>
      </c>
      <c r="F37" s="162">
        <f>INDEX('2016 Lockdown Update'!H$5:H$245,MATCH(B37,'2016 Lockdown Update'!B$5:B$245,0))</f>
        <v>60103.23000000001</v>
      </c>
      <c r="G37" s="162">
        <f t="shared" si="13"/>
        <v>0</v>
      </c>
      <c r="H37" s="5">
        <v>18587579.75</v>
      </c>
      <c r="I37" s="5">
        <f>INDEX('2016 Lockdown Update'!E$5:E$245,MATCH(B37,'2016 Lockdown Update'!B$5:B$245,0))</f>
        <v>18587579.75</v>
      </c>
      <c r="J37" s="5">
        <f t="shared" si="2"/>
        <v>0</v>
      </c>
      <c r="K37" s="5">
        <v>9806108.2100000009</v>
      </c>
      <c r="L37" s="5">
        <f>INDEX('2016 Lockdown Update'!F$5:F$245,MATCH(B37,'2016 Lockdown Update'!B$5:B$245,0))</f>
        <v>9806108.209999999</v>
      </c>
      <c r="M37" s="5">
        <f t="shared" si="3"/>
        <v>0</v>
      </c>
      <c r="N37" s="5">
        <v>8781471.5399999991</v>
      </c>
      <c r="O37" s="105">
        <f t="shared" si="4"/>
        <v>8781471.540000001</v>
      </c>
      <c r="P37" s="105">
        <f t="shared" si="5"/>
        <v>0</v>
      </c>
      <c r="Q37" s="103">
        <f t="shared" si="6"/>
        <v>146.10648279634887</v>
      </c>
      <c r="R37" s="6">
        <f t="shared" si="7"/>
        <v>146.10648279634887</v>
      </c>
      <c r="S37" s="5">
        <f t="shared" si="8"/>
        <v>8781471.540000001</v>
      </c>
      <c r="T37" s="140">
        <v>0.92249999999999999</v>
      </c>
      <c r="U37" s="105">
        <f t="shared" si="9"/>
        <v>2134369.9926264705</v>
      </c>
      <c r="V37" s="105">
        <f t="shared" si="10"/>
        <v>2992666.2258214136</v>
      </c>
      <c r="W37" s="105">
        <f t="shared" si="11"/>
        <v>590686.89545937569</v>
      </c>
      <c r="X37" s="105">
        <f t="shared" si="12"/>
        <v>131117.46857817008</v>
      </c>
      <c r="Y37" s="105">
        <f t="shared" si="14"/>
        <v>5848840.5824854299</v>
      </c>
      <c r="Z37" s="112">
        <f t="shared" si="15"/>
        <v>0.66604333406351046</v>
      </c>
      <c r="AA37" s="104">
        <f t="shared" si="16"/>
        <v>5850567.6187087679</v>
      </c>
      <c r="AB37" s="105"/>
      <c r="AC37" s="104">
        <v>5743638.0108366944</v>
      </c>
      <c r="AD37" s="5">
        <f t="shared" si="17"/>
        <v>106929.60787207354</v>
      </c>
      <c r="AE37" s="5">
        <v>-14495.089705220424</v>
      </c>
      <c r="AF37" s="5">
        <f t="shared" si="18"/>
        <v>121424.69757729396</v>
      </c>
    </row>
    <row r="38" spans="2:32" x14ac:dyDescent="0.25">
      <c r="B38" s="10">
        <v>14</v>
      </c>
      <c r="C38" s="10">
        <v>3</v>
      </c>
      <c r="D38" s="9" t="s">
        <v>71</v>
      </c>
      <c r="E38" s="162">
        <v>11989.330000000002</v>
      </c>
      <c r="F38" s="162">
        <f>INDEX('2016 Lockdown Update'!H$5:H$245,MATCH(B38,'2016 Lockdown Update'!B$5:B$245,0))</f>
        <v>11989.330000000002</v>
      </c>
      <c r="G38" s="162">
        <f t="shared" si="13"/>
        <v>0</v>
      </c>
      <c r="H38" s="5">
        <v>2405193.1800000002</v>
      </c>
      <c r="I38" s="5">
        <f>INDEX('2016 Lockdown Update'!E$5:E$245,MATCH(B38,'2016 Lockdown Update'!B$5:B$245,0))</f>
        <v>2405193.1800000002</v>
      </c>
      <c r="J38" s="5">
        <f t="shared" si="2"/>
        <v>0</v>
      </c>
      <c r="K38" s="5">
        <v>326680.98</v>
      </c>
      <c r="L38" s="5">
        <f>INDEX('2016 Lockdown Update'!F$5:F$245,MATCH(B38,'2016 Lockdown Update'!B$5:B$245,0))</f>
        <v>326680.98</v>
      </c>
      <c r="M38" s="5">
        <f t="shared" si="3"/>
        <v>0</v>
      </c>
      <c r="N38" s="5">
        <v>2078512.2</v>
      </c>
      <c r="O38" s="105">
        <f t="shared" si="4"/>
        <v>2078512.2000000002</v>
      </c>
      <c r="P38" s="105">
        <f t="shared" si="5"/>
        <v>0</v>
      </c>
      <c r="Q38" s="103">
        <f t="shared" si="6"/>
        <v>173.36349904456711</v>
      </c>
      <c r="R38" s="6">
        <f t="shared" si="7"/>
        <v>173.36349904456711</v>
      </c>
      <c r="S38" s="5">
        <f t="shared" si="8"/>
        <v>2078512.2</v>
      </c>
      <c r="T38" s="140">
        <v>0.87037500000000001</v>
      </c>
      <c r="U38" s="105">
        <f t="shared" si="9"/>
        <v>505190.28032835014</v>
      </c>
      <c r="V38" s="105">
        <f t="shared" si="10"/>
        <v>596973.95566307253</v>
      </c>
      <c r="W38" s="105">
        <f t="shared" si="11"/>
        <v>131911.49707223632</v>
      </c>
      <c r="X38" s="105">
        <f t="shared" si="12"/>
        <v>31034.577386200028</v>
      </c>
      <c r="Y38" s="105">
        <f t="shared" si="14"/>
        <v>1265110.3104498589</v>
      </c>
      <c r="Z38" s="112">
        <f t="shared" si="15"/>
        <v>0.60866147932634651</v>
      </c>
      <c r="AA38" s="104">
        <f t="shared" si="16"/>
        <v>1265483.8701839382</v>
      </c>
      <c r="AB38" s="105"/>
      <c r="AC38" s="104">
        <v>1259014.5807712451</v>
      </c>
      <c r="AD38" s="5">
        <f t="shared" si="17"/>
        <v>6469.2894126931205</v>
      </c>
      <c r="AE38" s="5">
        <v>-3562.6585962104145</v>
      </c>
      <c r="AF38" s="5">
        <f t="shared" si="18"/>
        <v>10031.948008903535</v>
      </c>
    </row>
    <row r="39" spans="2:32" x14ac:dyDescent="0.25">
      <c r="B39" s="10">
        <v>36</v>
      </c>
      <c r="C39" s="10">
        <v>3</v>
      </c>
      <c r="D39" s="9" t="s">
        <v>72</v>
      </c>
      <c r="E39" s="162">
        <v>8117.8400000000011</v>
      </c>
      <c r="F39" s="162">
        <f>INDEX('2016 Lockdown Update'!H$5:H$245,MATCH(B39,'2016 Lockdown Update'!B$5:B$245,0))</f>
        <v>8208.0600000000013</v>
      </c>
      <c r="G39" s="162">
        <f t="shared" si="13"/>
        <v>90.220000000000255</v>
      </c>
      <c r="H39" s="5">
        <v>5907954.2800000003</v>
      </c>
      <c r="I39" s="5">
        <f>INDEX('2016 Lockdown Update'!E$5:E$245,MATCH(B39,'2016 Lockdown Update'!B$5:B$245,0))</f>
        <v>5911614.3099999996</v>
      </c>
      <c r="J39" s="5">
        <f t="shared" si="2"/>
        <v>3660.0299999993294</v>
      </c>
      <c r="K39" s="5">
        <v>775116.69</v>
      </c>
      <c r="L39" s="5">
        <f>INDEX('2016 Lockdown Update'!F$5:F$245,MATCH(B39,'2016 Lockdown Update'!B$5:B$245,0))</f>
        <v>775116.69000000018</v>
      </c>
      <c r="M39" s="5">
        <f t="shared" si="3"/>
        <v>0</v>
      </c>
      <c r="N39" s="5">
        <v>5132837.59</v>
      </c>
      <c r="O39" s="105">
        <f t="shared" si="4"/>
        <v>5136497.6199999992</v>
      </c>
      <c r="P39" s="105">
        <f t="shared" si="5"/>
        <v>3660.0299999993294</v>
      </c>
      <c r="Q39" s="103">
        <f t="shared" si="6"/>
        <v>625.78704590366033</v>
      </c>
      <c r="R39" s="6">
        <f t="shared" si="7"/>
        <v>492.62747352019579</v>
      </c>
      <c r="S39" s="5">
        <f t="shared" si="8"/>
        <v>4043515.8603021791</v>
      </c>
      <c r="T39" s="140">
        <v>0.65808333333333335</v>
      </c>
      <c r="U39" s="105">
        <f t="shared" si="9"/>
        <v>982791.87920002954</v>
      </c>
      <c r="V39" s="105">
        <f t="shared" si="10"/>
        <v>408696.56991006498</v>
      </c>
      <c r="W39" s="105">
        <f t="shared" si="11"/>
        <v>194027.68675106583</v>
      </c>
      <c r="X39" s="105">
        <f t="shared" si="12"/>
        <v>60374.341742557568</v>
      </c>
      <c r="Y39" s="105">
        <f t="shared" si="14"/>
        <v>1645890.4776037177</v>
      </c>
      <c r="Z39" s="112">
        <f t="shared" si="15"/>
        <v>0.40704439761507882</v>
      </c>
      <c r="AA39" s="104">
        <f t="shared" si="16"/>
        <v>1646376.4734920277</v>
      </c>
      <c r="AB39" s="105"/>
      <c r="AC39" s="104">
        <v>1623459.5365815265</v>
      </c>
      <c r="AD39" s="5">
        <f t="shared" si="17"/>
        <v>22916.936910501216</v>
      </c>
      <c r="AE39" s="5">
        <v>-8603.9766232997645</v>
      </c>
      <c r="AF39" s="5">
        <f t="shared" si="18"/>
        <v>31520.91353380098</v>
      </c>
    </row>
    <row r="40" spans="2:32" x14ac:dyDescent="0.25">
      <c r="B40" s="10">
        <v>55</v>
      </c>
      <c r="C40" s="10">
        <v>3</v>
      </c>
      <c r="D40" s="9" t="s">
        <v>73</v>
      </c>
      <c r="E40" s="162">
        <v>5026.28</v>
      </c>
      <c r="F40" s="162">
        <f>INDEX('2016 Lockdown Update'!H$5:H$245,MATCH(B40,'2016 Lockdown Update'!B$5:B$245,0))</f>
        <v>5026.28</v>
      </c>
      <c r="G40" s="162">
        <f t="shared" si="13"/>
        <v>0</v>
      </c>
      <c r="H40" s="5">
        <v>1540200.2</v>
      </c>
      <c r="I40" s="5">
        <f>INDEX('2016 Lockdown Update'!E$5:E$245,MATCH(B40,'2016 Lockdown Update'!B$5:B$245,0))</f>
        <v>1540200.2</v>
      </c>
      <c r="J40" s="5">
        <f t="shared" si="2"/>
        <v>0</v>
      </c>
      <c r="K40" s="5">
        <v>198951.28</v>
      </c>
      <c r="L40" s="5">
        <f>INDEX('2016 Lockdown Update'!F$5:F$245,MATCH(B40,'2016 Lockdown Update'!B$5:B$245,0))</f>
        <v>198951.28000000003</v>
      </c>
      <c r="M40" s="5">
        <f t="shared" si="3"/>
        <v>0</v>
      </c>
      <c r="N40" s="5">
        <v>1341248.92</v>
      </c>
      <c r="O40" s="105">
        <f t="shared" si="4"/>
        <v>1341248.92</v>
      </c>
      <c r="P40" s="105">
        <f t="shared" si="5"/>
        <v>0</v>
      </c>
      <c r="Q40" s="103">
        <f t="shared" si="6"/>
        <v>266.84723493319115</v>
      </c>
      <c r="R40" s="6">
        <f t="shared" si="7"/>
        <v>266.84723493319115</v>
      </c>
      <c r="S40" s="5">
        <f t="shared" si="8"/>
        <v>1341248.92</v>
      </c>
      <c r="T40" s="140">
        <v>0.35062500000000002</v>
      </c>
      <c r="U40" s="105">
        <f t="shared" si="9"/>
        <v>325995.6414424206</v>
      </c>
      <c r="V40" s="105">
        <f t="shared" si="10"/>
        <v>250269.0520546342</v>
      </c>
      <c r="W40" s="105">
        <f t="shared" si="11"/>
        <v>34290.66653422462</v>
      </c>
      <c r="X40" s="105">
        <f t="shared" si="12"/>
        <v>20026.38878034837</v>
      </c>
      <c r="Y40" s="105">
        <f t="shared" si="14"/>
        <v>630581.74881162774</v>
      </c>
      <c r="Z40" s="112">
        <f t="shared" si="15"/>
        <v>0.47014520527004622</v>
      </c>
      <c r="AA40" s="104">
        <f t="shared" si="16"/>
        <v>630767.94597440131</v>
      </c>
      <c r="AB40" s="105"/>
      <c r="AC40" s="104">
        <v>623658.3739916723</v>
      </c>
      <c r="AD40" s="5">
        <f t="shared" si="17"/>
        <v>7109.5719827290159</v>
      </c>
      <c r="AE40" s="5">
        <v>-2051.9335349390749</v>
      </c>
      <c r="AF40" s="5">
        <f t="shared" si="18"/>
        <v>9161.5055176680908</v>
      </c>
    </row>
    <row r="41" spans="2:32" x14ac:dyDescent="0.25">
      <c r="B41" s="10">
        <v>103</v>
      </c>
      <c r="C41" s="10">
        <v>3</v>
      </c>
      <c r="D41" s="9" t="s">
        <v>74</v>
      </c>
      <c r="E41" s="162">
        <v>4416.28</v>
      </c>
      <c r="F41" s="162">
        <f>INDEX('2016 Lockdown Update'!H$5:H$245,MATCH(B41,'2016 Lockdown Update'!B$5:B$245,0))</f>
        <v>4416.28</v>
      </c>
      <c r="G41" s="162">
        <f t="shared" si="13"/>
        <v>0</v>
      </c>
      <c r="H41" s="5">
        <v>1427455.06</v>
      </c>
      <c r="I41" s="5">
        <f>INDEX('2016 Lockdown Update'!E$5:E$245,MATCH(B41,'2016 Lockdown Update'!B$5:B$245,0))</f>
        <v>1475574.81</v>
      </c>
      <c r="J41" s="5">
        <f t="shared" si="2"/>
        <v>48119.75</v>
      </c>
      <c r="K41" s="5">
        <v>726198.01</v>
      </c>
      <c r="L41" s="5">
        <f>INDEX('2016 Lockdown Update'!F$5:F$245,MATCH(B41,'2016 Lockdown Update'!B$5:B$245,0))</f>
        <v>726198.01</v>
      </c>
      <c r="M41" s="5">
        <f t="shared" si="3"/>
        <v>0</v>
      </c>
      <c r="N41" s="5">
        <v>701257.05</v>
      </c>
      <c r="O41" s="105">
        <f t="shared" si="4"/>
        <v>749376.8</v>
      </c>
      <c r="P41" s="105">
        <f t="shared" si="5"/>
        <v>48119.75</v>
      </c>
      <c r="Q41" s="103">
        <f t="shared" si="6"/>
        <v>169.68507431594014</v>
      </c>
      <c r="R41" s="6">
        <f t="shared" si="7"/>
        <v>169.68507431594014</v>
      </c>
      <c r="S41" s="5">
        <f t="shared" si="8"/>
        <v>749376.8</v>
      </c>
      <c r="T41" s="140">
        <v>0.51615583333333337</v>
      </c>
      <c r="U41" s="105">
        <f t="shared" si="9"/>
        <v>182138.87590535288</v>
      </c>
      <c r="V41" s="105">
        <f t="shared" si="10"/>
        <v>219895.86915329823</v>
      </c>
      <c r="W41" s="105">
        <f t="shared" si="11"/>
        <v>28203.612982597198</v>
      </c>
      <c r="X41" s="105">
        <f t="shared" si="12"/>
        <v>11189.057389715077</v>
      </c>
      <c r="Y41" s="105">
        <f t="shared" si="14"/>
        <v>441427.41543096339</v>
      </c>
      <c r="Z41" s="112">
        <f t="shared" si="15"/>
        <v>0.58905935629574246</v>
      </c>
      <c r="AA41" s="104">
        <f t="shared" si="16"/>
        <v>441557.75940694846</v>
      </c>
      <c r="AB41" s="105"/>
      <c r="AC41" s="104">
        <v>421275.34171910217</v>
      </c>
      <c r="AD41" s="5">
        <f t="shared" si="17"/>
        <v>20282.417687846289</v>
      </c>
      <c r="AE41" s="5">
        <v>12682.145411856472</v>
      </c>
      <c r="AF41" s="5">
        <f t="shared" si="18"/>
        <v>7600.272275989817</v>
      </c>
    </row>
    <row r="42" spans="2:32" x14ac:dyDescent="0.25">
      <c r="B42" s="10">
        <v>123</v>
      </c>
      <c r="C42" s="10">
        <v>3</v>
      </c>
      <c r="D42" s="9" t="s">
        <v>75</v>
      </c>
      <c r="E42" s="162">
        <v>6092.3600000000006</v>
      </c>
      <c r="F42" s="162">
        <f>INDEX('2016 Lockdown Update'!H$5:H$245,MATCH(B42,'2016 Lockdown Update'!B$5:B$245,0))</f>
        <v>6092.3600000000006</v>
      </c>
      <c r="G42" s="162">
        <f t="shared" si="13"/>
        <v>0</v>
      </c>
      <c r="H42" s="5">
        <v>1280784.6000000001</v>
      </c>
      <c r="I42" s="5">
        <f>INDEX('2016 Lockdown Update'!E$5:E$245,MATCH(B42,'2016 Lockdown Update'!B$5:B$245,0))</f>
        <v>1280784.6000000001</v>
      </c>
      <c r="J42" s="5">
        <f t="shared" si="2"/>
        <v>0</v>
      </c>
      <c r="K42" s="5">
        <v>0</v>
      </c>
      <c r="L42" s="5">
        <f>INDEX('2016 Lockdown Update'!F$5:F$245,MATCH(B42,'2016 Lockdown Update'!B$5:B$245,0))</f>
        <v>0</v>
      </c>
      <c r="M42" s="5">
        <f t="shared" si="3"/>
        <v>0</v>
      </c>
      <c r="N42" s="5">
        <v>1280784.6000000001</v>
      </c>
      <c r="O42" s="105">
        <f t="shared" si="4"/>
        <v>1280784.6000000001</v>
      </c>
      <c r="P42" s="105">
        <f t="shared" si="5"/>
        <v>0</v>
      </c>
      <c r="Q42" s="103">
        <f t="shared" si="6"/>
        <v>210.22799046674851</v>
      </c>
      <c r="R42" s="6">
        <f t="shared" si="7"/>
        <v>210.22799046674851</v>
      </c>
      <c r="S42" s="5">
        <f t="shared" si="8"/>
        <v>1280784.6000000001</v>
      </c>
      <c r="T42" s="140">
        <v>0.77650000000000008</v>
      </c>
      <c r="U42" s="105">
        <f t="shared" si="9"/>
        <v>311299.55894135905</v>
      </c>
      <c r="V42" s="105">
        <f t="shared" si="10"/>
        <v>303351.41734554613</v>
      </c>
      <c r="W42" s="105">
        <f t="shared" si="11"/>
        <v>72517.232255389594</v>
      </c>
      <c r="X42" s="105">
        <f t="shared" si="12"/>
        <v>19123.586950200846</v>
      </c>
      <c r="Y42" s="105">
        <f t="shared" si="14"/>
        <v>706291.79549249553</v>
      </c>
      <c r="Z42" s="112">
        <f t="shared" si="15"/>
        <v>0.55145244211438482</v>
      </c>
      <c r="AA42" s="104">
        <f t="shared" si="16"/>
        <v>706500.34819586633</v>
      </c>
      <c r="AB42" s="105"/>
      <c r="AC42" s="104">
        <v>695026.80147224676</v>
      </c>
      <c r="AD42" s="5">
        <f t="shared" si="17"/>
        <v>11473.546723619569</v>
      </c>
      <c r="AE42" s="5">
        <v>-2134.5769555035513</v>
      </c>
      <c r="AF42" s="5">
        <f t="shared" si="18"/>
        <v>13608.12367912312</v>
      </c>
    </row>
    <row r="43" spans="2:32" x14ac:dyDescent="0.25">
      <c r="B43" s="10">
        <v>179</v>
      </c>
      <c r="C43" s="10">
        <v>3</v>
      </c>
      <c r="D43" s="9" t="s">
        <v>76</v>
      </c>
      <c r="E43" s="162">
        <v>6393.23</v>
      </c>
      <c r="F43" s="162">
        <f>INDEX('2016 Lockdown Update'!H$5:H$245,MATCH(B43,'2016 Lockdown Update'!B$5:B$245,0))</f>
        <v>6393.23</v>
      </c>
      <c r="G43" s="162">
        <f t="shared" si="13"/>
        <v>0</v>
      </c>
      <c r="H43" s="5">
        <v>2266732.16</v>
      </c>
      <c r="I43" s="5">
        <f>INDEX('2016 Lockdown Update'!E$5:E$245,MATCH(B43,'2016 Lockdown Update'!B$5:B$245,0))</f>
        <v>2266732.16</v>
      </c>
      <c r="J43" s="5">
        <f t="shared" si="2"/>
        <v>0</v>
      </c>
      <c r="K43" s="5">
        <v>832595.65</v>
      </c>
      <c r="L43" s="5">
        <f>INDEX('2016 Lockdown Update'!F$5:F$245,MATCH(B43,'2016 Lockdown Update'!B$5:B$245,0))</f>
        <v>832595.65</v>
      </c>
      <c r="M43" s="5">
        <f t="shared" si="3"/>
        <v>0</v>
      </c>
      <c r="N43" s="5">
        <v>1434136.51</v>
      </c>
      <c r="O43" s="105">
        <f t="shared" si="4"/>
        <v>1434136.5100000002</v>
      </c>
      <c r="P43" s="105">
        <f t="shared" si="5"/>
        <v>0</v>
      </c>
      <c r="Q43" s="103">
        <f t="shared" si="6"/>
        <v>224.3211193715853</v>
      </c>
      <c r="R43" s="6">
        <f t="shared" si="7"/>
        <v>224.3211193715853</v>
      </c>
      <c r="S43" s="5">
        <f t="shared" si="8"/>
        <v>1434136.5100000002</v>
      </c>
      <c r="T43" s="140">
        <v>0.81825000000000003</v>
      </c>
      <c r="U43" s="105">
        <f t="shared" si="9"/>
        <v>348572.32279705734</v>
      </c>
      <c r="V43" s="105">
        <f t="shared" si="10"/>
        <v>318332.36741034104</v>
      </c>
      <c r="W43" s="105">
        <f t="shared" si="11"/>
        <v>85565.79093860765</v>
      </c>
      <c r="X43" s="105">
        <f t="shared" si="12"/>
        <v>21413.307317594688</v>
      </c>
      <c r="Y43" s="105">
        <f t="shared" si="14"/>
        <v>773883.78846360068</v>
      </c>
      <c r="Z43" s="112">
        <f t="shared" si="15"/>
        <v>0.53961654491565836</v>
      </c>
      <c r="AA43" s="104">
        <f t="shared" si="16"/>
        <v>774112.29962174932</v>
      </c>
      <c r="AB43" s="105"/>
      <c r="AC43" s="104">
        <v>765490.80463973177</v>
      </c>
      <c r="AD43" s="5">
        <f t="shared" si="17"/>
        <v>8621.4949820175534</v>
      </c>
      <c r="AE43" s="5">
        <v>-2454.8236821647733</v>
      </c>
      <c r="AF43" s="5">
        <f t="shared" si="18"/>
        <v>11076.318664182327</v>
      </c>
    </row>
    <row r="44" spans="2:32" x14ac:dyDescent="0.25">
      <c r="B44" s="10">
        <v>293</v>
      </c>
      <c r="C44" s="10">
        <v>3</v>
      </c>
      <c r="D44" s="9" t="s">
        <v>77</v>
      </c>
      <c r="E44" s="162">
        <v>7426.93</v>
      </c>
      <c r="F44" s="162">
        <f>INDEX('2016 Lockdown Update'!H$5:H$245,MATCH(B44,'2016 Lockdown Update'!B$5:B$245,0))</f>
        <v>7426.93</v>
      </c>
      <c r="G44" s="162">
        <f t="shared" si="13"/>
        <v>0</v>
      </c>
      <c r="H44" s="5">
        <v>2179338.04</v>
      </c>
      <c r="I44" s="5">
        <f>INDEX('2016 Lockdown Update'!E$5:E$245,MATCH(B44,'2016 Lockdown Update'!B$5:B$245,0))</f>
        <v>1946070.4</v>
      </c>
      <c r="J44" s="5">
        <f t="shared" si="2"/>
        <v>-233267.64000000013</v>
      </c>
      <c r="K44" s="5">
        <v>1038396.96</v>
      </c>
      <c r="L44" s="5">
        <f>INDEX('2016 Lockdown Update'!F$5:F$245,MATCH(B44,'2016 Lockdown Update'!B$5:B$245,0))</f>
        <v>1038396.9600000001</v>
      </c>
      <c r="M44" s="5">
        <f t="shared" si="3"/>
        <v>0</v>
      </c>
      <c r="N44" s="5">
        <v>1140941.08</v>
      </c>
      <c r="O44" s="105">
        <f t="shared" si="4"/>
        <v>907673.43999999983</v>
      </c>
      <c r="P44" s="105">
        <f t="shared" si="5"/>
        <v>-233267.64000000025</v>
      </c>
      <c r="Q44" s="103">
        <f t="shared" si="6"/>
        <v>122.21381378308396</v>
      </c>
      <c r="R44" s="6">
        <f t="shared" si="7"/>
        <v>122.21381378308396</v>
      </c>
      <c r="S44" s="5">
        <f t="shared" si="8"/>
        <v>907673.43999999983</v>
      </c>
      <c r="T44" s="140">
        <v>0.92249999999999999</v>
      </c>
      <c r="U44" s="105">
        <f t="shared" si="9"/>
        <v>220613.47515795086</v>
      </c>
      <c r="V44" s="105">
        <f t="shared" si="10"/>
        <v>369802.46440232632</v>
      </c>
      <c r="W44" s="105">
        <f t="shared" si="11"/>
        <v>61054.779249962899</v>
      </c>
      <c r="X44" s="105">
        <f t="shared" si="12"/>
        <v>13552.608262332251</v>
      </c>
      <c r="Y44" s="105">
        <f t="shared" si="14"/>
        <v>665023.32707257231</v>
      </c>
      <c r="Z44" s="112">
        <f t="shared" si="15"/>
        <v>0.73266804752221504</v>
      </c>
      <c r="AA44" s="104">
        <f t="shared" si="16"/>
        <v>665219.69408908125</v>
      </c>
      <c r="AB44" s="105"/>
      <c r="AC44" s="104">
        <v>740884.69922494271</v>
      </c>
      <c r="AD44" s="5">
        <f t="shared" si="17"/>
        <v>-75665.005135861458</v>
      </c>
      <c r="AE44" s="5">
        <v>-77411.203801924712</v>
      </c>
      <c r="AF44" s="5">
        <f t="shared" si="18"/>
        <v>1746.1986660632538</v>
      </c>
    </row>
    <row r="45" spans="2:32" x14ac:dyDescent="0.25">
      <c r="B45" s="10">
        <v>12</v>
      </c>
      <c r="C45" s="10">
        <v>4</v>
      </c>
      <c r="D45" s="9" t="s">
        <v>78</v>
      </c>
      <c r="E45" s="162">
        <v>6540.0899999999992</v>
      </c>
      <c r="F45" s="162">
        <f>INDEX('2016 Lockdown Update'!H$5:H$245,MATCH(B45,'2016 Lockdown Update'!B$5:B$245,0))</f>
        <v>6540.0999999999995</v>
      </c>
      <c r="G45" s="162">
        <f t="shared" si="13"/>
        <v>1.0000000000218279E-2</v>
      </c>
      <c r="H45" s="5">
        <v>2893027.58</v>
      </c>
      <c r="I45" s="5">
        <f>INDEX('2016 Lockdown Update'!E$5:E$245,MATCH(B45,'2016 Lockdown Update'!B$5:B$245,0))</f>
        <v>2911366.04</v>
      </c>
      <c r="J45" s="5">
        <f t="shared" si="2"/>
        <v>18338.459999999963</v>
      </c>
      <c r="K45" s="5">
        <v>798066.29</v>
      </c>
      <c r="L45" s="5">
        <f>INDEX('2016 Lockdown Update'!F$5:F$245,MATCH(B45,'2016 Lockdown Update'!B$5:B$245,0))</f>
        <v>798066.29</v>
      </c>
      <c r="M45" s="5">
        <f t="shared" si="3"/>
        <v>0</v>
      </c>
      <c r="N45" s="5">
        <v>2094961.29</v>
      </c>
      <c r="O45" s="105">
        <f t="shared" si="4"/>
        <v>2113299.75</v>
      </c>
      <c r="P45" s="105">
        <f t="shared" si="5"/>
        <v>18338.459999999963</v>
      </c>
      <c r="Q45" s="103">
        <f t="shared" si="6"/>
        <v>323.12957752939559</v>
      </c>
      <c r="R45" s="6">
        <f t="shared" si="7"/>
        <v>323.12957752939559</v>
      </c>
      <c r="S45" s="5">
        <f t="shared" si="8"/>
        <v>2113299.75</v>
      </c>
      <c r="T45" s="140">
        <v>0.83899999999999997</v>
      </c>
      <c r="U45" s="105">
        <f t="shared" si="9"/>
        <v>513645.52641082992</v>
      </c>
      <c r="V45" s="105">
        <f t="shared" si="10"/>
        <v>325645.33359512663</v>
      </c>
      <c r="W45" s="105">
        <f t="shared" si="11"/>
        <v>129284.57899760589</v>
      </c>
      <c r="X45" s="105">
        <f t="shared" si="12"/>
        <v>31553.995512565274</v>
      </c>
      <c r="Y45" s="105">
        <f t="shared" si="14"/>
        <v>1000129.4345161278</v>
      </c>
      <c r="Z45" s="112">
        <f t="shared" si="15"/>
        <v>0.47325488706281627</v>
      </c>
      <c r="AA45" s="104">
        <f t="shared" si="16"/>
        <v>1000424.751124108</v>
      </c>
      <c r="AB45" s="105"/>
      <c r="AC45" s="104">
        <v>982006.59972440288</v>
      </c>
      <c r="AD45" s="5">
        <f t="shared" si="17"/>
        <v>18418.151399705093</v>
      </c>
      <c r="AE45" s="5">
        <v>2024.3530622078106</v>
      </c>
      <c r="AF45" s="5">
        <f t="shared" si="18"/>
        <v>16393.798337497283</v>
      </c>
    </row>
    <row r="46" spans="2:32" x14ac:dyDescent="0.25">
      <c r="B46" s="10">
        <v>21</v>
      </c>
      <c r="C46" s="10">
        <v>4</v>
      </c>
      <c r="D46" s="9" t="s">
        <v>79</v>
      </c>
      <c r="E46" s="162">
        <v>5031.6800000000012</v>
      </c>
      <c r="F46" s="162">
        <f>INDEX('2016 Lockdown Update'!H$5:H$245,MATCH(B46,'2016 Lockdown Update'!B$5:B$245,0))</f>
        <v>5031.6800000000012</v>
      </c>
      <c r="G46" s="162">
        <f t="shared" si="13"/>
        <v>0</v>
      </c>
      <c r="H46" s="5">
        <v>2542018.17</v>
      </c>
      <c r="I46" s="5">
        <f>INDEX('2016 Lockdown Update'!E$5:E$245,MATCH(B46,'2016 Lockdown Update'!B$5:B$245,0))</f>
        <v>2542018.17</v>
      </c>
      <c r="J46" s="5">
        <f t="shared" si="2"/>
        <v>0</v>
      </c>
      <c r="K46" s="5">
        <v>700832.26</v>
      </c>
      <c r="L46" s="5">
        <f>INDEX('2016 Lockdown Update'!F$5:F$245,MATCH(B46,'2016 Lockdown Update'!B$5:B$245,0))</f>
        <v>700832.25999999989</v>
      </c>
      <c r="M46" s="5">
        <f t="shared" si="3"/>
        <v>0</v>
      </c>
      <c r="N46" s="5">
        <v>1841185.91</v>
      </c>
      <c r="O46" s="105">
        <f t="shared" si="4"/>
        <v>1841185.9100000001</v>
      </c>
      <c r="P46" s="105">
        <f t="shared" si="5"/>
        <v>0</v>
      </c>
      <c r="Q46" s="103">
        <f t="shared" si="6"/>
        <v>365.9187209838463</v>
      </c>
      <c r="R46" s="6">
        <f t="shared" si="7"/>
        <v>365.9187209838463</v>
      </c>
      <c r="S46" s="5">
        <f t="shared" si="8"/>
        <v>1841185.9100000001</v>
      </c>
      <c r="T46" s="140">
        <v>0.75550000000000006</v>
      </c>
      <c r="U46" s="105">
        <f t="shared" si="9"/>
        <v>447507.22464342928</v>
      </c>
      <c r="V46" s="105">
        <f t="shared" si="10"/>
        <v>250537.92941146577</v>
      </c>
      <c r="W46" s="105">
        <f t="shared" si="11"/>
        <v>101427.51246543325</v>
      </c>
      <c r="X46" s="105">
        <f t="shared" si="12"/>
        <v>27491.022956841978</v>
      </c>
      <c r="Y46" s="105">
        <f t="shared" si="14"/>
        <v>826963.68947717024</v>
      </c>
      <c r="Z46" s="112">
        <f t="shared" si="15"/>
        <v>0.44914730499820638</v>
      </c>
      <c r="AA46" s="104">
        <f t="shared" si="16"/>
        <v>827207.87398296606</v>
      </c>
      <c r="AB46" s="105"/>
      <c r="AC46" s="104">
        <v>805360.03396557027</v>
      </c>
      <c r="AD46" s="5">
        <f t="shared" si="17"/>
        <v>21847.840017395793</v>
      </c>
      <c r="AE46" s="5">
        <v>-3127.937016224605</v>
      </c>
      <c r="AF46" s="5">
        <f t="shared" si="18"/>
        <v>24975.777033620398</v>
      </c>
    </row>
    <row r="47" spans="2:32" x14ac:dyDescent="0.25">
      <c r="B47" s="10">
        <v>34</v>
      </c>
      <c r="C47" s="10">
        <v>4</v>
      </c>
      <c r="D47" s="9" t="s">
        <v>80</v>
      </c>
      <c r="E47" s="162">
        <v>4383.0280983803068</v>
      </c>
      <c r="F47" s="162">
        <f>INDEX('2016 Lockdown Update'!H$5:H$245,MATCH(B47,'2016 Lockdown Update'!B$5:B$245,0))</f>
        <v>4383.0280983803068</v>
      </c>
      <c r="G47" s="162">
        <f t="shared" si="13"/>
        <v>0</v>
      </c>
      <c r="H47" s="5">
        <v>2578547.9700000002</v>
      </c>
      <c r="I47" s="5">
        <f>INDEX('2016 Lockdown Update'!E$5:E$245,MATCH(B47,'2016 Lockdown Update'!B$5:B$245,0))</f>
        <v>2583604.7400000002</v>
      </c>
      <c r="J47" s="5">
        <f t="shared" si="2"/>
        <v>5056.7700000000186</v>
      </c>
      <c r="K47" s="5">
        <v>577411.25</v>
      </c>
      <c r="L47" s="5">
        <f>INDEX('2016 Lockdown Update'!F$5:F$245,MATCH(B47,'2016 Lockdown Update'!B$5:B$245,0))</f>
        <v>577411.25</v>
      </c>
      <c r="M47" s="5">
        <f t="shared" si="3"/>
        <v>0</v>
      </c>
      <c r="N47" s="5">
        <v>2001136.72</v>
      </c>
      <c r="O47" s="105">
        <f t="shared" si="4"/>
        <v>2006193.4900000002</v>
      </c>
      <c r="P47" s="105">
        <f t="shared" si="5"/>
        <v>5056.7700000002515</v>
      </c>
      <c r="Q47" s="103">
        <f t="shared" si="6"/>
        <v>457.71860115187576</v>
      </c>
      <c r="R47" s="6">
        <f t="shared" si="7"/>
        <v>457.71860115187576</v>
      </c>
      <c r="S47" s="5">
        <f t="shared" si="8"/>
        <v>2006193.4900000002</v>
      </c>
      <c r="T47" s="140">
        <v>0.55298916666666664</v>
      </c>
      <c r="U47" s="105">
        <f t="shared" si="9"/>
        <v>487612.94333803339</v>
      </c>
      <c r="V47" s="105">
        <f t="shared" si="10"/>
        <v>218240.18703901602</v>
      </c>
      <c r="W47" s="105">
        <f t="shared" si="11"/>
        <v>80893.402557713882</v>
      </c>
      <c r="X47" s="105">
        <f t="shared" si="12"/>
        <v>29954.775881082496</v>
      </c>
      <c r="Y47" s="105">
        <f t="shared" si="14"/>
        <v>816701.30881584587</v>
      </c>
      <c r="Z47" s="112">
        <f t="shared" si="15"/>
        <v>0.40709000048437294</v>
      </c>
      <c r="AA47" s="104">
        <f t="shared" si="16"/>
        <v>816942.46306241513</v>
      </c>
      <c r="AB47" s="105"/>
      <c r="AC47" s="104">
        <v>816268.72846601123</v>
      </c>
      <c r="AD47" s="5">
        <f t="shared" si="17"/>
        <v>673.73459640389774</v>
      </c>
      <c r="AE47" s="5">
        <v>-1898.8593125531916</v>
      </c>
      <c r="AF47" s="5">
        <f t="shared" si="18"/>
        <v>2572.5939089570893</v>
      </c>
    </row>
    <row r="48" spans="2:32" x14ac:dyDescent="0.25">
      <c r="B48" s="10">
        <v>87</v>
      </c>
      <c r="C48" s="10">
        <v>4</v>
      </c>
      <c r="D48" s="9" t="s">
        <v>81</v>
      </c>
      <c r="E48" s="162">
        <v>11449.410000000003</v>
      </c>
      <c r="F48" s="162">
        <f>INDEX('2016 Lockdown Update'!H$5:H$245,MATCH(B48,'2016 Lockdown Update'!B$5:B$245,0))</f>
        <v>11449.410000000003</v>
      </c>
      <c r="G48" s="162">
        <f t="shared" si="13"/>
        <v>0</v>
      </c>
      <c r="H48" s="5">
        <v>4930331.6100000003</v>
      </c>
      <c r="I48" s="5">
        <f>INDEX('2016 Lockdown Update'!E$5:E$245,MATCH(B48,'2016 Lockdown Update'!B$5:B$245,0))</f>
        <v>4930331.6100000003</v>
      </c>
      <c r="J48" s="5">
        <f t="shared" si="2"/>
        <v>0</v>
      </c>
      <c r="K48" s="5">
        <v>1450844.11</v>
      </c>
      <c r="L48" s="5">
        <f>INDEX('2016 Lockdown Update'!F$5:F$245,MATCH(B48,'2016 Lockdown Update'!B$5:B$245,0))</f>
        <v>1450844.11</v>
      </c>
      <c r="M48" s="5">
        <f t="shared" si="3"/>
        <v>0</v>
      </c>
      <c r="N48" s="5">
        <v>3479487.5</v>
      </c>
      <c r="O48" s="105">
        <f t="shared" si="4"/>
        <v>3479487.5</v>
      </c>
      <c r="P48" s="105">
        <f t="shared" si="5"/>
        <v>0</v>
      </c>
      <c r="Q48" s="103">
        <f t="shared" si="6"/>
        <v>303.90103070813245</v>
      </c>
      <c r="R48" s="6">
        <f t="shared" si="7"/>
        <v>303.90103070813245</v>
      </c>
      <c r="S48" s="5">
        <f t="shared" si="8"/>
        <v>3479487.5</v>
      </c>
      <c r="T48" s="140">
        <v>0.83899999999999997</v>
      </c>
      <c r="U48" s="105">
        <f t="shared" si="9"/>
        <v>845702.64515358163</v>
      </c>
      <c r="V48" s="105">
        <f t="shared" si="10"/>
        <v>570090.20334817213</v>
      </c>
      <c r="W48" s="105">
        <f t="shared" si="11"/>
        <v>212863.35578515645</v>
      </c>
      <c r="X48" s="105">
        <f t="shared" si="12"/>
        <v>51952.749703882262</v>
      </c>
      <c r="Y48" s="105">
        <f t="shared" si="14"/>
        <v>1680608.9539907924</v>
      </c>
      <c r="Z48" s="112">
        <f t="shared" si="15"/>
        <v>0.48300473963214191</v>
      </c>
      <c r="AA48" s="104">
        <f t="shared" si="16"/>
        <v>1681105.2014948705</v>
      </c>
      <c r="AB48" s="105"/>
      <c r="AC48" s="104">
        <v>1660225.3866988241</v>
      </c>
      <c r="AD48" s="5">
        <f t="shared" si="17"/>
        <v>20879.814796046354</v>
      </c>
      <c r="AE48" s="5">
        <v>-6106.8340688534081</v>
      </c>
      <c r="AF48" s="5">
        <f t="shared" si="18"/>
        <v>26986.648864899762</v>
      </c>
    </row>
    <row r="49" spans="2:32" x14ac:dyDescent="0.25">
      <c r="B49" s="10">
        <v>88</v>
      </c>
      <c r="C49" s="10">
        <v>4</v>
      </c>
      <c r="D49" s="9" t="s">
        <v>82</v>
      </c>
      <c r="E49" s="162">
        <v>4895.6900000000005</v>
      </c>
      <c r="F49" s="162">
        <f>INDEX('2016 Lockdown Update'!H$5:H$245,MATCH(B49,'2016 Lockdown Update'!B$5:B$245,0))</f>
        <v>4895.6900000000005</v>
      </c>
      <c r="G49" s="162">
        <f t="shared" si="13"/>
        <v>0</v>
      </c>
      <c r="H49" s="5">
        <v>2025989.53</v>
      </c>
      <c r="I49" s="5">
        <f>INDEX('2016 Lockdown Update'!E$5:E$245,MATCH(B49,'2016 Lockdown Update'!B$5:B$245,0))</f>
        <v>2025989.53</v>
      </c>
      <c r="J49" s="5">
        <f t="shared" si="2"/>
        <v>0</v>
      </c>
      <c r="K49" s="5">
        <v>622194.94999999995</v>
      </c>
      <c r="L49" s="5">
        <f>INDEX('2016 Lockdown Update'!F$5:F$245,MATCH(B49,'2016 Lockdown Update'!B$5:B$245,0))</f>
        <v>622194.94999999995</v>
      </c>
      <c r="M49" s="5">
        <f t="shared" si="3"/>
        <v>0</v>
      </c>
      <c r="N49" s="5">
        <v>1403794.58</v>
      </c>
      <c r="O49" s="105">
        <f t="shared" si="4"/>
        <v>1403794.58</v>
      </c>
      <c r="P49" s="105">
        <f t="shared" si="5"/>
        <v>0</v>
      </c>
      <c r="Q49" s="103">
        <f t="shared" si="6"/>
        <v>286.74090475499878</v>
      </c>
      <c r="R49" s="6">
        <f t="shared" si="7"/>
        <v>286.74090475499878</v>
      </c>
      <c r="S49" s="5">
        <f t="shared" si="8"/>
        <v>1403794.58</v>
      </c>
      <c r="T49" s="140">
        <v>0.96424999999999994</v>
      </c>
      <c r="U49" s="105">
        <f t="shared" si="9"/>
        <v>341197.60153133504</v>
      </c>
      <c r="V49" s="105">
        <f t="shared" si="10"/>
        <v>243766.70130859248</v>
      </c>
      <c r="W49" s="105">
        <f t="shared" si="11"/>
        <v>98699.936182976948</v>
      </c>
      <c r="X49" s="105">
        <f t="shared" si="12"/>
        <v>20960.267410188004</v>
      </c>
      <c r="Y49" s="105">
        <f t="shared" si="14"/>
        <v>704624.50643309241</v>
      </c>
      <c r="Z49" s="112">
        <f t="shared" si="15"/>
        <v>0.50194274609116407</v>
      </c>
      <c r="AA49" s="104">
        <f t="shared" si="16"/>
        <v>704832.56682203617</v>
      </c>
      <c r="AB49" s="105"/>
      <c r="AC49" s="104">
        <v>700379.81434717774</v>
      </c>
      <c r="AD49" s="5">
        <f t="shared" si="17"/>
        <v>4452.7524748584256</v>
      </c>
      <c r="AE49" s="5">
        <v>-2557.6078524840996</v>
      </c>
      <c r="AF49" s="5">
        <f t="shared" si="18"/>
        <v>7010.3603273425251</v>
      </c>
    </row>
    <row r="50" spans="2:32" x14ac:dyDescent="0.25">
      <c r="B50" s="10">
        <v>89</v>
      </c>
      <c r="C50" s="10">
        <v>4</v>
      </c>
      <c r="D50" s="9" t="s">
        <v>83</v>
      </c>
      <c r="E50" s="162">
        <v>5563.7699999999995</v>
      </c>
      <c r="F50" s="162">
        <f>INDEX('2016 Lockdown Update'!H$5:H$245,MATCH(B50,'2016 Lockdown Update'!B$5:B$245,0))</f>
        <v>5563.7699999999995</v>
      </c>
      <c r="G50" s="162">
        <f t="shared" si="13"/>
        <v>0</v>
      </c>
      <c r="H50" s="5">
        <v>3474232.89</v>
      </c>
      <c r="I50" s="5">
        <f>INDEX('2016 Lockdown Update'!E$5:E$245,MATCH(B50,'2016 Lockdown Update'!B$5:B$245,0))</f>
        <v>3474232.89</v>
      </c>
      <c r="J50" s="5">
        <f t="shared" si="2"/>
        <v>0</v>
      </c>
      <c r="K50" s="5">
        <v>503791.61</v>
      </c>
      <c r="L50" s="5">
        <f>INDEX('2016 Lockdown Update'!F$5:F$245,MATCH(B50,'2016 Lockdown Update'!B$5:B$245,0))</f>
        <v>503791.61</v>
      </c>
      <c r="M50" s="5">
        <f t="shared" si="3"/>
        <v>0</v>
      </c>
      <c r="N50" s="5">
        <v>2970441.28</v>
      </c>
      <c r="O50" s="105">
        <f t="shared" si="4"/>
        <v>2970441.2800000003</v>
      </c>
      <c r="P50" s="105">
        <f t="shared" si="5"/>
        <v>0</v>
      </c>
      <c r="Q50" s="103">
        <f t="shared" si="6"/>
        <v>533.89002061551798</v>
      </c>
      <c r="R50" s="6">
        <f t="shared" si="7"/>
        <v>477.43668750946097</v>
      </c>
      <c r="S50" s="5">
        <f t="shared" si="8"/>
        <v>2656347.9188645133</v>
      </c>
      <c r="T50" s="140">
        <v>0.77866666666666662</v>
      </c>
      <c r="U50" s="105">
        <f t="shared" si="9"/>
        <v>645635.44528667815</v>
      </c>
      <c r="V50" s="105">
        <f t="shared" si="10"/>
        <v>277031.80955896055</v>
      </c>
      <c r="W50" s="105">
        <f t="shared" si="11"/>
        <v>150820.44001896799</v>
      </c>
      <c r="X50" s="105">
        <f t="shared" si="12"/>
        <v>39662.329166348958</v>
      </c>
      <c r="Y50" s="105">
        <f t="shared" si="14"/>
        <v>1113150.0240309557</v>
      </c>
      <c r="Z50" s="112">
        <f t="shared" si="15"/>
        <v>0.41905279655790895</v>
      </c>
      <c r="AA50" s="104">
        <f t="shared" si="16"/>
        <v>1113478.7131765049</v>
      </c>
      <c r="AB50" s="105"/>
      <c r="AC50" s="104">
        <v>1128990.7845532554</v>
      </c>
      <c r="AD50" s="5">
        <f t="shared" si="17"/>
        <v>-15512.071376750479</v>
      </c>
      <c r="AE50" s="5">
        <v>-4441.0093498537317</v>
      </c>
      <c r="AF50" s="5">
        <f t="shared" si="18"/>
        <v>-11071.062026896747</v>
      </c>
    </row>
    <row r="51" spans="2:32" x14ac:dyDescent="0.25">
      <c r="B51" s="10">
        <v>143</v>
      </c>
      <c r="C51" s="10">
        <v>4</v>
      </c>
      <c r="D51" s="9" t="s">
        <v>84</v>
      </c>
      <c r="E51" s="162">
        <v>2972.26</v>
      </c>
      <c r="F51" s="162">
        <f>INDEX('2016 Lockdown Update'!H$5:H$245,MATCH(B51,'2016 Lockdown Update'!B$5:B$245,0))</f>
        <v>2972.26</v>
      </c>
      <c r="G51" s="162">
        <f t="shared" si="13"/>
        <v>0</v>
      </c>
      <c r="H51" s="5">
        <v>921038.36</v>
      </c>
      <c r="I51" s="5">
        <f>INDEX('2016 Lockdown Update'!E$5:E$245,MATCH(B51,'2016 Lockdown Update'!B$5:B$245,0))</f>
        <v>921038.36</v>
      </c>
      <c r="J51" s="5">
        <f t="shared" si="2"/>
        <v>0</v>
      </c>
      <c r="K51" s="5">
        <v>349016.01</v>
      </c>
      <c r="L51" s="5">
        <f>INDEX('2016 Lockdown Update'!F$5:F$245,MATCH(B51,'2016 Lockdown Update'!B$5:B$245,0))</f>
        <v>349016.00999999995</v>
      </c>
      <c r="M51" s="5">
        <f t="shared" si="3"/>
        <v>0</v>
      </c>
      <c r="N51" s="5">
        <v>572022.35</v>
      </c>
      <c r="O51" s="105">
        <f t="shared" si="4"/>
        <v>572022.35000000009</v>
      </c>
      <c r="P51" s="105">
        <f t="shared" si="5"/>
        <v>0</v>
      </c>
      <c r="Q51" s="103">
        <f t="shared" si="6"/>
        <v>192.45367161688415</v>
      </c>
      <c r="R51" s="6">
        <f t="shared" si="7"/>
        <v>192.45367161688415</v>
      </c>
      <c r="S51" s="5">
        <f t="shared" si="8"/>
        <v>572022.35000000009</v>
      </c>
      <c r="T51" s="140">
        <v>0.82487500000000002</v>
      </c>
      <c r="U51" s="105">
        <f t="shared" si="9"/>
        <v>139032.20358801918</v>
      </c>
      <c r="V51" s="105">
        <f t="shared" si="10"/>
        <v>147995.07641036852</v>
      </c>
      <c r="W51" s="105">
        <f t="shared" si="11"/>
        <v>34405.256680400198</v>
      </c>
      <c r="X51" s="105">
        <f t="shared" si="12"/>
        <v>8540.9514977641229</v>
      </c>
      <c r="Y51" s="105">
        <f t="shared" si="14"/>
        <v>329973.488176552</v>
      </c>
      <c r="Z51" s="112">
        <f t="shared" si="15"/>
        <v>0.57685418791162957</v>
      </c>
      <c r="AA51" s="104">
        <f t="shared" si="16"/>
        <v>330070.92221647588</v>
      </c>
      <c r="AB51" s="105"/>
      <c r="AC51" s="104">
        <v>319784.25215269724</v>
      </c>
      <c r="AD51" s="5">
        <f t="shared" si="17"/>
        <v>10286.670063778642</v>
      </c>
      <c r="AE51" s="5">
        <v>-926.91752844920848</v>
      </c>
      <c r="AF51" s="5">
        <f t="shared" si="18"/>
        <v>11213.58759222785</v>
      </c>
    </row>
    <row r="52" spans="2:32" x14ac:dyDescent="0.25">
      <c r="B52" s="10">
        <v>183</v>
      </c>
      <c r="C52" s="10">
        <v>4</v>
      </c>
      <c r="D52" s="9" t="s">
        <v>85</v>
      </c>
      <c r="E52" s="162">
        <v>13310.259999999998</v>
      </c>
      <c r="F52" s="162">
        <f>INDEX('2016 Lockdown Update'!H$5:H$245,MATCH(B52,'2016 Lockdown Update'!B$5:B$245,0))</f>
        <v>13310.259999999998</v>
      </c>
      <c r="G52" s="162">
        <f t="shared" si="13"/>
        <v>0</v>
      </c>
      <c r="H52" s="5">
        <v>6404140.3300000001</v>
      </c>
      <c r="I52" s="5">
        <f>INDEX('2016 Lockdown Update'!E$5:E$245,MATCH(B52,'2016 Lockdown Update'!B$5:B$245,0))</f>
        <v>6404140.3300000001</v>
      </c>
      <c r="J52" s="5">
        <f t="shared" si="2"/>
        <v>0</v>
      </c>
      <c r="K52" s="5">
        <v>929109.82</v>
      </c>
      <c r="L52" s="5">
        <f>INDEX('2016 Lockdown Update'!F$5:F$245,MATCH(B52,'2016 Lockdown Update'!B$5:B$245,0))</f>
        <v>929109.82</v>
      </c>
      <c r="M52" s="5">
        <f t="shared" si="3"/>
        <v>0</v>
      </c>
      <c r="N52" s="5">
        <v>5475030.5099999998</v>
      </c>
      <c r="O52" s="105">
        <f t="shared" si="4"/>
        <v>5475030.5099999998</v>
      </c>
      <c r="P52" s="105">
        <f t="shared" si="5"/>
        <v>0</v>
      </c>
      <c r="Q52" s="103">
        <f t="shared" si="6"/>
        <v>411.33911058086022</v>
      </c>
      <c r="R52" s="6">
        <f t="shared" si="7"/>
        <v>411.33911058086022</v>
      </c>
      <c r="S52" s="5">
        <f t="shared" si="8"/>
        <v>5475030.5099999998</v>
      </c>
      <c r="T52" s="140">
        <v>0.83899999999999997</v>
      </c>
      <c r="U52" s="105">
        <f t="shared" si="9"/>
        <v>1330726.948897952</v>
      </c>
      <c r="V52" s="105">
        <f t="shared" si="10"/>
        <v>662745.8384333374</v>
      </c>
      <c r="W52" s="105">
        <f t="shared" si="11"/>
        <v>334943.97303761449</v>
      </c>
      <c r="X52" s="105">
        <f t="shared" si="12"/>
        <v>81748.501670762969</v>
      </c>
      <c r="Y52" s="105">
        <f t="shared" si="14"/>
        <v>2410165.262039667</v>
      </c>
      <c r="Z52" s="112">
        <f t="shared" si="15"/>
        <v>0.4402103801316839</v>
      </c>
      <c r="AA52" s="104">
        <f t="shared" si="16"/>
        <v>2410876.9317548987</v>
      </c>
      <c r="AB52" s="105"/>
      <c r="AC52" s="104">
        <v>2410901.0810210393</v>
      </c>
      <c r="AD52" s="5">
        <f t="shared" si="17"/>
        <v>-24.149266140535474</v>
      </c>
      <c r="AE52" s="5">
        <v>-9946.2966771610081</v>
      </c>
      <c r="AF52" s="5">
        <f t="shared" si="18"/>
        <v>9922.1474110204726</v>
      </c>
    </row>
    <row r="53" spans="2:32" x14ac:dyDescent="0.25">
      <c r="B53" s="10">
        <v>186</v>
      </c>
      <c r="C53" s="10">
        <v>4</v>
      </c>
      <c r="D53" s="9" t="s">
        <v>86</v>
      </c>
      <c r="E53" s="162">
        <v>11843.06</v>
      </c>
      <c r="F53" s="162">
        <f>INDEX('2016 Lockdown Update'!H$5:H$245,MATCH(B53,'2016 Lockdown Update'!B$5:B$245,0))</f>
        <v>11843.06</v>
      </c>
      <c r="G53" s="162">
        <f t="shared" si="13"/>
        <v>0</v>
      </c>
      <c r="H53" s="5">
        <v>6470725.8099999996</v>
      </c>
      <c r="I53" s="5">
        <f>INDEX('2016 Lockdown Update'!E$5:E$245,MATCH(B53,'2016 Lockdown Update'!B$5:B$245,0))</f>
        <v>6470725.8099999996</v>
      </c>
      <c r="J53" s="5">
        <f t="shared" si="2"/>
        <v>0</v>
      </c>
      <c r="K53" s="5">
        <v>1403161.95</v>
      </c>
      <c r="L53" s="5">
        <f>INDEX('2016 Lockdown Update'!F$5:F$245,MATCH(B53,'2016 Lockdown Update'!B$5:B$245,0))</f>
        <v>1403161.9500000004</v>
      </c>
      <c r="M53" s="5">
        <f t="shared" si="3"/>
        <v>0</v>
      </c>
      <c r="N53" s="5">
        <v>5067563.8600000003</v>
      </c>
      <c r="O53" s="105">
        <f t="shared" si="4"/>
        <v>5067563.8599999994</v>
      </c>
      <c r="P53" s="105">
        <f t="shared" si="5"/>
        <v>0</v>
      </c>
      <c r="Q53" s="103">
        <f t="shared" si="6"/>
        <v>427.89311715046614</v>
      </c>
      <c r="R53" s="6">
        <f t="shared" si="7"/>
        <v>427.89311715046614</v>
      </c>
      <c r="S53" s="5">
        <f t="shared" si="8"/>
        <v>5067563.8599999994</v>
      </c>
      <c r="T53" s="140">
        <v>0.83899999999999997</v>
      </c>
      <c r="U53" s="105">
        <f t="shared" si="9"/>
        <v>1231690.6328551816</v>
      </c>
      <c r="V53" s="105">
        <f t="shared" si="10"/>
        <v>589690.86474015703</v>
      </c>
      <c r="W53" s="105">
        <f t="shared" si="11"/>
        <v>310016.53228964919</v>
      </c>
      <c r="X53" s="105">
        <f t="shared" si="12"/>
        <v>75664.556009187974</v>
      </c>
      <c r="Y53" s="105">
        <f t="shared" si="14"/>
        <v>2207062.5858941758</v>
      </c>
      <c r="Z53" s="112">
        <f t="shared" si="15"/>
        <v>0.43552733559319684</v>
      </c>
      <c r="AA53" s="104">
        <f t="shared" si="16"/>
        <v>2207714.2837784416</v>
      </c>
      <c r="AB53" s="105"/>
      <c r="AC53" s="104">
        <v>2207748.1165642412</v>
      </c>
      <c r="AD53" s="5">
        <f t="shared" si="17"/>
        <v>-33.832785799633712</v>
      </c>
      <c r="AE53" s="5">
        <v>-9220.0746889021248</v>
      </c>
      <c r="AF53" s="5">
        <f t="shared" si="18"/>
        <v>9186.2419031024911</v>
      </c>
    </row>
    <row r="54" spans="2:32" x14ac:dyDescent="0.25">
      <c r="B54" s="10">
        <v>190</v>
      </c>
      <c r="C54" s="10">
        <v>4</v>
      </c>
      <c r="D54" s="9" t="s">
        <v>87</v>
      </c>
      <c r="E54" s="162">
        <v>3640.8700000000003</v>
      </c>
      <c r="F54" s="162">
        <f>INDEX('2016 Lockdown Update'!H$5:H$245,MATCH(B54,'2016 Lockdown Update'!B$5:B$245,0))</f>
        <v>3640.8700000000003</v>
      </c>
      <c r="G54" s="162">
        <f t="shared" si="13"/>
        <v>0</v>
      </c>
      <c r="H54" s="5">
        <v>1980947.67</v>
      </c>
      <c r="I54" s="5">
        <f>INDEX('2016 Lockdown Update'!E$5:E$245,MATCH(B54,'2016 Lockdown Update'!B$5:B$245,0))</f>
        <v>1980947.67</v>
      </c>
      <c r="J54" s="5">
        <f t="shared" si="2"/>
        <v>0</v>
      </c>
      <c r="K54" s="5">
        <v>553343.46</v>
      </c>
      <c r="L54" s="5">
        <f>INDEX('2016 Lockdown Update'!F$5:F$245,MATCH(B54,'2016 Lockdown Update'!B$5:B$245,0))</f>
        <v>553343.46</v>
      </c>
      <c r="M54" s="5">
        <f t="shared" si="3"/>
        <v>0</v>
      </c>
      <c r="N54" s="5">
        <v>1427604.21</v>
      </c>
      <c r="O54" s="105">
        <f t="shared" si="4"/>
        <v>1427604.21</v>
      </c>
      <c r="P54" s="105">
        <f t="shared" si="5"/>
        <v>0</v>
      </c>
      <c r="Q54" s="103">
        <f t="shared" si="6"/>
        <v>392.10524132968214</v>
      </c>
      <c r="R54" s="6">
        <f t="shared" si="7"/>
        <v>392.10524132968214</v>
      </c>
      <c r="S54" s="5">
        <f t="shared" si="8"/>
        <v>1427604.21</v>
      </c>
      <c r="T54" s="140">
        <v>0.56520833333333331</v>
      </c>
      <c r="U54" s="105">
        <f t="shared" si="9"/>
        <v>346984.62248517608</v>
      </c>
      <c r="V54" s="105">
        <f t="shared" si="10"/>
        <v>181286.5744753886</v>
      </c>
      <c r="W54" s="105">
        <f t="shared" si="11"/>
        <v>58835.580050142664</v>
      </c>
      <c r="X54" s="105">
        <f t="shared" si="12"/>
        <v>21315.772566603147</v>
      </c>
      <c r="Y54" s="105">
        <f t="shared" si="14"/>
        <v>608422.54957731056</v>
      </c>
      <c r="Z54" s="112">
        <f t="shared" si="15"/>
        <v>0.42618433408606338</v>
      </c>
      <c r="AA54" s="104">
        <f t="shared" si="16"/>
        <v>608602.2036074379</v>
      </c>
      <c r="AB54" s="105"/>
      <c r="AC54" s="104">
        <v>596531.39110154717</v>
      </c>
      <c r="AD54" s="5">
        <f t="shared" si="17"/>
        <v>12070.812505890732</v>
      </c>
      <c r="AE54" s="5">
        <v>-2342.2638957127929</v>
      </c>
      <c r="AF54" s="5">
        <f t="shared" si="18"/>
        <v>14413.076401603525</v>
      </c>
    </row>
    <row r="55" spans="2:32" x14ac:dyDescent="0.25">
      <c r="B55" s="10">
        <v>324</v>
      </c>
      <c r="C55" s="10">
        <v>4</v>
      </c>
      <c r="D55" s="9" t="s">
        <v>88</v>
      </c>
      <c r="E55" s="162">
        <v>8281.93</v>
      </c>
      <c r="F55" s="162">
        <f>INDEX('2016 Lockdown Update'!H$5:H$245,MATCH(B55,'2016 Lockdown Update'!B$5:B$245,0))</f>
        <v>8281.93</v>
      </c>
      <c r="G55" s="162">
        <f t="shared" si="13"/>
        <v>0</v>
      </c>
      <c r="H55" s="5">
        <v>4004161.99</v>
      </c>
      <c r="I55" s="5">
        <f>INDEX('2016 Lockdown Update'!E$5:E$245,MATCH(B55,'2016 Lockdown Update'!B$5:B$245,0))</f>
        <v>4004161.99</v>
      </c>
      <c r="J55" s="5">
        <f t="shared" si="2"/>
        <v>0</v>
      </c>
      <c r="K55" s="5">
        <v>1192024.54</v>
      </c>
      <c r="L55" s="5">
        <f>INDEX('2016 Lockdown Update'!F$5:F$245,MATCH(B55,'2016 Lockdown Update'!B$5:B$245,0))</f>
        <v>1192024.54</v>
      </c>
      <c r="M55" s="5">
        <f t="shared" si="3"/>
        <v>0</v>
      </c>
      <c r="N55" s="5">
        <v>2812137.45</v>
      </c>
      <c r="O55" s="105">
        <f t="shared" si="4"/>
        <v>2812137.45</v>
      </c>
      <c r="P55" s="105">
        <f t="shared" si="5"/>
        <v>0</v>
      </c>
      <c r="Q55" s="103">
        <f t="shared" si="6"/>
        <v>339.55098026667696</v>
      </c>
      <c r="R55" s="6">
        <f t="shared" si="7"/>
        <v>339.55098026667696</v>
      </c>
      <c r="S55" s="5">
        <f t="shared" si="8"/>
        <v>2812137.45</v>
      </c>
      <c r="T55" s="140">
        <v>0.83899999999999997</v>
      </c>
      <c r="U55" s="105">
        <f t="shared" si="9"/>
        <v>683500.68221266719</v>
      </c>
      <c r="V55" s="105">
        <f t="shared" si="10"/>
        <v>412374.71256731357</v>
      </c>
      <c r="W55" s="105">
        <f t="shared" si="11"/>
        <v>172037.12171292832</v>
      </c>
      <c r="X55" s="105">
        <f t="shared" si="12"/>
        <v>41988.446020502655</v>
      </c>
      <c r="Y55" s="105">
        <f t="shared" si="14"/>
        <v>1309900.9625134117</v>
      </c>
      <c r="Z55" s="112">
        <f t="shared" si="15"/>
        <v>0.46580260951092967</v>
      </c>
      <c r="AA55" s="104">
        <f t="shared" si="16"/>
        <v>1310287.7479590641</v>
      </c>
      <c r="AB55" s="105"/>
      <c r="AC55" s="104">
        <v>1293435.990221295</v>
      </c>
      <c r="AD55" s="5">
        <f t="shared" si="17"/>
        <v>16851.757737769047</v>
      </c>
      <c r="AE55" s="5">
        <v>-4964.125694291899</v>
      </c>
      <c r="AF55" s="5">
        <f t="shared" si="18"/>
        <v>21815.883432060946</v>
      </c>
    </row>
    <row r="56" spans="2:32" x14ac:dyDescent="0.25">
      <c r="B56" s="10">
        <v>429</v>
      </c>
      <c r="C56" s="10">
        <v>4</v>
      </c>
      <c r="D56" s="9" t="s">
        <v>89</v>
      </c>
      <c r="E56" s="162">
        <v>4077.8840881737674</v>
      </c>
      <c r="F56" s="162">
        <f>INDEX('2016 Lockdown Update'!H$5:H$245,MATCH(B56,'2016 Lockdown Update'!B$5:B$245,0))</f>
        <v>4077.8840881737674</v>
      </c>
      <c r="G56" s="162">
        <f t="shared" si="13"/>
        <v>0</v>
      </c>
      <c r="H56" s="5">
        <v>1637997.79</v>
      </c>
      <c r="I56" s="5">
        <f>INDEX('2016 Lockdown Update'!E$5:E$245,MATCH(B56,'2016 Lockdown Update'!B$5:B$245,0))</f>
        <v>1637997.79</v>
      </c>
      <c r="J56" s="5">
        <f t="shared" si="2"/>
        <v>0</v>
      </c>
      <c r="K56" s="5">
        <v>453512.56</v>
      </c>
      <c r="L56" s="5">
        <f>INDEX('2016 Lockdown Update'!F$5:F$245,MATCH(B56,'2016 Lockdown Update'!B$5:B$245,0))</f>
        <v>453512.56</v>
      </c>
      <c r="M56" s="5">
        <f t="shared" si="3"/>
        <v>0</v>
      </c>
      <c r="N56" s="5">
        <v>1184485.23</v>
      </c>
      <c r="O56" s="105">
        <f t="shared" si="4"/>
        <v>1184485.23</v>
      </c>
      <c r="P56" s="105">
        <f t="shared" si="5"/>
        <v>0</v>
      </c>
      <c r="Q56" s="103">
        <f t="shared" si="6"/>
        <v>290.46564453244616</v>
      </c>
      <c r="R56" s="6">
        <f t="shared" si="7"/>
        <v>290.46564453244616</v>
      </c>
      <c r="S56" s="5">
        <f t="shared" si="8"/>
        <v>1184485.23</v>
      </c>
      <c r="T56" s="140">
        <v>0.74781249999999999</v>
      </c>
      <c r="U56" s="105">
        <f t="shared" si="9"/>
        <v>287893.63150646421</v>
      </c>
      <c r="V56" s="105">
        <f t="shared" si="10"/>
        <v>203046.42501729415</v>
      </c>
      <c r="W56" s="105">
        <f t="shared" si="11"/>
        <v>64587.13689327833</v>
      </c>
      <c r="X56" s="105">
        <f t="shared" si="12"/>
        <v>17685.726614087682</v>
      </c>
      <c r="Y56" s="105">
        <f t="shared" si="14"/>
        <v>573212.92003112438</v>
      </c>
      <c r="Z56" s="112">
        <f t="shared" si="15"/>
        <v>0.48393420661828296</v>
      </c>
      <c r="AA56" s="104">
        <f t="shared" si="16"/>
        <v>573382.17741857027</v>
      </c>
      <c r="AB56" s="105"/>
      <c r="AC56" s="104">
        <v>555835.74527825427</v>
      </c>
      <c r="AD56" s="5">
        <f t="shared" si="17"/>
        <v>17546.432140315999</v>
      </c>
      <c r="AE56" s="5">
        <v>-1962.4857768780785</v>
      </c>
      <c r="AF56" s="5">
        <f t="shared" si="18"/>
        <v>19508.917917194078</v>
      </c>
    </row>
    <row r="57" spans="2:32" x14ac:dyDescent="0.25">
      <c r="B57" s="10">
        <v>601</v>
      </c>
      <c r="C57" s="10">
        <v>4</v>
      </c>
      <c r="D57" s="9" t="s">
        <v>90</v>
      </c>
      <c r="E57" s="162">
        <v>5604.1200000000008</v>
      </c>
      <c r="F57" s="162">
        <f>INDEX('2016 Lockdown Update'!H$5:H$245,MATCH(B57,'2016 Lockdown Update'!B$5:B$245,0))</f>
        <v>5604.1200000000008</v>
      </c>
      <c r="G57" s="162">
        <f t="shared" si="13"/>
        <v>0</v>
      </c>
      <c r="H57" s="5">
        <v>2657811.91</v>
      </c>
      <c r="I57" s="5">
        <f>INDEX('2016 Lockdown Update'!E$5:E$245,MATCH(B57,'2016 Lockdown Update'!B$5:B$245,0))</f>
        <v>2657811.91</v>
      </c>
      <c r="J57" s="5">
        <f t="shared" si="2"/>
        <v>0</v>
      </c>
      <c r="K57" s="5">
        <v>370273.28000000003</v>
      </c>
      <c r="L57" s="5">
        <f>INDEX('2016 Lockdown Update'!F$5:F$245,MATCH(B57,'2016 Lockdown Update'!B$5:B$245,0))</f>
        <v>370273.27999999991</v>
      </c>
      <c r="M57" s="5">
        <f t="shared" si="3"/>
        <v>0</v>
      </c>
      <c r="N57" s="5">
        <v>2287538.63</v>
      </c>
      <c r="O57" s="105">
        <f t="shared" si="4"/>
        <v>2287538.6300000004</v>
      </c>
      <c r="P57" s="105">
        <f t="shared" si="5"/>
        <v>0</v>
      </c>
      <c r="Q57" s="103">
        <f t="shared" si="6"/>
        <v>408.1887307909181</v>
      </c>
      <c r="R57" s="6">
        <f t="shared" si="7"/>
        <v>408.1887307909181</v>
      </c>
      <c r="S57" s="5">
        <f t="shared" si="8"/>
        <v>2287538.6300000004</v>
      </c>
      <c r="T57" s="140">
        <v>0.60933333333333339</v>
      </c>
      <c r="U57" s="105">
        <f t="shared" si="9"/>
        <v>555994.94761283102</v>
      </c>
      <c r="V57" s="105">
        <f t="shared" si="10"/>
        <v>279040.92091972928</v>
      </c>
      <c r="W57" s="105">
        <f t="shared" si="11"/>
        <v>101635.87642362552</v>
      </c>
      <c r="X57" s="105">
        <f t="shared" si="12"/>
        <v>34155.582361583925</v>
      </c>
      <c r="Y57" s="105">
        <f t="shared" si="14"/>
        <v>970827.32731776976</v>
      </c>
      <c r="Z57" s="112">
        <f t="shared" si="15"/>
        <v>0.42439822199538968</v>
      </c>
      <c r="AA57" s="104">
        <f t="shared" si="16"/>
        <v>971113.99164674897</v>
      </c>
      <c r="AB57" s="105"/>
      <c r="AC57" s="104">
        <v>965330.63048517867</v>
      </c>
      <c r="AD57" s="5">
        <f t="shared" si="17"/>
        <v>5783.3611615702976</v>
      </c>
      <c r="AE57" s="5">
        <v>-3886.8029200604651</v>
      </c>
      <c r="AF57" s="5">
        <f t="shared" si="18"/>
        <v>9670.1640816307627</v>
      </c>
    </row>
    <row r="58" spans="2:32" x14ac:dyDescent="0.25">
      <c r="B58" s="10">
        <v>760</v>
      </c>
      <c r="C58" s="10">
        <v>4</v>
      </c>
      <c r="D58" s="9" t="s">
        <v>91</v>
      </c>
      <c r="E58" s="162">
        <v>5116.9599999999991</v>
      </c>
      <c r="F58" s="162">
        <f>INDEX('2016 Lockdown Update'!H$5:H$245,MATCH(B58,'2016 Lockdown Update'!B$5:B$245,0))</f>
        <v>5116.9599999999991</v>
      </c>
      <c r="G58" s="162">
        <f t="shared" si="13"/>
        <v>0</v>
      </c>
      <c r="H58" s="5">
        <v>1336097.33</v>
      </c>
      <c r="I58" s="5">
        <f>INDEX('2016 Lockdown Update'!E$5:E$245,MATCH(B58,'2016 Lockdown Update'!B$5:B$245,0))</f>
        <v>1336097.33</v>
      </c>
      <c r="J58" s="5">
        <f t="shared" si="2"/>
        <v>0</v>
      </c>
      <c r="K58" s="5">
        <v>814885.58</v>
      </c>
      <c r="L58" s="5">
        <f>INDEX('2016 Lockdown Update'!F$5:F$245,MATCH(B58,'2016 Lockdown Update'!B$5:B$245,0))</f>
        <v>814885.58000000007</v>
      </c>
      <c r="M58" s="5">
        <f t="shared" si="3"/>
        <v>0</v>
      </c>
      <c r="N58" s="5">
        <v>521211.75</v>
      </c>
      <c r="O58" s="105">
        <f t="shared" si="4"/>
        <v>521211.75</v>
      </c>
      <c r="P58" s="105">
        <f t="shared" si="5"/>
        <v>0</v>
      </c>
      <c r="Q58" s="103">
        <f t="shared" si="6"/>
        <v>101.85964908852132</v>
      </c>
      <c r="R58" s="6">
        <f t="shared" si="7"/>
        <v>101.85964908852132</v>
      </c>
      <c r="S58" s="5">
        <f t="shared" si="8"/>
        <v>521211.75</v>
      </c>
      <c r="T58" s="140">
        <v>0.96425000000000005</v>
      </c>
      <c r="U58" s="105">
        <f t="shared" si="9"/>
        <v>126682.4943788783</v>
      </c>
      <c r="V58" s="105">
        <f t="shared" si="10"/>
        <v>254784.19996527865</v>
      </c>
      <c r="W58" s="105">
        <f t="shared" si="11"/>
        <v>36646.07856145002</v>
      </c>
      <c r="X58" s="105">
        <f t="shared" si="12"/>
        <v>7782.2908087678024</v>
      </c>
      <c r="Y58" s="105">
        <f t="shared" si="14"/>
        <v>425895.06371437473</v>
      </c>
      <c r="Z58" s="112">
        <f t="shared" si="15"/>
        <v>0.817124832113579</v>
      </c>
      <c r="AA58" s="104">
        <f t="shared" si="16"/>
        <v>390908.8125</v>
      </c>
      <c r="AB58" s="105"/>
      <c r="AC58" s="104">
        <v>390908.8125</v>
      </c>
      <c r="AD58" s="5">
        <f t="shared" si="17"/>
        <v>0</v>
      </c>
      <c r="AE58" s="5">
        <v>0</v>
      </c>
      <c r="AF58" s="5">
        <f t="shared" si="18"/>
        <v>0</v>
      </c>
    </row>
    <row r="59" spans="2:32" x14ac:dyDescent="0.25">
      <c r="B59" s="10">
        <v>878</v>
      </c>
      <c r="C59" s="10">
        <v>4</v>
      </c>
      <c r="D59" s="9" t="s">
        <v>92</v>
      </c>
      <c r="E59" s="162">
        <v>7648.46</v>
      </c>
      <c r="F59" s="162">
        <f>INDEX('2016 Lockdown Update'!H$5:H$245,MATCH(B59,'2016 Lockdown Update'!B$5:B$245,0))</f>
        <v>7648.46</v>
      </c>
      <c r="G59" s="162">
        <f t="shared" si="13"/>
        <v>0</v>
      </c>
      <c r="H59" s="5">
        <v>2702794.5</v>
      </c>
      <c r="I59" s="5">
        <f>INDEX('2016 Lockdown Update'!E$5:E$245,MATCH(B59,'2016 Lockdown Update'!B$5:B$245,0))</f>
        <v>2687221.1</v>
      </c>
      <c r="J59" s="5">
        <f t="shared" si="2"/>
        <v>-15573.399999999907</v>
      </c>
      <c r="K59" s="5">
        <v>989548.83</v>
      </c>
      <c r="L59" s="5">
        <f>INDEX('2016 Lockdown Update'!F$5:F$245,MATCH(B59,'2016 Lockdown Update'!B$5:B$245,0))</f>
        <v>989548.83000000007</v>
      </c>
      <c r="M59" s="5">
        <f t="shared" si="3"/>
        <v>0</v>
      </c>
      <c r="N59" s="5">
        <v>1713245.67</v>
      </c>
      <c r="O59" s="105">
        <f t="shared" si="4"/>
        <v>1697672.27</v>
      </c>
      <c r="P59" s="105">
        <f t="shared" si="5"/>
        <v>-15573.399999999907</v>
      </c>
      <c r="Q59" s="103">
        <f t="shared" si="6"/>
        <v>221.96262646336649</v>
      </c>
      <c r="R59" s="6">
        <f t="shared" si="7"/>
        <v>221.96262646336649</v>
      </c>
      <c r="S59" s="5">
        <f t="shared" si="8"/>
        <v>1697672.27</v>
      </c>
      <c r="T59" s="140">
        <v>0.92249999999999999</v>
      </c>
      <c r="U59" s="105">
        <f t="shared" si="9"/>
        <v>412625.68965771119</v>
      </c>
      <c r="V59" s="105">
        <f t="shared" si="10"/>
        <v>380832.9090058229</v>
      </c>
      <c r="W59" s="105">
        <f t="shared" si="11"/>
        <v>114194.15961277157</v>
      </c>
      <c r="X59" s="105">
        <f t="shared" si="12"/>
        <v>25348.199274327508</v>
      </c>
      <c r="Y59" s="105">
        <f t="shared" si="14"/>
        <v>933000.95755063312</v>
      </c>
      <c r="Z59" s="112">
        <f t="shared" si="15"/>
        <v>0.54957660205560943</v>
      </c>
      <c r="AA59" s="104">
        <f t="shared" si="16"/>
        <v>933276.45257009461</v>
      </c>
      <c r="AB59" s="105"/>
      <c r="AC59" s="104">
        <v>917579.68867329287</v>
      </c>
      <c r="AD59" s="5">
        <f t="shared" si="17"/>
        <v>15696.763896801742</v>
      </c>
      <c r="AE59" s="5">
        <v>-2947.8054436907405</v>
      </c>
      <c r="AF59" s="5">
        <f t="shared" si="18"/>
        <v>18644.569340492482</v>
      </c>
    </row>
    <row r="60" spans="2:32" x14ac:dyDescent="0.25">
      <c r="B60" s="10">
        <v>8</v>
      </c>
      <c r="C60" s="10">
        <v>5</v>
      </c>
      <c r="D60" s="9" t="s">
        <v>93</v>
      </c>
      <c r="E60" s="162">
        <v>2353.7999999999997</v>
      </c>
      <c r="F60" s="162">
        <f>INDEX('2016 Lockdown Update'!H$5:H$245,MATCH(B60,'2016 Lockdown Update'!B$5:B$245,0))</f>
        <v>2353.7999999999997</v>
      </c>
      <c r="G60" s="162">
        <f t="shared" si="13"/>
        <v>0</v>
      </c>
      <c r="H60" s="5">
        <v>621227.18999999994</v>
      </c>
      <c r="I60" s="5">
        <f>INDEX('2016 Lockdown Update'!E$5:E$245,MATCH(B60,'2016 Lockdown Update'!B$5:B$245,0))</f>
        <v>621227.18999999994</v>
      </c>
      <c r="J60" s="5">
        <f t="shared" si="2"/>
        <v>0</v>
      </c>
      <c r="K60" s="5">
        <v>68723.27</v>
      </c>
      <c r="L60" s="5">
        <f>INDEX('2016 Lockdown Update'!F$5:F$245,MATCH(B60,'2016 Lockdown Update'!B$5:B$245,0))</f>
        <v>68723.27</v>
      </c>
      <c r="M60" s="5">
        <f t="shared" si="3"/>
        <v>0</v>
      </c>
      <c r="N60" s="5">
        <v>552503.92000000004</v>
      </c>
      <c r="O60" s="105">
        <f t="shared" si="4"/>
        <v>552503.91999999993</v>
      </c>
      <c r="P60" s="105">
        <f t="shared" si="5"/>
        <v>0</v>
      </c>
      <c r="Q60" s="103">
        <f t="shared" si="6"/>
        <v>234.7284901011131</v>
      </c>
      <c r="R60" s="6">
        <f t="shared" si="7"/>
        <v>234.7284901011131</v>
      </c>
      <c r="S60" s="5">
        <f t="shared" si="8"/>
        <v>552503.91999999993</v>
      </c>
      <c r="T60" s="140">
        <v>0.68100000000000005</v>
      </c>
      <c r="U60" s="105">
        <f t="shared" si="9"/>
        <v>134288.17508375092</v>
      </c>
      <c r="V60" s="105">
        <f t="shared" si="10"/>
        <v>117200.65231666321</v>
      </c>
      <c r="W60" s="105">
        <f t="shared" si="11"/>
        <v>27435.074169610314</v>
      </c>
      <c r="X60" s="105">
        <f t="shared" si="12"/>
        <v>8249.5188921281624</v>
      </c>
      <c r="Y60" s="105">
        <f t="shared" si="14"/>
        <v>287173.42046215257</v>
      </c>
      <c r="Z60" s="112">
        <f t="shared" si="15"/>
        <v>0.51976720900396978</v>
      </c>
      <c r="AA60" s="104">
        <f t="shared" si="16"/>
        <v>287258.21656704269</v>
      </c>
      <c r="AB60" s="105"/>
      <c r="AC60" s="104">
        <v>284051.39253401052</v>
      </c>
      <c r="AD60" s="5">
        <f t="shared" si="17"/>
        <v>3206.8240330321714</v>
      </c>
      <c r="AE60" s="5">
        <v>-916.05844606290339</v>
      </c>
      <c r="AF60" s="5">
        <f t="shared" si="18"/>
        <v>4122.8824790950748</v>
      </c>
    </row>
    <row r="61" spans="2:32" x14ac:dyDescent="0.25">
      <c r="B61" s="10">
        <v>41</v>
      </c>
      <c r="C61" s="10">
        <v>5</v>
      </c>
      <c r="D61" s="9" t="s">
        <v>94</v>
      </c>
      <c r="E61" s="162">
        <v>1790.4700000000003</v>
      </c>
      <c r="F61" s="162">
        <f>INDEX('2016 Lockdown Update'!H$5:H$245,MATCH(B61,'2016 Lockdown Update'!B$5:B$245,0))</f>
        <v>1790.4700000000003</v>
      </c>
      <c r="G61" s="162">
        <f t="shared" si="13"/>
        <v>0</v>
      </c>
      <c r="H61" s="5">
        <v>585084.06999999995</v>
      </c>
      <c r="I61" s="5">
        <f>INDEX('2016 Lockdown Update'!E$5:E$245,MATCH(B61,'2016 Lockdown Update'!B$5:B$245,0))</f>
        <v>585084.06999999995</v>
      </c>
      <c r="J61" s="5">
        <f t="shared" si="2"/>
        <v>0</v>
      </c>
      <c r="K61" s="5">
        <v>257171.99</v>
      </c>
      <c r="L61" s="5">
        <f>INDEX('2016 Lockdown Update'!F$5:F$245,MATCH(B61,'2016 Lockdown Update'!B$5:B$245,0))</f>
        <v>257171.98999999996</v>
      </c>
      <c r="M61" s="5">
        <f t="shared" si="3"/>
        <v>0</v>
      </c>
      <c r="N61" s="5">
        <v>327912.08</v>
      </c>
      <c r="O61" s="105">
        <f t="shared" si="4"/>
        <v>327912.07999999996</v>
      </c>
      <c r="P61" s="105">
        <f t="shared" si="5"/>
        <v>0</v>
      </c>
      <c r="Q61" s="103">
        <f t="shared" si="6"/>
        <v>183.1430183136271</v>
      </c>
      <c r="R61" s="6">
        <f t="shared" si="7"/>
        <v>183.1430183136271</v>
      </c>
      <c r="S61" s="5">
        <f t="shared" si="8"/>
        <v>327912.07999999996</v>
      </c>
      <c r="T61" s="140">
        <v>0.44208333333333333</v>
      </c>
      <c r="U61" s="105">
        <f t="shared" si="9"/>
        <v>79700.275811829415</v>
      </c>
      <c r="V61" s="105">
        <f t="shared" si="10"/>
        <v>89151.266867795071</v>
      </c>
      <c r="W61" s="105">
        <f t="shared" si="11"/>
        <v>10570.249079543877</v>
      </c>
      <c r="X61" s="105">
        <f t="shared" si="12"/>
        <v>4896.1044455884421</v>
      </c>
      <c r="Y61" s="105">
        <f t="shared" si="14"/>
        <v>184317.89620475681</v>
      </c>
      <c r="Z61" s="112">
        <f t="shared" si="15"/>
        <v>0.56209547450876718</v>
      </c>
      <c r="AA61" s="104">
        <f t="shared" si="16"/>
        <v>184372.32129616867</v>
      </c>
      <c r="AB61" s="105"/>
      <c r="AC61" s="104">
        <v>183594.85204026781</v>
      </c>
      <c r="AD61" s="5">
        <f t="shared" si="17"/>
        <v>777.46925590085448</v>
      </c>
      <c r="AE61" s="5">
        <v>-504.33667945783236</v>
      </c>
      <c r="AF61" s="5">
        <f t="shared" si="18"/>
        <v>1281.8059353586868</v>
      </c>
    </row>
    <row r="62" spans="2:32" x14ac:dyDescent="0.25">
      <c r="B62" s="10">
        <v>56</v>
      </c>
      <c r="C62" s="10">
        <v>5</v>
      </c>
      <c r="D62" s="9" t="s">
        <v>95</v>
      </c>
      <c r="E62" s="162">
        <v>2908</v>
      </c>
      <c r="F62" s="162">
        <f>INDEX('2016 Lockdown Update'!H$5:H$245,MATCH(B62,'2016 Lockdown Update'!B$5:B$245,0))</f>
        <v>2908</v>
      </c>
      <c r="G62" s="162">
        <f t="shared" si="13"/>
        <v>0</v>
      </c>
      <c r="H62" s="5">
        <v>488570.59</v>
      </c>
      <c r="I62" s="5">
        <f>INDEX('2016 Lockdown Update'!E$5:E$245,MATCH(B62,'2016 Lockdown Update'!B$5:B$245,0))</f>
        <v>488570.59</v>
      </c>
      <c r="J62" s="5">
        <f t="shared" si="2"/>
        <v>0</v>
      </c>
      <c r="K62" s="5">
        <v>2013.31</v>
      </c>
      <c r="L62" s="5">
        <f>INDEX('2016 Lockdown Update'!F$5:F$245,MATCH(B62,'2016 Lockdown Update'!B$5:B$245,0))</f>
        <v>2013.31</v>
      </c>
      <c r="M62" s="5">
        <f t="shared" si="3"/>
        <v>0</v>
      </c>
      <c r="N62" s="5">
        <v>486557.28</v>
      </c>
      <c r="O62" s="105">
        <f t="shared" si="4"/>
        <v>486557.28</v>
      </c>
      <c r="P62" s="105">
        <f t="shared" si="5"/>
        <v>0</v>
      </c>
      <c r="Q62" s="103">
        <f t="shared" si="6"/>
        <v>167.31680880330126</v>
      </c>
      <c r="R62" s="6">
        <f t="shared" si="7"/>
        <v>167.31680880330126</v>
      </c>
      <c r="S62" s="5">
        <f t="shared" si="8"/>
        <v>486557.28</v>
      </c>
      <c r="T62" s="140">
        <v>0.87662499999999999</v>
      </c>
      <c r="U62" s="105">
        <f t="shared" si="9"/>
        <v>118259.59389557569</v>
      </c>
      <c r="V62" s="105">
        <f t="shared" si="10"/>
        <v>144795.43586407369</v>
      </c>
      <c r="W62" s="105">
        <f t="shared" si="11"/>
        <v>31100.794949612708</v>
      </c>
      <c r="X62" s="105">
        <f t="shared" si="12"/>
        <v>7264.8597198414318</v>
      </c>
      <c r="Y62" s="105">
        <f t="shared" si="14"/>
        <v>301420.68442910351</v>
      </c>
      <c r="Z62" s="112">
        <f t="shared" si="15"/>
        <v>0.61949681326133588</v>
      </c>
      <c r="AA62" s="104">
        <f t="shared" si="16"/>
        <v>301509.68744314212</v>
      </c>
      <c r="AB62" s="105"/>
      <c r="AC62" s="104">
        <v>300013.70291177335</v>
      </c>
      <c r="AD62" s="5">
        <f t="shared" si="17"/>
        <v>1495.9845313687692</v>
      </c>
      <c r="AE62" s="5">
        <v>-832.47100657841656</v>
      </c>
      <c r="AF62" s="5">
        <f t="shared" si="18"/>
        <v>2328.4555379471858</v>
      </c>
    </row>
    <row r="63" spans="2:32" x14ac:dyDescent="0.25">
      <c r="B63" s="10">
        <v>67</v>
      </c>
      <c r="C63" s="10">
        <v>5</v>
      </c>
      <c r="D63" s="9" t="s">
        <v>96</v>
      </c>
      <c r="E63" s="162">
        <v>1348.2059902674757</v>
      </c>
      <c r="F63" s="162">
        <f>INDEX('2016 Lockdown Update'!H$5:H$245,MATCH(B63,'2016 Lockdown Update'!B$5:B$245,0))</f>
        <v>1429.0501372054057</v>
      </c>
      <c r="G63" s="162">
        <f t="shared" si="13"/>
        <v>80.844146937929963</v>
      </c>
      <c r="H63" s="5">
        <v>187597.74</v>
      </c>
      <c r="I63" s="5">
        <f>INDEX('2016 Lockdown Update'!E$5:E$245,MATCH(B63,'2016 Lockdown Update'!B$5:B$245,0))</f>
        <v>187597.74</v>
      </c>
      <c r="J63" s="5">
        <f t="shared" si="2"/>
        <v>0</v>
      </c>
      <c r="K63" s="5">
        <v>0</v>
      </c>
      <c r="L63" s="5">
        <f>INDEX('2016 Lockdown Update'!F$5:F$245,MATCH(B63,'2016 Lockdown Update'!B$5:B$245,0))</f>
        <v>0</v>
      </c>
      <c r="M63" s="5">
        <f t="shared" si="3"/>
        <v>0</v>
      </c>
      <c r="N63" s="5">
        <v>187597.74</v>
      </c>
      <c r="O63" s="105">
        <f t="shared" si="4"/>
        <v>187597.74</v>
      </c>
      <c r="P63" s="105">
        <f t="shared" si="5"/>
        <v>0</v>
      </c>
      <c r="Q63" s="103">
        <f t="shared" si="6"/>
        <v>131.27442845837359</v>
      </c>
      <c r="R63" s="6">
        <f t="shared" si="7"/>
        <v>131.27442845837359</v>
      </c>
      <c r="S63" s="5">
        <f t="shared" si="8"/>
        <v>187597.74</v>
      </c>
      <c r="T63" s="140">
        <v>0.627</v>
      </c>
      <c r="U63" s="105">
        <f t="shared" si="9"/>
        <v>45596.342835786549</v>
      </c>
      <c r="V63" s="105">
        <f t="shared" si="10"/>
        <v>71155.411791014791</v>
      </c>
      <c r="W63" s="105">
        <f t="shared" si="11"/>
        <v>8576.6720874114508</v>
      </c>
      <c r="X63" s="105">
        <f t="shared" si="12"/>
        <v>2801.0499911938127</v>
      </c>
      <c r="Y63" s="105">
        <f t="shared" si="14"/>
        <v>128129.4767054066</v>
      </c>
      <c r="Z63" s="112">
        <f t="shared" si="15"/>
        <v>0.68300117424339235</v>
      </c>
      <c r="AA63" s="104">
        <f t="shared" si="16"/>
        <v>128167.31057084145</v>
      </c>
      <c r="AB63" s="105"/>
      <c r="AC63" s="104">
        <v>122498.91367720508</v>
      </c>
      <c r="AD63" s="5">
        <f t="shared" si="17"/>
        <v>5668.3968936363672</v>
      </c>
      <c r="AE63" s="5">
        <v>-287.14622554443486</v>
      </c>
      <c r="AF63" s="5">
        <f t="shared" si="18"/>
        <v>5955.543119180802</v>
      </c>
    </row>
    <row r="64" spans="2:32" x14ac:dyDescent="0.25">
      <c r="B64" s="10">
        <v>157</v>
      </c>
      <c r="C64" s="10">
        <v>5</v>
      </c>
      <c r="D64" s="9" t="s">
        <v>97</v>
      </c>
      <c r="E64" s="162">
        <v>490.68705026385248</v>
      </c>
      <c r="F64" s="162">
        <f>INDEX('2016 Lockdown Update'!H$5:H$245,MATCH(B64,'2016 Lockdown Update'!B$5:B$245,0))</f>
        <v>520.1107260807803</v>
      </c>
      <c r="G64" s="162">
        <f t="shared" si="13"/>
        <v>29.423675816927812</v>
      </c>
      <c r="H64" s="5">
        <v>145208.92000000001</v>
      </c>
      <c r="I64" s="5">
        <f>INDEX('2016 Lockdown Update'!E$5:E$245,MATCH(B64,'2016 Lockdown Update'!B$5:B$245,0))</f>
        <v>145208.92000000001</v>
      </c>
      <c r="J64" s="5">
        <f t="shared" si="2"/>
        <v>0</v>
      </c>
      <c r="K64" s="5">
        <v>170</v>
      </c>
      <c r="L64" s="5">
        <f>INDEX('2016 Lockdown Update'!F$5:F$245,MATCH(B64,'2016 Lockdown Update'!B$5:B$245,0))</f>
        <v>170</v>
      </c>
      <c r="M64" s="5">
        <f t="shared" si="3"/>
        <v>0</v>
      </c>
      <c r="N64" s="5">
        <v>145038.92000000001</v>
      </c>
      <c r="O64" s="105">
        <f t="shared" si="4"/>
        <v>145038.92000000001</v>
      </c>
      <c r="P64" s="105">
        <f t="shared" si="5"/>
        <v>0</v>
      </c>
      <c r="Q64" s="103">
        <f t="shared" si="6"/>
        <v>278.86162066473798</v>
      </c>
      <c r="R64" s="6">
        <f t="shared" si="7"/>
        <v>278.86162066473798</v>
      </c>
      <c r="S64" s="5">
        <f t="shared" si="8"/>
        <v>145038.92000000001</v>
      </c>
      <c r="T64" s="140">
        <v>0.41916666666666669</v>
      </c>
      <c r="U64" s="105">
        <f t="shared" si="9"/>
        <v>35252.260079744134</v>
      </c>
      <c r="V64" s="105">
        <f t="shared" si="10"/>
        <v>25897.406905242922</v>
      </c>
      <c r="W64" s="105">
        <f t="shared" si="11"/>
        <v>4432.971705027825</v>
      </c>
      <c r="X64" s="105">
        <f t="shared" si="12"/>
        <v>2165.5978669506367</v>
      </c>
      <c r="Y64" s="105">
        <f t="shared" si="14"/>
        <v>67748.236556965508</v>
      </c>
      <c r="Z64" s="112">
        <f t="shared" si="15"/>
        <v>0.46710384052063753</v>
      </c>
      <c r="AA64" s="104">
        <f t="shared" si="16"/>
        <v>67768.241147097709</v>
      </c>
      <c r="AB64" s="105"/>
      <c r="AC64" s="104">
        <v>65533.442578555463</v>
      </c>
      <c r="AD64" s="5">
        <f t="shared" si="17"/>
        <v>2234.7985685422464</v>
      </c>
      <c r="AE64" s="5">
        <v>-227.83188206554041</v>
      </c>
      <c r="AF64" s="5">
        <f t="shared" si="18"/>
        <v>2462.6304506077868</v>
      </c>
    </row>
    <row r="65" spans="2:32" x14ac:dyDescent="0.25">
      <c r="B65" s="10">
        <v>214</v>
      </c>
      <c r="C65" s="10">
        <v>5</v>
      </c>
      <c r="D65" s="9" t="s">
        <v>98</v>
      </c>
      <c r="E65" s="162">
        <v>3129.3300000000004</v>
      </c>
      <c r="F65" s="162">
        <f>INDEX('2016 Lockdown Update'!H$5:H$245,MATCH(B65,'2016 Lockdown Update'!B$5:B$245,0))</f>
        <v>3129.3300000000004</v>
      </c>
      <c r="G65" s="162">
        <f t="shared" si="13"/>
        <v>0</v>
      </c>
      <c r="H65" s="5">
        <v>1627157.5</v>
      </c>
      <c r="I65" s="5">
        <f>INDEX('2016 Lockdown Update'!E$5:E$245,MATCH(B65,'2016 Lockdown Update'!B$5:B$245,0))</f>
        <v>1627157.5</v>
      </c>
      <c r="J65" s="5">
        <f t="shared" si="2"/>
        <v>0</v>
      </c>
      <c r="K65" s="5">
        <v>310296.28999999998</v>
      </c>
      <c r="L65" s="5">
        <f>INDEX('2016 Lockdown Update'!F$5:F$245,MATCH(B65,'2016 Lockdown Update'!B$5:B$245,0))</f>
        <v>310296.28999999998</v>
      </c>
      <c r="M65" s="5">
        <f t="shared" si="3"/>
        <v>0</v>
      </c>
      <c r="N65" s="5">
        <v>1316861.21</v>
      </c>
      <c r="O65" s="105">
        <f t="shared" si="4"/>
        <v>1316861.21</v>
      </c>
      <c r="P65" s="105">
        <f t="shared" si="5"/>
        <v>0</v>
      </c>
      <c r="Q65" s="103">
        <f t="shared" si="6"/>
        <v>420.81250938699333</v>
      </c>
      <c r="R65" s="6">
        <f t="shared" si="7"/>
        <v>420.81250938699333</v>
      </c>
      <c r="S65" s="5">
        <f t="shared" si="8"/>
        <v>1316861.21</v>
      </c>
      <c r="T65" s="140">
        <v>0.65333333333333332</v>
      </c>
      <c r="U65" s="105">
        <f t="shared" si="9"/>
        <v>320068.11595016392</v>
      </c>
      <c r="V65" s="105">
        <f t="shared" si="10"/>
        <v>155815.92204694694</v>
      </c>
      <c r="W65" s="105">
        <f t="shared" si="11"/>
        <v>62733.350726232129</v>
      </c>
      <c r="X65" s="105">
        <f t="shared" si="12"/>
        <v>19662.252224754804</v>
      </c>
      <c r="Y65" s="105">
        <f t="shared" si="14"/>
        <v>558279.6409480978</v>
      </c>
      <c r="Z65" s="112">
        <f t="shared" si="15"/>
        <v>0.42394721380554434</v>
      </c>
      <c r="AA65" s="104">
        <f t="shared" si="16"/>
        <v>558444.48886095709</v>
      </c>
      <c r="AB65" s="105"/>
      <c r="AC65" s="104">
        <v>558772.18804235919</v>
      </c>
      <c r="AD65" s="5">
        <f t="shared" si="17"/>
        <v>-327.69918140210211</v>
      </c>
      <c r="AE65" s="5">
        <v>-2288.1628760063322</v>
      </c>
      <c r="AF65" s="5">
        <f t="shared" si="18"/>
        <v>1960.4636946042301</v>
      </c>
    </row>
    <row r="66" spans="2:32" x14ac:dyDescent="0.25">
      <c r="B66" s="10">
        <v>223</v>
      </c>
      <c r="C66" s="10">
        <v>5</v>
      </c>
      <c r="D66" s="9" t="s">
        <v>99</v>
      </c>
      <c r="E66" s="162">
        <v>328.04</v>
      </c>
      <c r="F66" s="162">
        <f>INDEX('2016 Lockdown Update'!H$5:H$245,MATCH(B66,'2016 Lockdown Update'!B$5:B$245,0))</f>
        <v>328.04</v>
      </c>
      <c r="G66" s="162">
        <f t="shared" si="13"/>
        <v>0</v>
      </c>
      <c r="H66" s="5">
        <v>211908.17</v>
      </c>
      <c r="I66" s="5">
        <f>INDEX('2016 Lockdown Update'!E$5:E$245,MATCH(B66,'2016 Lockdown Update'!B$5:B$245,0))</f>
        <v>211908.17</v>
      </c>
      <c r="J66" s="5">
        <f t="shared" si="2"/>
        <v>0</v>
      </c>
      <c r="K66" s="5">
        <v>3369.32</v>
      </c>
      <c r="L66" s="5">
        <f>INDEX('2016 Lockdown Update'!F$5:F$245,MATCH(B66,'2016 Lockdown Update'!B$5:B$245,0))</f>
        <v>3369.32</v>
      </c>
      <c r="M66" s="5">
        <f t="shared" si="3"/>
        <v>0</v>
      </c>
      <c r="N66" s="5">
        <v>208538.85</v>
      </c>
      <c r="O66" s="105">
        <f t="shared" si="4"/>
        <v>208538.85</v>
      </c>
      <c r="P66" s="105">
        <f t="shared" si="5"/>
        <v>0</v>
      </c>
      <c r="Q66" s="103">
        <f t="shared" si="6"/>
        <v>635.71165101816848</v>
      </c>
      <c r="R66" s="6">
        <f t="shared" si="7"/>
        <v>421.5267809765856</v>
      </c>
      <c r="S66" s="5">
        <f t="shared" si="8"/>
        <v>138277.64523155915</v>
      </c>
      <c r="T66" s="140">
        <v>0.17525000000000002</v>
      </c>
      <c r="U66" s="105">
        <f t="shared" si="9"/>
        <v>33608.906581195683</v>
      </c>
      <c r="V66" s="105">
        <f t="shared" si="10"/>
        <v>16333.801506482372</v>
      </c>
      <c r="W66" s="105">
        <f t="shared" si="11"/>
        <v>1766.9882635063632</v>
      </c>
      <c r="X66" s="105">
        <f t="shared" si="12"/>
        <v>2064.6442593506722</v>
      </c>
      <c r="Y66" s="105">
        <f t="shared" si="14"/>
        <v>53774.340610535088</v>
      </c>
      <c r="Z66" s="112">
        <f t="shared" si="15"/>
        <v>0.38888672511370015</v>
      </c>
      <c r="AA66" s="104">
        <f t="shared" si="16"/>
        <v>53790.219011187452</v>
      </c>
      <c r="AB66" s="105"/>
      <c r="AC66" s="104">
        <v>53930.235255530934</v>
      </c>
      <c r="AD66" s="5">
        <f t="shared" si="17"/>
        <v>-140.01624434348196</v>
      </c>
      <c r="AE66" s="5">
        <v>-957.37522615699709</v>
      </c>
      <c r="AF66" s="5">
        <f t="shared" si="18"/>
        <v>817.35898181351513</v>
      </c>
    </row>
    <row r="67" spans="2:32" x14ac:dyDescent="0.25">
      <c r="B67" s="10">
        <v>224</v>
      </c>
      <c r="C67" s="10">
        <v>5</v>
      </c>
      <c r="D67" s="9" t="s">
        <v>100</v>
      </c>
      <c r="E67" s="162">
        <v>271.91600384295708</v>
      </c>
      <c r="F67" s="162">
        <f>INDEX('2016 Lockdown Update'!H$5:H$245,MATCH(B67,'2016 Lockdown Update'!B$5:B$245,0))</f>
        <v>271.91600384295708</v>
      </c>
      <c r="G67" s="162">
        <f t="shared" si="13"/>
        <v>0</v>
      </c>
      <c r="H67" s="5">
        <v>72126.84</v>
      </c>
      <c r="I67" s="5">
        <f>INDEX('2016 Lockdown Update'!E$5:E$245,MATCH(B67,'2016 Lockdown Update'!B$5:B$245,0))</f>
        <v>72126.84</v>
      </c>
      <c r="J67" s="5">
        <f t="shared" si="2"/>
        <v>0</v>
      </c>
      <c r="K67" s="5">
        <v>190</v>
      </c>
      <c r="L67" s="5">
        <f>INDEX('2016 Lockdown Update'!F$5:F$245,MATCH(B67,'2016 Lockdown Update'!B$5:B$245,0))</f>
        <v>190</v>
      </c>
      <c r="M67" s="5">
        <f t="shared" si="3"/>
        <v>0</v>
      </c>
      <c r="N67" s="5">
        <v>71936.84</v>
      </c>
      <c r="O67" s="105">
        <f t="shared" si="4"/>
        <v>71936.84</v>
      </c>
      <c r="P67" s="105">
        <f t="shared" si="5"/>
        <v>0</v>
      </c>
      <c r="Q67" s="103">
        <f t="shared" si="6"/>
        <v>264.55537365703032</v>
      </c>
      <c r="R67" s="6">
        <f t="shared" si="7"/>
        <v>264.55537365703032</v>
      </c>
      <c r="S67" s="5">
        <f t="shared" si="8"/>
        <v>71936.84</v>
      </c>
      <c r="T67" s="140">
        <v>0.35975000000000001</v>
      </c>
      <c r="U67" s="105">
        <f t="shared" si="9"/>
        <v>17484.522037222428</v>
      </c>
      <c r="V67" s="105">
        <f t="shared" si="10"/>
        <v>13539.269702495909</v>
      </c>
      <c r="W67" s="105">
        <f t="shared" si="11"/>
        <v>1887.0170408672304</v>
      </c>
      <c r="X67" s="105">
        <f t="shared" si="12"/>
        <v>1074.0997468760056</v>
      </c>
      <c r="Y67" s="105">
        <f t="shared" si="14"/>
        <v>33984.908527461572</v>
      </c>
      <c r="Z67" s="112">
        <f t="shared" si="15"/>
        <v>0.47242704193653173</v>
      </c>
      <c r="AA67" s="104">
        <f t="shared" si="16"/>
        <v>33994.943536493876</v>
      </c>
      <c r="AB67" s="105"/>
      <c r="AC67" s="104">
        <v>33613.527228745777</v>
      </c>
      <c r="AD67" s="5">
        <f t="shared" si="17"/>
        <v>381.41630774809892</v>
      </c>
      <c r="AE67" s="5">
        <v>-110.2754259895155</v>
      </c>
      <c r="AF67" s="5">
        <f t="shared" si="18"/>
        <v>491.69173373761441</v>
      </c>
    </row>
    <row r="68" spans="2:32" x14ac:dyDescent="0.25">
      <c r="B68" s="10">
        <v>233</v>
      </c>
      <c r="C68" s="10">
        <v>5</v>
      </c>
      <c r="D68" s="9" t="s">
        <v>101</v>
      </c>
      <c r="E68" s="162">
        <v>2093.62</v>
      </c>
      <c r="F68" s="162">
        <f>INDEX('2016 Lockdown Update'!H$5:H$245,MATCH(B68,'2016 Lockdown Update'!B$5:B$245,0))</f>
        <v>2093.62</v>
      </c>
      <c r="G68" s="162">
        <f t="shared" si="13"/>
        <v>0</v>
      </c>
      <c r="H68" s="5">
        <v>625378.56000000006</v>
      </c>
      <c r="I68" s="5">
        <f>INDEX('2016 Lockdown Update'!E$5:E$245,MATCH(B68,'2016 Lockdown Update'!B$5:B$245,0))</f>
        <v>625378.56000000006</v>
      </c>
      <c r="J68" s="5">
        <f t="shared" si="2"/>
        <v>0</v>
      </c>
      <c r="K68" s="5">
        <v>272048.02</v>
      </c>
      <c r="L68" s="5">
        <f>INDEX('2016 Lockdown Update'!F$5:F$245,MATCH(B68,'2016 Lockdown Update'!B$5:B$245,0))</f>
        <v>272048.02</v>
      </c>
      <c r="M68" s="5">
        <f t="shared" si="3"/>
        <v>0</v>
      </c>
      <c r="N68" s="5">
        <v>353330.54</v>
      </c>
      <c r="O68" s="105">
        <f t="shared" si="4"/>
        <v>353330.54000000004</v>
      </c>
      <c r="P68" s="105">
        <f t="shared" si="5"/>
        <v>0</v>
      </c>
      <c r="Q68" s="103">
        <f t="shared" si="6"/>
        <v>168.76536334196274</v>
      </c>
      <c r="R68" s="6">
        <f t="shared" si="7"/>
        <v>168.76536334196274</v>
      </c>
      <c r="S68" s="5">
        <f t="shared" si="8"/>
        <v>353330.54000000004</v>
      </c>
      <c r="T68" s="140">
        <v>0.59825000000000006</v>
      </c>
      <c r="U68" s="105">
        <f t="shared" si="9"/>
        <v>85878.329004355779</v>
      </c>
      <c r="V68" s="105">
        <f t="shared" si="10"/>
        <v>104245.74292769667</v>
      </c>
      <c r="W68" s="105">
        <f t="shared" si="11"/>
        <v>15413.013098056756</v>
      </c>
      <c r="X68" s="105">
        <f t="shared" si="12"/>
        <v>5275.6312840202936</v>
      </c>
      <c r="Y68" s="105">
        <f t="shared" si="14"/>
        <v>210812.71631412947</v>
      </c>
      <c r="Z68" s="112">
        <f t="shared" si="15"/>
        <v>0.59664448002182169</v>
      </c>
      <c r="AA68" s="104">
        <f t="shared" si="16"/>
        <v>210874.96475333383</v>
      </c>
      <c r="AB68" s="105"/>
      <c r="AC68" s="104">
        <v>205656.26222520947</v>
      </c>
      <c r="AD68" s="5">
        <f t="shared" si="17"/>
        <v>5218.702528124355</v>
      </c>
      <c r="AE68" s="5">
        <v>-536.46195192236337</v>
      </c>
      <c r="AF68" s="5">
        <f t="shared" si="18"/>
        <v>5755.1644800467184</v>
      </c>
    </row>
    <row r="69" spans="2:32" x14ac:dyDescent="0.25">
      <c r="B69" s="10">
        <v>272</v>
      </c>
      <c r="C69" s="10">
        <v>5</v>
      </c>
      <c r="D69" s="39" t="s">
        <v>102</v>
      </c>
      <c r="E69" s="162">
        <v>381.39814155448289</v>
      </c>
      <c r="F69" s="162">
        <f>INDEX('2016 Lockdown Update'!H$5:H$245,MATCH(B69,'2016 Lockdown Update'!B$5:B$245,0))</f>
        <v>381.39814155448289</v>
      </c>
      <c r="G69" s="162">
        <f t="shared" si="13"/>
        <v>0</v>
      </c>
      <c r="H69" s="5">
        <v>99896.17</v>
      </c>
      <c r="I69" s="5">
        <f>INDEX('2016 Lockdown Update'!E$5:E$245,MATCH(B69,'2016 Lockdown Update'!B$5:B$245,0))</f>
        <v>99371.17</v>
      </c>
      <c r="J69" s="5">
        <f t="shared" si="2"/>
        <v>-525</v>
      </c>
      <c r="K69" s="5">
        <v>0</v>
      </c>
      <c r="L69" s="5">
        <f>INDEX('2016 Lockdown Update'!F$5:F$245,MATCH(B69,'2016 Lockdown Update'!B$5:B$245,0))</f>
        <v>0</v>
      </c>
      <c r="M69" s="5">
        <f t="shared" si="3"/>
        <v>0</v>
      </c>
      <c r="N69" s="5">
        <v>99896.17</v>
      </c>
      <c r="O69" s="105">
        <f t="shared" si="4"/>
        <v>99371.17</v>
      </c>
      <c r="P69" s="105">
        <f t="shared" si="5"/>
        <v>-525</v>
      </c>
      <c r="Q69" s="103">
        <f t="shared" si="6"/>
        <v>260.54445256337146</v>
      </c>
      <c r="R69" s="6">
        <f t="shared" si="7"/>
        <v>260.54445256337146</v>
      </c>
      <c r="S69" s="5">
        <f t="shared" si="8"/>
        <v>99371.17</v>
      </c>
      <c r="T69" s="140">
        <v>0.60725000000000007</v>
      </c>
      <c r="U69" s="105">
        <f t="shared" si="9"/>
        <v>24152.540085574736</v>
      </c>
      <c r="V69" s="105">
        <f t="shared" si="10"/>
        <v>18990.615592891689</v>
      </c>
      <c r="W69" s="105">
        <f t="shared" si="11"/>
        <v>4399.9889900895778</v>
      </c>
      <c r="X69" s="105">
        <f t="shared" si="12"/>
        <v>1483.7258426109977</v>
      </c>
      <c r="Y69" s="105">
        <f t="shared" si="14"/>
        <v>49026.870511167006</v>
      </c>
      <c r="Z69" s="112">
        <f t="shared" si="15"/>
        <v>0.49337117104656214</v>
      </c>
      <c r="AA69" s="104">
        <f t="shared" si="16"/>
        <v>49041.347086497721</v>
      </c>
      <c r="AB69" s="105"/>
      <c r="AC69" s="104">
        <v>48643.88919950831</v>
      </c>
      <c r="AD69" s="5">
        <f t="shared" si="17"/>
        <v>397.45788698941033</v>
      </c>
      <c r="AE69" s="5">
        <v>-318.74495841329917</v>
      </c>
      <c r="AF69" s="5">
        <f t="shared" si="18"/>
        <v>716.2028454027095</v>
      </c>
    </row>
    <row r="70" spans="2:32" x14ac:dyDescent="0.25">
      <c r="B70" s="10">
        <v>427</v>
      </c>
      <c r="C70" s="10">
        <v>5</v>
      </c>
      <c r="D70" s="9" t="s">
        <v>103</v>
      </c>
      <c r="E70" s="162">
        <v>396.72999999999996</v>
      </c>
      <c r="F70" s="162">
        <f>INDEX('2016 Lockdown Update'!H$5:H$245,MATCH(B70,'2016 Lockdown Update'!B$5:B$245,0))</f>
        <v>396.72999999999996</v>
      </c>
      <c r="G70" s="162">
        <f t="shared" si="13"/>
        <v>0</v>
      </c>
      <c r="H70" s="5">
        <v>187906.75</v>
      </c>
      <c r="I70" s="5">
        <f>INDEX('2016 Lockdown Update'!E$5:E$245,MATCH(B70,'2016 Lockdown Update'!B$5:B$245,0))</f>
        <v>187906.75</v>
      </c>
      <c r="J70" s="5">
        <f t="shared" si="2"/>
        <v>0</v>
      </c>
      <c r="K70" s="5">
        <v>58024.55</v>
      </c>
      <c r="L70" s="5">
        <f>INDEX('2016 Lockdown Update'!F$5:F$245,MATCH(B70,'2016 Lockdown Update'!B$5:B$245,0))</f>
        <v>58024.55000000001</v>
      </c>
      <c r="M70" s="5">
        <f t="shared" si="3"/>
        <v>0</v>
      </c>
      <c r="N70" s="5">
        <v>129882.2</v>
      </c>
      <c r="O70" s="105">
        <f t="shared" si="4"/>
        <v>129882.19999999998</v>
      </c>
      <c r="P70" s="105">
        <f t="shared" si="5"/>
        <v>0</v>
      </c>
      <c r="Q70" s="103">
        <f t="shared" si="6"/>
        <v>327.38184659592167</v>
      </c>
      <c r="R70" s="6">
        <f t="shared" si="7"/>
        <v>327.38184659592167</v>
      </c>
      <c r="S70" s="5">
        <f t="shared" si="8"/>
        <v>129882.2</v>
      </c>
      <c r="T70" s="140">
        <v>0.35016666666666668</v>
      </c>
      <c r="U70" s="105">
        <f t="shared" si="9"/>
        <v>31568.361748207608</v>
      </c>
      <c r="V70" s="105">
        <f t="shared" si="10"/>
        <v>19754.021069585266</v>
      </c>
      <c r="W70" s="105">
        <f t="shared" si="11"/>
        <v>3316.2564016492092</v>
      </c>
      <c r="X70" s="105">
        <f t="shared" si="12"/>
        <v>1939.2906074787097</v>
      </c>
      <c r="Y70" s="105">
        <f t="shared" si="14"/>
        <v>56577.929826920794</v>
      </c>
      <c r="Z70" s="112">
        <f t="shared" si="15"/>
        <v>0.43560957411347201</v>
      </c>
      <c r="AA70" s="104">
        <f t="shared" si="16"/>
        <v>56594.636066879735</v>
      </c>
      <c r="AB70" s="105"/>
      <c r="AC70" s="104">
        <v>55135.392963314174</v>
      </c>
      <c r="AD70" s="5">
        <f t="shared" si="17"/>
        <v>1459.2431035655609</v>
      </c>
      <c r="AE70" s="5">
        <v>-196.63199345196335</v>
      </c>
      <c r="AF70" s="5">
        <f t="shared" si="18"/>
        <v>1655.8750970175242</v>
      </c>
    </row>
    <row r="71" spans="2:32" x14ac:dyDescent="0.25">
      <c r="B71" s="10">
        <v>524</v>
      </c>
      <c r="C71" s="10">
        <v>5</v>
      </c>
      <c r="D71" s="9" t="s">
        <v>104</v>
      </c>
      <c r="E71" s="162">
        <v>548.16649138804223</v>
      </c>
      <c r="F71" s="162">
        <f>INDEX('2016 Lockdown Update'!H$5:H$245,MATCH(B71,'2016 Lockdown Update'!B$5:B$245,0))</f>
        <v>548.16649138804223</v>
      </c>
      <c r="G71" s="162">
        <f t="shared" si="13"/>
        <v>0</v>
      </c>
      <c r="H71" s="5">
        <v>225099.83</v>
      </c>
      <c r="I71" s="5">
        <f>INDEX('2016 Lockdown Update'!E$5:E$245,MATCH(B71,'2016 Lockdown Update'!B$5:B$245,0))</f>
        <v>225099.83</v>
      </c>
      <c r="J71" s="5">
        <f t="shared" si="2"/>
        <v>0</v>
      </c>
      <c r="K71" s="5">
        <v>301</v>
      </c>
      <c r="L71" s="5">
        <f>INDEX('2016 Lockdown Update'!F$5:F$245,MATCH(B71,'2016 Lockdown Update'!B$5:B$245,0))</f>
        <v>301</v>
      </c>
      <c r="M71" s="5">
        <f t="shared" si="3"/>
        <v>0</v>
      </c>
      <c r="N71" s="5">
        <v>224798.83</v>
      </c>
      <c r="O71" s="105">
        <f t="shared" si="4"/>
        <v>224798.83</v>
      </c>
      <c r="P71" s="105">
        <f t="shared" si="5"/>
        <v>0</v>
      </c>
      <c r="Q71" s="103">
        <f t="shared" si="6"/>
        <v>410.09225031390486</v>
      </c>
      <c r="R71" s="6">
        <f t="shared" si="7"/>
        <v>410.09225031390486</v>
      </c>
      <c r="S71" s="5">
        <f t="shared" si="8"/>
        <v>224798.83</v>
      </c>
      <c r="T71" s="140">
        <v>0.78341666666666676</v>
      </c>
      <c r="U71" s="105">
        <f t="shared" si="9"/>
        <v>54638.208977164104</v>
      </c>
      <c r="V71" s="105">
        <f t="shared" si="10"/>
        <v>27294.362464446898</v>
      </c>
      <c r="W71" s="105">
        <f t="shared" si="11"/>
        <v>12841.345064857995</v>
      </c>
      <c r="X71" s="105">
        <f t="shared" si="12"/>
        <v>3356.5050452733567</v>
      </c>
      <c r="Y71" s="105">
        <f t="shared" si="14"/>
        <v>98130.421551742344</v>
      </c>
      <c r="Z71" s="112">
        <f t="shared" si="15"/>
        <v>0.43652549949544822</v>
      </c>
      <c r="AA71" s="104">
        <f t="shared" si="16"/>
        <v>98159.397344506942</v>
      </c>
      <c r="AB71" s="105"/>
      <c r="AC71" s="104">
        <v>97502.173234731628</v>
      </c>
      <c r="AD71" s="5">
        <f t="shared" si="17"/>
        <v>657.22410977531399</v>
      </c>
      <c r="AE71" s="5">
        <v>-398.81293231564632</v>
      </c>
      <c r="AF71" s="5">
        <f t="shared" si="18"/>
        <v>1056.0370420909603</v>
      </c>
    </row>
    <row r="72" spans="2:32" x14ac:dyDescent="0.25">
      <c r="B72" s="10">
        <v>565</v>
      </c>
      <c r="C72" s="10">
        <v>5</v>
      </c>
      <c r="D72" s="9" t="s">
        <v>105</v>
      </c>
      <c r="E72" s="162">
        <v>458.57198478039822</v>
      </c>
      <c r="F72" s="162">
        <f>INDEX('2016 Lockdown Update'!H$5:H$245,MATCH(B72,'2016 Lockdown Update'!B$5:B$245,0))</f>
        <v>458.57198478039822</v>
      </c>
      <c r="G72" s="162">
        <f t="shared" si="13"/>
        <v>0</v>
      </c>
      <c r="H72" s="5">
        <v>216509.8</v>
      </c>
      <c r="I72" s="5">
        <f>INDEX('2016 Lockdown Update'!E$5:E$245,MATCH(B72,'2016 Lockdown Update'!B$5:B$245,0))</f>
        <v>216509.8</v>
      </c>
      <c r="J72" s="5">
        <f t="shared" si="2"/>
        <v>0</v>
      </c>
      <c r="K72" s="5">
        <v>750</v>
      </c>
      <c r="L72" s="5">
        <f>INDEX('2016 Lockdown Update'!F$5:F$245,MATCH(B72,'2016 Lockdown Update'!B$5:B$245,0))</f>
        <v>750</v>
      </c>
      <c r="M72" s="5">
        <f t="shared" si="3"/>
        <v>0</v>
      </c>
      <c r="N72" s="5">
        <v>215759.8</v>
      </c>
      <c r="O72" s="105">
        <f t="shared" si="4"/>
        <v>215759.8</v>
      </c>
      <c r="P72" s="105">
        <f t="shared" si="5"/>
        <v>0</v>
      </c>
      <c r="Q72" s="103">
        <f t="shared" si="6"/>
        <v>470.50366607834411</v>
      </c>
      <c r="R72" s="6">
        <f t="shared" si="7"/>
        <v>421.5267809765856</v>
      </c>
      <c r="S72" s="5">
        <f t="shared" si="8"/>
        <v>193300.37259052508</v>
      </c>
      <c r="T72" s="140">
        <v>0.64424999999999999</v>
      </c>
      <c r="U72" s="105">
        <f t="shared" si="9"/>
        <v>46982.389334343039</v>
      </c>
      <c r="V72" s="105">
        <f t="shared" si="10"/>
        <v>22833.263552727349</v>
      </c>
      <c r="W72" s="105">
        <f t="shared" si="11"/>
        <v>9080.5212985951512</v>
      </c>
      <c r="X72" s="105">
        <f t="shared" si="12"/>
        <v>2886.1968536638606</v>
      </c>
      <c r="Y72" s="105">
        <f t="shared" si="14"/>
        <v>81782.371039329402</v>
      </c>
      <c r="Z72" s="112">
        <f t="shared" si="15"/>
        <v>0.42308439421672434</v>
      </c>
      <c r="AA72" s="104">
        <f t="shared" si="16"/>
        <v>81806.519606079251</v>
      </c>
      <c r="AB72" s="105"/>
      <c r="AC72" s="104">
        <v>82584.769156304203</v>
      </c>
      <c r="AD72" s="5">
        <f t="shared" si="17"/>
        <v>-778.24955022495124</v>
      </c>
      <c r="AE72" s="5">
        <v>-1524.6778434165026</v>
      </c>
      <c r="AF72" s="5">
        <f t="shared" si="18"/>
        <v>746.42829319155135</v>
      </c>
    </row>
    <row r="73" spans="2:32" x14ac:dyDescent="0.25">
      <c r="B73" s="10">
        <v>613</v>
      </c>
      <c r="C73" s="10">
        <v>5</v>
      </c>
      <c r="D73" s="9" t="s">
        <v>106</v>
      </c>
      <c r="E73" s="162">
        <v>85.760856106391941</v>
      </c>
      <c r="F73" s="162">
        <f>INDEX('2016 Lockdown Update'!H$5:H$245,MATCH(B73,'2016 Lockdown Update'!B$5:B$245,0))</f>
        <v>85.760856106391941</v>
      </c>
      <c r="G73" s="162">
        <f t="shared" si="13"/>
        <v>0</v>
      </c>
      <c r="H73" s="5">
        <v>56071.13</v>
      </c>
      <c r="I73" s="5">
        <f>INDEX('2016 Lockdown Update'!E$5:E$245,MATCH(B73,'2016 Lockdown Update'!B$5:B$245,0))</f>
        <v>56071.13</v>
      </c>
      <c r="J73" s="5">
        <f t="shared" si="2"/>
        <v>0</v>
      </c>
      <c r="K73" s="5">
        <v>0</v>
      </c>
      <c r="L73" s="5">
        <f>INDEX('2016 Lockdown Update'!F$5:F$245,MATCH(B73,'2016 Lockdown Update'!B$5:B$245,0))</f>
        <v>0</v>
      </c>
      <c r="M73" s="5">
        <f t="shared" si="3"/>
        <v>0</v>
      </c>
      <c r="N73" s="5">
        <v>56071.13</v>
      </c>
      <c r="O73" s="105">
        <f t="shared" si="4"/>
        <v>56071.13</v>
      </c>
      <c r="P73" s="105">
        <f t="shared" si="5"/>
        <v>0</v>
      </c>
      <c r="Q73" s="103">
        <f t="shared" si="6"/>
        <v>653.80795558337365</v>
      </c>
      <c r="R73" s="6">
        <f t="shared" si="7"/>
        <v>421.5267809765856</v>
      </c>
      <c r="S73" s="5">
        <f t="shared" si="8"/>
        <v>36150.497608323552</v>
      </c>
      <c r="T73" s="140">
        <v>0.30016666666666669</v>
      </c>
      <c r="U73" s="105">
        <f t="shared" si="9"/>
        <v>8786.5156724883909</v>
      </c>
      <c r="V73" s="105">
        <f t="shared" si="10"/>
        <v>4270.2133906468798</v>
      </c>
      <c r="W73" s="105">
        <f t="shared" si="11"/>
        <v>791.22573630757972</v>
      </c>
      <c r="X73" s="105">
        <f t="shared" si="12"/>
        <v>539.76850151524548</v>
      </c>
      <c r="Y73" s="105">
        <f t="shared" si="14"/>
        <v>14387.723300958096</v>
      </c>
      <c r="Z73" s="112">
        <f t="shared" si="15"/>
        <v>0.39799516612035135</v>
      </c>
      <c r="AA73" s="104">
        <f t="shared" si="16"/>
        <v>14391.971684712396</v>
      </c>
      <c r="AB73" s="105"/>
      <c r="AC73" s="104">
        <v>14430.988905158209</v>
      </c>
      <c r="AD73" s="5">
        <f t="shared" si="17"/>
        <v>-39.0172204458122</v>
      </c>
      <c r="AE73" s="5">
        <v>-258.88382921345328</v>
      </c>
      <c r="AF73" s="5">
        <f t="shared" si="18"/>
        <v>219.86660876764108</v>
      </c>
    </row>
    <row r="74" spans="2:32" x14ac:dyDescent="0.25">
      <c r="B74" s="10">
        <v>696</v>
      </c>
      <c r="C74" s="10">
        <v>5</v>
      </c>
      <c r="D74" s="9" t="s">
        <v>107</v>
      </c>
      <c r="E74" s="162">
        <v>353.67061444512626</v>
      </c>
      <c r="F74" s="162">
        <f>INDEX('2016 Lockdown Update'!H$5:H$245,MATCH(B74,'2016 Lockdown Update'!B$5:B$245,0))</f>
        <v>353.67061444512626</v>
      </c>
      <c r="G74" s="162">
        <f t="shared" si="13"/>
        <v>0</v>
      </c>
      <c r="H74" s="5">
        <v>124905.27</v>
      </c>
      <c r="I74" s="5">
        <f>INDEX('2016 Lockdown Update'!E$5:E$245,MATCH(B74,'2016 Lockdown Update'!B$5:B$245,0))</f>
        <v>124905.27</v>
      </c>
      <c r="J74" s="5">
        <f t="shared" si="2"/>
        <v>0</v>
      </c>
      <c r="K74" s="5">
        <v>97.35</v>
      </c>
      <c r="L74" s="5">
        <f>INDEX('2016 Lockdown Update'!F$5:F$245,MATCH(B74,'2016 Lockdown Update'!B$5:B$245,0))</f>
        <v>97.35</v>
      </c>
      <c r="M74" s="5">
        <f t="shared" si="3"/>
        <v>0</v>
      </c>
      <c r="N74" s="5">
        <v>124807.92</v>
      </c>
      <c r="O74" s="105">
        <f t="shared" si="4"/>
        <v>124807.92</v>
      </c>
      <c r="P74" s="105">
        <f t="shared" si="5"/>
        <v>0</v>
      </c>
      <c r="Q74" s="103">
        <f t="shared" si="6"/>
        <v>352.89310138421058</v>
      </c>
      <c r="R74" s="6">
        <f t="shared" si="7"/>
        <v>352.89310138421058</v>
      </c>
      <c r="S74" s="5">
        <f t="shared" si="8"/>
        <v>124807.92</v>
      </c>
      <c r="T74" s="140">
        <v>0.42433333333333334</v>
      </c>
      <c r="U74" s="105">
        <f t="shared" si="9"/>
        <v>30335.038732030676</v>
      </c>
      <c r="V74" s="105">
        <f t="shared" si="10"/>
        <v>17610.003703884737</v>
      </c>
      <c r="W74" s="105">
        <f t="shared" si="11"/>
        <v>3861.6504305875051</v>
      </c>
      <c r="X74" s="105">
        <f t="shared" si="12"/>
        <v>1863.5257717759184</v>
      </c>
      <c r="Y74" s="105">
        <f t="shared" si="14"/>
        <v>53670.218638278835</v>
      </c>
      <c r="Z74" s="112">
        <f t="shared" si="15"/>
        <v>0.43002253894046816</v>
      </c>
      <c r="AA74" s="104">
        <f t="shared" si="16"/>
        <v>53686.066293962998</v>
      </c>
      <c r="AB74" s="105"/>
      <c r="AC74" s="104">
        <v>53020.188059943881</v>
      </c>
      <c r="AD74" s="5">
        <f t="shared" si="17"/>
        <v>665.87823401911737</v>
      </c>
      <c r="AE74" s="5">
        <v>-198.31956102245749</v>
      </c>
      <c r="AF74" s="5">
        <f t="shared" si="18"/>
        <v>864.19779504157486</v>
      </c>
    </row>
    <row r="75" spans="2:32" x14ac:dyDescent="0.25">
      <c r="B75" s="10">
        <v>731</v>
      </c>
      <c r="C75" s="10">
        <v>5</v>
      </c>
      <c r="D75" s="9" t="s">
        <v>108</v>
      </c>
      <c r="E75" s="162">
        <v>789.18999999999994</v>
      </c>
      <c r="F75" s="162">
        <f>INDEX('2016 Lockdown Update'!H$5:H$245,MATCH(B75,'2016 Lockdown Update'!B$5:B$245,0))</f>
        <v>789.18999999999994</v>
      </c>
      <c r="G75" s="162">
        <f t="shared" si="13"/>
        <v>0</v>
      </c>
      <c r="H75" s="5">
        <v>240978.65</v>
      </c>
      <c r="I75" s="5">
        <f>INDEX('2016 Lockdown Update'!E$5:E$245,MATCH(B75,'2016 Lockdown Update'!B$5:B$245,0))</f>
        <v>240978.65</v>
      </c>
      <c r="J75" s="5">
        <f t="shared" si="2"/>
        <v>0</v>
      </c>
      <c r="K75" s="5">
        <v>0</v>
      </c>
      <c r="L75" s="5">
        <f>INDEX('2016 Lockdown Update'!F$5:F$245,MATCH(B75,'2016 Lockdown Update'!B$5:B$245,0))</f>
        <v>0</v>
      </c>
      <c r="M75" s="5">
        <f t="shared" si="3"/>
        <v>0</v>
      </c>
      <c r="N75" s="5">
        <v>240978.65</v>
      </c>
      <c r="O75" s="105">
        <f t="shared" si="4"/>
        <v>240978.65</v>
      </c>
      <c r="P75" s="105">
        <f t="shared" si="5"/>
        <v>0</v>
      </c>
      <c r="Q75" s="103">
        <f t="shared" si="6"/>
        <v>305.34934553149435</v>
      </c>
      <c r="R75" s="6">
        <f t="shared" si="7"/>
        <v>305.34934553149435</v>
      </c>
      <c r="S75" s="5">
        <f t="shared" si="8"/>
        <v>240978.65</v>
      </c>
      <c r="T75" s="140">
        <v>0.59091666666666676</v>
      </c>
      <c r="U75" s="105">
        <f t="shared" si="9"/>
        <v>58570.775647430579</v>
      </c>
      <c r="V75" s="105">
        <f t="shared" si="10"/>
        <v>39295.429858861178</v>
      </c>
      <c r="W75" s="105">
        <f t="shared" si="11"/>
        <v>10383.134252898257</v>
      </c>
      <c r="X75" s="105">
        <f t="shared" si="12"/>
        <v>3598.0883642862482</v>
      </c>
      <c r="Y75" s="105">
        <f t="shared" si="14"/>
        <v>111847.42812347626</v>
      </c>
      <c r="Z75" s="112">
        <f t="shared" si="15"/>
        <v>0.46413832977932384</v>
      </c>
      <c r="AA75" s="104">
        <f t="shared" si="16"/>
        <v>111880.45425184004</v>
      </c>
      <c r="AB75" s="105"/>
      <c r="AC75" s="104">
        <v>110508.51155084861</v>
      </c>
      <c r="AD75" s="5">
        <f t="shared" si="17"/>
        <v>1371.9427009914361</v>
      </c>
      <c r="AE75" s="5">
        <v>-397.04562599032943</v>
      </c>
      <c r="AF75" s="5">
        <f t="shared" si="18"/>
        <v>1768.9883269817656</v>
      </c>
    </row>
    <row r="76" spans="2:32" x14ac:dyDescent="0.25">
      <c r="B76" s="10">
        <v>732</v>
      </c>
      <c r="C76" s="10">
        <v>5</v>
      </c>
      <c r="D76" s="9" t="s">
        <v>109</v>
      </c>
      <c r="E76" s="162">
        <v>225.55436218074209</v>
      </c>
      <c r="F76" s="162">
        <f>INDEX('2016 Lockdown Update'!H$5:H$245,MATCH(B76,'2016 Lockdown Update'!B$5:B$245,0))</f>
        <v>225.55436218074209</v>
      </c>
      <c r="G76" s="162">
        <f t="shared" si="13"/>
        <v>0</v>
      </c>
      <c r="H76" s="5">
        <v>70730.53</v>
      </c>
      <c r="I76" s="5">
        <f>INDEX('2016 Lockdown Update'!E$5:E$245,MATCH(B76,'2016 Lockdown Update'!B$5:B$245,0))</f>
        <v>70730.53</v>
      </c>
      <c r="J76" s="5">
        <f t="shared" si="2"/>
        <v>0</v>
      </c>
      <c r="K76" s="5">
        <v>3957</v>
      </c>
      <c r="L76" s="5">
        <f>INDEX('2016 Lockdown Update'!F$5:F$245,MATCH(B76,'2016 Lockdown Update'!B$5:B$245,0))</f>
        <v>0</v>
      </c>
      <c r="M76" s="5">
        <f t="shared" si="3"/>
        <v>-3957</v>
      </c>
      <c r="N76" s="5">
        <v>66773.53</v>
      </c>
      <c r="O76" s="105">
        <f t="shared" si="4"/>
        <v>70730.53</v>
      </c>
      <c r="P76" s="105">
        <f t="shared" si="5"/>
        <v>3957</v>
      </c>
      <c r="Q76" s="103">
        <f t="shared" si="6"/>
        <v>313.58528966654143</v>
      </c>
      <c r="R76" s="6">
        <f t="shared" si="7"/>
        <v>313.58528966654143</v>
      </c>
      <c r="S76" s="5">
        <f t="shared" si="8"/>
        <v>70730.53</v>
      </c>
      <c r="T76" s="140">
        <v>0.6253333333333333</v>
      </c>
      <c r="U76" s="105">
        <f t="shared" si="9"/>
        <v>17191.323812519735</v>
      </c>
      <c r="V76" s="105">
        <f t="shared" si="10"/>
        <v>11230.826060180087</v>
      </c>
      <c r="W76" s="105">
        <f t="shared" si="11"/>
        <v>3225.0923472287018</v>
      </c>
      <c r="X76" s="105">
        <f t="shared" si="12"/>
        <v>1056.0881513478453</v>
      </c>
      <c r="Y76" s="105">
        <f t="shared" si="14"/>
        <v>32703.33037127637</v>
      </c>
      <c r="Z76" s="112">
        <f t="shared" si="15"/>
        <v>0.46236512537480451</v>
      </c>
      <c r="AA76" s="104">
        <f t="shared" si="16"/>
        <v>32712.986957975641</v>
      </c>
      <c r="AB76" s="105"/>
      <c r="AC76" s="104">
        <v>31129.921359584616</v>
      </c>
      <c r="AD76" s="5">
        <f t="shared" si="17"/>
        <v>1583.0655983910256</v>
      </c>
      <c r="AE76" s="5">
        <v>1061.5588457987978</v>
      </c>
      <c r="AF76" s="5">
        <f t="shared" si="18"/>
        <v>521.50675259222771</v>
      </c>
    </row>
    <row r="77" spans="2:32" x14ac:dyDescent="0.25">
      <c r="B77" s="10">
        <v>754</v>
      </c>
      <c r="C77" s="10">
        <v>5</v>
      </c>
      <c r="D77" s="9" t="s">
        <v>110</v>
      </c>
      <c r="E77" s="162">
        <v>99.79329178912181</v>
      </c>
      <c r="F77" s="162">
        <f>INDEX('2016 Lockdown Update'!H$5:H$245,MATCH(B77,'2016 Lockdown Update'!B$5:B$245,0))</f>
        <v>99.79329178912181</v>
      </c>
      <c r="G77" s="162">
        <f t="shared" si="13"/>
        <v>0</v>
      </c>
      <c r="H77" s="5">
        <v>28838.67</v>
      </c>
      <c r="I77" s="5">
        <f>INDEX('2016 Lockdown Update'!E$5:E$245,MATCH(B77,'2016 Lockdown Update'!B$5:B$245,0))</f>
        <v>28838.67</v>
      </c>
      <c r="J77" s="5">
        <f t="shared" si="2"/>
        <v>0</v>
      </c>
      <c r="K77" s="5">
        <v>0</v>
      </c>
      <c r="L77" s="5">
        <f>INDEX('2016 Lockdown Update'!F$5:F$245,MATCH(B77,'2016 Lockdown Update'!B$5:B$245,0))</f>
        <v>0</v>
      </c>
      <c r="M77" s="5">
        <f t="shared" si="3"/>
        <v>0</v>
      </c>
      <c r="N77" s="5">
        <v>28838.67</v>
      </c>
      <c r="O77" s="105">
        <f t="shared" si="4"/>
        <v>28838.67</v>
      </c>
      <c r="P77" s="105">
        <f t="shared" si="5"/>
        <v>0</v>
      </c>
      <c r="Q77" s="103">
        <f t="shared" si="6"/>
        <v>288.98405376726555</v>
      </c>
      <c r="R77" s="6">
        <f t="shared" si="7"/>
        <v>288.98405376726555</v>
      </c>
      <c r="S77" s="5">
        <f t="shared" si="8"/>
        <v>28838.67</v>
      </c>
      <c r="T77" s="140">
        <v>0.47558333333333336</v>
      </c>
      <c r="U77" s="105">
        <f t="shared" si="9"/>
        <v>7009.3482162850805</v>
      </c>
      <c r="V77" s="105">
        <f t="shared" si="10"/>
        <v>4968.9178751432528</v>
      </c>
      <c r="W77" s="105">
        <f t="shared" si="11"/>
        <v>1000.058756758474</v>
      </c>
      <c r="X77" s="105">
        <f t="shared" si="12"/>
        <v>430.59450689300024</v>
      </c>
      <c r="Y77" s="105">
        <f t="shared" si="14"/>
        <v>13408.919355079806</v>
      </c>
      <c r="Z77" s="112">
        <f t="shared" si="15"/>
        <v>0.46496316768699136</v>
      </c>
      <c r="AA77" s="104">
        <f t="shared" si="16"/>
        <v>13412.87871918205</v>
      </c>
      <c r="AB77" s="105"/>
      <c r="AC77" s="104">
        <v>13169.958299385442</v>
      </c>
      <c r="AD77" s="5">
        <f t="shared" si="17"/>
        <v>242.92041979660826</v>
      </c>
      <c r="AE77" s="5">
        <v>-45.409755594713715</v>
      </c>
      <c r="AF77" s="5">
        <f t="shared" si="18"/>
        <v>288.33017539132197</v>
      </c>
    </row>
    <row r="78" spans="2:32" x14ac:dyDescent="0.25">
      <c r="B78" s="10">
        <v>885</v>
      </c>
      <c r="C78" s="10">
        <v>5</v>
      </c>
      <c r="D78" s="9" t="s">
        <v>111</v>
      </c>
      <c r="E78" s="162">
        <v>402.22</v>
      </c>
      <c r="F78" s="162">
        <f>INDEX('2016 Lockdown Update'!H$5:H$245,MATCH(B78,'2016 Lockdown Update'!B$5:B$245,0))</f>
        <v>400.56999999999994</v>
      </c>
      <c r="G78" s="162">
        <f t="shared" si="13"/>
        <v>-1.6500000000000909</v>
      </c>
      <c r="H78" s="5">
        <v>250345.24</v>
      </c>
      <c r="I78" s="5">
        <f>INDEX('2016 Lockdown Update'!E$5:E$245,MATCH(B78,'2016 Lockdown Update'!B$5:B$245,0))</f>
        <v>123590.03</v>
      </c>
      <c r="J78" s="5">
        <f t="shared" si="2"/>
        <v>-126755.20999999999</v>
      </c>
      <c r="K78" s="5">
        <v>66489.38</v>
      </c>
      <c r="L78" s="5">
        <f>INDEX('2016 Lockdown Update'!F$5:F$245,MATCH(B78,'2016 Lockdown Update'!B$5:B$245,0))</f>
        <v>62748.440000000017</v>
      </c>
      <c r="M78" s="5">
        <f t="shared" si="3"/>
        <v>-3740.9399999999878</v>
      </c>
      <c r="N78" s="5">
        <v>183855.86</v>
      </c>
      <c r="O78" s="105">
        <f t="shared" si="4"/>
        <v>60841.589999999982</v>
      </c>
      <c r="P78" s="105">
        <f t="shared" si="5"/>
        <v>-123014.27</v>
      </c>
      <c r="Q78" s="103">
        <f t="shared" si="6"/>
        <v>151.88753526225128</v>
      </c>
      <c r="R78" s="6">
        <f t="shared" si="7"/>
        <v>151.88753526225128</v>
      </c>
      <c r="S78" s="5">
        <f t="shared" si="8"/>
        <v>60841.589999999982</v>
      </c>
      <c r="T78" s="140">
        <v>0.5724583333333334</v>
      </c>
      <c r="U78" s="105">
        <f t="shared" si="9"/>
        <v>14787.779406694142</v>
      </c>
      <c r="V78" s="105">
        <f t="shared" si="10"/>
        <v>19945.222745554329</v>
      </c>
      <c r="W78" s="105">
        <f t="shared" si="11"/>
        <v>2539.6162658571352</v>
      </c>
      <c r="X78" s="105">
        <f t="shared" si="12"/>
        <v>908.43490509916342</v>
      </c>
      <c r="Y78" s="105">
        <f t="shared" si="14"/>
        <v>38181.053323204775</v>
      </c>
      <c r="Z78" s="112">
        <f t="shared" si="15"/>
        <v>0.62754857858259105</v>
      </c>
      <c r="AA78" s="104">
        <f t="shared" si="16"/>
        <v>38192.327363111392</v>
      </c>
      <c r="AB78" s="105"/>
      <c r="AC78" s="104">
        <v>72076.071598688286</v>
      </c>
      <c r="AD78" s="5">
        <f t="shared" si="17"/>
        <v>-33883.744235576894</v>
      </c>
      <c r="AE78" s="5">
        <v>-33886.07869140149</v>
      </c>
      <c r="AF78" s="5">
        <f t="shared" si="18"/>
        <v>2.3344558245953522</v>
      </c>
    </row>
    <row r="79" spans="2:32" x14ac:dyDescent="0.25">
      <c r="B79" s="10">
        <v>909</v>
      </c>
      <c r="C79" s="10">
        <v>5</v>
      </c>
      <c r="D79" s="9" t="s">
        <v>112</v>
      </c>
      <c r="E79" s="162">
        <v>490.37</v>
      </c>
      <c r="F79" s="162">
        <f>INDEX('2016 Lockdown Update'!H$5:H$245,MATCH(B79,'2016 Lockdown Update'!B$5:B$245,0))</f>
        <v>490.37</v>
      </c>
      <c r="G79" s="162">
        <f t="shared" si="13"/>
        <v>0</v>
      </c>
      <c r="H79" s="5">
        <v>231494.25</v>
      </c>
      <c r="I79" s="5">
        <f>INDEX('2016 Lockdown Update'!E$5:E$245,MATCH(B79,'2016 Lockdown Update'!B$5:B$245,0))</f>
        <v>231494.25</v>
      </c>
      <c r="J79" s="5">
        <f t="shared" si="2"/>
        <v>0</v>
      </c>
      <c r="K79" s="5">
        <v>79965.2</v>
      </c>
      <c r="L79" s="5">
        <f>INDEX('2016 Lockdown Update'!F$5:F$245,MATCH(B79,'2016 Lockdown Update'!B$5:B$245,0))</f>
        <v>79965.2</v>
      </c>
      <c r="M79" s="5">
        <f t="shared" si="3"/>
        <v>0</v>
      </c>
      <c r="N79" s="5">
        <v>151529.04999999999</v>
      </c>
      <c r="O79" s="105">
        <f t="shared" si="4"/>
        <v>151529.04999999999</v>
      </c>
      <c r="P79" s="105">
        <f t="shared" si="5"/>
        <v>0</v>
      </c>
      <c r="Q79" s="103">
        <f t="shared" si="6"/>
        <v>309.00962538491342</v>
      </c>
      <c r="R79" s="6">
        <f t="shared" si="7"/>
        <v>309.00962538491342</v>
      </c>
      <c r="S79" s="5">
        <f t="shared" si="8"/>
        <v>151529.04999999999</v>
      </c>
      <c r="T79" s="140">
        <v>0.79725000000000001</v>
      </c>
      <c r="U79" s="105">
        <f t="shared" si="9"/>
        <v>36829.710813046266</v>
      </c>
      <c r="V79" s="105">
        <f t="shared" si="10"/>
        <v>24416.553605455923</v>
      </c>
      <c r="W79" s="105">
        <f t="shared" si="11"/>
        <v>8808.7460837103408</v>
      </c>
      <c r="X79" s="105">
        <f t="shared" si="12"/>
        <v>2262.5029713476656</v>
      </c>
      <c r="Y79" s="105">
        <f t="shared" si="14"/>
        <v>72317.513473560204</v>
      </c>
      <c r="Z79" s="112">
        <f t="shared" si="15"/>
        <v>0.47725181061690952</v>
      </c>
      <c r="AA79" s="104">
        <f t="shared" si="16"/>
        <v>72338.867272418152</v>
      </c>
      <c r="AB79" s="105"/>
      <c r="AC79" s="104">
        <v>70984.362594650665</v>
      </c>
      <c r="AD79" s="5">
        <f t="shared" si="17"/>
        <v>1354.504677767487</v>
      </c>
      <c r="AE79" s="5">
        <v>-260.68852075184986</v>
      </c>
      <c r="AF79" s="5">
        <f t="shared" si="18"/>
        <v>1615.1931985193369</v>
      </c>
    </row>
    <row r="80" spans="2:32" x14ac:dyDescent="0.25">
      <c r="B80" s="10">
        <v>923</v>
      </c>
      <c r="C80" s="10">
        <v>5</v>
      </c>
      <c r="D80" s="9" t="s">
        <v>113</v>
      </c>
      <c r="E80" s="162">
        <v>60.819362702759797</v>
      </c>
      <c r="F80" s="162">
        <f>INDEX('2016 Lockdown Update'!H$5:H$245,MATCH(B80,'2016 Lockdown Update'!B$5:B$245,0))</f>
        <v>60.819362702759797</v>
      </c>
      <c r="G80" s="162">
        <f t="shared" si="13"/>
        <v>0</v>
      </c>
      <c r="H80" s="5">
        <v>31592.22</v>
      </c>
      <c r="I80" s="5">
        <f>INDEX('2016 Lockdown Update'!E$5:E$245,MATCH(B80,'2016 Lockdown Update'!B$5:B$245,0))</f>
        <v>31592.22</v>
      </c>
      <c r="J80" s="5">
        <f t="shared" si="2"/>
        <v>0</v>
      </c>
      <c r="K80" s="5">
        <v>101.1</v>
      </c>
      <c r="L80" s="5">
        <f>INDEX('2016 Lockdown Update'!F$5:F$245,MATCH(B80,'2016 Lockdown Update'!B$5:B$245,0))</f>
        <v>101.1</v>
      </c>
      <c r="M80" s="5">
        <f t="shared" si="3"/>
        <v>0</v>
      </c>
      <c r="N80" s="5">
        <v>31491.119999999999</v>
      </c>
      <c r="O80" s="105">
        <f t="shared" si="4"/>
        <v>31491.120000000003</v>
      </c>
      <c r="P80" s="105">
        <f t="shared" si="5"/>
        <v>0</v>
      </c>
      <c r="Q80" s="103">
        <f t="shared" si="6"/>
        <v>517.78115719339871</v>
      </c>
      <c r="R80" s="6">
        <f t="shared" si="7"/>
        <v>421.5267809765856</v>
      </c>
      <c r="S80" s="5">
        <f t="shared" si="8"/>
        <v>25636.990181141748</v>
      </c>
      <c r="T80" s="140">
        <v>0.44341666666666663</v>
      </c>
      <c r="U80" s="105">
        <f t="shared" si="9"/>
        <v>6231.1677826024588</v>
      </c>
      <c r="V80" s="105">
        <f t="shared" si="10"/>
        <v>3028.3239792026448</v>
      </c>
      <c r="W80" s="105">
        <f t="shared" si="11"/>
        <v>828.90109428069206</v>
      </c>
      <c r="X80" s="105">
        <f t="shared" si="12"/>
        <v>382.78974534087115</v>
      </c>
      <c r="Y80" s="105">
        <f t="shared" si="14"/>
        <v>10471.182601426668</v>
      </c>
      <c r="Z80" s="112">
        <f t="shared" si="15"/>
        <v>0.40844040300523032</v>
      </c>
      <c r="AA80" s="104">
        <f t="shared" si="16"/>
        <v>10474.274515353678</v>
      </c>
      <c r="AB80" s="105"/>
      <c r="AC80" s="104">
        <v>10661.09355284431</v>
      </c>
      <c r="AD80" s="5">
        <f t="shared" si="17"/>
        <v>-186.81903749063167</v>
      </c>
      <c r="AE80" s="5">
        <v>-194.65334970514232</v>
      </c>
      <c r="AF80" s="5">
        <f t="shared" si="18"/>
        <v>7.8343122145106463</v>
      </c>
    </row>
    <row r="81" spans="2:32" x14ac:dyDescent="0.25">
      <c r="B81" s="10">
        <v>394</v>
      </c>
      <c r="C81" s="10">
        <v>6</v>
      </c>
      <c r="D81" s="9" t="s">
        <v>114</v>
      </c>
      <c r="E81" s="162">
        <v>707.27</v>
      </c>
      <c r="F81" s="162">
        <f>INDEX('2016 Lockdown Update'!H$5:H$245,MATCH(B81,'2016 Lockdown Update'!B$5:B$245,0))</f>
        <v>707.27</v>
      </c>
      <c r="G81" s="162">
        <f t="shared" si="13"/>
        <v>0</v>
      </c>
      <c r="H81" s="5">
        <v>389692.45</v>
      </c>
      <c r="I81" s="5">
        <f>INDEX('2016 Lockdown Update'!E$5:E$245,MATCH(B81,'2016 Lockdown Update'!B$5:B$245,0))</f>
        <v>389692.45</v>
      </c>
      <c r="J81" s="5">
        <f t="shared" si="2"/>
        <v>0</v>
      </c>
      <c r="K81" s="5">
        <v>54716.480000000003</v>
      </c>
      <c r="L81" s="5">
        <f>INDEX('2016 Lockdown Update'!F$5:F$245,MATCH(B81,'2016 Lockdown Update'!B$5:B$245,0))</f>
        <v>54716.480000000003</v>
      </c>
      <c r="M81" s="5">
        <f t="shared" si="3"/>
        <v>0</v>
      </c>
      <c r="N81" s="5">
        <v>334975.96999999997</v>
      </c>
      <c r="O81" s="105">
        <f t="shared" si="4"/>
        <v>334975.97000000003</v>
      </c>
      <c r="P81" s="105">
        <f t="shared" si="5"/>
        <v>0</v>
      </c>
      <c r="Q81" s="103">
        <f t="shared" si="6"/>
        <v>473.61823631710666</v>
      </c>
      <c r="R81" s="6">
        <f t="shared" si="7"/>
        <v>473.61823631710666</v>
      </c>
      <c r="S81" s="5">
        <f t="shared" si="8"/>
        <v>334975.97000000003</v>
      </c>
      <c r="T81" s="140">
        <v>0.77866666666666662</v>
      </c>
      <c r="U81" s="105">
        <f t="shared" si="9"/>
        <v>81417.181091148275</v>
      </c>
      <c r="V81" s="105">
        <f t="shared" si="10"/>
        <v>35216.460771521117</v>
      </c>
      <c r="W81" s="105">
        <f t="shared" si="11"/>
        <v>19019.053502892235</v>
      </c>
      <c r="X81" s="105">
        <f t="shared" si="12"/>
        <v>5001.5764465959928</v>
      </c>
      <c r="Y81" s="105">
        <f t="shared" si="14"/>
        <v>140654.27181215762</v>
      </c>
      <c r="Z81" s="112">
        <f t="shared" si="15"/>
        <v>0.41989361747995718</v>
      </c>
      <c r="AA81" s="104">
        <f t="shared" si="16"/>
        <v>140695.80397891119</v>
      </c>
      <c r="AB81" s="105"/>
      <c r="AC81" s="104">
        <v>138721.4485301821</v>
      </c>
      <c r="AD81" s="5">
        <f t="shared" si="17"/>
        <v>1974.3554487290967</v>
      </c>
      <c r="AE81" s="5">
        <v>-590.74015302248881</v>
      </c>
      <c r="AF81" s="5">
        <f t="shared" si="18"/>
        <v>2565.0956017515855</v>
      </c>
    </row>
    <row r="82" spans="2:32" x14ac:dyDescent="0.25">
      <c r="B82" s="10">
        <v>414</v>
      </c>
      <c r="C82" s="10">
        <v>6</v>
      </c>
      <c r="D82" s="9" t="s">
        <v>115</v>
      </c>
      <c r="E82" s="162">
        <v>208.97390440093511</v>
      </c>
      <c r="F82" s="162">
        <f>INDEX('2016 Lockdown Update'!H$5:H$245,MATCH(B82,'2016 Lockdown Update'!B$5:B$245,0))</f>
        <v>208.97390440093511</v>
      </c>
      <c r="G82" s="162">
        <f t="shared" si="13"/>
        <v>0</v>
      </c>
      <c r="H82" s="5">
        <v>242834.83</v>
      </c>
      <c r="I82" s="5">
        <f>INDEX('2016 Lockdown Update'!E$5:E$245,MATCH(B82,'2016 Lockdown Update'!B$5:B$245,0))</f>
        <v>194284.25</v>
      </c>
      <c r="J82" s="5">
        <f t="shared" si="2"/>
        <v>-48550.579999999987</v>
      </c>
      <c r="K82" s="5">
        <v>28452.02</v>
      </c>
      <c r="L82" s="5">
        <f>INDEX('2016 Lockdown Update'!F$5:F$245,MATCH(B82,'2016 Lockdown Update'!B$5:B$245,0))</f>
        <v>28452.02</v>
      </c>
      <c r="M82" s="5">
        <f t="shared" si="3"/>
        <v>0</v>
      </c>
      <c r="N82" s="5">
        <v>214382.81</v>
      </c>
      <c r="O82" s="105">
        <f t="shared" si="4"/>
        <v>165832.23000000001</v>
      </c>
      <c r="P82" s="105">
        <f t="shared" si="5"/>
        <v>-48550.579999999987</v>
      </c>
      <c r="Q82" s="103">
        <f t="shared" si="6"/>
        <v>793.55472864131423</v>
      </c>
      <c r="R82" s="6">
        <f t="shared" si="7"/>
        <v>793.55472864131423</v>
      </c>
      <c r="S82" s="5">
        <f t="shared" si="8"/>
        <v>165832.23000000001</v>
      </c>
      <c r="T82" s="140">
        <v>0.44866666666666666</v>
      </c>
      <c r="U82" s="105">
        <f t="shared" si="9"/>
        <v>40306.153007509616</v>
      </c>
      <c r="V82" s="105">
        <f t="shared" si="10"/>
        <v>10405.250196681796</v>
      </c>
      <c r="W82" s="105">
        <f t="shared" si="11"/>
        <v>5425.2081948107943</v>
      </c>
      <c r="X82" s="105">
        <f t="shared" si="12"/>
        <v>2476.0658970686445</v>
      </c>
      <c r="Y82" s="105">
        <f t="shared" si="14"/>
        <v>58612.677296070848</v>
      </c>
      <c r="Z82" s="112">
        <f t="shared" si="15"/>
        <v>0.35344563174523336</v>
      </c>
      <c r="AA82" s="104">
        <f t="shared" si="16"/>
        <v>58629.984352984022</v>
      </c>
      <c r="AB82" s="105"/>
      <c r="AC82" s="104">
        <v>69767.659849982636</v>
      </c>
      <c r="AD82" s="5">
        <f t="shared" si="17"/>
        <v>-11137.675496998614</v>
      </c>
      <c r="AE82" s="5">
        <v>-12307.638146369165</v>
      </c>
      <c r="AF82" s="5">
        <f t="shared" si="18"/>
        <v>1169.9626493705509</v>
      </c>
    </row>
    <row r="83" spans="2:32" x14ac:dyDescent="0.25">
      <c r="B83" s="10">
        <v>426</v>
      </c>
      <c r="C83" s="10">
        <v>6</v>
      </c>
      <c r="D83" s="9" t="s">
        <v>116</v>
      </c>
      <c r="E83" s="162">
        <v>414.6170418598681</v>
      </c>
      <c r="F83" s="162">
        <f>INDEX('2016 Lockdown Update'!H$5:H$245,MATCH(B83,'2016 Lockdown Update'!B$5:B$245,0))</f>
        <v>414.6170418598681</v>
      </c>
      <c r="G83" s="162">
        <f t="shared" si="13"/>
        <v>0</v>
      </c>
      <c r="H83" s="5">
        <v>140290.35</v>
      </c>
      <c r="I83" s="5">
        <f>INDEX('2016 Lockdown Update'!E$5:E$245,MATCH(B83,'2016 Lockdown Update'!B$5:B$245,0))</f>
        <v>140290.35</v>
      </c>
      <c r="J83" s="5">
        <f t="shared" si="2"/>
        <v>0</v>
      </c>
      <c r="K83" s="5">
        <v>0</v>
      </c>
      <c r="L83" s="5">
        <f>INDEX('2016 Lockdown Update'!F$5:F$245,MATCH(B83,'2016 Lockdown Update'!B$5:B$245,0))</f>
        <v>0</v>
      </c>
      <c r="M83" s="5">
        <f t="shared" si="3"/>
        <v>0</v>
      </c>
      <c r="N83" s="5">
        <v>140290.35</v>
      </c>
      <c r="O83" s="105">
        <f t="shared" si="4"/>
        <v>140290.35</v>
      </c>
      <c r="P83" s="105">
        <f t="shared" si="5"/>
        <v>0</v>
      </c>
      <c r="Q83" s="103">
        <f t="shared" si="6"/>
        <v>338.36127278003977</v>
      </c>
      <c r="R83" s="6">
        <f t="shared" si="7"/>
        <v>338.36127278003977</v>
      </c>
      <c r="S83" s="5">
        <f t="shared" si="8"/>
        <v>140290.35</v>
      </c>
      <c r="T83" s="140">
        <v>0.2235</v>
      </c>
      <c r="U83" s="105">
        <f t="shared" si="9"/>
        <v>34098.102115475849</v>
      </c>
      <c r="V83" s="105">
        <f t="shared" si="10"/>
        <v>20644.654502328915</v>
      </c>
      <c r="W83" s="105">
        <f t="shared" si="11"/>
        <v>2286.2777468426552</v>
      </c>
      <c r="X83" s="105">
        <f t="shared" si="12"/>
        <v>2094.6962561066939</v>
      </c>
      <c r="Y83" s="105">
        <f t="shared" si="14"/>
        <v>59123.730620754111</v>
      </c>
      <c r="Z83" s="112">
        <f t="shared" si="15"/>
        <v>0.42143832858606534</v>
      </c>
      <c r="AA83" s="104">
        <f t="shared" si="16"/>
        <v>59141.188580669572</v>
      </c>
      <c r="AB83" s="105"/>
      <c r="AC83" s="104">
        <v>56762.521518538968</v>
      </c>
      <c r="AD83" s="5">
        <f t="shared" si="17"/>
        <v>2378.6670621306039</v>
      </c>
      <c r="AE83" s="5">
        <v>-200.06358271303907</v>
      </c>
      <c r="AF83" s="5">
        <f t="shared" si="18"/>
        <v>2578.7306448436429</v>
      </c>
    </row>
    <row r="84" spans="2:32" x14ac:dyDescent="0.25">
      <c r="B84" s="10">
        <v>430</v>
      </c>
      <c r="C84" s="10">
        <v>6</v>
      </c>
      <c r="D84" s="9" t="s">
        <v>117</v>
      </c>
      <c r="E84" s="162">
        <v>3358.1870187184186</v>
      </c>
      <c r="F84" s="162">
        <f>INDEX('2016 Lockdown Update'!H$5:H$245,MATCH(B84,'2016 Lockdown Update'!B$5:B$245,0))</f>
        <v>3358.1870187184186</v>
      </c>
      <c r="G84" s="162">
        <f t="shared" si="13"/>
        <v>0</v>
      </c>
      <c r="H84" s="5">
        <v>1749219.88</v>
      </c>
      <c r="I84" s="5">
        <f>INDEX('2016 Lockdown Update'!E$5:E$245,MATCH(B84,'2016 Lockdown Update'!B$5:B$245,0))</f>
        <v>1749219.88</v>
      </c>
      <c r="J84" s="5">
        <f t="shared" si="2"/>
        <v>0</v>
      </c>
      <c r="K84" s="5">
        <v>30</v>
      </c>
      <c r="L84" s="5">
        <f>INDEX('2016 Lockdown Update'!F$5:F$245,MATCH(B84,'2016 Lockdown Update'!B$5:B$245,0))</f>
        <v>30</v>
      </c>
      <c r="M84" s="5">
        <f t="shared" si="3"/>
        <v>0</v>
      </c>
      <c r="N84" s="5">
        <v>1749189.88</v>
      </c>
      <c r="O84" s="105">
        <f t="shared" si="4"/>
        <v>1749189.88</v>
      </c>
      <c r="P84" s="105">
        <f t="shared" si="5"/>
        <v>0</v>
      </c>
      <c r="Q84" s="103">
        <f t="shared" si="6"/>
        <v>520.87327782820785</v>
      </c>
      <c r="R84" s="6">
        <f t="shared" si="7"/>
        <v>520.87327782820785</v>
      </c>
      <c r="S84" s="5">
        <f t="shared" si="8"/>
        <v>1749189.88</v>
      </c>
      <c r="T84" s="140">
        <v>0.60916666666666675</v>
      </c>
      <c r="U84" s="105">
        <f t="shared" si="9"/>
        <v>425147.24033119128</v>
      </c>
      <c r="V84" s="105">
        <f t="shared" si="10"/>
        <v>167211.19432201088</v>
      </c>
      <c r="W84" s="105">
        <f t="shared" si="11"/>
        <v>77695.658170525217</v>
      </c>
      <c r="X84" s="105">
        <f t="shared" si="12"/>
        <v>26117.416435668714</v>
      </c>
      <c r="Y84" s="105">
        <f t="shared" si="14"/>
        <v>696171.50925939612</v>
      </c>
      <c r="Z84" s="112">
        <f t="shared" si="15"/>
        <v>0.3979965338350781</v>
      </c>
      <c r="AA84" s="104">
        <f t="shared" si="16"/>
        <v>696377.07366095413</v>
      </c>
      <c r="AB84" s="105"/>
      <c r="AC84" s="104">
        <v>697232.40913967928</v>
      </c>
      <c r="AD84" s="5">
        <f t="shared" si="17"/>
        <v>-855.33547872514464</v>
      </c>
      <c r="AE84" s="5">
        <v>-3031.0865694745444</v>
      </c>
      <c r="AF84" s="5">
        <f t="shared" si="18"/>
        <v>2175.7510907493997</v>
      </c>
    </row>
    <row r="85" spans="2:32" x14ac:dyDescent="0.25">
      <c r="B85" s="10">
        <v>443</v>
      </c>
      <c r="C85" s="10">
        <v>6</v>
      </c>
      <c r="D85" s="9" t="s">
        <v>297</v>
      </c>
      <c r="E85" s="162">
        <v>11.46</v>
      </c>
      <c r="F85" s="162">
        <f>INDEX('2016 Lockdown Update'!H$5:H$245,MATCH(B85,'2016 Lockdown Update'!B$5:B$245,0))</f>
        <v>11.46</v>
      </c>
      <c r="G85" s="162">
        <f t="shared" si="13"/>
        <v>0</v>
      </c>
      <c r="H85" s="5">
        <v>16058.33</v>
      </c>
      <c r="I85" s="5">
        <f>INDEX('2016 Lockdown Update'!E$5:E$245,MATCH(B85,'2016 Lockdown Update'!B$5:B$245,0))</f>
        <v>16058.33</v>
      </c>
      <c r="J85" s="5">
        <f t="shared" si="2"/>
        <v>0</v>
      </c>
      <c r="K85" s="5">
        <v>0</v>
      </c>
      <c r="L85" s="5">
        <f>INDEX('2016 Lockdown Update'!F$5:F$245,MATCH(B85,'2016 Lockdown Update'!B$5:B$245,0))</f>
        <v>0</v>
      </c>
      <c r="M85" s="5">
        <f t="shared" si="3"/>
        <v>0</v>
      </c>
      <c r="N85" s="5">
        <v>16058.33</v>
      </c>
      <c r="O85" s="105">
        <f t="shared" si="4"/>
        <v>16058.33</v>
      </c>
      <c r="P85" s="105">
        <f t="shared" si="5"/>
        <v>0</v>
      </c>
      <c r="Q85" s="103">
        <f t="shared" si="6"/>
        <v>1401.2504363001744</v>
      </c>
      <c r="R85" s="6">
        <f t="shared" si="7"/>
        <v>976.36315547304241</v>
      </c>
      <c r="S85" s="5">
        <f t="shared" si="8"/>
        <v>11189.121761721068</v>
      </c>
      <c r="T85" s="140">
        <v>0.47649999999999998</v>
      </c>
      <c r="U85" s="105">
        <f t="shared" si="9"/>
        <v>2719.5585185556806</v>
      </c>
      <c r="V85" s="105">
        <f t="shared" si="10"/>
        <v>570.61750172018037</v>
      </c>
      <c r="W85" s="105">
        <f t="shared" si="11"/>
        <v>388.7608902275345</v>
      </c>
      <c r="X85" s="105">
        <f t="shared" si="12"/>
        <v>167.06645512965827</v>
      </c>
      <c r="Y85" s="105">
        <f t="shared" si="14"/>
        <v>3846.0033656330538</v>
      </c>
      <c r="Z85" s="112">
        <f t="shared" si="15"/>
        <v>0.34372700981685234</v>
      </c>
      <c r="AA85" s="104">
        <f t="shared" si="16"/>
        <v>3847.139007310042</v>
      </c>
      <c r="AB85" s="105"/>
      <c r="AC85" s="104">
        <v>3985.2957572603577</v>
      </c>
      <c r="AD85" s="5">
        <f t="shared" si="17"/>
        <v>-138.15674995031577</v>
      </c>
      <c r="AE85" s="5">
        <v>-84.530021310036773</v>
      </c>
      <c r="AF85" s="5">
        <f t="shared" si="18"/>
        <v>-53.626728640278998</v>
      </c>
    </row>
    <row r="86" spans="2:32" x14ac:dyDescent="0.25">
      <c r="B86" s="10">
        <v>562</v>
      </c>
      <c r="C86" s="10">
        <v>6</v>
      </c>
      <c r="D86" s="9" t="s">
        <v>118</v>
      </c>
      <c r="E86" s="162">
        <v>45.402806173972202</v>
      </c>
      <c r="F86" s="162">
        <f>INDEX('2016 Lockdown Update'!H$5:H$245,MATCH(B86,'2016 Lockdown Update'!B$5:B$245,0))</f>
        <v>45.402806173972202</v>
      </c>
      <c r="G86" s="162">
        <f t="shared" si="13"/>
        <v>0</v>
      </c>
      <c r="H86" s="5">
        <v>45830.02</v>
      </c>
      <c r="I86" s="5">
        <f>INDEX('2016 Lockdown Update'!E$5:E$245,MATCH(B86,'2016 Lockdown Update'!B$5:B$245,0))</f>
        <v>45830.02</v>
      </c>
      <c r="J86" s="5">
        <f t="shared" si="2"/>
        <v>0</v>
      </c>
      <c r="K86" s="5">
        <v>0</v>
      </c>
      <c r="L86" s="5">
        <f>INDEX('2016 Lockdown Update'!F$5:F$245,MATCH(B86,'2016 Lockdown Update'!B$5:B$245,0))</f>
        <v>0</v>
      </c>
      <c r="M86" s="5">
        <f t="shared" si="3"/>
        <v>0</v>
      </c>
      <c r="N86" s="5">
        <v>45830.02</v>
      </c>
      <c r="O86" s="105">
        <f t="shared" si="4"/>
        <v>45830.02</v>
      </c>
      <c r="P86" s="105">
        <f t="shared" si="5"/>
        <v>0</v>
      </c>
      <c r="Q86" s="103">
        <f t="shared" si="6"/>
        <v>1009.4094145721042</v>
      </c>
      <c r="R86" s="6">
        <f t="shared" si="7"/>
        <v>976.36315547304241</v>
      </c>
      <c r="S86" s="5">
        <f t="shared" si="8"/>
        <v>44329.627103350431</v>
      </c>
      <c r="T86" s="140">
        <v>0.19241666666666668</v>
      </c>
      <c r="U86" s="105">
        <f t="shared" si="9"/>
        <v>10774.484144568809</v>
      </c>
      <c r="V86" s="105">
        <f t="shared" si="10"/>
        <v>2260.7012068130543</v>
      </c>
      <c r="W86" s="105">
        <f t="shared" si="11"/>
        <v>621.95709724523454</v>
      </c>
      <c r="X86" s="105">
        <f t="shared" si="12"/>
        <v>661.89231068276581</v>
      </c>
      <c r="Y86" s="105">
        <f t="shared" si="14"/>
        <v>14319.034759309865</v>
      </c>
      <c r="Z86" s="112">
        <f t="shared" si="15"/>
        <v>0.32301275004922458</v>
      </c>
      <c r="AA86" s="104">
        <f t="shared" si="16"/>
        <v>14323.26286082226</v>
      </c>
      <c r="AB86" s="105"/>
      <c r="AC86" s="104">
        <v>14466.956581262899</v>
      </c>
      <c r="AD86" s="5">
        <f t="shared" si="17"/>
        <v>-143.69372044063857</v>
      </c>
      <c r="AE86" s="5">
        <v>-301.8221206926064</v>
      </c>
      <c r="AF86" s="5">
        <f t="shared" si="18"/>
        <v>158.12840025196783</v>
      </c>
    </row>
    <row r="87" spans="2:32" x14ac:dyDescent="0.25">
      <c r="B87" s="10">
        <v>603</v>
      </c>
      <c r="C87" s="10">
        <v>6</v>
      </c>
      <c r="D87" s="9" t="s">
        <v>119</v>
      </c>
      <c r="E87" s="162">
        <v>98.795473817502725</v>
      </c>
      <c r="F87" s="162">
        <f>INDEX('2016 Lockdown Update'!H$5:H$245,MATCH(B87,'2016 Lockdown Update'!B$5:B$245,0))</f>
        <v>98.795473817502725</v>
      </c>
      <c r="G87" s="162">
        <f t="shared" si="13"/>
        <v>0</v>
      </c>
      <c r="H87" s="5">
        <v>85266.27</v>
      </c>
      <c r="I87" s="5">
        <f>INDEX('2016 Lockdown Update'!E$5:E$245,MATCH(B87,'2016 Lockdown Update'!B$5:B$245,0))</f>
        <v>85266.27</v>
      </c>
      <c r="J87" s="5">
        <f t="shared" si="2"/>
        <v>0</v>
      </c>
      <c r="K87" s="5">
        <v>0</v>
      </c>
      <c r="L87" s="5">
        <f>INDEX('2016 Lockdown Update'!F$5:F$245,MATCH(B87,'2016 Lockdown Update'!B$5:B$245,0))</f>
        <v>0</v>
      </c>
      <c r="M87" s="5">
        <f t="shared" si="3"/>
        <v>0</v>
      </c>
      <c r="N87" s="5">
        <v>85266.27</v>
      </c>
      <c r="O87" s="105">
        <f t="shared" si="4"/>
        <v>85266.27</v>
      </c>
      <c r="P87" s="105">
        <f t="shared" si="5"/>
        <v>0</v>
      </c>
      <c r="Q87" s="103">
        <f t="shared" si="6"/>
        <v>863.0584651833932</v>
      </c>
      <c r="R87" s="6">
        <f t="shared" si="7"/>
        <v>863.0584651833932</v>
      </c>
      <c r="S87" s="5">
        <f t="shared" si="8"/>
        <v>85266.27</v>
      </c>
      <c r="T87" s="140">
        <v>0.4175416666666667</v>
      </c>
      <c r="U87" s="105">
        <f t="shared" si="9"/>
        <v>20724.290597790474</v>
      </c>
      <c r="V87" s="105">
        <f t="shared" si="10"/>
        <v>4919.2344198084547</v>
      </c>
      <c r="W87" s="105">
        <f t="shared" si="11"/>
        <v>2595.9764510057294</v>
      </c>
      <c r="X87" s="105">
        <f t="shared" si="12"/>
        <v>1273.1234653073609</v>
      </c>
      <c r="Y87" s="105">
        <f t="shared" si="14"/>
        <v>29512.624933912019</v>
      </c>
      <c r="Z87" s="112">
        <f t="shared" si="15"/>
        <v>0.34612309104071304</v>
      </c>
      <c r="AA87" s="104">
        <f t="shared" si="16"/>
        <v>29521.339374250721</v>
      </c>
      <c r="AB87" s="105"/>
      <c r="AC87" s="104">
        <v>29069.580045688657</v>
      </c>
      <c r="AD87" s="5">
        <f t="shared" si="17"/>
        <v>451.75932856206418</v>
      </c>
      <c r="AE87" s="5">
        <v>-139.42781732820004</v>
      </c>
      <c r="AF87" s="5">
        <f t="shared" si="18"/>
        <v>591.18714589026422</v>
      </c>
    </row>
    <row r="88" spans="2:32" x14ac:dyDescent="0.25">
      <c r="B88" s="10">
        <v>618</v>
      </c>
      <c r="C88" s="10">
        <v>6</v>
      </c>
      <c r="D88" s="9" t="s">
        <v>120</v>
      </c>
      <c r="E88" s="162">
        <v>17.207594265778951</v>
      </c>
      <c r="F88" s="162">
        <f>INDEX('2016 Lockdown Update'!H$5:H$245,MATCH(B88,'2016 Lockdown Update'!B$5:B$245,0))</f>
        <v>17.207594265778951</v>
      </c>
      <c r="G88" s="162">
        <f t="shared" si="13"/>
        <v>0</v>
      </c>
      <c r="H88" s="5">
        <v>15701.32</v>
      </c>
      <c r="I88" s="5">
        <f>INDEX('2016 Lockdown Update'!E$5:E$245,MATCH(B88,'2016 Lockdown Update'!B$5:B$245,0))</f>
        <v>15753.82</v>
      </c>
      <c r="J88" s="5">
        <f t="shared" si="2"/>
        <v>52.5</v>
      </c>
      <c r="K88" s="5">
        <v>0</v>
      </c>
      <c r="L88" s="5">
        <f>INDEX('2016 Lockdown Update'!F$5:F$245,MATCH(B88,'2016 Lockdown Update'!B$5:B$245,0))</f>
        <v>0</v>
      </c>
      <c r="M88" s="5">
        <f t="shared" si="3"/>
        <v>0</v>
      </c>
      <c r="N88" s="5">
        <v>15701.32</v>
      </c>
      <c r="O88" s="105">
        <f t="shared" si="4"/>
        <v>15753.82</v>
      </c>
      <c r="P88" s="105">
        <f t="shared" si="5"/>
        <v>52.5</v>
      </c>
      <c r="Q88" s="103">
        <f t="shared" si="6"/>
        <v>915.51554253751215</v>
      </c>
      <c r="R88" s="6">
        <f t="shared" si="7"/>
        <v>915.51554253751215</v>
      </c>
      <c r="S88" s="5">
        <f t="shared" si="8"/>
        <v>15753.82</v>
      </c>
      <c r="T88" s="140">
        <v>0.34099999999999997</v>
      </c>
      <c r="U88" s="105">
        <f t="shared" si="9"/>
        <v>3829.0257531528414</v>
      </c>
      <c r="V88" s="105">
        <f t="shared" si="10"/>
        <v>856.80230807620308</v>
      </c>
      <c r="W88" s="105">
        <f t="shared" si="11"/>
        <v>391.7093345475356</v>
      </c>
      <c r="X88" s="105">
        <f t="shared" si="12"/>
        <v>235.22264912289944</v>
      </c>
      <c r="Y88" s="105">
        <f t="shared" si="14"/>
        <v>5312.7600448994799</v>
      </c>
      <c r="Z88" s="112">
        <f t="shared" si="15"/>
        <v>0.33723630490252399</v>
      </c>
      <c r="AA88" s="104">
        <f t="shared" si="16"/>
        <v>5314.3287881254319</v>
      </c>
      <c r="AB88" s="105"/>
      <c r="AC88" s="104">
        <v>5217.8316630308345</v>
      </c>
      <c r="AD88" s="5">
        <f t="shared" si="17"/>
        <v>96.497125094597322</v>
      </c>
      <c r="AE88" s="5">
        <v>-10.684760443843516</v>
      </c>
      <c r="AF88" s="5">
        <f t="shared" si="18"/>
        <v>107.18188553844084</v>
      </c>
    </row>
    <row r="89" spans="2:32" x14ac:dyDescent="0.25">
      <c r="B89" s="10">
        <v>620</v>
      </c>
      <c r="C89" s="10">
        <v>6</v>
      </c>
      <c r="D89" s="9" t="s">
        <v>121</v>
      </c>
      <c r="E89" s="162">
        <v>233.79804422718337</v>
      </c>
      <c r="F89" s="162">
        <f>INDEX('2016 Lockdown Update'!H$5:H$245,MATCH(B89,'2016 Lockdown Update'!B$5:B$245,0))</f>
        <v>233.79804422718337</v>
      </c>
      <c r="G89" s="162">
        <f t="shared" si="13"/>
        <v>0</v>
      </c>
      <c r="H89" s="5">
        <v>113970.22</v>
      </c>
      <c r="I89" s="5">
        <f>INDEX('2016 Lockdown Update'!E$5:E$245,MATCH(B89,'2016 Lockdown Update'!B$5:B$245,0))</f>
        <v>113970.22</v>
      </c>
      <c r="J89" s="5">
        <f t="shared" si="2"/>
        <v>0</v>
      </c>
      <c r="K89" s="5">
        <v>0</v>
      </c>
      <c r="L89" s="5">
        <f>INDEX('2016 Lockdown Update'!F$5:F$245,MATCH(B89,'2016 Lockdown Update'!B$5:B$245,0))</f>
        <v>0</v>
      </c>
      <c r="M89" s="5">
        <f t="shared" si="3"/>
        <v>0</v>
      </c>
      <c r="N89" s="5">
        <v>113970.22</v>
      </c>
      <c r="O89" s="105">
        <f t="shared" si="4"/>
        <v>113970.22</v>
      </c>
      <c r="P89" s="105">
        <f t="shared" si="5"/>
        <v>0</v>
      </c>
      <c r="Q89" s="103">
        <f t="shared" si="6"/>
        <v>487.47294006127038</v>
      </c>
      <c r="R89" s="6">
        <f t="shared" si="7"/>
        <v>487.47294006127038</v>
      </c>
      <c r="S89" s="5">
        <f t="shared" si="8"/>
        <v>113970.22</v>
      </c>
      <c r="T89" s="140">
        <v>0.36375000000000002</v>
      </c>
      <c r="U89" s="105">
        <f t="shared" si="9"/>
        <v>27700.894606672857</v>
      </c>
      <c r="V89" s="105">
        <f t="shared" si="10"/>
        <v>11641.296326699792</v>
      </c>
      <c r="W89" s="105">
        <f t="shared" si="11"/>
        <v>3022.8601239531758</v>
      </c>
      <c r="X89" s="105">
        <f t="shared" si="12"/>
        <v>1701.7064476755259</v>
      </c>
      <c r="Y89" s="105">
        <f t="shared" si="14"/>
        <v>44066.757505001355</v>
      </c>
      <c r="Z89" s="112">
        <f t="shared" si="15"/>
        <v>0.38665150865727338</v>
      </c>
      <c r="AA89" s="104">
        <f t="shared" si="16"/>
        <v>44079.769466155522</v>
      </c>
      <c r="AB89" s="105"/>
      <c r="AC89" s="104">
        <v>43484.874666587602</v>
      </c>
      <c r="AD89" s="5">
        <f t="shared" si="17"/>
        <v>594.89479956791911</v>
      </c>
      <c r="AE89" s="5">
        <v>-180.73046961238288</v>
      </c>
      <c r="AF89" s="5">
        <f t="shared" si="18"/>
        <v>775.62526918030198</v>
      </c>
    </row>
    <row r="90" spans="2:32" x14ac:dyDescent="0.25">
      <c r="B90" s="10">
        <v>622</v>
      </c>
      <c r="C90" s="10">
        <v>6</v>
      </c>
      <c r="D90" s="9" t="s">
        <v>122</v>
      </c>
      <c r="E90" s="162">
        <v>124.60730037798545</v>
      </c>
      <c r="F90" s="162">
        <f>INDEX('2016 Lockdown Update'!H$5:H$245,MATCH(B90,'2016 Lockdown Update'!B$5:B$245,0))</f>
        <v>124.60730037798545</v>
      </c>
      <c r="G90" s="162">
        <f t="shared" si="13"/>
        <v>0</v>
      </c>
      <c r="H90" s="5">
        <v>78777.27</v>
      </c>
      <c r="I90" s="5">
        <f>INDEX('2016 Lockdown Update'!E$5:E$245,MATCH(B90,'2016 Lockdown Update'!B$5:B$245,0))</f>
        <v>78777.27</v>
      </c>
      <c r="J90" s="5">
        <f t="shared" ref="J90:J153" si="19">I90-H90</f>
        <v>0</v>
      </c>
      <c r="K90" s="5">
        <v>240</v>
      </c>
      <c r="L90" s="5">
        <f>INDEX('2016 Lockdown Update'!F$5:F$245,MATCH(B90,'2016 Lockdown Update'!B$5:B$245,0))</f>
        <v>240</v>
      </c>
      <c r="M90" s="5">
        <f t="shared" ref="M90:M153" si="20">L90-K90</f>
        <v>0</v>
      </c>
      <c r="N90" s="5">
        <v>78537.27</v>
      </c>
      <c r="O90" s="105">
        <f t="shared" ref="O90:O153" si="21">I90-L90</f>
        <v>78537.27</v>
      </c>
      <c r="P90" s="105">
        <f t="shared" ref="P90:P153" si="22">O90-N90</f>
        <v>0</v>
      </c>
      <c r="Q90" s="103">
        <f t="shared" ref="Q90:Q153" si="23">IFERROR(O90/F90,"n.a.")</f>
        <v>630.27824021356696</v>
      </c>
      <c r="R90" s="6">
        <f t="shared" ref="R90:R153" si="24">MIN(Q90,INDEX($V$3:$V$11,MATCH(C90,$S$3:$S$11,0)))</f>
        <v>630.27824021356696</v>
      </c>
      <c r="S90" s="5">
        <f t="shared" ref="S90:S153" si="25">F90*R90</f>
        <v>78537.27</v>
      </c>
      <c r="T90" s="140">
        <v>0.33566666666666667</v>
      </c>
      <c r="U90" s="105">
        <f t="shared" ref="U90:U153" si="26">$E$14*(S90/$S$24)</f>
        <v>19088.78160422793</v>
      </c>
      <c r="V90" s="105">
        <f t="shared" ref="V90:V153" si="27">$E$15*(F90/$F$24)</f>
        <v>6204.4595495446902</v>
      </c>
      <c r="W90" s="105">
        <f t="shared" ref="W90:W153" si="28">IFERROR(T90*$E$16*(S90/$S$24),0)</f>
        <v>1922.2403075457523</v>
      </c>
      <c r="X90" s="105">
        <f t="shared" ref="X90:X153" si="29">($W$23+$E$9)*(S90/$S$24)</f>
        <v>1172.6517571154434</v>
      </c>
      <c r="Y90" s="105">
        <f t="shared" si="14"/>
        <v>28388.133218433817</v>
      </c>
      <c r="Z90" s="112">
        <f t="shared" si="15"/>
        <v>0.36146065706681446</v>
      </c>
      <c r="AA90" s="104">
        <f t="shared" si="16"/>
        <v>28396.515620670594</v>
      </c>
      <c r="AB90" s="105"/>
      <c r="AC90" s="104">
        <v>27991.651581365193</v>
      </c>
      <c r="AD90" s="5">
        <f t="shared" si="17"/>
        <v>404.86403930540109</v>
      </c>
      <c r="AE90" s="5">
        <v>-124.66437057426447</v>
      </c>
      <c r="AF90" s="5">
        <f t="shared" si="18"/>
        <v>529.52840987966556</v>
      </c>
    </row>
    <row r="91" spans="2:32" x14ac:dyDescent="0.25">
      <c r="B91" s="10">
        <v>623</v>
      </c>
      <c r="C91" s="10">
        <v>6</v>
      </c>
      <c r="D91" s="9" t="s">
        <v>123</v>
      </c>
      <c r="E91" s="162">
        <v>234.6358015813762</v>
      </c>
      <c r="F91" s="162">
        <f>INDEX('2016 Lockdown Update'!H$5:H$245,MATCH(B91,'2016 Lockdown Update'!B$5:B$245,0))</f>
        <v>234.6358015813762</v>
      </c>
      <c r="G91" s="162">
        <f t="shared" ref="G91:G154" si="30">F91-E91</f>
        <v>0</v>
      </c>
      <c r="H91" s="5">
        <v>82925.97</v>
      </c>
      <c r="I91" s="5">
        <f>INDEX('2016 Lockdown Update'!E$5:E$245,MATCH(B91,'2016 Lockdown Update'!B$5:B$245,0))</f>
        <v>82925.97</v>
      </c>
      <c r="J91" s="5">
        <f t="shared" si="19"/>
        <v>0</v>
      </c>
      <c r="K91" s="5">
        <v>0</v>
      </c>
      <c r="L91" s="5">
        <f>INDEX('2016 Lockdown Update'!F$5:F$245,MATCH(B91,'2016 Lockdown Update'!B$5:B$245,0))</f>
        <v>0</v>
      </c>
      <c r="M91" s="5">
        <f t="shared" si="20"/>
        <v>0</v>
      </c>
      <c r="N91" s="5">
        <v>82925.97</v>
      </c>
      <c r="O91" s="105">
        <f t="shared" si="21"/>
        <v>82925.97</v>
      </c>
      <c r="P91" s="105">
        <f t="shared" si="22"/>
        <v>0</v>
      </c>
      <c r="Q91" s="103">
        <f t="shared" si="23"/>
        <v>353.42419801711156</v>
      </c>
      <c r="R91" s="6">
        <f t="shared" si="24"/>
        <v>353.42419801711156</v>
      </c>
      <c r="S91" s="5">
        <f t="shared" si="25"/>
        <v>82925.97</v>
      </c>
      <c r="T91" s="140">
        <v>0.373</v>
      </c>
      <c r="U91" s="105">
        <f t="shared" si="26"/>
        <v>20155.471798914798</v>
      </c>
      <c r="V91" s="105">
        <f t="shared" si="27"/>
        <v>11683.010027266739</v>
      </c>
      <c r="W91" s="105">
        <f t="shared" si="28"/>
        <v>2255.3972942985656</v>
      </c>
      <c r="X91" s="105">
        <f t="shared" si="29"/>
        <v>1238.1800950173408</v>
      </c>
      <c r="Y91" s="105">
        <f t="shared" ref="Y91:Y154" si="31">U91+V91+W91+X91</f>
        <v>35332.059215497444</v>
      </c>
      <c r="Z91" s="112">
        <f t="shared" ref="Z91:Z154" si="32">IFERROR((Y91/S91),0)</f>
        <v>0.4260674818214058</v>
      </c>
      <c r="AA91" s="104">
        <f t="shared" ref="AA91:AA154" si="33">IF(Z91&gt;$Z$19,$Z$19*S91,Y91+($Z$23*Y91/$Z$22))</f>
        <v>35342.492009014335</v>
      </c>
      <c r="AB91" s="105"/>
      <c r="AC91" s="104">
        <v>34411.005788041337</v>
      </c>
      <c r="AD91" s="5">
        <f t="shared" ref="AD91:AD154" si="34">AA91-AC91</f>
        <v>931.48622097299813</v>
      </c>
      <c r="AE91" s="5">
        <v>-126.92869785135554</v>
      </c>
      <c r="AF91" s="5">
        <f t="shared" ref="AF91:AF154" si="35">AD91-AE91</f>
        <v>1058.4149188243537</v>
      </c>
    </row>
    <row r="92" spans="2:32" x14ac:dyDescent="0.25">
      <c r="B92" s="10">
        <v>626</v>
      </c>
      <c r="C92" s="10">
        <v>6</v>
      </c>
      <c r="D92" s="9" t="s">
        <v>124</v>
      </c>
      <c r="E92" s="162">
        <v>21.435660997499109</v>
      </c>
      <c r="F92" s="162">
        <f>INDEX('2016 Lockdown Update'!H$5:H$245,MATCH(B92,'2016 Lockdown Update'!B$5:B$245,0))</f>
        <v>21.435660997499109</v>
      </c>
      <c r="G92" s="162">
        <f t="shared" si="30"/>
        <v>0</v>
      </c>
      <c r="H92" s="5">
        <v>17279.060000000001</v>
      </c>
      <c r="I92" s="5">
        <f>INDEX('2016 Lockdown Update'!E$5:E$245,MATCH(B92,'2016 Lockdown Update'!B$5:B$245,0))</f>
        <v>17279.060000000001</v>
      </c>
      <c r="J92" s="5">
        <f t="shared" si="19"/>
        <v>0</v>
      </c>
      <c r="K92" s="5">
        <v>0</v>
      </c>
      <c r="L92" s="5">
        <f>INDEX('2016 Lockdown Update'!F$5:F$245,MATCH(B92,'2016 Lockdown Update'!B$5:B$245,0))</f>
        <v>0</v>
      </c>
      <c r="M92" s="5">
        <f t="shared" si="20"/>
        <v>0</v>
      </c>
      <c r="N92" s="5">
        <v>17279.060000000001</v>
      </c>
      <c r="O92" s="105">
        <f t="shared" si="21"/>
        <v>17279.060000000001</v>
      </c>
      <c r="P92" s="105">
        <f t="shared" si="22"/>
        <v>0</v>
      </c>
      <c r="Q92" s="103">
        <f t="shared" si="23"/>
        <v>806.08944142268081</v>
      </c>
      <c r="R92" s="6">
        <f t="shared" si="24"/>
        <v>806.08944142268081</v>
      </c>
      <c r="S92" s="5">
        <f t="shared" si="25"/>
        <v>17279.060000000001</v>
      </c>
      <c r="T92" s="140">
        <v>0.19650000000000001</v>
      </c>
      <c r="U92" s="105">
        <f t="shared" si="26"/>
        <v>4199.7411250270179</v>
      </c>
      <c r="V92" s="105">
        <f t="shared" si="27"/>
        <v>1067.3266427673343</v>
      </c>
      <c r="W92" s="105">
        <f t="shared" si="28"/>
        <v>247.57473932034273</v>
      </c>
      <c r="X92" s="105">
        <f t="shared" si="29"/>
        <v>257.99623631306736</v>
      </c>
      <c r="Y92" s="105">
        <f t="shared" si="31"/>
        <v>5772.6387434277622</v>
      </c>
      <c r="Z92" s="112">
        <f t="shared" si="32"/>
        <v>0.33408291558844994</v>
      </c>
      <c r="AA92" s="104">
        <f t="shared" si="33"/>
        <v>5774.3432788948421</v>
      </c>
      <c r="AB92" s="105"/>
      <c r="AC92" s="104">
        <v>5791.865617508799</v>
      </c>
      <c r="AD92" s="5">
        <f t="shared" si="34"/>
        <v>-17.52233861395689</v>
      </c>
      <c r="AE92" s="5">
        <v>-27.185019819768968</v>
      </c>
      <c r="AF92" s="5">
        <f t="shared" si="35"/>
        <v>9.6626812058120777</v>
      </c>
    </row>
    <row r="93" spans="2:32" x14ac:dyDescent="0.25">
      <c r="B93" s="10">
        <v>627</v>
      </c>
      <c r="C93" s="10">
        <v>6</v>
      </c>
      <c r="D93" s="9" t="s">
        <v>125</v>
      </c>
      <c r="E93" s="162">
        <v>172.75103006947984</v>
      </c>
      <c r="F93" s="162">
        <f>INDEX('2016 Lockdown Update'!H$5:H$245,MATCH(B93,'2016 Lockdown Update'!B$5:B$245,0))</f>
        <v>172.75103006947984</v>
      </c>
      <c r="G93" s="162">
        <f t="shared" si="30"/>
        <v>0</v>
      </c>
      <c r="H93" s="5">
        <v>78246.31</v>
      </c>
      <c r="I93" s="5">
        <f>INDEX('2016 Lockdown Update'!E$5:E$245,MATCH(B93,'2016 Lockdown Update'!B$5:B$245,0))</f>
        <v>78246.31</v>
      </c>
      <c r="J93" s="5">
        <f t="shared" si="19"/>
        <v>0</v>
      </c>
      <c r="K93" s="5">
        <v>53.1</v>
      </c>
      <c r="L93" s="5">
        <f>INDEX('2016 Lockdown Update'!F$5:F$245,MATCH(B93,'2016 Lockdown Update'!B$5:B$245,0))</f>
        <v>53.1</v>
      </c>
      <c r="M93" s="5">
        <f t="shared" si="20"/>
        <v>0</v>
      </c>
      <c r="N93" s="5">
        <v>78193.210000000006</v>
      </c>
      <c r="O93" s="105">
        <f t="shared" si="21"/>
        <v>78193.209999999992</v>
      </c>
      <c r="P93" s="105">
        <f t="shared" si="22"/>
        <v>0</v>
      </c>
      <c r="Q93" s="103">
        <f t="shared" si="23"/>
        <v>452.63527498823578</v>
      </c>
      <c r="R93" s="6">
        <f t="shared" si="24"/>
        <v>452.63527498823578</v>
      </c>
      <c r="S93" s="5">
        <f t="shared" si="25"/>
        <v>78193.209999999992</v>
      </c>
      <c r="T93" s="140">
        <v>0.25175000000000003</v>
      </c>
      <c r="U93" s="105">
        <f t="shared" si="26"/>
        <v>19005.156515161925</v>
      </c>
      <c r="V93" s="105">
        <f t="shared" si="27"/>
        <v>8601.6371027778659</v>
      </c>
      <c r="W93" s="105">
        <f t="shared" si="28"/>
        <v>1435.3644458076046</v>
      </c>
      <c r="X93" s="105">
        <f t="shared" si="29"/>
        <v>1167.5145456545263</v>
      </c>
      <c r="Y93" s="105">
        <f t="shared" si="31"/>
        <v>30209.672609401921</v>
      </c>
      <c r="Z93" s="112">
        <f t="shared" si="32"/>
        <v>0.38634649491179507</v>
      </c>
      <c r="AA93" s="104">
        <f t="shared" si="33"/>
        <v>30218.592872855137</v>
      </c>
      <c r="AB93" s="105"/>
      <c r="AC93" s="104">
        <v>29824.975456757376</v>
      </c>
      <c r="AD93" s="5">
        <f t="shared" si="34"/>
        <v>393.61741609776072</v>
      </c>
      <c r="AE93" s="5">
        <v>-119.84810648064376</v>
      </c>
      <c r="AF93" s="5">
        <f t="shared" si="35"/>
        <v>513.46552257840449</v>
      </c>
    </row>
    <row r="94" spans="2:32" x14ac:dyDescent="0.25">
      <c r="B94" s="10">
        <v>634</v>
      </c>
      <c r="C94" s="10">
        <v>6</v>
      </c>
      <c r="D94" s="9" t="s">
        <v>126</v>
      </c>
      <c r="E94" s="162">
        <v>629.19830455599129</v>
      </c>
      <c r="F94" s="162">
        <f>INDEX('2016 Lockdown Update'!H$5:H$245,MATCH(B94,'2016 Lockdown Update'!B$5:B$245,0))</f>
        <v>629.19830455599129</v>
      </c>
      <c r="G94" s="162">
        <f t="shared" si="30"/>
        <v>0</v>
      </c>
      <c r="H94" s="5">
        <v>532108.69999999995</v>
      </c>
      <c r="I94" s="5">
        <f>INDEX('2016 Lockdown Update'!E$5:E$245,MATCH(B94,'2016 Lockdown Update'!B$5:B$245,0))</f>
        <v>532108.69999999995</v>
      </c>
      <c r="J94" s="5">
        <f t="shared" si="19"/>
        <v>0</v>
      </c>
      <c r="K94" s="5">
        <v>0</v>
      </c>
      <c r="L94" s="5">
        <f>INDEX('2016 Lockdown Update'!F$5:F$245,MATCH(B94,'2016 Lockdown Update'!B$5:B$245,0))</f>
        <v>0</v>
      </c>
      <c r="M94" s="5">
        <f t="shared" si="20"/>
        <v>0</v>
      </c>
      <c r="N94" s="5">
        <v>532108.69999999995</v>
      </c>
      <c r="O94" s="105">
        <f t="shared" si="21"/>
        <v>532108.69999999995</v>
      </c>
      <c r="P94" s="105">
        <f t="shared" si="22"/>
        <v>0</v>
      </c>
      <c r="Q94" s="103">
        <f t="shared" si="23"/>
        <v>845.69315611156185</v>
      </c>
      <c r="R94" s="6">
        <f t="shared" si="24"/>
        <v>845.69315611156185</v>
      </c>
      <c r="S94" s="5">
        <f t="shared" si="25"/>
        <v>532108.69999999995</v>
      </c>
      <c r="T94" s="140">
        <v>0.75550000000000006</v>
      </c>
      <c r="U94" s="105">
        <f t="shared" si="26"/>
        <v>129331.03944165155</v>
      </c>
      <c r="V94" s="105">
        <f t="shared" si="27"/>
        <v>31329.106861458371</v>
      </c>
      <c r="W94" s="105">
        <f t="shared" si="28"/>
        <v>29312.880089450326</v>
      </c>
      <c r="X94" s="105">
        <f t="shared" si="29"/>
        <v>7944.9948035043017</v>
      </c>
      <c r="Y94" s="105">
        <f t="shared" si="31"/>
        <v>197918.02119606454</v>
      </c>
      <c r="Z94" s="112">
        <f t="shared" si="32"/>
        <v>0.37195035750414257</v>
      </c>
      <c r="AA94" s="104">
        <f t="shared" si="33"/>
        <v>197976.46211047083</v>
      </c>
      <c r="AB94" s="105"/>
      <c r="AC94" s="104">
        <v>198051.08757012183</v>
      </c>
      <c r="AD94" s="5">
        <f t="shared" si="34"/>
        <v>-74.625459650997072</v>
      </c>
      <c r="AE94" s="5">
        <v>-966.87115449164412</v>
      </c>
      <c r="AF94" s="5">
        <f t="shared" si="35"/>
        <v>892.24569484064705</v>
      </c>
    </row>
    <row r="95" spans="2:32" x14ac:dyDescent="0.25">
      <c r="B95" s="10">
        <v>694</v>
      </c>
      <c r="C95" s="10">
        <v>6</v>
      </c>
      <c r="D95" s="9" t="s">
        <v>22</v>
      </c>
      <c r="E95" s="162">
        <v>14.922412001826281</v>
      </c>
      <c r="F95" s="162">
        <f>INDEX('2016 Lockdown Update'!H$5:H$245,MATCH(B95,'2016 Lockdown Update'!B$5:B$245,0))</f>
        <v>14.922412001826281</v>
      </c>
      <c r="G95" s="162">
        <f t="shared" si="30"/>
        <v>0</v>
      </c>
      <c r="H95" s="5">
        <v>41166.160000000003</v>
      </c>
      <c r="I95" s="5">
        <f>INDEX('2016 Lockdown Update'!E$5:E$245,MATCH(B95,'2016 Lockdown Update'!B$5:B$245,0))</f>
        <v>41166.160000000003</v>
      </c>
      <c r="J95" s="5">
        <f t="shared" si="19"/>
        <v>0</v>
      </c>
      <c r="K95" s="5">
        <v>0</v>
      </c>
      <c r="L95" s="5">
        <f>INDEX('2016 Lockdown Update'!F$5:F$245,MATCH(B95,'2016 Lockdown Update'!B$5:B$245,0))</f>
        <v>0</v>
      </c>
      <c r="M95" s="5">
        <f t="shared" si="20"/>
        <v>0</v>
      </c>
      <c r="N95" s="5">
        <v>41166.160000000003</v>
      </c>
      <c r="O95" s="105">
        <f t="shared" si="21"/>
        <v>41166.160000000003</v>
      </c>
      <c r="P95" s="105">
        <f t="shared" si="22"/>
        <v>0</v>
      </c>
      <c r="Q95" s="103">
        <f t="shared" si="23"/>
        <v>2758.6800307458257</v>
      </c>
      <c r="R95" s="6">
        <f t="shared" si="24"/>
        <v>976.36315547304241</v>
      </c>
      <c r="S95" s="5">
        <f t="shared" si="25"/>
        <v>14569.693269371906</v>
      </c>
      <c r="T95" s="140">
        <v>0.72491666666666676</v>
      </c>
      <c r="U95" s="105">
        <f t="shared" si="26"/>
        <v>3541.2192562795972</v>
      </c>
      <c r="V95" s="105">
        <f t="shared" si="27"/>
        <v>743.01827714845967</v>
      </c>
      <c r="W95" s="105">
        <f t="shared" si="28"/>
        <v>770.12665775940548</v>
      </c>
      <c r="X95" s="105">
        <f t="shared" si="29"/>
        <v>217.54227531670014</v>
      </c>
      <c r="Y95" s="105">
        <f t="shared" si="31"/>
        <v>5271.9064665041624</v>
      </c>
      <c r="Z95" s="112">
        <f t="shared" si="32"/>
        <v>0.36184059396683732</v>
      </c>
      <c r="AA95" s="104">
        <f t="shared" si="33"/>
        <v>5273.4631465513103</v>
      </c>
      <c r="AB95" s="105"/>
      <c r="AC95" s="104">
        <v>5453.566774453524</v>
      </c>
      <c r="AD95" s="5">
        <f t="shared" si="34"/>
        <v>-180.1036279022137</v>
      </c>
      <c r="AE95" s="5">
        <v>-116.6776009890109</v>
      </c>
      <c r="AF95" s="5">
        <f t="shared" si="35"/>
        <v>-63.426026913202804</v>
      </c>
    </row>
    <row r="96" spans="2:32" x14ac:dyDescent="0.25">
      <c r="B96" s="10">
        <v>697</v>
      </c>
      <c r="C96" s="10">
        <v>6</v>
      </c>
      <c r="D96" s="9" t="s">
        <v>127</v>
      </c>
      <c r="E96" s="162">
        <v>46.390918140392579</v>
      </c>
      <c r="F96" s="162">
        <f>INDEX('2016 Lockdown Update'!H$5:H$245,MATCH(B96,'2016 Lockdown Update'!B$5:B$245,0))</f>
        <v>47.902918435338712</v>
      </c>
      <c r="G96" s="162">
        <f t="shared" si="30"/>
        <v>1.5120002949461337</v>
      </c>
      <c r="H96" s="5">
        <v>116083.32</v>
      </c>
      <c r="I96" s="5">
        <f>INDEX('2016 Lockdown Update'!E$5:E$245,MATCH(B96,'2016 Lockdown Update'!B$5:B$245,0))</f>
        <v>53116.83</v>
      </c>
      <c r="J96" s="5">
        <f t="shared" si="19"/>
        <v>-62966.490000000005</v>
      </c>
      <c r="K96" s="5">
        <v>0</v>
      </c>
      <c r="L96" s="5">
        <f>INDEX('2016 Lockdown Update'!F$5:F$245,MATCH(B96,'2016 Lockdown Update'!B$5:B$245,0))</f>
        <v>0</v>
      </c>
      <c r="M96" s="5">
        <f t="shared" si="20"/>
        <v>0</v>
      </c>
      <c r="N96" s="5">
        <v>116083.32</v>
      </c>
      <c r="O96" s="105">
        <f t="shared" si="21"/>
        <v>53116.83</v>
      </c>
      <c r="P96" s="105">
        <f t="shared" si="22"/>
        <v>-62966.490000000005</v>
      </c>
      <c r="Q96" s="103">
        <f t="shared" si="23"/>
        <v>1108.8432967126885</v>
      </c>
      <c r="R96" s="6">
        <f t="shared" si="24"/>
        <v>976.36315547304241</v>
      </c>
      <c r="S96" s="5">
        <f t="shared" si="25"/>
        <v>46770.64459989508</v>
      </c>
      <c r="T96" s="140">
        <v>4.1500000000000002E-2</v>
      </c>
      <c r="U96" s="105">
        <f t="shared" si="26"/>
        <v>11367.782713307448</v>
      </c>
      <c r="V96" s="105">
        <f t="shared" si="27"/>
        <v>2385.1870543349514</v>
      </c>
      <c r="W96" s="105">
        <f t="shared" si="28"/>
        <v>141.52889478067772</v>
      </c>
      <c r="X96" s="105">
        <f t="shared" si="29"/>
        <v>698.3395090189523</v>
      </c>
      <c r="Y96" s="105">
        <f t="shared" si="31"/>
        <v>14592.83817144203</v>
      </c>
      <c r="Z96" s="112">
        <f t="shared" si="32"/>
        <v>0.31200848943345044</v>
      </c>
      <c r="AA96" s="104">
        <f t="shared" si="33"/>
        <v>14597.147121184798</v>
      </c>
      <c r="AB96" s="105"/>
      <c r="AC96" s="104">
        <v>14152.377802863781</v>
      </c>
      <c r="AD96" s="5">
        <f t="shared" si="34"/>
        <v>444.76931832101764</v>
      </c>
      <c r="AE96" s="5">
        <v>-217.33037492071344</v>
      </c>
      <c r="AF96" s="5">
        <f t="shared" si="35"/>
        <v>662.09969324173107</v>
      </c>
    </row>
    <row r="97" spans="2:32" x14ac:dyDescent="0.25">
      <c r="B97" s="10">
        <v>710</v>
      </c>
      <c r="C97" s="10">
        <v>6</v>
      </c>
      <c r="D97" s="9" t="s">
        <v>128</v>
      </c>
      <c r="E97" s="162">
        <v>69.019377099984084</v>
      </c>
      <c r="F97" s="162">
        <f>INDEX('2016 Lockdown Update'!H$5:H$245,MATCH(B97,'2016 Lockdown Update'!B$5:B$245,0))</f>
        <v>69.019377099984084</v>
      </c>
      <c r="G97" s="162">
        <f t="shared" si="30"/>
        <v>0</v>
      </c>
      <c r="H97" s="5">
        <v>74539.039999999994</v>
      </c>
      <c r="I97" s="5">
        <f>INDEX('2016 Lockdown Update'!E$5:E$245,MATCH(B97,'2016 Lockdown Update'!B$5:B$245,0))</f>
        <v>74539.039999999994</v>
      </c>
      <c r="J97" s="5">
        <f t="shared" si="19"/>
        <v>0</v>
      </c>
      <c r="K97" s="5">
        <v>0</v>
      </c>
      <c r="L97" s="5">
        <f>INDEX('2016 Lockdown Update'!F$5:F$245,MATCH(B97,'2016 Lockdown Update'!B$5:B$245,0))</f>
        <v>0</v>
      </c>
      <c r="M97" s="5">
        <f t="shared" si="20"/>
        <v>0</v>
      </c>
      <c r="N97" s="5">
        <v>74539.039999999994</v>
      </c>
      <c r="O97" s="105">
        <f t="shared" si="21"/>
        <v>74539.039999999994</v>
      </c>
      <c r="P97" s="105">
        <f t="shared" si="22"/>
        <v>0</v>
      </c>
      <c r="Q97" s="103">
        <f t="shared" si="23"/>
        <v>1079.972655969061</v>
      </c>
      <c r="R97" s="6">
        <f t="shared" si="24"/>
        <v>976.36315547304241</v>
      </c>
      <c r="S97" s="5">
        <f t="shared" si="25"/>
        <v>67387.976814124297</v>
      </c>
      <c r="T97" s="140">
        <v>0.22516666666666668</v>
      </c>
      <c r="U97" s="105">
        <f t="shared" si="26"/>
        <v>16378.903572222387</v>
      </c>
      <c r="V97" s="105">
        <f t="shared" si="27"/>
        <v>3436.6199416296636</v>
      </c>
      <c r="W97" s="105">
        <f t="shared" si="28"/>
        <v>1106.3949363036222</v>
      </c>
      <c r="X97" s="105">
        <f t="shared" si="29"/>
        <v>1006.179988425083</v>
      </c>
      <c r="Y97" s="105">
        <f t="shared" si="31"/>
        <v>21928.098438580757</v>
      </c>
      <c r="Z97" s="112">
        <f t="shared" si="32"/>
        <v>0.32540075359533127</v>
      </c>
      <c r="AA97" s="104">
        <f t="shared" si="33"/>
        <v>21934.573332156375</v>
      </c>
      <c r="AB97" s="105"/>
      <c r="AC97" s="104">
        <v>21946.359715975428</v>
      </c>
      <c r="AD97" s="5">
        <f t="shared" si="34"/>
        <v>-11.786383819053299</v>
      </c>
      <c r="AE97" s="5">
        <v>-457.67425381632711</v>
      </c>
      <c r="AF97" s="5">
        <f t="shared" si="35"/>
        <v>445.88786999727381</v>
      </c>
    </row>
    <row r="98" spans="2:32" x14ac:dyDescent="0.25">
      <c r="B98" s="10">
        <v>743</v>
      </c>
      <c r="C98" s="10">
        <v>6</v>
      </c>
      <c r="D98" s="9" t="s">
        <v>129</v>
      </c>
      <c r="E98" s="162">
        <v>88.658199112750268</v>
      </c>
      <c r="F98" s="162">
        <f>INDEX('2016 Lockdown Update'!H$5:H$245,MATCH(B98,'2016 Lockdown Update'!B$5:B$245,0))</f>
        <v>88.658199112750268</v>
      </c>
      <c r="G98" s="162">
        <f t="shared" si="30"/>
        <v>0</v>
      </c>
      <c r="H98" s="5">
        <v>129452.08</v>
      </c>
      <c r="I98" s="5">
        <f>INDEX('2016 Lockdown Update'!E$5:E$245,MATCH(B98,'2016 Lockdown Update'!B$5:B$245,0))</f>
        <v>129452.08</v>
      </c>
      <c r="J98" s="5">
        <f t="shared" si="19"/>
        <v>0</v>
      </c>
      <c r="K98" s="5">
        <v>0</v>
      </c>
      <c r="L98" s="5">
        <f>INDEX('2016 Lockdown Update'!F$5:F$245,MATCH(B98,'2016 Lockdown Update'!B$5:B$245,0))</f>
        <v>0</v>
      </c>
      <c r="M98" s="5">
        <f t="shared" si="20"/>
        <v>0</v>
      </c>
      <c r="N98" s="5">
        <v>129452.08</v>
      </c>
      <c r="O98" s="105">
        <f t="shared" si="21"/>
        <v>129452.08</v>
      </c>
      <c r="P98" s="105">
        <f t="shared" si="22"/>
        <v>0</v>
      </c>
      <c r="Q98" s="103">
        <f t="shared" si="23"/>
        <v>1460.1253047715359</v>
      </c>
      <c r="R98" s="6">
        <f t="shared" si="24"/>
        <v>976.36315547304241</v>
      </c>
      <c r="S98" s="5">
        <f t="shared" si="25"/>
        <v>86562.599044282135</v>
      </c>
      <c r="T98" s="140">
        <v>0.72908333333333331</v>
      </c>
      <c r="U98" s="105">
        <f t="shared" si="26"/>
        <v>21039.368292921958</v>
      </c>
      <c r="V98" s="105">
        <f t="shared" si="27"/>
        <v>4414.4781923846303</v>
      </c>
      <c r="W98" s="105">
        <f t="shared" si="28"/>
        <v>4601.8358298693556</v>
      </c>
      <c r="X98" s="105">
        <f t="shared" si="29"/>
        <v>1292.4791486864397</v>
      </c>
      <c r="Y98" s="105">
        <f t="shared" si="31"/>
        <v>31348.161463862387</v>
      </c>
      <c r="Z98" s="112">
        <f t="shared" si="32"/>
        <v>0.36214441121188906</v>
      </c>
      <c r="AA98" s="104">
        <f t="shared" si="33"/>
        <v>31357.417898470172</v>
      </c>
      <c r="AB98" s="105"/>
      <c r="AC98" s="104">
        <v>32430.495780833717</v>
      </c>
      <c r="AD98" s="5">
        <f t="shared" si="34"/>
        <v>-1073.0778823635446</v>
      </c>
      <c r="AE98" s="5">
        <v>-693.94795906189393</v>
      </c>
      <c r="AF98" s="5">
        <f t="shared" si="35"/>
        <v>-379.12992330165071</v>
      </c>
    </row>
    <row r="99" spans="2:32" x14ac:dyDescent="0.25">
      <c r="B99" s="10">
        <v>747</v>
      </c>
      <c r="C99" s="10">
        <v>6</v>
      </c>
      <c r="D99" s="9" t="s">
        <v>130</v>
      </c>
      <c r="E99" s="162">
        <v>34.58</v>
      </c>
      <c r="F99" s="162">
        <f>INDEX('2016 Lockdown Update'!H$5:H$245,MATCH(B99,'2016 Lockdown Update'!B$5:B$245,0))</f>
        <v>34.58</v>
      </c>
      <c r="G99" s="162">
        <f t="shared" si="30"/>
        <v>0</v>
      </c>
      <c r="H99" s="5">
        <v>57416.36</v>
      </c>
      <c r="I99" s="5">
        <f>INDEX('2016 Lockdown Update'!E$5:E$245,MATCH(B99,'2016 Lockdown Update'!B$5:B$245,0))</f>
        <v>57416.36</v>
      </c>
      <c r="J99" s="5">
        <f t="shared" si="19"/>
        <v>0</v>
      </c>
      <c r="K99" s="5">
        <v>0</v>
      </c>
      <c r="L99" s="5">
        <f>INDEX('2016 Lockdown Update'!F$5:F$245,MATCH(B99,'2016 Lockdown Update'!B$5:B$245,0))</f>
        <v>0</v>
      </c>
      <c r="M99" s="5">
        <f t="shared" si="20"/>
        <v>0</v>
      </c>
      <c r="N99" s="5">
        <v>57416.36</v>
      </c>
      <c r="O99" s="105">
        <f t="shared" si="21"/>
        <v>57416.36</v>
      </c>
      <c r="P99" s="105">
        <f t="shared" si="22"/>
        <v>0</v>
      </c>
      <c r="Q99" s="103">
        <f t="shared" si="23"/>
        <v>1660.3921341816081</v>
      </c>
      <c r="R99" s="6">
        <f t="shared" si="24"/>
        <v>976.36315547304241</v>
      </c>
      <c r="S99" s="5">
        <f t="shared" si="25"/>
        <v>33762.637916257801</v>
      </c>
      <c r="T99" s="140">
        <v>0.33733333333333332</v>
      </c>
      <c r="U99" s="105">
        <f t="shared" si="26"/>
        <v>8206.1373099175762</v>
      </c>
      <c r="V99" s="105">
        <f t="shared" si="27"/>
        <v>1721.8109257839299</v>
      </c>
      <c r="W99" s="105">
        <f t="shared" si="28"/>
        <v>830.46109576365859</v>
      </c>
      <c r="X99" s="105">
        <f t="shared" si="29"/>
        <v>504.11501033015543</v>
      </c>
      <c r="Y99" s="105">
        <f t="shared" si="31"/>
        <v>11262.524341795319</v>
      </c>
      <c r="Z99" s="112">
        <f t="shared" si="32"/>
        <v>0.33357951383212414</v>
      </c>
      <c r="AA99" s="104">
        <f t="shared" si="33"/>
        <v>11265.849921836389</v>
      </c>
      <c r="AB99" s="105"/>
      <c r="AC99" s="104">
        <v>11476.157818220314</v>
      </c>
      <c r="AD99" s="5">
        <f t="shared" si="34"/>
        <v>-210.30789638392525</v>
      </c>
      <c r="AE99" s="5">
        <v>-241.3255952904783</v>
      </c>
      <c r="AF99" s="5">
        <f t="shared" si="35"/>
        <v>31.017698906553051</v>
      </c>
    </row>
    <row r="100" spans="2:32" x14ac:dyDescent="0.25">
      <c r="B100" s="10">
        <v>758</v>
      </c>
      <c r="C100" s="10">
        <v>6</v>
      </c>
      <c r="D100" s="9" t="s">
        <v>131</v>
      </c>
      <c r="E100" s="162">
        <v>298.94651286099651</v>
      </c>
      <c r="F100" s="162">
        <f>INDEX('2016 Lockdown Update'!H$5:H$245,MATCH(B100,'2016 Lockdown Update'!B$5:B$245,0))</f>
        <v>298.94651286099651</v>
      </c>
      <c r="G100" s="162">
        <f t="shared" si="30"/>
        <v>0</v>
      </c>
      <c r="H100" s="5">
        <v>308609.02</v>
      </c>
      <c r="I100" s="5">
        <f>INDEX('2016 Lockdown Update'!E$5:E$245,MATCH(B100,'2016 Lockdown Update'!B$5:B$245,0))</f>
        <v>308609.02</v>
      </c>
      <c r="J100" s="5">
        <f t="shared" si="19"/>
        <v>0</v>
      </c>
      <c r="K100" s="5">
        <v>766.22</v>
      </c>
      <c r="L100" s="5">
        <f>INDEX('2016 Lockdown Update'!F$5:F$245,MATCH(B100,'2016 Lockdown Update'!B$5:B$245,0))</f>
        <v>766.22</v>
      </c>
      <c r="M100" s="5">
        <f t="shared" si="20"/>
        <v>0</v>
      </c>
      <c r="N100" s="5">
        <v>307842.8</v>
      </c>
      <c r="O100" s="105">
        <f t="shared" si="21"/>
        <v>307842.80000000005</v>
      </c>
      <c r="P100" s="105">
        <f t="shared" si="22"/>
        <v>0</v>
      </c>
      <c r="Q100" s="103">
        <f t="shared" si="23"/>
        <v>1029.7587921460054</v>
      </c>
      <c r="R100" s="6">
        <f t="shared" si="24"/>
        <v>976.36315547304241</v>
      </c>
      <c r="S100" s="5">
        <f t="shared" si="25"/>
        <v>291880.36061462498</v>
      </c>
      <c r="T100" s="140">
        <v>0.65816666666666668</v>
      </c>
      <c r="U100" s="105">
        <f t="shared" si="26"/>
        <v>70942.629637315724</v>
      </c>
      <c r="V100" s="105">
        <f t="shared" si="27"/>
        <v>14885.17559482562</v>
      </c>
      <c r="W100" s="105">
        <f t="shared" si="28"/>
        <v>14007.622221887988</v>
      </c>
      <c r="X100" s="105">
        <f t="shared" si="29"/>
        <v>4358.1094395339851</v>
      </c>
      <c r="Y100" s="105">
        <f t="shared" si="31"/>
        <v>104193.53689356332</v>
      </c>
      <c r="Z100" s="112">
        <f t="shared" si="32"/>
        <v>0.35697344170110834</v>
      </c>
      <c r="AA100" s="104">
        <f t="shared" si="33"/>
        <v>104224.30299325695</v>
      </c>
      <c r="AB100" s="105"/>
      <c r="AC100" s="104">
        <v>104257.54219969627</v>
      </c>
      <c r="AD100" s="5">
        <f t="shared" si="34"/>
        <v>-33.239206439320697</v>
      </c>
      <c r="AE100" s="5">
        <v>-2212.4809489230247</v>
      </c>
      <c r="AF100" s="5">
        <f t="shared" si="35"/>
        <v>2179.241742483704</v>
      </c>
    </row>
    <row r="101" spans="2:32" x14ac:dyDescent="0.25">
      <c r="B101" s="10">
        <v>765</v>
      </c>
      <c r="C101" s="10">
        <v>6</v>
      </c>
      <c r="D101" s="9" t="s">
        <v>132</v>
      </c>
      <c r="E101" s="162">
        <v>80.350199999999987</v>
      </c>
      <c r="F101" s="162">
        <f>INDEX('2016 Lockdown Update'!H$5:H$245,MATCH(B101,'2016 Lockdown Update'!B$5:B$245,0))</f>
        <v>80.350199999999987</v>
      </c>
      <c r="G101" s="162">
        <f t="shared" si="30"/>
        <v>0</v>
      </c>
      <c r="H101" s="5">
        <v>86841.69</v>
      </c>
      <c r="I101" s="5">
        <f>INDEX('2016 Lockdown Update'!E$5:E$245,MATCH(B101,'2016 Lockdown Update'!B$5:B$245,0))</f>
        <v>86841.69</v>
      </c>
      <c r="J101" s="5">
        <f t="shared" si="19"/>
        <v>0</v>
      </c>
      <c r="K101" s="5">
        <v>0</v>
      </c>
      <c r="L101" s="5">
        <f>INDEX('2016 Lockdown Update'!F$5:F$245,MATCH(B101,'2016 Lockdown Update'!B$5:B$245,0))</f>
        <v>0</v>
      </c>
      <c r="M101" s="5">
        <f t="shared" si="20"/>
        <v>0</v>
      </c>
      <c r="N101" s="5">
        <v>86841.69</v>
      </c>
      <c r="O101" s="105">
        <f t="shared" si="21"/>
        <v>86841.69</v>
      </c>
      <c r="P101" s="105">
        <f t="shared" si="22"/>
        <v>0</v>
      </c>
      <c r="Q101" s="103">
        <f t="shared" si="23"/>
        <v>1080.7899669198086</v>
      </c>
      <c r="R101" s="6">
        <f t="shared" si="24"/>
        <v>976.36315547304241</v>
      </c>
      <c r="S101" s="5">
        <f t="shared" si="25"/>
        <v>78450.97481489004</v>
      </c>
      <c r="T101" s="140">
        <v>0.36349999999999999</v>
      </c>
      <c r="U101" s="105">
        <f t="shared" si="26"/>
        <v>19067.80723190686</v>
      </c>
      <c r="V101" s="105">
        <f t="shared" si="27"/>
        <v>4000.8054438670879</v>
      </c>
      <c r="W101" s="105">
        <f t="shared" si="28"/>
        <v>2079.3443786394428</v>
      </c>
      <c r="X101" s="105">
        <f t="shared" si="29"/>
        <v>1171.3632707643162</v>
      </c>
      <c r="Y101" s="105">
        <f t="shared" si="31"/>
        <v>26319.320325177705</v>
      </c>
      <c r="Z101" s="112">
        <f t="shared" si="32"/>
        <v>0.33548748613104912</v>
      </c>
      <c r="AA101" s="104">
        <f t="shared" si="33"/>
        <v>26327.091851676709</v>
      </c>
      <c r="AB101" s="105"/>
      <c r="AC101" s="104">
        <v>26825.576325179616</v>
      </c>
      <c r="AD101" s="5">
        <f t="shared" si="34"/>
        <v>-498.48447350290735</v>
      </c>
      <c r="AE101" s="5">
        <v>-564.73563253703469</v>
      </c>
      <c r="AF101" s="5">
        <f t="shared" si="35"/>
        <v>66.25115903412734</v>
      </c>
    </row>
    <row r="102" spans="2:32" x14ac:dyDescent="0.25">
      <c r="B102" s="10">
        <v>770</v>
      </c>
      <c r="C102" s="10">
        <v>6</v>
      </c>
      <c r="D102" s="9" t="s">
        <v>133</v>
      </c>
      <c r="E102" s="162">
        <v>31.38</v>
      </c>
      <c r="F102" s="162">
        <f>INDEX('2016 Lockdown Update'!H$5:H$245,MATCH(B102,'2016 Lockdown Update'!B$5:B$245,0))</f>
        <v>31.38</v>
      </c>
      <c r="G102" s="162">
        <f t="shared" si="30"/>
        <v>0</v>
      </c>
      <c r="H102" s="5">
        <v>24226.400000000001</v>
      </c>
      <c r="I102" s="5">
        <f>INDEX('2016 Lockdown Update'!E$5:E$245,MATCH(B102,'2016 Lockdown Update'!B$5:B$245,0))</f>
        <v>24226.400000000001</v>
      </c>
      <c r="J102" s="5">
        <f t="shared" si="19"/>
        <v>0</v>
      </c>
      <c r="K102" s="5">
        <v>0</v>
      </c>
      <c r="L102" s="5">
        <f>INDEX('2016 Lockdown Update'!F$5:F$245,MATCH(B102,'2016 Lockdown Update'!B$5:B$245,0))</f>
        <v>0</v>
      </c>
      <c r="M102" s="5">
        <f t="shared" si="20"/>
        <v>0</v>
      </c>
      <c r="N102" s="5">
        <v>24226.400000000001</v>
      </c>
      <c r="O102" s="105">
        <f t="shared" si="21"/>
        <v>24226.400000000001</v>
      </c>
      <c r="P102" s="105">
        <f t="shared" si="22"/>
        <v>0</v>
      </c>
      <c r="Q102" s="103">
        <f t="shared" si="23"/>
        <v>772.03314212874454</v>
      </c>
      <c r="R102" s="6">
        <f t="shared" si="24"/>
        <v>772.03314212874454</v>
      </c>
      <c r="S102" s="5">
        <f t="shared" si="25"/>
        <v>24226.400000000001</v>
      </c>
      <c r="T102" s="140">
        <v>0.46258333333333335</v>
      </c>
      <c r="U102" s="105">
        <f t="shared" si="26"/>
        <v>5888.3184844172392</v>
      </c>
      <c r="V102" s="105">
        <f t="shared" si="27"/>
        <v>1562.4761958097083</v>
      </c>
      <c r="W102" s="105">
        <f t="shared" si="28"/>
        <v>817.15139767500239</v>
      </c>
      <c r="X102" s="105">
        <f t="shared" si="29"/>
        <v>361.72801179085519</v>
      </c>
      <c r="Y102" s="105">
        <f t="shared" si="31"/>
        <v>8629.6740896928059</v>
      </c>
      <c r="Z102" s="112">
        <f t="shared" si="32"/>
        <v>0.35620951068639195</v>
      </c>
      <c r="AA102" s="104">
        <f t="shared" si="33"/>
        <v>8632.2222459535751</v>
      </c>
      <c r="AB102" s="105"/>
      <c r="AC102" s="104">
        <v>8718.1913397753742</v>
      </c>
      <c r="AD102" s="5">
        <f t="shared" si="34"/>
        <v>-85.969093821799106</v>
      </c>
      <c r="AE102" s="5">
        <v>-41.301525894268707</v>
      </c>
      <c r="AF102" s="5">
        <f t="shared" si="35"/>
        <v>-44.667567927530399</v>
      </c>
    </row>
    <row r="103" spans="2:32" x14ac:dyDescent="0.25">
      <c r="B103" s="10">
        <v>774</v>
      </c>
      <c r="C103" s="10">
        <v>6</v>
      </c>
      <c r="D103" s="9" t="s">
        <v>134</v>
      </c>
      <c r="E103" s="162">
        <v>463.58031678915978</v>
      </c>
      <c r="F103" s="162">
        <f>INDEX('2016 Lockdown Update'!H$5:H$245,MATCH(B103,'2016 Lockdown Update'!B$5:B$245,0))</f>
        <v>449.72089621218714</v>
      </c>
      <c r="G103" s="162">
        <f t="shared" si="30"/>
        <v>-13.859420576972639</v>
      </c>
      <c r="H103" s="5">
        <v>288436.55</v>
      </c>
      <c r="I103" s="5">
        <f>INDEX('2016 Lockdown Update'!E$5:E$245,MATCH(B103,'2016 Lockdown Update'!B$5:B$245,0))</f>
        <v>288515.28999999998</v>
      </c>
      <c r="J103" s="5">
        <f t="shared" si="19"/>
        <v>78.739999999990687</v>
      </c>
      <c r="K103" s="5">
        <v>0</v>
      </c>
      <c r="L103" s="5">
        <f>INDEX('2016 Lockdown Update'!F$5:F$245,MATCH(B103,'2016 Lockdown Update'!B$5:B$245,0))</f>
        <v>0</v>
      </c>
      <c r="M103" s="5">
        <f t="shared" si="20"/>
        <v>0</v>
      </c>
      <c r="N103" s="5">
        <v>288436.55</v>
      </c>
      <c r="O103" s="105">
        <f t="shared" si="21"/>
        <v>288515.28999999998</v>
      </c>
      <c r="P103" s="105">
        <f t="shared" si="22"/>
        <v>78.739999999990687</v>
      </c>
      <c r="Q103" s="103">
        <f t="shared" si="23"/>
        <v>641.54299351007433</v>
      </c>
      <c r="R103" s="6">
        <f t="shared" si="24"/>
        <v>641.54299351007433</v>
      </c>
      <c r="S103" s="5">
        <f t="shared" si="25"/>
        <v>288515.28999999998</v>
      </c>
      <c r="T103" s="140">
        <v>0.79595833333333332</v>
      </c>
      <c r="U103" s="105">
        <f t="shared" si="26"/>
        <v>70124.736450483775</v>
      </c>
      <c r="V103" s="105">
        <f t="shared" si="27"/>
        <v>22392.549238041775</v>
      </c>
      <c r="W103" s="105">
        <f t="shared" si="28"/>
        <v>16744.91050516989</v>
      </c>
      <c r="X103" s="105">
        <f t="shared" si="29"/>
        <v>4307.8650655054817</v>
      </c>
      <c r="Y103" s="105">
        <f t="shared" si="31"/>
        <v>113570.06125920091</v>
      </c>
      <c r="Z103" s="112">
        <f t="shared" si="32"/>
        <v>0.39363619605463862</v>
      </c>
      <c r="AA103" s="104">
        <f t="shared" si="33"/>
        <v>113603.59604390145</v>
      </c>
      <c r="AB103" s="105"/>
      <c r="AC103" s="104">
        <v>112568.28684136478</v>
      </c>
      <c r="AD103" s="5">
        <f t="shared" si="34"/>
        <v>1035.3092025366641</v>
      </c>
      <c r="AE103" s="5">
        <v>1561.1367038268654</v>
      </c>
      <c r="AF103" s="5">
        <f t="shared" si="35"/>
        <v>-525.82750129020133</v>
      </c>
    </row>
    <row r="104" spans="2:32" x14ac:dyDescent="0.25">
      <c r="B104" s="10">
        <v>794</v>
      </c>
      <c r="C104" s="10">
        <v>6</v>
      </c>
      <c r="D104" s="9" t="s">
        <v>135</v>
      </c>
      <c r="E104" s="162">
        <v>33.43744570213115</v>
      </c>
      <c r="F104" s="162">
        <f>INDEX('2016 Lockdown Update'!H$5:H$245,MATCH(B104,'2016 Lockdown Update'!B$5:B$245,0))</f>
        <v>33.43744570213115</v>
      </c>
      <c r="G104" s="162">
        <f t="shared" si="30"/>
        <v>0</v>
      </c>
      <c r="H104" s="5">
        <v>42748.36</v>
      </c>
      <c r="I104" s="5">
        <f>INDEX('2016 Lockdown Update'!E$5:E$245,MATCH(B104,'2016 Lockdown Update'!B$5:B$245,0))</f>
        <v>42748.36</v>
      </c>
      <c r="J104" s="5">
        <f t="shared" si="19"/>
        <v>0</v>
      </c>
      <c r="K104" s="5">
        <v>0</v>
      </c>
      <c r="L104" s="5">
        <f>INDEX('2016 Lockdown Update'!F$5:F$245,MATCH(B104,'2016 Lockdown Update'!B$5:B$245,0))</f>
        <v>0</v>
      </c>
      <c r="M104" s="5">
        <f t="shared" si="20"/>
        <v>0</v>
      </c>
      <c r="N104" s="5">
        <v>42748.36</v>
      </c>
      <c r="O104" s="105">
        <f t="shared" si="21"/>
        <v>42748.36</v>
      </c>
      <c r="P104" s="105">
        <f t="shared" si="22"/>
        <v>0</v>
      </c>
      <c r="Q104" s="103">
        <f t="shared" si="23"/>
        <v>1278.4577022064641</v>
      </c>
      <c r="R104" s="6">
        <f t="shared" si="24"/>
        <v>976.36315547304241</v>
      </c>
      <c r="S104" s="5">
        <f t="shared" si="25"/>
        <v>32647.089996691291</v>
      </c>
      <c r="T104" s="140">
        <v>0.6941666666666666</v>
      </c>
      <c r="U104" s="105">
        <f t="shared" si="26"/>
        <v>7934.999153400855</v>
      </c>
      <c r="V104" s="105">
        <f t="shared" si="27"/>
        <v>1664.9207443677365</v>
      </c>
      <c r="W104" s="105">
        <f t="shared" si="28"/>
        <v>1652.4635736957277</v>
      </c>
      <c r="X104" s="105">
        <f t="shared" si="29"/>
        <v>487.45859703712716</v>
      </c>
      <c r="Y104" s="105">
        <f t="shared" si="31"/>
        <v>11739.842068501446</v>
      </c>
      <c r="Z104" s="112">
        <f t="shared" si="32"/>
        <v>0.35959842269835546</v>
      </c>
      <c r="AA104" s="104">
        <f t="shared" si="33"/>
        <v>11743.308590151786</v>
      </c>
      <c r="AB104" s="105"/>
      <c r="AC104" s="104">
        <v>12148.174249192152</v>
      </c>
      <c r="AD104" s="5">
        <f t="shared" si="34"/>
        <v>-404.86565904036615</v>
      </c>
      <c r="AE104" s="5">
        <v>-259.64662594034417</v>
      </c>
      <c r="AF104" s="5">
        <f t="shared" si="35"/>
        <v>-145.21903310002199</v>
      </c>
    </row>
    <row r="105" spans="2:32" x14ac:dyDescent="0.25">
      <c r="B105" s="10">
        <v>806</v>
      </c>
      <c r="C105" s="10">
        <v>6</v>
      </c>
      <c r="D105" s="9" t="s">
        <v>136</v>
      </c>
      <c r="E105" s="162">
        <v>27</v>
      </c>
      <c r="F105" s="162">
        <f>INDEX('2016 Lockdown Update'!H$5:H$245,MATCH(B105,'2016 Lockdown Update'!B$5:B$245,0))</f>
        <v>27</v>
      </c>
      <c r="G105" s="162">
        <f t="shared" si="30"/>
        <v>0</v>
      </c>
      <c r="H105" s="5">
        <v>40480.629999999997</v>
      </c>
      <c r="I105" s="5">
        <f>INDEX('2016 Lockdown Update'!E$5:E$245,MATCH(B105,'2016 Lockdown Update'!B$5:B$245,0))</f>
        <v>40480.629999999997</v>
      </c>
      <c r="J105" s="5">
        <f t="shared" si="19"/>
        <v>0</v>
      </c>
      <c r="K105" s="5">
        <v>0</v>
      </c>
      <c r="L105" s="5">
        <f>INDEX('2016 Lockdown Update'!F$5:F$245,MATCH(B105,'2016 Lockdown Update'!B$5:B$245,0))</f>
        <v>0</v>
      </c>
      <c r="M105" s="5">
        <f t="shared" si="20"/>
        <v>0</v>
      </c>
      <c r="N105" s="5">
        <v>40480.629999999997</v>
      </c>
      <c r="O105" s="105">
        <f t="shared" si="21"/>
        <v>40480.629999999997</v>
      </c>
      <c r="P105" s="105">
        <f t="shared" si="22"/>
        <v>0</v>
      </c>
      <c r="Q105" s="103">
        <f t="shared" si="23"/>
        <v>1499.2825925925924</v>
      </c>
      <c r="R105" s="6">
        <f t="shared" si="24"/>
        <v>976.36315547304241</v>
      </c>
      <c r="S105" s="5">
        <f t="shared" si="25"/>
        <v>26361.805197772144</v>
      </c>
      <c r="T105" s="140">
        <v>0.39300000000000002</v>
      </c>
      <c r="U105" s="105">
        <f t="shared" si="26"/>
        <v>6407.3368238222829</v>
      </c>
      <c r="V105" s="105">
        <f t="shared" si="27"/>
        <v>1344.3867841574929</v>
      </c>
      <c r="W105" s="105">
        <f t="shared" si="28"/>
        <v>755.42501152864725</v>
      </c>
      <c r="X105" s="105">
        <f t="shared" si="29"/>
        <v>393.61206705940418</v>
      </c>
      <c r="Y105" s="105">
        <f t="shared" si="31"/>
        <v>8900.7606865678281</v>
      </c>
      <c r="Z105" s="112">
        <f t="shared" si="32"/>
        <v>0.33763851222601549</v>
      </c>
      <c r="AA105" s="104">
        <f t="shared" si="33"/>
        <v>8903.3888888421388</v>
      </c>
      <c r="AB105" s="105"/>
      <c r="AC105" s="104">
        <v>9067.7821549095825</v>
      </c>
      <c r="AD105" s="5">
        <f t="shared" si="34"/>
        <v>-164.39326606744362</v>
      </c>
      <c r="AE105" s="5">
        <v>-191.10855873868786</v>
      </c>
      <c r="AF105" s="5">
        <f t="shared" si="35"/>
        <v>26.715292671244242</v>
      </c>
    </row>
    <row r="106" spans="2:32" x14ac:dyDescent="0.25">
      <c r="B106" s="10">
        <v>811</v>
      </c>
      <c r="C106" s="10">
        <v>6</v>
      </c>
      <c r="D106" s="9" t="s">
        <v>137</v>
      </c>
      <c r="E106" s="162">
        <v>848.27512001861191</v>
      </c>
      <c r="F106" s="162">
        <f>INDEX('2016 Lockdown Update'!H$5:H$245,MATCH(B106,'2016 Lockdown Update'!B$5:B$245,0))</f>
        <v>848.27512001861191</v>
      </c>
      <c r="G106" s="162">
        <f t="shared" si="30"/>
        <v>0</v>
      </c>
      <c r="H106" s="5">
        <v>513458.35</v>
      </c>
      <c r="I106" s="5">
        <f>INDEX('2016 Lockdown Update'!E$5:E$245,MATCH(B106,'2016 Lockdown Update'!B$5:B$245,0))</f>
        <v>513458.35</v>
      </c>
      <c r="J106" s="5">
        <f t="shared" si="19"/>
        <v>0</v>
      </c>
      <c r="K106" s="5">
        <v>1000</v>
      </c>
      <c r="L106" s="5">
        <f>INDEX('2016 Lockdown Update'!F$5:F$245,MATCH(B106,'2016 Lockdown Update'!B$5:B$245,0))</f>
        <v>1000</v>
      </c>
      <c r="M106" s="5">
        <f t="shared" si="20"/>
        <v>0</v>
      </c>
      <c r="N106" s="5">
        <v>512458.35</v>
      </c>
      <c r="O106" s="105">
        <f t="shared" si="21"/>
        <v>512458.35</v>
      </c>
      <c r="P106" s="105">
        <f t="shared" si="22"/>
        <v>0</v>
      </c>
      <c r="Q106" s="103">
        <f t="shared" si="23"/>
        <v>604.11809554046124</v>
      </c>
      <c r="R106" s="6">
        <f t="shared" si="24"/>
        <v>604.11809554046124</v>
      </c>
      <c r="S106" s="5">
        <f t="shared" si="25"/>
        <v>512458.35000000003</v>
      </c>
      <c r="T106" s="140">
        <v>0.53249999999999997</v>
      </c>
      <c r="U106" s="105">
        <f t="shared" si="26"/>
        <v>124554.94728060954</v>
      </c>
      <c r="V106" s="105">
        <f t="shared" si="27"/>
        <v>42237.402247504928</v>
      </c>
      <c r="W106" s="105">
        <f t="shared" si="28"/>
        <v>19897.652828077375</v>
      </c>
      <c r="X106" s="105">
        <f t="shared" si="29"/>
        <v>7651.5924805634431</v>
      </c>
      <c r="Y106" s="105">
        <f t="shared" si="31"/>
        <v>194341.59483675531</v>
      </c>
      <c r="Z106" s="112">
        <f t="shared" si="32"/>
        <v>0.37923393157074187</v>
      </c>
      <c r="AA106" s="104">
        <f t="shared" si="33"/>
        <v>194398.97970974867</v>
      </c>
      <c r="AB106" s="105"/>
      <c r="AC106" s="104">
        <v>191555.1676127403</v>
      </c>
      <c r="AD106" s="5">
        <f t="shared" si="34"/>
        <v>2843.8120970083692</v>
      </c>
      <c r="AE106" s="5">
        <v>-855.81958867039066</v>
      </c>
      <c r="AF106" s="5">
        <f t="shared" si="35"/>
        <v>3699.6316856787598</v>
      </c>
    </row>
    <row r="107" spans="2:32" x14ac:dyDescent="0.25">
      <c r="B107" s="10">
        <v>824</v>
      </c>
      <c r="C107" s="10">
        <v>6</v>
      </c>
      <c r="D107" s="9" t="s">
        <v>138</v>
      </c>
      <c r="E107" s="162">
        <v>31.52</v>
      </c>
      <c r="F107" s="162">
        <f>INDEX('2016 Lockdown Update'!H$5:H$245,MATCH(B107,'2016 Lockdown Update'!B$5:B$245,0))</f>
        <v>31.52</v>
      </c>
      <c r="G107" s="162">
        <f t="shared" si="30"/>
        <v>0</v>
      </c>
      <c r="H107" s="5">
        <v>60319.76</v>
      </c>
      <c r="I107" s="5">
        <f>INDEX('2016 Lockdown Update'!E$5:E$245,MATCH(B107,'2016 Lockdown Update'!B$5:B$245,0))</f>
        <v>60319.76</v>
      </c>
      <c r="J107" s="5">
        <f t="shared" si="19"/>
        <v>0</v>
      </c>
      <c r="K107" s="5">
        <v>0</v>
      </c>
      <c r="L107" s="5">
        <f>INDEX('2016 Lockdown Update'!F$5:F$245,MATCH(B107,'2016 Lockdown Update'!B$5:B$245,0))</f>
        <v>0</v>
      </c>
      <c r="M107" s="5">
        <f t="shared" si="20"/>
        <v>0</v>
      </c>
      <c r="N107" s="5">
        <v>60319.76</v>
      </c>
      <c r="O107" s="105">
        <f t="shared" si="21"/>
        <v>60319.76</v>
      </c>
      <c r="P107" s="105">
        <f t="shared" si="22"/>
        <v>0</v>
      </c>
      <c r="Q107" s="103">
        <f t="shared" si="23"/>
        <v>1913.6979695431473</v>
      </c>
      <c r="R107" s="6">
        <f t="shared" si="24"/>
        <v>976.36315547304241</v>
      </c>
      <c r="S107" s="5">
        <f t="shared" si="25"/>
        <v>30774.966660510298</v>
      </c>
      <c r="T107" s="140">
        <v>0.32341666666666669</v>
      </c>
      <c r="U107" s="105">
        <f t="shared" si="26"/>
        <v>7479.9724698843856</v>
      </c>
      <c r="V107" s="105">
        <f t="shared" si="27"/>
        <v>1569.4470902460807</v>
      </c>
      <c r="W107" s="105">
        <f t="shared" si="28"/>
        <v>725.74432889053242</v>
      </c>
      <c r="X107" s="105">
        <f t="shared" si="29"/>
        <v>459.50564273008973</v>
      </c>
      <c r="Y107" s="105">
        <f t="shared" si="31"/>
        <v>10234.669531751089</v>
      </c>
      <c r="Z107" s="112">
        <f t="shared" si="32"/>
        <v>0.33256476423365139</v>
      </c>
      <c r="AA107" s="104">
        <f t="shared" si="33"/>
        <v>10237.691608479965</v>
      </c>
      <c r="AB107" s="105"/>
      <c r="AC107" s="104">
        <v>10335.458682196662</v>
      </c>
      <c r="AD107" s="5">
        <f t="shared" si="34"/>
        <v>-97.767073716697269</v>
      </c>
      <c r="AE107" s="5">
        <v>-216.83961910706421</v>
      </c>
      <c r="AF107" s="5">
        <f t="shared" si="35"/>
        <v>119.07254539036694</v>
      </c>
    </row>
    <row r="108" spans="2:32" x14ac:dyDescent="0.25">
      <c r="B108" s="10">
        <v>826</v>
      </c>
      <c r="C108" s="10">
        <v>6</v>
      </c>
      <c r="D108" s="9" t="s">
        <v>139</v>
      </c>
      <c r="E108" s="162">
        <v>32.878999999999998</v>
      </c>
      <c r="F108" s="162">
        <f>INDEX('2016 Lockdown Update'!H$5:H$245,MATCH(B108,'2016 Lockdown Update'!B$5:B$245,0))</f>
        <v>32.878999999999998</v>
      </c>
      <c r="G108" s="162">
        <f t="shared" si="30"/>
        <v>0</v>
      </c>
      <c r="H108" s="5">
        <v>48770.93</v>
      </c>
      <c r="I108" s="5">
        <f>INDEX('2016 Lockdown Update'!E$5:E$245,MATCH(B108,'2016 Lockdown Update'!B$5:B$245,0))</f>
        <v>48770.93</v>
      </c>
      <c r="J108" s="5">
        <f t="shared" si="19"/>
        <v>0</v>
      </c>
      <c r="K108" s="5">
        <v>0</v>
      </c>
      <c r="L108" s="5">
        <f>INDEX('2016 Lockdown Update'!F$5:F$245,MATCH(B108,'2016 Lockdown Update'!B$5:B$245,0))</f>
        <v>0</v>
      </c>
      <c r="M108" s="5">
        <f t="shared" si="20"/>
        <v>0</v>
      </c>
      <c r="N108" s="5">
        <v>48770.93</v>
      </c>
      <c r="O108" s="105">
        <f t="shared" si="21"/>
        <v>48770.93</v>
      </c>
      <c r="P108" s="105">
        <f t="shared" si="22"/>
        <v>0</v>
      </c>
      <c r="Q108" s="103">
        <f t="shared" si="23"/>
        <v>1483.3459046807993</v>
      </c>
      <c r="R108" s="6">
        <f t="shared" si="24"/>
        <v>976.36315547304241</v>
      </c>
      <c r="S108" s="5">
        <f t="shared" si="25"/>
        <v>32101.844188798161</v>
      </c>
      <c r="T108" s="140">
        <v>0.61516666666666664</v>
      </c>
      <c r="U108" s="105">
        <f t="shared" si="26"/>
        <v>7802.4750900167728</v>
      </c>
      <c r="V108" s="105">
        <f t="shared" si="27"/>
        <v>1637.1145583820078</v>
      </c>
      <c r="W108" s="105">
        <f t="shared" si="28"/>
        <v>1439.9467778625951</v>
      </c>
      <c r="X108" s="105">
        <f t="shared" si="29"/>
        <v>479.317450105413</v>
      </c>
      <c r="Y108" s="105">
        <f t="shared" si="31"/>
        <v>11358.853876366788</v>
      </c>
      <c r="Z108" s="112">
        <f t="shared" si="32"/>
        <v>0.35383804773217437</v>
      </c>
      <c r="AA108" s="104">
        <f t="shared" si="33"/>
        <v>11362.207900437616</v>
      </c>
      <c r="AB108" s="105"/>
      <c r="AC108" s="104">
        <v>11760.317432926224</v>
      </c>
      <c r="AD108" s="5">
        <f t="shared" si="34"/>
        <v>-398.10953248860824</v>
      </c>
      <c r="AE108" s="5">
        <v>-250.68344145776427</v>
      </c>
      <c r="AF108" s="5">
        <f t="shared" si="35"/>
        <v>-147.42609103084396</v>
      </c>
    </row>
    <row r="109" spans="2:32" x14ac:dyDescent="0.25">
      <c r="B109" s="10">
        <v>840</v>
      </c>
      <c r="C109" s="10">
        <v>6</v>
      </c>
      <c r="D109" s="9" t="s">
        <v>140</v>
      </c>
      <c r="E109" s="162">
        <v>111.61000000000001</v>
      </c>
      <c r="F109" s="162">
        <f>INDEX('2016 Lockdown Update'!H$5:H$245,MATCH(B109,'2016 Lockdown Update'!B$5:B$245,0))</f>
        <v>111.61000000000001</v>
      </c>
      <c r="G109" s="162">
        <f t="shared" si="30"/>
        <v>0</v>
      </c>
      <c r="H109" s="5">
        <v>81219.53</v>
      </c>
      <c r="I109" s="5">
        <f>INDEX('2016 Lockdown Update'!E$5:E$245,MATCH(B109,'2016 Lockdown Update'!B$5:B$245,0))</f>
        <v>81219.53</v>
      </c>
      <c r="J109" s="5">
        <f t="shared" si="19"/>
        <v>0</v>
      </c>
      <c r="K109" s="5">
        <v>0</v>
      </c>
      <c r="L109" s="5">
        <f>INDEX('2016 Lockdown Update'!F$5:F$245,MATCH(B109,'2016 Lockdown Update'!B$5:B$245,0))</f>
        <v>0</v>
      </c>
      <c r="M109" s="5">
        <f t="shared" si="20"/>
        <v>0</v>
      </c>
      <c r="N109" s="5">
        <v>81219.53</v>
      </c>
      <c r="O109" s="105">
        <f t="shared" si="21"/>
        <v>81219.53</v>
      </c>
      <c r="P109" s="105">
        <f t="shared" si="22"/>
        <v>0</v>
      </c>
      <c r="Q109" s="103">
        <f t="shared" si="23"/>
        <v>727.70835946599755</v>
      </c>
      <c r="R109" s="6">
        <f t="shared" si="24"/>
        <v>727.70835946599755</v>
      </c>
      <c r="S109" s="5">
        <f t="shared" si="25"/>
        <v>81219.53</v>
      </c>
      <c r="T109" s="140">
        <v>0.40750000000000003</v>
      </c>
      <c r="U109" s="105">
        <f t="shared" si="26"/>
        <v>19740.715079197918</v>
      </c>
      <c r="V109" s="105">
        <f t="shared" si="27"/>
        <v>5557.2966288821408</v>
      </c>
      <c r="W109" s="105">
        <f t="shared" si="28"/>
        <v>2413.3024184319456</v>
      </c>
      <c r="X109" s="105">
        <f t="shared" si="29"/>
        <v>1212.7009834514297</v>
      </c>
      <c r="Y109" s="105">
        <f t="shared" si="31"/>
        <v>28924.015109963435</v>
      </c>
      <c r="Z109" s="112">
        <f t="shared" si="32"/>
        <v>0.35612142929124851</v>
      </c>
      <c r="AA109" s="104">
        <f t="shared" si="33"/>
        <v>28932.555746541711</v>
      </c>
      <c r="AB109" s="105"/>
      <c r="AC109" s="104">
        <v>28264.264247044568</v>
      </c>
      <c r="AD109" s="5">
        <f t="shared" si="34"/>
        <v>668.29149949714338</v>
      </c>
      <c r="AE109" s="5">
        <v>-130.4939844074579</v>
      </c>
      <c r="AF109" s="5">
        <f t="shared" si="35"/>
        <v>798.78548390460128</v>
      </c>
    </row>
    <row r="110" spans="2:32" x14ac:dyDescent="0.25">
      <c r="B110" s="10">
        <v>843</v>
      </c>
      <c r="C110" s="10">
        <v>6</v>
      </c>
      <c r="D110" s="9" t="s">
        <v>141</v>
      </c>
      <c r="E110" s="162">
        <v>24</v>
      </c>
      <c r="F110" s="162">
        <f>INDEX('2016 Lockdown Update'!H$5:H$245,MATCH(B110,'2016 Lockdown Update'!B$5:B$245,0))</f>
        <v>24</v>
      </c>
      <c r="G110" s="162">
        <f t="shared" si="30"/>
        <v>0</v>
      </c>
      <c r="H110" s="5">
        <v>35021.31</v>
      </c>
      <c r="I110" s="5">
        <f>INDEX('2016 Lockdown Update'!E$5:E$245,MATCH(B110,'2016 Lockdown Update'!B$5:B$245,0))</f>
        <v>35021.31</v>
      </c>
      <c r="J110" s="5">
        <f t="shared" si="19"/>
        <v>0</v>
      </c>
      <c r="K110" s="5">
        <v>0</v>
      </c>
      <c r="L110" s="5">
        <f>INDEX('2016 Lockdown Update'!F$5:F$245,MATCH(B110,'2016 Lockdown Update'!B$5:B$245,0))</f>
        <v>0</v>
      </c>
      <c r="M110" s="5">
        <f t="shared" si="20"/>
        <v>0</v>
      </c>
      <c r="N110" s="5">
        <v>35021.31</v>
      </c>
      <c r="O110" s="105">
        <f t="shared" si="21"/>
        <v>35021.31</v>
      </c>
      <c r="P110" s="105">
        <f t="shared" si="22"/>
        <v>0</v>
      </c>
      <c r="Q110" s="103">
        <f t="shared" si="23"/>
        <v>1459.2212499999998</v>
      </c>
      <c r="R110" s="6">
        <f t="shared" si="24"/>
        <v>976.36315547304241</v>
      </c>
      <c r="S110" s="5">
        <f t="shared" si="25"/>
        <v>23432.715731353019</v>
      </c>
      <c r="T110" s="140">
        <v>0.3095</v>
      </c>
      <c r="U110" s="105">
        <f t="shared" si="26"/>
        <v>5695.4105100642528</v>
      </c>
      <c r="V110" s="105">
        <f t="shared" si="27"/>
        <v>1195.0104748066606</v>
      </c>
      <c r="W110" s="105">
        <f t="shared" si="28"/>
        <v>528.81886585946586</v>
      </c>
      <c r="X110" s="105">
        <f t="shared" si="29"/>
        <v>349.87739294169268</v>
      </c>
      <c r="Y110" s="105">
        <f t="shared" si="31"/>
        <v>7769.1172436720717</v>
      </c>
      <c r="Z110" s="112">
        <f t="shared" si="32"/>
        <v>0.33155001463517852</v>
      </c>
      <c r="AA110" s="104">
        <f t="shared" si="33"/>
        <v>7771.4112960939074</v>
      </c>
      <c r="AB110" s="105"/>
      <c r="AC110" s="104">
        <v>7774.332483575573</v>
      </c>
      <c r="AD110" s="5">
        <f t="shared" si="34"/>
        <v>-2.9211874816655836</v>
      </c>
      <c r="AE110" s="5">
        <v>-162.72232622996216</v>
      </c>
      <c r="AF110" s="5">
        <f t="shared" si="35"/>
        <v>159.80113874829658</v>
      </c>
    </row>
    <row r="111" spans="2:32" x14ac:dyDescent="0.25">
      <c r="B111" s="10">
        <v>846</v>
      </c>
      <c r="C111" s="10">
        <v>6</v>
      </c>
      <c r="D111" s="9" t="s">
        <v>142</v>
      </c>
      <c r="E111" s="162">
        <v>24.91</v>
      </c>
      <c r="F111" s="162">
        <f>INDEX('2016 Lockdown Update'!H$5:H$245,MATCH(B111,'2016 Lockdown Update'!B$5:B$245,0))</f>
        <v>24.91</v>
      </c>
      <c r="G111" s="162">
        <f t="shared" si="30"/>
        <v>0</v>
      </c>
      <c r="H111" s="5">
        <v>39845.980000000003</v>
      </c>
      <c r="I111" s="5">
        <f>INDEX('2016 Lockdown Update'!E$5:E$245,MATCH(B111,'2016 Lockdown Update'!B$5:B$245,0))</f>
        <v>39845.980000000003</v>
      </c>
      <c r="J111" s="5">
        <f t="shared" si="19"/>
        <v>0</v>
      </c>
      <c r="K111" s="5">
        <v>0</v>
      </c>
      <c r="L111" s="5">
        <f>INDEX('2016 Lockdown Update'!F$5:F$245,MATCH(B111,'2016 Lockdown Update'!B$5:B$245,0))</f>
        <v>0</v>
      </c>
      <c r="M111" s="5">
        <f t="shared" si="20"/>
        <v>0</v>
      </c>
      <c r="N111" s="5">
        <v>39845.980000000003</v>
      </c>
      <c r="O111" s="105">
        <f t="shared" si="21"/>
        <v>39845.980000000003</v>
      </c>
      <c r="P111" s="105">
        <f t="shared" si="22"/>
        <v>0</v>
      </c>
      <c r="Q111" s="103">
        <f t="shared" si="23"/>
        <v>1599.5977519068649</v>
      </c>
      <c r="R111" s="6">
        <f t="shared" si="24"/>
        <v>976.36315547304241</v>
      </c>
      <c r="S111" s="5">
        <f t="shared" si="25"/>
        <v>24321.206202833488</v>
      </c>
      <c r="T111" s="140">
        <v>0.35125000000000001</v>
      </c>
      <c r="U111" s="105">
        <f t="shared" si="26"/>
        <v>5911.3614919041893</v>
      </c>
      <c r="V111" s="105">
        <f t="shared" si="27"/>
        <v>1240.3212886430797</v>
      </c>
      <c r="W111" s="105">
        <f t="shared" si="28"/>
        <v>622.90971720940388</v>
      </c>
      <c r="X111" s="105">
        <f t="shared" si="29"/>
        <v>363.1435774240652</v>
      </c>
      <c r="Y111" s="105">
        <f t="shared" si="31"/>
        <v>8137.7360751807391</v>
      </c>
      <c r="Z111" s="112">
        <f t="shared" si="32"/>
        <v>0.33459426343059706</v>
      </c>
      <c r="AA111" s="104">
        <f t="shared" si="33"/>
        <v>8140.1389727772112</v>
      </c>
      <c r="AB111" s="105"/>
      <c r="AC111" s="104">
        <v>8217.4889521370133</v>
      </c>
      <c r="AD111" s="5">
        <f t="shared" si="34"/>
        <v>-77.349979359802091</v>
      </c>
      <c r="AE111" s="5">
        <v>-172.60377755310401</v>
      </c>
      <c r="AF111" s="5">
        <f t="shared" si="35"/>
        <v>95.253798193301918</v>
      </c>
    </row>
    <row r="112" spans="2:32" x14ac:dyDescent="0.25">
      <c r="B112" s="10">
        <v>888</v>
      </c>
      <c r="C112" s="10">
        <v>6</v>
      </c>
      <c r="D112" s="9" t="s">
        <v>143</v>
      </c>
      <c r="E112" s="162">
        <v>91.579627294752981</v>
      </c>
      <c r="F112" s="162">
        <f>INDEX('2016 Lockdown Update'!H$5:H$245,MATCH(B112,'2016 Lockdown Update'!B$5:B$245,0))</f>
        <v>91.579627294752981</v>
      </c>
      <c r="G112" s="162">
        <f t="shared" si="30"/>
        <v>0</v>
      </c>
      <c r="H112" s="5">
        <v>45817.61</v>
      </c>
      <c r="I112" s="5">
        <f>INDEX('2016 Lockdown Update'!E$5:E$245,MATCH(B112,'2016 Lockdown Update'!B$5:B$245,0))</f>
        <v>45817.61</v>
      </c>
      <c r="J112" s="5">
        <f t="shared" si="19"/>
        <v>0</v>
      </c>
      <c r="K112" s="5">
        <v>0</v>
      </c>
      <c r="L112" s="5">
        <f>INDEX('2016 Lockdown Update'!F$5:F$245,MATCH(B112,'2016 Lockdown Update'!B$5:B$245,0))</f>
        <v>0</v>
      </c>
      <c r="M112" s="5">
        <f t="shared" si="20"/>
        <v>0</v>
      </c>
      <c r="N112" s="5">
        <v>45817.61</v>
      </c>
      <c r="O112" s="105">
        <f t="shared" si="21"/>
        <v>45817.61</v>
      </c>
      <c r="P112" s="105">
        <f t="shared" si="22"/>
        <v>0</v>
      </c>
      <c r="Q112" s="103">
        <f t="shared" si="23"/>
        <v>500.30352113722898</v>
      </c>
      <c r="R112" s="6">
        <f t="shared" si="24"/>
        <v>500.30352113722898</v>
      </c>
      <c r="S112" s="5">
        <f t="shared" si="25"/>
        <v>45817.61</v>
      </c>
      <c r="T112" s="140">
        <v>0.45400000000000001</v>
      </c>
      <c r="U112" s="105">
        <f t="shared" si="26"/>
        <v>11136.144036044156</v>
      </c>
      <c r="V112" s="105">
        <f t="shared" si="27"/>
        <v>4559.9422456716566</v>
      </c>
      <c r="W112" s="105">
        <f t="shared" si="28"/>
        <v>1516.742817709214</v>
      </c>
      <c r="X112" s="105">
        <f t="shared" si="29"/>
        <v>684.1096064751182</v>
      </c>
      <c r="Y112" s="105">
        <f t="shared" si="31"/>
        <v>17896.938705900146</v>
      </c>
      <c r="Z112" s="112">
        <f t="shared" si="32"/>
        <v>0.39061266412412488</v>
      </c>
      <c r="AA112" s="104">
        <f t="shared" si="33"/>
        <v>17902.223285125045</v>
      </c>
      <c r="AB112" s="105"/>
      <c r="AC112" s="104">
        <v>17384.37502460241</v>
      </c>
      <c r="AD112" s="5">
        <f t="shared" si="34"/>
        <v>517.84826052263452</v>
      </c>
      <c r="AE112" s="5">
        <v>-72.865633151366637</v>
      </c>
      <c r="AF112" s="5">
        <f t="shared" si="35"/>
        <v>590.71389367400116</v>
      </c>
    </row>
    <row r="113" spans="2:32" x14ac:dyDescent="0.25">
      <c r="B113" s="10">
        <v>889</v>
      </c>
      <c r="C113" s="10">
        <v>6</v>
      </c>
      <c r="D113" s="9" t="s">
        <v>144</v>
      </c>
      <c r="E113" s="162">
        <v>25.841459586352013</v>
      </c>
      <c r="F113" s="162">
        <f>INDEX('2016 Lockdown Update'!H$5:H$245,MATCH(B113,'2016 Lockdown Update'!B$5:B$245,0))</f>
        <v>25.841459586352013</v>
      </c>
      <c r="G113" s="162">
        <f t="shared" si="30"/>
        <v>0</v>
      </c>
      <c r="H113" s="5">
        <v>46605.760000000002</v>
      </c>
      <c r="I113" s="5">
        <f>INDEX('2016 Lockdown Update'!E$5:E$245,MATCH(B113,'2016 Lockdown Update'!B$5:B$245,0))</f>
        <v>47314.239999999998</v>
      </c>
      <c r="J113" s="5">
        <f t="shared" si="19"/>
        <v>708.47999999999593</v>
      </c>
      <c r="K113" s="5">
        <v>0</v>
      </c>
      <c r="L113" s="5">
        <f>INDEX('2016 Lockdown Update'!F$5:F$245,MATCH(B113,'2016 Lockdown Update'!B$5:B$245,0))</f>
        <v>0</v>
      </c>
      <c r="M113" s="5">
        <f t="shared" si="20"/>
        <v>0</v>
      </c>
      <c r="N113" s="5">
        <v>46605.760000000002</v>
      </c>
      <c r="O113" s="105">
        <f t="shared" si="21"/>
        <v>47314.239999999998</v>
      </c>
      <c r="P113" s="105">
        <f t="shared" si="22"/>
        <v>708.47999999999593</v>
      </c>
      <c r="Q113" s="103">
        <f t="shared" si="23"/>
        <v>1830.9430178235243</v>
      </c>
      <c r="R113" s="6">
        <f t="shared" si="24"/>
        <v>976.36315547304241</v>
      </c>
      <c r="S113" s="5">
        <f t="shared" si="25"/>
        <v>25230.649023759754</v>
      </c>
      <c r="T113" s="140">
        <v>0.53633333333333333</v>
      </c>
      <c r="U113" s="105">
        <f t="shared" si="26"/>
        <v>6132.4050218129123</v>
      </c>
      <c r="V113" s="105">
        <f t="shared" si="27"/>
        <v>1286.7006204159854</v>
      </c>
      <c r="W113" s="105">
        <f t="shared" si="28"/>
        <v>986.70396800969752</v>
      </c>
      <c r="X113" s="105">
        <f t="shared" si="29"/>
        <v>376.72260457837308</v>
      </c>
      <c r="Y113" s="105">
        <f t="shared" si="31"/>
        <v>8782.5322148169689</v>
      </c>
      <c r="Z113" s="112">
        <f t="shared" si="32"/>
        <v>0.34808982545579548</v>
      </c>
      <c r="AA113" s="104">
        <f t="shared" si="33"/>
        <v>8785.1255067786351</v>
      </c>
      <c r="AB113" s="105"/>
      <c r="AC113" s="104">
        <v>8789.8638223583093</v>
      </c>
      <c r="AD113" s="5">
        <f t="shared" si="34"/>
        <v>-4.7383155796742358</v>
      </c>
      <c r="AE113" s="5">
        <v>-185.68910793797295</v>
      </c>
      <c r="AF113" s="5">
        <f t="shared" si="35"/>
        <v>180.95079235829871</v>
      </c>
    </row>
    <row r="114" spans="2:32" x14ac:dyDescent="0.25">
      <c r="B114" s="10">
        <v>891</v>
      </c>
      <c r="C114" s="10">
        <v>6</v>
      </c>
      <c r="D114" s="9" t="s">
        <v>145</v>
      </c>
      <c r="E114" s="162">
        <v>409.28817074899689</v>
      </c>
      <c r="F114" s="162">
        <f>INDEX('2016 Lockdown Update'!H$5:H$245,MATCH(B114,'2016 Lockdown Update'!B$5:B$245,0))</f>
        <v>409.28817074899689</v>
      </c>
      <c r="G114" s="162">
        <f t="shared" si="30"/>
        <v>0</v>
      </c>
      <c r="H114" s="5">
        <v>94656.66</v>
      </c>
      <c r="I114" s="5">
        <f>INDEX('2016 Lockdown Update'!E$5:E$245,MATCH(B114,'2016 Lockdown Update'!B$5:B$245,0))</f>
        <v>94656.66</v>
      </c>
      <c r="J114" s="5">
        <f t="shared" si="19"/>
        <v>0</v>
      </c>
      <c r="K114" s="5">
        <v>0</v>
      </c>
      <c r="L114" s="5">
        <f>INDEX('2016 Lockdown Update'!F$5:F$245,MATCH(B114,'2016 Lockdown Update'!B$5:B$245,0))</f>
        <v>0</v>
      </c>
      <c r="M114" s="5">
        <f t="shared" si="20"/>
        <v>0</v>
      </c>
      <c r="N114" s="5">
        <v>94656.66</v>
      </c>
      <c r="O114" s="105">
        <f t="shared" si="21"/>
        <v>94656.66</v>
      </c>
      <c r="P114" s="105">
        <f t="shared" si="22"/>
        <v>0</v>
      </c>
      <c r="Q114" s="103">
        <f t="shared" si="23"/>
        <v>231.27142870212549</v>
      </c>
      <c r="R114" s="6">
        <f t="shared" si="24"/>
        <v>231.27142870212549</v>
      </c>
      <c r="S114" s="5">
        <f t="shared" si="25"/>
        <v>94656.66</v>
      </c>
      <c r="T114" s="140">
        <v>0.62383333333333335</v>
      </c>
      <c r="U114" s="105">
        <f t="shared" si="26"/>
        <v>23006.660533599625</v>
      </c>
      <c r="V114" s="105">
        <f t="shared" si="27"/>
        <v>20379.318802479509</v>
      </c>
      <c r="W114" s="105">
        <f t="shared" si="28"/>
        <v>4305.6965188631702</v>
      </c>
      <c r="X114" s="105">
        <f t="shared" si="29"/>
        <v>1413.3327867352548</v>
      </c>
      <c r="Y114" s="105">
        <f t="shared" si="31"/>
        <v>49105.008641677567</v>
      </c>
      <c r="Z114" s="112">
        <f t="shared" si="32"/>
        <v>0.51876971616870449</v>
      </c>
      <c r="AA114" s="104">
        <f t="shared" si="33"/>
        <v>49119.508289509562</v>
      </c>
      <c r="AB114" s="105"/>
      <c r="AC114" s="104">
        <v>48586.989979097256</v>
      </c>
      <c r="AD114" s="5">
        <f t="shared" si="34"/>
        <v>532.51831041230616</v>
      </c>
      <c r="AE114" s="5">
        <v>-154.47354504089162</v>
      </c>
      <c r="AF114" s="5">
        <f t="shared" si="35"/>
        <v>686.99185545319779</v>
      </c>
    </row>
    <row r="115" spans="2:32" x14ac:dyDescent="0.25">
      <c r="B115" s="10">
        <v>904</v>
      </c>
      <c r="C115" s="10">
        <v>6</v>
      </c>
      <c r="D115" s="9" t="s">
        <v>146</v>
      </c>
      <c r="E115" s="162">
        <v>27.241778041330534</v>
      </c>
      <c r="F115" s="162">
        <f>INDEX('2016 Lockdown Update'!H$5:H$245,MATCH(B115,'2016 Lockdown Update'!B$5:B$245,0))</f>
        <v>27.241778041330534</v>
      </c>
      <c r="G115" s="162">
        <f t="shared" si="30"/>
        <v>0</v>
      </c>
      <c r="H115" s="5">
        <v>12497.58</v>
      </c>
      <c r="I115" s="5">
        <f>INDEX('2016 Lockdown Update'!E$5:E$245,MATCH(B115,'2016 Lockdown Update'!B$5:B$245,0))</f>
        <v>12497.58</v>
      </c>
      <c r="J115" s="5">
        <f t="shared" si="19"/>
        <v>0</v>
      </c>
      <c r="K115" s="5">
        <v>0</v>
      </c>
      <c r="L115" s="5">
        <f>INDEX('2016 Lockdown Update'!F$5:F$245,MATCH(B115,'2016 Lockdown Update'!B$5:B$245,0))</f>
        <v>0</v>
      </c>
      <c r="M115" s="5">
        <f t="shared" si="20"/>
        <v>0</v>
      </c>
      <c r="N115" s="5">
        <v>12497.58</v>
      </c>
      <c r="O115" s="105">
        <f t="shared" si="21"/>
        <v>12497.58</v>
      </c>
      <c r="P115" s="105">
        <f t="shared" si="22"/>
        <v>0</v>
      </c>
      <c r="Q115" s="103">
        <f t="shared" si="23"/>
        <v>458.76520912250987</v>
      </c>
      <c r="R115" s="6">
        <f t="shared" si="24"/>
        <v>458.76520912250987</v>
      </c>
      <c r="S115" s="5">
        <f t="shared" si="25"/>
        <v>12497.58</v>
      </c>
      <c r="T115" s="140">
        <v>0.125</v>
      </c>
      <c r="U115" s="105">
        <f t="shared" si="26"/>
        <v>3037.5842603310107</v>
      </c>
      <c r="V115" s="105">
        <f t="shared" si="27"/>
        <v>1356.4254213228357</v>
      </c>
      <c r="W115" s="105">
        <f t="shared" si="28"/>
        <v>113.90940976241291</v>
      </c>
      <c r="X115" s="105">
        <f t="shared" si="29"/>
        <v>186.60324132339747</v>
      </c>
      <c r="Y115" s="105">
        <f t="shared" si="31"/>
        <v>4694.5223327396561</v>
      </c>
      <c r="Z115" s="112">
        <f t="shared" si="32"/>
        <v>0.37563450946020399</v>
      </c>
      <c r="AA115" s="104">
        <f t="shared" si="33"/>
        <v>4695.9085237300878</v>
      </c>
      <c r="AB115" s="105"/>
      <c r="AC115" s="104">
        <v>4561.563370677467</v>
      </c>
      <c r="AD115" s="5">
        <f t="shared" si="34"/>
        <v>134.34515305262084</v>
      </c>
      <c r="AE115" s="5">
        <v>-18.031688503819169</v>
      </c>
      <c r="AF115" s="5">
        <f t="shared" si="35"/>
        <v>152.37684155644001</v>
      </c>
    </row>
    <row r="116" spans="2:32" x14ac:dyDescent="0.25">
      <c r="B116" s="10">
        <v>906</v>
      </c>
      <c r="C116" s="10">
        <v>6</v>
      </c>
      <c r="D116" s="9" t="s">
        <v>147</v>
      </c>
      <c r="E116" s="162">
        <v>222.35</v>
      </c>
      <c r="F116" s="162">
        <f>INDEX('2016 Lockdown Update'!H$5:H$245,MATCH(B116,'2016 Lockdown Update'!B$5:B$245,0))</f>
        <v>222.35</v>
      </c>
      <c r="G116" s="162">
        <f t="shared" si="30"/>
        <v>0</v>
      </c>
      <c r="H116" s="5">
        <v>128309.25</v>
      </c>
      <c r="I116" s="5">
        <f>INDEX('2016 Lockdown Update'!E$5:E$245,MATCH(B116,'2016 Lockdown Update'!B$5:B$245,0))</f>
        <v>128309.25</v>
      </c>
      <c r="J116" s="5">
        <f t="shared" si="19"/>
        <v>0</v>
      </c>
      <c r="K116" s="5">
        <v>156</v>
      </c>
      <c r="L116" s="5">
        <f>INDEX('2016 Lockdown Update'!F$5:F$245,MATCH(B116,'2016 Lockdown Update'!B$5:B$245,0))</f>
        <v>156</v>
      </c>
      <c r="M116" s="5">
        <f t="shared" si="20"/>
        <v>0</v>
      </c>
      <c r="N116" s="5">
        <v>128153.25</v>
      </c>
      <c r="O116" s="105">
        <f t="shared" si="21"/>
        <v>128153.25</v>
      </c>
      <c r="P116" s="105">
        <f t="shared" si="22"/>
        <v>0</v>
      </c>
      <c r="Q116" s="103">
        <f t="shared" si="23"/>
        <v>576.35821902406121</v>
      </c>
      <c r="R116" s="6">
        <f t="shared" si="24"/>
        <v>576.35821902406121</v>
      </c>
      <c r="S116" s="5">
        <f t="shared" si="25"/>
        <v>128153.25000000001</v>
      </c>
      <c r="T116" s="140">
        <v>0.70908333333333329</v>
      </c>
      <c r="U116" s="105">
        <f t="shared" si="26"/>
        <v>31148.133887541841</v>
      </c>
      <c r="V116" s="105">
        <f t="shared" si="27"/>
        <v>11071.274128052539</v>
      </c>
      <c r="W116" s="105">
        <f t="shared" si="28"/>
        <v>6625.9867812273378</v>
      </c>
      <c r="X116" s="105">
        <f t="shared" si="29"/>
        <v>1913.4753957268279</v>
      </c>
      <c r="Y116" s="105">
        <f t="shared" si="31"/>
        <v>50758.870192548544</v>
      </c>
      <c r="Z116" s="112">
        <f t="shared" si="32"/>
        <v>0.39607946105579483</v>
      </c>
      <c r="AA116" s="104">
        <f t="shared" si="33"/>
        <v>50773.858189954517</v>
      </c>
      <c r="AB116" s="105"/>
      <c r="AC116" s="104">
        <v>49647.507297988741</v>
      </c>
      <c r="AD116" s="5">
        <f t="shared" si="34"/>
        <v>1126.3508919657761</v>
      </c>
      <c r="AE116" s="5">
        <v>-221.21571122352179</v>
      </c>
      <c r="AF116" s="5">
        <f t="shared" si="35"/>
        <v>1347.5666031892979</v>
      </c>
    </row>
    <row r="117" spans="2:32" x14ac:dyDescent="0.25">
      <c r="B117" s="10">
        <v>917</v>
      </c>
      <c r="C117" s="10">
        <v>6</v>
      </c>
      <c r="D117" s="9" t="s">
        <v>148</v>
      </c>
      <c r="E117" s="162">
        <v>75.771832962641213</v>
      </c>
      <c r="F117" s="162">
        <f>INDEX('2016 Lockdown Update'!H$5:H$245,MATCH(B117,'2016 Lockdown Update'!B$5:B$245,0))</f>
        <v>75.771832962641213</v>
      </c>
      <c r="G117" s="162">
        <f t="shared" si="30"/>
        <v>0</v>
      </c>
      <c r="H117" s="5">
        <v>57436.9</v>
      </c>
      <c r="I117" s="5">
        <f>INDEX('2016 Lockdown Update'!E$5:E$245,MATCH(B117,'2016 Lockdown Update'!B$5:B$245,0))</f>
        <v>57436.9</v>
      </c>
      <c r="J117" s="5">
        <f t="shared" si="19"/>
        <v>0</v>
      </c>
      <c r="K117" s="5">
        <v>0</v>
      </c>
      <c r="L117" s="5">
        <f>INDEX('2016 Lockdown Update'!F$5:F$245,MATCH(B117,'2016 Lockdown Update'!B$5:B$245,0))</f>
        <v>0</v>
      </c>
      <c r="M117" s="5">
        <f t="shared" si="20"/>
        <v>0</v>
      </c>
      <c r="N117" s="5">
        <v>57436.9</v>
      </c>
      <c r="O117" s="105">
        <f t="shared" si="21"/>
        <v>57436.9</v>
      </c>
      <c r="P117" s="105">
        <f t="shared" si="22"/>
        <v>0</v>
      </c>
      <c r="Q117" s="103">
        <f t="shared" si="23"/>
        <v>758.02442351261152</v>
      </c>
      <c r="R117" s="6">
        <f t="shared" si="24"/>
        <v>758.02442351261152</v>
      </c>
      <c r="S117" s="5">
        <f t="shared" si="25"/>
        <v>57436.9</v>
      </c>
      <c r="T117" s="140">
        <v>0.32185166666666665</v>
      </c>
      <c r="U117" s="105">
        <f t="shared" si="26"/>
        <v>13960.256577849972</v>
      </c>
      <c r="V117" s="105">
        <f t="shared" si="27"/>
        <v>3772.8389202357016</v>
      </c>
      <c r="W117" s="105">
        <f t="shared" si="28"/>
        <v>1347.9395540025928</v>
      </c>
      <c r="X117" s="105">
        <f t="shared" si="29"/>
        <v>857.59896808564918</v>
      </c>
      <c r="Y117" s="105">
        <f t="shared" si="31"/>
        <v>19938.634020173915</v>
      </c>
      <c r="Z117" s="112">
        <f t="shared" si="32"/>
        <v>0.34713980072347073</v>
      </c>
      <c r="AA117" s="104">
        <f t="shared" si="33"/>
        <v>19944.521467901563</v>
      </c>
      <c r="AB117" s="105"/>
      <c r="AC117" s="104">
        <v>19818.962549575052</v>
      </c>
      <c r="AD117" s="5">
        <f t="shared" si="34"/>
        <v>125.55891832651105</v>
      </c>
      <c r="AE117" s="5">
        <v>-92.303799306380824</v>
      </c>
      <c r="AF117" s="5">
        <f t="shared" si="35"/>
        <v>217.86271763289187</v>
      </c>
    </row>
    <row r="118" spans="2:32" x14ac:dyDescent="0.25">
      <c r="B118" s="10">
        <v>957</v>
      </c>
      <c r="C118" s="10">
        <v>6</v>
      </c>
      <c r="D118" s="9" t="s">
        <v>149</v>
      </c>
      <c r="E118" s="162">
        <v>99.183185889872689</v>
      </c>
      <c r="F118" s="162">
        <f>INDEX('2016 Lockdown Update'!H$5:H$245,MATCH(B118,'2016 Lockdown Update'!B$5:B$245,0))</f>
        <v>99.183185889872689</v>
      </c>
      <c r="G118" s="162">
        <f t="shared" si="30"/>
        <v>0</v>
      </c>
      <c r="H118" s="5">
        <v>35255.53</v>
      </c>
      <c r="I118" s="5">
        <f>INDEX('2016 Lockdown Update'!E$5:E$245,MATCH(B118,'2016 Lockdown Update'!B$5:B$245,0))</f>
        <v>35255.53</v>
      </c>
      <c r="J118" s="5">
        <f t="shared" si="19"/>
        <v>0</v>
      </c>
      <c r="K118" s="5">
        <v>0</v>
      </c>
      <c r="L118" s="5">
        <f>INDEX('2016 Lockdown Update'!F$5:F$245,MATCH(B118,'2016 Lockdown Update'!B$5:B$245,0))</f>
        <v>0</v>
      </c>
      <c r="M118" s="5">
        <f t="shared" si="20"/>
        <v>0</v>
      </c>
      <c r="N118" s="5">
        <v>35255.53</v>
      </c>
      <c r="O118" s="105">
        <f t="shared" si="21"/>
        <v>35255.53</v>
      </c>
      <c r="P118" s="105">
        <f t="shared" si="22"/>
        <v>0</v>
      </c>
      <c r="Q118" s="103">
        <f t="shared" si="23"/>
        <v>355.45873712048041</v>
      </c>
      <c r="R118" s="6">
        <f t="shared" si="24"/>
        <v>355.45873712048041</v>
      </c>
      <c r="S118" s="5">
        <f t="shared" si="25"/>
        <v>35255.53</v>
      </c>
      <c r="T118" s="140">
        <v>0.50516666666666676</v>
      </c>
      <c r="U118" s="105">
        <f t="shared" si="26"/>
        <v>8568.9903979512637</v>
      </c>
      <c r="V118" s="105">
        <f t="shared" si="27"/>
        <v>4938.5394192955846</v>
      </c>
      <c r="W118" s="105">
        <f t="shared" si="28"/>
        <v>1298.6304948095142</v>
      </c>
      <c r="X118" s="105">
        <f t="shared" si="29"/>
        <v>526.40560593125053</v>
      </c>
      <c r="Y118" s="105">
        <f t="shared" si="31"/>
        <v>15332.565917987613</v>
      </c>
      <c r="Z118" s="112">
        <f t="shared" si="32"/>
        <v>0.43489818244081463</v>
      </c>
      <c r="AA118" s="104">
        <f t="shared" si="33"/>
        <v>15337.093293347505</v>
      </c>
      <c r="AB118" s="105"/>
      <c r="AC118" s="104">
        <v>15251.776464761966</v>
      </c>
      <c r="AD118" s="5">
        <f t="shared" si="34"/>
        <v>85.316828585539042</v>
      </c>
      <c r="AE118" s="5">
        <v>-57.926713977451072</v>
      </c>
      <c r="AF118" s="5">
        <f t="shared" si="35"/>
        <v>143.24354256299011</v>
      </c>
    </row>
    <row r="119" spans="2:32" x14ac:dyDescent="0.25">
      <c r="B119" s="10">
        <v>959</v>
      </c>
      <c r="C119" s="10">
        <v>6</v>
      </c>
      <c r="D119" s="9" t="s">
        <v>150</v>
      </c>
      <c r="E119" s="162">
        <v>377.15816448139168</v>
      </c>
      <c r="F119" s="162">
        <f>INDEX('2016 Lockdown Update'!H$5:H$245,MATCH(B119,'2016 Lockdown Update'!B$5:B$245,0))</f>
        <v>377.15816448139168</v>
      </c>
      <c r="G119" s="162">
        <f t="shared" si="30"/>
        <v>0</v>
      </c>
      <c r="H119" s="5">
        <v>111040.06</v>
      </c>
      <c r="I119" s="5">
        <f>INDEX('2016 Lockdown Update'!E$5:E$245,MATCH(B119,'2016 Lockdown Update'!B$5:B$245,0))</f>
        <v>111040.06</v>
      </c>
      <c r="J119" s="5">
        <f t="shared" si="19"/>
        <v>0</v>
      </c>
      <c r="K119" s="5">
        <v>309.64999999999998</v>
      </c>
      <c r="L119" s="5">
        <f>INDEX('2016 Lockdown Update'!F$5:F$245,MATCH(B119,'2016 Lockdown Update'!B$5:B$245,0))</f>
        <v>309.64999999999998</v>
      </c>
      <c r="M119" s="5">
        <f t="shared" si="20"/>
        <v>0</v>
      </c>
      <c r="N119" s="5">
        <v>110730.41</v>
      </c>
      <c r="O119" s="105">
        <f t="shared" si="21"/>
        <v>110730.41</v>
      </c>
      <c r="P119" s="105">
        <f t="shared" si="22"/>
        <v>0</v>
      </c>
      <c r="Q119" s="103">
        <f t="shared" si="23"/>
        <v>293.59144366464653</v>
      </c>
      <c r="R119" s="6">
        <f t="shared" si="24"/>
        <v>293.59144366464653</v>
      </c>
      <c r="S119" s="5">
        <f t="shared" si="25"/>
        <v>110730.41</v>
      </c>
      <c r="T119" s="140">
        <v>0.87608333333333333</v>
      </c>
      <c r="U119" s="105">
        <f t="shared" si="26"/>
        <v>26913.44648771999</v>
      </c>
      <c r="V119" s="105">
        <f t="shared" si="27"/>
        <v>18779.498217254852</v>
      </c>
      <c r="W119" s="105">
        <f t="shared" si="28"/>
        <v>7073.5265731350055</v>
      </c>
      <c r="X119" s="105">
        <f t="shared" si="29"/>
        <v>1653.3323586701381</v>
      </c>
      <c r="Y119" s="105">
        <f t="shared" si="31"/>
        <v>54419.803636779987</v>
      </c>
      <c r="Z119" s="112">
        <f t="shared" si="32"/>
        <v>0.4914621343565872</v>
      </c>
      <c r="AA119" s="104">
        <f t="shared" si="33"/>
        <v>54435.872628714751</v>
      </c>
      <c r="AB119" s="105"/>
      <c r="AC119" s="104">
        <v>53434.7744773667</v>
      </c>
      <c r="AD119" s="5">
        <f t="shared" si="34"/>
        <v>1001.098151348051</v>
      </c>
      <c r="AE119" s="5">
        <v>-193.74306700353191</v>
      </c>
      <c r="AF119" s="5">
        <f t="shared" si="35"/>
        <v>1194.8412183515829</v>
      </c>
    </row>
    <row r="120" spans="2:32" x14ac:dyDescent="0.25">
      <c r="B120" s="10">
        <v>969</v>
      </c>
      <c r="C120" s="10">
        <v>6</v>
      </c>
      <c r="D120" s="9" t="s">
        <v>151</v>
      </c>
      <c r="E120" s="162">
        <v>19.84500387116794</v>
      </c>
      <c r="F120" s="162">
        <f>INDEX('2016 Lockdown Update'!H$5:H$245,MATCH(B120,'2016 Lockdown Update'!B$5:B$245,0))</f>
        <v>19.84500387116794</v>
      </c>
      <c r="G120" s="162">
        <f t="shared" si="30"/>
        <v>0</v>
      </c>
      <c r="H120" s="5">
        <v>34813.97</v>
      </c>
      <c r="I120" s="5">
        <f>INDEX('2016 Lockdown Update'!E$5:E$245,MATCH(B120,'2016 Lockdown Update'!B$5:B$245,0))</f>
        <v>34813.97</v>
      </c>
      <c r="J120" s="5">
        <f t="shared" si="19"/>
        <v>0</v>
      </c>
      <c r="K120" s="5">
        <v>0</v>
      </c>
      <c r="L120" s="5">
        <f>INDEX('2016 Lockdown Update'!F$5:F$245,MATCH(B120,'2016 Lockdown Update'!B$5:B$245,0))</f>
        <v>0</v>
      </c>
      <c r="M120" s="5">
        <f t="shared" si="20"/>
        <v>0</v>
      </c>
      <c r="N120" s="5">
        <v>34813.97</v>
      </c>
      <c r="O120" s="105">
        <f t="shared" si="21"/>
        <v>34813.97</v>
      </c>
      <c r="P120" s="105">
        <f t="shared" si="22"/>
        <v>0</v>
      </c>
      <c r="Q120" s="103">
        <f t="shared" si="23"/>
        <v>1754.2939384647796</v>
      </c>
      <c r="R120" s="6">
        <f t="shared" si="24"/>
        <v>976.36315547304241</v>
      </c>
      <c r="S120" s="5">
        <f t="shared" si="25"/>
        <v>19375.93060002827</v>
      </c>
      <c r="T120" s="140">
        <v>0.33</v>
      </c>
      <c r="U120" s="105">
        <f t="shared" si="26"/>
        <v>4709.3934841714854</v>
      </c>
      <c r="V120" s="105">
        <f t="shared" si="27"/>
        <v>988.12447910935055</v>
      </c>
      <c r="W120" s="105">
        <f t="shared" si="28"/>
        <v>466.22995493297702</v>
      </c>
      <c r="X120" s="105">
        <f t="shared" si="29"/>
        <v>289.30492572341819</v>
      </c>
      <c r="Y120" s="105">
        <f t="shared" si="31"/>
        <v>6453.052843937231</v>
      </c>
      <c r="Z120" s="112">
        <f t="shared" si="32"/>
        <v>0.3330447954808331</v>
      </c>
      <c r="AA120" s="104">
        <f t="shared" si="33"/>
        <v>6454.9582909836026</v>
      </c>
      <c r="AB120" s="105"/>
      <c r="AC120" s="104">
        <v>6517.0594604535845</v>
      </c>
      <c r="AD120" s="5">
        <f t="shared" si="34"/>
        <v>-62.101169469981869</v>
      </c>
      <c r="AE120" s="5">
        <v>-136.76871287021913</v>
      </c>
      <c r="AF120" s="5">
        <f t="shared" si="35"/>
        <v>74.667543400237264</v>
      </c>
    </row>
    <row r="121" spans="2:32" x14ac:dyDescent="0.25">
      <c r="B121" s="10">
        <v>970</v>
      </c>
      <c r="C121" s="10">
        <v>6</v>
      </c>
      <c r="D121" s="9" t="s">
        <v>152</v>
      </c>
      <c r="E121" s="162">
        <v>195.82981092782387</v>
      </c>
      <c r="F121" s="162">
        <f>INDEX('2016 Lockdown Update'!H$5:H$245,MATCH(B121,'2016 Lockdown Update'!B$5:B$245,0))</f>
        <v>195.82981092782387</v>
      </c>
      <c r="G121" s="162">
        <f t="shared" si="30"/>
        <v>0</v>
      </c>
      <c r="H121" s="5">
        <v>48368.87</v>
      </c>
      <c r="I121" s="5">
        <f>INDEX('2016 Lockdown Update'!E$5:E$245,MATCH(B121,'2016 Lockdown Update'!B$5:B$245,0))</f>
        <v>48368.87</v>
      </c>
      <c r="J121" s="5">
        <f t="shared" si="19"/>
        <v>0</v>
      </c>
      <c r="K121" s="5">
        <v>126</v>
      </c>
      <c r="L121" s="5">
        <f>INDEX('2016 Lockdown Update'!F$5:F$245,MATCH(B121,'2016 Lockdown Update'!B$5:B$245,0))</f>
        <v>126</v>
      </c>
      <c r="M121" s="5">
        <f t="shared" si="20"/>
        <v>0</v>
      </c>
      <c r="N121" s="5">
        <v>48242.87</v>
      </c>
      <c r="O121" s="105">
        <f t="shared" si="21"/>
        <v>48242.87</v>
      </c>
      <c r="P121" s="105">
        <f t="shared" si="22"/>
        <v>0</v>
      </c>
      <c r="Q121" s="103">
        <f t="shared" si="23"/>
        <v>246.35100126701681</v>
      </c>
      <c r="R121" s="6">
        <f t="shared" si="24"/>
        <v>246.35100126701681</v>
      </c>
      <c r="S121" s="5">
        <f t="shared" si="25"/>
        <v>48242.87</v>
      </c>
      <c r="T121" s="140">
        <v>0.68383333333333329</v>
      </c>
      <c r="U121" s="105">
        <f t="shared" si="26"/>
        <v>11725.612685431508</v>
      </c>
      <c r="V121" s="105">
        <f t="shared" si="27"/>
        <v>9750.778139089889</v>
      </c>
      <c r="W121" s="105">
        <f t="shared" si="28"/>
        <v>2405.5094424162735</v>
      </c>
      <c r="X121" s="105">
        <f t="shared" si="29"/>
        <v>720.32152726714219</v>
      </c>
      <c r="Y121" s="105">
        <f t="shared" si="31"/>
        <v>24602.221794204812</v>
      </c>
      <c r="Z121" s="112">
        <f t="shared" si="32"/>
        <v>0.50996596583505105</v>
      </c>
      <c r="AA121" s="104">
        <f t="shared" si="33"/>
        <v>24609.486298616237</v>
      </c>
      <c r="AB121" s="105"/>
      <c r="AC121" s="104">
        <v>24047.06877277849</v>
      </c>
      <c r="AD121" s="5">
        <f t="shared" si="34"/>
        <v>562.41752583774723</v>
      </c>
      <c r="AE121" s="5">
        <v>-78.617973624714068</v>
      </c>
      <c r="AF121" s="5">
        <f t="shared" si="35"/>
        <v>641.0354994624613</v>
      </c>
    </row>
    <row r="122" spans="2:32" x14ac:dyDescent="0.25">
      <c r="B122" s="47">
        <v>986</v>
      </c>
      <c r="C122" s="47">
        <v>6</v>
      </c>
      <c r="D122" s="48" t="s">
        <v>153</v>
      </c>
      <c r="E122" s="162">
        <v>8.6854107851734987</v>
      </c>
      <c r="F122" s="162">
        <f>INDEX('2016 Lockdown Update'!H$5:H$245,MATCH(B122,'2016 Lockdown Update'!B$5:B$245,0))</f>
        <v>8.6854107851734987</v>
      </c>
      <c r="G122" s="162">
        <f t="shared" si="30"/>
        <v>0</v>
      </c>
      <c r="H122" s="5">
        <v>11850.03</v>
      </c>
      <c r="I122" s="5">
        <f>INDEX('2016 Lockdown Update'!E$5:E$245,MATCH(B122,'2016 Lockdown Update'!B$5:B$245,0))</f>
        <v>38730.36</v>
      </c>
      <c r="J122" s="5">
        <f t="shared" si="19"/>
        <v>26880.33</v>
      </c>
      <c r="K122" s="5">
        <v>0</v>
      </c>
      <c r="L122" s="5">
        <f>INDEX('2016 Lockdown Update'!F$5:F$245,MATCH(B122,'2016 Lockdown Update'!B$5:B$245,0))</f>
        <v>0</v>
      </c>
      <c r="M122" s="5">
        <f t="shared" si="20"/>
        <v>0</v>
      </c>
      <c r="N122" s="5">
        <v>11850.03</v>
      </c>
      <c r="O122" s="105">
        <f t="shared" si="21"/>
        <v>38730.36</v>
      </c>
      <c r="P122" s="105">
        <f t="shared" si="22"/>
        <v>26880.33</v>
      </c>
      <c r="Q122" s="103">
        <f t="shared" si="23"/>
        <v>4459.2433170938766</v>
      </c>
      <c r="R122" s="6">
        <f t="shared" si="24"/>
        <v>976.36315547304241</v>
      </c>
      <c r="S122" s="5">
        <f t="shared" si="25"/>
        <v>8480.1150807915928</v>
      </c>
      <c r="T122" s="140">
        <v>0.39491666666666669</v>
      </c>
      <c r="U122" s="105">
        <f t="shared" si="26"/>
        <v>2061.1241612542735</v>
      </c>
      <c r="V122" s="105">
        <f t="shared" si="27"/>
        <v>432.46486942837799</v>
      </c>
      <c r="W122" s="105">
        <f t="shared" si="28"/>
        <v>244.19168500460003</v>
      </c>
      <c r="X122" s="105">
        <f t="shared" si="29"/>
        <v>126.61787008934016</v>
      </c>
      <c r="Y122" s="105">
        <f t="shared" si="31"/>
        <v>2864.3985857765915</v>
      </c>
      <c r="Z122" s="112">
        <f t="shared" si="32"/>
        <v>0.33777826815873924</v>
      </c>
      <c r="AA122" s="104">
        <f t="shared" si="33"/>
        <v>2865.2443807757795</v>
      </c>
      <c r="AB122" s="105"/>
      <c r="AC122" s="104">
        <v>2866.6425317753597</v>
      </c>
      <c r="AD122" s="5">
        <f t="shared" si="34"/>
        <v>-1.3981509995801389</v>
      </c>
      <c r="AE122" s="5">
        <v>-60.21799149240087</v>
      </c>
      <c r="AF122" s="5">
        <f t="shared" si="35"/>
        <v>58.819840492820731</v>
      </c>
    </row>
    <row r="123" spans="2:32" x14ac:dyDescent="0.25">
      <c r="B123" s="47">
        <v>988</v>
      </c>
      <c r="C123" s="47">
        <v>6</v>
      </c>
      <c r="D123" s="48" t="s">
        <v>154</v>
      </c>
      <c r="E123" s="162">
        <v>115.7015754605878</v>
      </c>
      <c r="F123" s="162">
        <f>INDEX('2016 Lockdown Update'!H$5:H$245,MATCH(B123,'2016 Lockdown Update'!B$5:B$245,0))</f>
        <v>115.7015754605878</v>
      </c>
      <c r="G123" s="162">
        <f t="shared" si="30"/>
        <v>0</v>
      </c>
      <c r="H123" s="5">
        <v>58127.41</v>
      </c>
      <c r="I123" s="5">
        <f>INDEX('2016 Lockdown Update'!E$5:E$245,MATCH(B123,'2016 Lockdown Update'!B$5:B$245,0))</f>
        <v>58127.41</v>
      </c>
      <c r="J123" s="5">
        <f t="shared" si="19"/>
        <v>0</v>
      </c>
      <c r="K123" s="5">
        <v>0</v>
      </c>
      <c r="L123" s="5">
        <f>INDEX('2016 Lockdown Update'!F$5:F$245,MATCH(B123,'2016 Lockdown Update'!B$5:B$245,0))</f>
        <v>0</v>
      </c>
      <c r="M123" s="5">
        <f t="shared" si="20"/>
        <v>0</v>
      </c>
      <c r="N123" s="5">
        <v>58127.41</v>
      </c>
      <c r="O123" s="105">
        <f t="shared" si="21"/>
        <v>58127.41</v>
      </c>
      <c r="P123" s="105">
        <f t="shared" si="22"/>
        <v>0</v>
      </c>
      <c r="Q123" s="103">
        <f t="shared" si="23"/>
        <v>502.39082543694775</v>
      </c>
      <c r="R123" s="6">
        <f t="shared" si="24"/>
        <v>502.39082543694775</v>
      </c>
      <c r="S123" s="5">
        <f t="shared" si="25"/>
        <v>58127.41</v>
      </c>
      <c r="T123" s="140">
        <v>0.55025000000000002</v>
      </c>
      <c r="U123" s="105">
        <f t="shared" si="26"/>
        <v>14128.087654554514</v>
      </c>
      <c r="V123" s="105">
        <f t="shared" si="27"/>
        <v>5761.0247761264873</v>
      </c>
      <c r="W123" s="105">
        <f t="shared" si="28"/>
        <v>2332.1940695755861</v>
      </c>
      <c r="X123" s="105">
        <f t="shared" si="29"/>
        <v>867.90907645592722</v>
      </c>
      <c r="Y123" s="105">
        <f t="shared" si="31"/>
        <v>23089.215576712515</v>
      </c>
      <c r="Z123" s="112">
        <f t="shared" si="32"/>
        <v>0.39721734680269627</v>
      </c>
      <c r="AA123" s="104">
        <f t="shared" si="33"/>
        <v>23096.033323085849</v>
      </c>
      <c r="AB123" s="105"/>
      <c r="AC123" s="104">
        <v>22601.110869721826</v>
      </c>
      <c r="AD123" s="5">
        <f t="shared" si="34"/>
        <v>494.92245336402266</v>
      </c>
      <c r="AE123" s="5">
        <v>-95.915492080162949</v>
      </c>
      <c r="AF123" s="5">
        <f t="shared" si="35"/>
        <v>590.83794544418561</v>
      </c>
    </row>
    <row r="124" spans="2:32" x14ac:dyDescent="0.25">
      <c r="B124" s="47">
        <v>989</v>
      </c>
      <c r="C124" s="47">
        <v>6</v>
      </c>
      <c r="D124" s="48" t="s">
        <v>155</v>
      </c>
      <c r="E124" s="162">
        <v>464.89713614210081</v>
      </c>
      <c r="F124" s="162">
        <f>INDEX('2016 Lockdown Update'!H$5:H$245,MATCH(B124,'2016 Lockdown Update'!B$5:B$245,0))</f>
        <v>464.89713614210081</v>
      </c>
      <c r="G124" s="162">
        <f t="shared" si="30"/>
        <v>0</v>
      </c>
      <c r="H124" s="5">
        <v>282417.95</v>
      </c>
      <c r="I124" s="5">
        <f>INDEX('2016 Lockdown Update'!E$5:E$245,MATCH(B124,'2016 Lockdown Update'!B$5:B$245,0))</f>
        <v>282417.95</v>
      </c>
      <c r="J124" s="5">
        <f t="shared" si="19"/>
        <v>0</v>
      </c>
      <c r="K124" s="5">
        <v>8989.5</v>
      </c>
      <c r="L124" s="5">
        <f>INDEX('2016 Lockdown Update'!F$5:F$245,MATCH(B124,'2016 Lockdown Update'!B$5:B$245,0))</f>
        <v>8989.5</v>
      </c>
      <c r="M124" s="5">
        <f t="shared" si="20"/>
        <v>0</v>
      </c>
      <c r="N124" s="5">
        <v>273428.45</v>
      </c>
      <c r="O124" s="105">
        <f t="shared" si="21"/>
        <v>273428.45</v>
      </c>
      <c r="P124" s="105">
        <f t="shared" si="22"/>
        <v>0</v>
      </c>
      <c r="Q124" s="103">
        <f t="shared" si="23"/>
        <v>588.14827785134742</v>
      </c>
      <c r="R124" s="6">
        <f t="shared" si="24"/>
        <v>588.14827785134742</v>
      </c>
      <c r="S124" s="5">
        <f t="shared" si="25"/>
        <v>273428.45</v>
      </c>
      <c r="T124" s="140">
        <v>0.71591666666666676</v>
      </c>
      <c r="U124" s="105">
        <f t="shared" si="26"/>
        <v>66457.822718214622</v>
      </c>
      <c r="V124" s="105">
        <f t="shared" si="27"/>
        <v>23148.20614155952</v>
      </c>
      <c r="W124" s="105">
        <f t="shared" si="28"/>
        <v>14273.478874304548</v>
      </c>
      <c r="X124" s="105">
        <f t="shared" si="29"/>
        <v>4082.6011947939132</v>
      </c>
      <c r="Y124" s="105">
        <f t="shared" si="31"/>
        <v>107962.10892887261</v>
      </c>
      <c r="Z124" s="112">
        <f t="shared" si="32"/>
        <v>0.39484592378325151</v>
      </c>
      <c r="AA124" s="104">
        <f t="shared" si="33"/>
        <v>107993.98780644477</v>
      </c>
      <c r="AB124" s="105"/>
      <c r="AC124" s="104">
        <v>108045.62645821416</v>
      </c>
      <c r="AD124" s="5">
        <f t="shared" si="34"/>
        <v>-51.63865176938998</v>
      </c>
      <c r="AE124" s="5">
        <v>-487.98542329896009</v>
      </c>
      <c r="AF124" s="5">
        <f t="shared" si="35"/>
        <v>436.34677152957011</v>
      </c>
    </row>
    <row r="125" spans="2:32" x14ac:dyDescent="0.25">
      <c r="B125" s="47">
        <v>39</v>
      </c>
      <c r="C125" s="47">
        <v>7</v>
      </c>
      <c r="D125" s="48" t="s">
        <v>156</v>
      </c>
      <c r="E125" s="162">
        <v>444.08000000000004</v>
      </c>
      <c r="F125" s="162">
        <f>INDEX('2016 Lockdown Update'!H$5:H$245,MATCH(B125,'2016 Lockdown Update'!B$5:B$245,0))</f>
        <v>444.08000000000004</v>
      </c>
      <c r="G125" s="162">
        <f t="shared" si="30"/>
        <v>0</v>
      </c>
      <c r="H125" s="5">
        <v>126241.81</v>
      </c>
      <c r="I125" s="5">
        <f>INDEX('2016 Lockdown Update'!E$5:E$245,MATCH(B125,'2016 Lockdown Update'!B$5:B$245,0))</f>
        <v>126241.81</v>
      </c>
      <c r="J125" s="5">
        <f t="shared" si="19"/>
        <v>0</v>
      </c>
      <c r="K125" s="5">
        <v>2367.3000000000002</v>
      </c>
      <c r="L125" s="5">
        <f>INDEX('2016 Lockdown Update'!F$5:F$245,MATCH(B125,'2016 Lockdown Update'!B$5:B$245,0))</f>
        <v>2367.3000000000002</v>
      </c>
      <c r="M125" s="5">
        <f t="shared" si="20"/>
        <v>0</v>
      </c>
      <c r="N125" s="5">
        <v>123874.51</v>
      </c>
      <c r="O125" s="105">
        <f t="shared" si="21"/>
        <v>123874.51</v>
      </c>
      <c r="P125" s="105">
        <f t="shared" si="22"/>
        <v>0</v>
      </c>
      <c r="Q125" s="103">
        <f t="shared" si="23"/>
        <v>278.94638353449824</v>
      </c>
      <c r="R125" s="6">
        <f t="shared" si="24"/>
        <v>278.94638353449824</v>
      </c>
      <c r="S125" s="5">
        <f t="shared" si="25"/>
        <v>123874.51</v>
      </c>
      <c r="T125" s="140">
        <v>0.72750000000000004</v>
      </c>
      <c r="U125" s="105">
        <f t="shared" si="26"/>
        <v>30108.169888267683</v>
      </c>
      <c r="V125" s="105">
        <f t="shared" si="27"/>
        <v>22111.677152172575</v>
      </c>
      <c r="W125" s="105">
        <f t="shared" si="28"/>
        <v>6571.1080781144219</v>
      </c>
      <c r="X125" s="105">
        <f t="shared" si="29"/>
        <v>1849.588887076347</v>
      </c>
      <c r="Y125" s="105">
        <f t="shared" si="31"/>
        <v>60640.544005631025</v>
      </c>
      <c r="Z125" s="112">
        <f t="shared" si="32"/>
        <v>0.48953205954664142</v>
      </c>
      <c r="AA125" s="104">
        <f t="shared" si="33"/>
        <v>60658.449847758828</v>
      </c>
      <c r="AB125" s="105"/>
      <c r="AC125" s="104">
        <v>59933.194824664562</v>
      </c>
      <c r="AD125" s="5">
        <f t="shared" si="34"/>
        <v>725.2550230942652</v>
      </c>
      <c r="AE125" s="5">
        <v>-210.34296401197207</v>
      </c>
      <c r="AF125" s="5">
        <f t="shared" si="35"/>
        <v>935.59798710623727</v>
      </c>
    </row>
    <row r="126" spans="2:32" x14ac:dyDescent="0.25">
      <c r="B126" s="10">
        <v>59</v>
      </c>
      <c r="C126" s="10">
        <v>7</v>
      </c>
      <c r="D126" s="9" t="s">
        <v>157</v>
      </c>
      <c r="E126" s="162">
        <v>253.3851754105396</v>
      </c>
      <c r="F126" s="162">
        <f>INDEX('2016 Lockdown Update'!H$5:H$245,MATCH(B126,'2016 Lockdown Update'!B$5:B$245,0))</f>
        <v>253.3851754105396</v>
      </c>
      <c r="G126" s="162">
        <f t="shared" si="30"/>
        <v>0</v>
      </c>
      <c r="H126" s="5">
        <v>157113.5</v>
      </c>
      <c r="I126" s="5">
        <f>INDEX('2016 Lockdown Update'!E$5:E$245,MATCH(B126,'2016 Lockdown Update'!B$5:B$245,0))</f>
        <v>157113.5</v>
      </c>
      <c r="J126" s="5">
        <f t="shared" si="19"/>
        <v>0</v>
      </c>
      <c r="K126" s="5">
        <v>0</v>
      </c>
      <c r="L126" s="5">
        <f>INDEX('2016 Lockdown Update'!F$5:F$245,MATCH(B126,'2016 Lockdown Update'!B$5:B$245,0))</f>
        <v>0</v>
      </c>
      <c r="M126" s="5">
        <f t="shared" si="20"/>
        <v>0</v>
      </c>
      <c r="N126" s="5">
        <v>157113.5</v>
      </c>
      <c r="O126" s="105">
        <f t="shared" si="21"/>
        <v>157113.5</v>
      </c>
      <c r="P126" s="105">
        <f t="shared" si="22"/>
        <v>0</v>
      </c>
      <c r="Q126" s="103">
        <f t="shared" si="23"/>
        <v>620.05797989342364</v>
      </c>
      <c r="R126" s="6">
        <f t="shared" si="24"/>
        <v>588.67949380837035</v>
      </c>
      <c r="S126" s="5">
        <f t="shared" si="25"/>
        <v>149162.65679922159</v>
      </c>
      <c r="T126" s="140">
        <v>9.8250000000000004E-2</v>
      </c>
      <c r="U126" s="105">
        <f t="shared" si="26"/>
        <v>36254.549962670528</v>
      </c>
      <c r="V126" s="105">
        <f t="shared" si="27"/>
        <v>12616.580782346578</v>
      </c>
      <c r="W126" s="105">
        <f t="shared" si="28"/>
        <v>1068.6028601497139</v>
      </c>
      <c r="X126" s="105">
        <f t="shared" si="29"/>
        <v>2227.1699995634563</v>
      </c>
      <c r="Y126" s="105">
        <f t="shared" si="31"/>
        <v>52166.90360473028</v>
      </c>
      <c r="Z126" s="112">
        <f t="shared" si="32"/>
        <v>0.34973166021673135</v>
      </c>
      <c r="AA126" s="104">
        <f t="shared" si="33"/>
        <v>52182.30736397353</v>
      </c>
      <c r="AB126" s="105"/>
      <c r="AC126" s="104">
        <v>52184.718171174194</v>
      </c>
      <c r="AD126" s="5">
        <f t="shared" si="34"/>
        <v>-2.4108072006638395</v>
      </c>
      <c r="AE126" s="5">
        <v>-437.54509024264553</v>
      </c>
      <c r="AF126" s="5">
        <f t="shared" si="35"/>
        <v>435.13428304198169</v>
      </c>
    </row>
    <row r="127" spans="2:32" x14ac:dyDescent="0.25">
      <c r="B127" s="10">
        <v>128</v>
      </c>
      <c r="C127" s="10">
        <v>7</v>
      </c>
      <c r="D127" s="9" t="s">
        <v>158</v>
      </c>
      <c r="E127" s="162">
        <v>163.06407726347993</v>
      </c>
      <c r="F127" s="162">
        <f>INDEX('2016 Lockdown Update'!H$5:H$245,MATCH(B127,'2016 Lockdown Update'!B$5:B$245,0))</f>
        <v>163.06407726347993</v>
      </c>
      <c r="G127" s="162">
        <f t="shared" si="30"/>
        <v>0</v>
      </c>
      <c r="H127" s="5">
        <v>91116.62</v>
      </c>
      <c r="I127" s="5">
        <f>INDEX('2016 Lockdown Update'!E$5:E$245,MATCH(B127,'2016 Lockdown Update'!B$5:B$245,0))</f>
        <v>91116.62</v>
      </c>
      <c r="J127" s="5">
        <f t="shared" si="19"/>
        <v>0</v>
      </c>
      <c r="K127" s="5">
        <v>253.05</v>
      </c>
      <c r="L127" s="5">
        <f>INDEX('2016 Lockdown Update'!F$5:F$245,MATCH(B127,'2016 Lockdown Update'!B$5:B$245,0))</f>
        <v>253.05</v>
      </c>
      <c r="M127" s="5">
        <f t="shared" si="20"/>
        <v>0</v>
      </c>
      <c r="N127" s="5">
        <v>90863.57</v>
      </c>
      <c r="O127" s="105">
        <f t="shared" si="21"/>
        <v>90863.569999999992</v>
      </c>
      <c r="P127" s="105">
        <f t="shared" si="22"/>
        <v>0</v>
      </c>
      <c r="Q127" s="103">
        <f t="shared" si="23"/>
        <v>557.22616240719947</v>
      </c>
      <c r="R127" s="6">
        <f t="shared" si="24"/>
        <v>557.22616240719947</v>
      </c>
      <c r="S127" s="5">
        <f t="shared" si="25"/>
        <v>90863.569999999992</v>
      </c>
      <c r="T127" s="140">
        <v>0.14000000000000001</v>
      </c>
      <c r="U127" s="105">
        <f t="shared" si="26"/>
        <v>22084.735610372969</v>
      </c>
      <c r="V127" s="105">
        <f t="shared" si="27"/>
        <v>8119.3033497725464</v>
      </c>
      <c r="W127" s="105">
        <f t="shared" si="28"/>
        <v>927.55889563566461</v>
      </c>
      <c r="X127" s="105">
        <f t="shared" si="29"/>
        <v>1356.6975910708645</v>
      </c>
      <c r="Y127" s="105">
        <f t="shared" si="31"/>
        <v>32488.295446852047</v>
      </c>
      <c r="Z127" s="112">
        <f t="shared" si="32"/>
        <v>0.35755028607011646</v>
      </c>
      <c r="AA127" s="104">
        <f t="shared" si="33"/>
        <v>32497.888538385308</v>
      </c>
      <c r="AB127" s="105"/>
      <c r="AC127" s="104">
        <v>32056.971334039736</v>
      </c>
      <c r="AD127" s="5">
        <f t="shared" si="34"/>
        <v>440.91720434557283</v>
      </c>
      <c r="AE127" s="5">
        <v>-135.97684130384368</v>
      </c>
      <c r="AF127" s="5">
        <f t="shared" si="35"/>
        <v>576.89404564941651</v>
      </c>
    </row>
    <row r="128" spans="2:32" x14ac:dyDescent="0.25">
      <c r="B128" s="10">
        <v>152</v>
      </c>
      <c r="C128" s="10">
        <v>7</v>
      </c>
      <c r="D128" s="9" t="s">
        <v>159</v>
      </c>
      <c r="E128" s="162">
        <v>348.84252259421874</v>
      </c>
      <c r="F128" s="162">
        <f>INDEX('2016 Lockdown Update'!H$5:H$245,MATCH(B128,'2016 Lockdown Update'!B$5:B$245,0))</f>
        <v>348.84252259421874</v>
      </c>
      <c r="G128" s="162">
        <f t="shared" si="30"/>
        <v>0</v>
      </c>
      <c r="H128" s="5">
        <v>146146.53</v>
      </c>
      <c r="I128" s="5">
        <f>INDEX('2016 Lockdown Update'!E$5:E$245,MATCH(B128,'2016 Lockdown Update'!B$5:B$245,0))</f>
        <v>146146.53</v>
      </c>
      <c r="J128" s="5">
        <f t="shared" si="19"/>
        <v>0</v>
      </c>
      <c r="K128" s="5">
        <v>10338.32</v>
      </c>
      <c r="L128" s="5">
        <f>INDEX('2016 Lockdown Update'!F$5:F$245,MATCH(B128,'2016 Lockdown Update'!B$5:B$245,0))</f>
        <v>10338.32</v>
      </c>
      <c r="M128" s="5">
        <f t="shared" si="20"/>
        <v>0</v>
      </c>
      <c r="N128" s="5">
        <v>135808.21</v>
      </c>
      <c r="O128" s="105">
        <f t="shared" si="21"/>
        <v>135808.21</v>
      </c>
      <c r="P128" s="105">
        <f t="shared" si="22"/>
        <v>0</v>
      </c>
      <c r="Q128" s="103">
        <f t="shared" si="23"/>
        <v>389.31093890172065</v>
      </c>
      <c r="R128" s="6">
        <f t="shared" si="24"/>
        <v>389.31093890172065</v>
      </c>
      <c r="S128" s="5">
        <f t="shared" si="25"/>
        <v>135808.21</v>
      </c>
      <c r="T128" s="140">
        <v>0.24725000000000003</v>
      </c>
      <c r="U128" s="105">
        <f t="shared" si="26"/>
        <v>33008.700974086867</v>
      </c>
      <c r="V128" s="105">
        <f t="shared" si="27"/>
        <v>17369.602856586273</v>
      </c>
      <c r="W128" s="105">
        <f t="shared" si="28"/>
        <v>2448.4203947528936</v>
      </c>
      <c r="X128" s="105">
        <f t="shared" si="29"/>
        <v>2027.7727515509912</v>
      </c>
      <c r="Y128" s="105">
        <f t="shared" si="31"/>
        <v>54854.496976977025</v>
      </c>
      <c r="Z128" s="112">
        <f t="shared" si="32"/>
        <v>0.40391149384103531</v>
      </c>
      <c r="AA128" s="104">
        <f t="shared" si="33"/>
        <v>54870.694324460885</v>
      </c>
      <c r="AB128" s="105"/>
      <c r="AC128" s="104">
        <v>53778.920144063282</v>
      </c>
      <c r="AD128" s="5">
        <f t="shared" si="34"/>
        <v>1091.7741803976023</v>
      </c>
      <c r="AE128" s="5">
        <v>-203.98178874302539</v>
      </c>
      <c r="AF128" s="5">
        <f t="shared" si="35"/>
        <v>1295.7559691406277</v>
      </c>
    </row>
    <row r="129" spans="2:32" x14ac:dyDescent="0.25">
      <c r="B129" s="10">
        <v>162</v>
      </c>
      <c r="C129" s="10">
        <v>7</v>
      </c>
      <c r="D129" s="9" t="s">
        <v>160</v>
      </c>
      <c r="E129" s="162">
        <v>850.15000000000009</v>
      </c>
      <c r="F129" s="162">
        <f>INDEX('2016 Lockdown Update'!H$5:H$245,MATCH(B129,'2016 Lockdown Update'!B$5:B$245,0))</f>
        <v>850.15000000000009</v>
      </c>
      <c r="G129" s="162">
        <f t="shared" si="30"/>
        <v>0</v>
      </c>
      <c r="H129" s="5">
        <v>360658.61</v>
      </c>
      <c r="I129" s="5">
        <f>INDEX('2016 Lockdown Update'!E$5:E$245,MATCH(B129,'2016 Lockdown Update'!B$5:B$245,0))</f>
        <v>357818.4</v>
      </c>
      <c r="J129" s="5">
        <f t="shared" si="19"/>
        <v>-2840.2099999999627</v>
      </c>
      <c r="K129" s="5">
        <v>28615.62</v>
      </c>
      <c r="L129" s="5">
        <f>INDEX('2016 Lockdown Update'!F$5:F$245,MATCH(B129,'2016 Lockdown Update'!B$5:B$245,0))</f>
        <v>28615.620000000003</v>
      </c>
      <c r="M129" s="5">
        <f t="shared" si="20"/>
        <v>0</v>
      </c>
      <c r="N129" s="5">
        <v>332042.99</v>
      </c>
      <c r="O129" s="105">
        <f t="shared" si="21"/>
        <v>329202.78000000003</v>
      </c>
      <c r="P129" s="105">
        <f t="shared" si="22"/>
        <v>-2840.2099999999627</v>
      </c>
      <c r="Q129" s="103">
        <f t="shared" si="23"/>
        <v>387.22905369640648</v>
      </c>
      <c r="R129" s="6">
        <f t="shared" si="24"/>
        <v>387.22905369640648</v>
      </c>
      <c r="S129" s="5">
        <f t="shared" si="25"/>
        <v>329202.78000000003</v>
      </c>
      <c r="T129" s="140">
        <v>0.87100000000000011</v>
      </c>
      <c r="U129" s="105">
        <f t="shared" si="26"/>
        <v>80013.985346380068</v>
      </c>
      <c r="V129" s="105">
        <f t="shared" si="27"/>
        <v>42330.756464870101</v>
      </c>
      <c r="W129" s="105">
        <f t="shared" si="28"/>
        <v>20907.654371009114</v>
      </c>
      <c r="X129" s="105">
        <f t="shared" si="29"/>
        <v>4915.3760808631214</v>
      </c>
      <c r="Y129" s="105">
        <f t="shared" si="31"/>
        <v>148167.7722631224</v>
      </c>
      <c r="Z129" s="112">
        <f t="shared" si="32"/>
        <v>0.45008056208736263</v>
      </c>
      <c r="AA129" s="104">
        <f t="shared" si="33"/>
        <v>148211.52300418311</v>
      </c>
      <c r="AB129" s="105"/>
      <c r="AC129" s="104">
        <v>149123.11656661387</v>
      </c>
      <c r="AD129" s="5">
        <f t="shared" si="34"/>
        <v>-911.59356243076036</v>
      </c>
      <c r="AE129" s="5">
        <v>-1514.7774358566385</v>
      </c>
      <c r="AF129" s="5">
        <f t="shared" si="35"/>
        <v>603.18387342587812</v>
      </c>
    </row>
    <row r="130" spans="2:32" x14ac:dyDescent="0.25">
      <c r="B130" s="10">
        <v>166</v>
      </c>
      <c r="C130" s="10">
        <v>7</v>
      </c>
      <c r="D130" s="9" t="s">
        <v>161</v>
      </c>
      <c r="E130" s="162">
        <v>833.2299999999999</v>
      </c>
      <c r="F130" s="162">
        <f>INDEX('2016 Lockdown Update'!H$5:H$245,MATCH(B130,'2016 Lockdown Update'!B$5:B$245,0))</f>
        <v>833.2299999999999</v>
      </c>
      <c r="G130" s="162">
        <f t="shared" si="30"/>
        <v>0</v>
      </c>
      <c r="H130" s="5">
        <v>406931.89</v>
      </c>
      <c r="I130" s="5">
        <f>INDEX('2016 Lockdown Update'!E$5:E$245,MATCH(B130,'2016 Lockdown Update'!B$5:B$245,0))</f>
        <v>406931.89</v>
      </c>
      <c r="J130" s="5">
        <f t="shared" si="19"/>
        <v>0</v>
      </c>
      <c r="K130" s="5">
        <v>124222.53</v>
      </c>
      <c r="L130" s="5">
        <f>INDEX('2016 Lockdown Update'!F$5:F$245,MATCH(B130,'2016 Lockdown Update'!B$5:B$245,0))</f>
        <v>124222.53</v>
      </c>
      <c r="M130" s="5">
        <f t="shared" si="20"/>
        <v>0</v>
      </c>
      <c r="N130" s="5">
        <v>282709.36</v>
      </c>
      <c r="O130" s="105">
        <f t="shared" si="21"/>
        <v>282709.36</v>
      </c>
      <c r="P130" s="105">
        <f t="shared" si="22"/>
        <v>0</v>
      </c>
      <c r="Q130" s="103">
        <f t="shared" si="23"/>
        <v>339.29330436974186</v>
      </c>
      <c r="R130" s="6">
        <f t="shared" si="24"/>
        <v>339.29330436974186</v>
      </c>
      <c r="S130" s="5">
        <f t="shared" si="25"/>
        <v>282709.36</v>
      </c>
      <c r="T130" s="140">
        <v>0.79449999999999998</v>
      </c>
      <c r="U130" s="105">
        <f t="shared" si="26"/>
        <v>68713.583124433164</v>
      </c>
      <c r="V130" s="105">
        <f t="shared" si="27"/>
        <v>41488.274080131399</v>
      </c>
      <c r="W130" s="105">
        <f t="shared" si="28"/>
        <v>16377.882537708643</v>
      </c>
      <c r="X130" s="105">
        <f t="shared" si="29"/>
        <v>4221.1758539223792</v>
      </c>
      <c r="Y130" s="105">
        <f t="shared" si="31"/>
        <v>130800.91559619558</v>
      </c>
      <c r="Z130" s="112">
        <f t="shared" si="32"/>
        <v>0.46266920768451242</v>
      </c>
      <c r="AA130" s="104">
        <f t="shared" si="33"/>
        <v>130839.53827980178</v>
      </c>
      <c r="AB130" s="105"/>
      <c r="AC130" s="104">
        <v>128324.10014228016</v>
      </c>
      <c r="AD130" s="5">
        <f t="shared" si="34"/>
        <v>2515.438137521618</v>
      </c>
      <c r="AE130" s="5">
        <v>-488.48428696063638</v>
      </c>
      <c r="AF130" s="5">
        <f t="shared" si="35"/>
        <v>3003.9224244822544</v>
      </c>
    </row>
    <row r="131" spans="2:32" x14ac:dyDescent="0.25">
      <c r="B131" s="10">
        <v>192</v>
      </c>
      <c r="C131" s="10">
        <v>7</v>
      </c>
      <c r="D131" s="9" t="s">
        <v>162</v>
      </c>
      <c r="E131" s="162">
        <v>174.27999999999997</v>
      </c>
      <c r="F131" s="162">
        <f>INDEX('2016 Lockdown Update'!H$5:H$245,MATCH(B131,'2016 Lockdown Update'!B$5:B$245,0))</f>
        <v>174.28000000000003</v>
      </c>
      <c r="G131" s="162">
        <f t="shared" si="30"/>
        <v>0</v>
      </c>
      <c r="H131" s="5">
        <v>96956.74</v>
      </c>
      <c r="I131" s="5">
        <f>INDEX('2016 Lockdown Update'!E$5:E$245,MATCH(B131,'2016 Lockdown Update'!B$5:B$245,0))</f>
        <v>96956.74</v>
      </c>
      <c r="J131" s="5">
        <f t="shared" si="19"/>
        <v>0</v>
      </c>
      <c r="K131" s="5">
        <v>44093.279999999999</v>
      </c>
      <c r="L131" s="5">
        <f>INDEX('2016 Lockdown Update'!F$5:F$245,MATCH(B131,'2016 Lockdown Update'!B$5:B$245,0))</f>
        <v>44093.279999999999</v>
      </c>
      <c r="M131" s="5">
        <f t="shared" si="20"/>
        <v>0</v>
      </c>
      <c r="N131" s="5">
        <v>52863.46</v>
      </c>
      <c r="O131" s="105">
        <f t="shared" si="21"/>
        <v>52863.460000000006</v>
      </c>
      <c r="P131" s="105">
        <f t="shared" si="22"/>
        <v>0</v>
      </c>
      <c r="Q131" s="103">
        <f t="shared" si="23"/>
        <v>303.32487950424604</v>
      </c>
      <c r="R131" s="6">
        <f t="shared" si="24"/>
        <v>303.32487950424604</v>
      </c>
      <c r="S131" s="5">
        <f t="shared" si="25"/>
        <v>52863.460000000006</v>
      </c>
      <c r="T131" s="140">
        <v>0.55108333333333326</v>
      </c>
      <c r="U131" s="105">
        <f t="shared" si="26"/>
        <v>12848.664624882416</v>
      </c>
      <c r="V131" s="105">
        <f t="shared" si="27"/>
        <v>8677.7677312210344</v>
      </c>
      <c r="W131" s="105">
        <f t="shared" si="28"/>
        <v>2124.2054791086853</v>
      </c>
      <c r="X131" s="105">
        <f t="shared" si="29"/>
        <v>789.31224953709193</v>
      </c>
      <c r="Y131" s="105">
        <f t="shared" si="31"/>
        <v>24439.950084749227</v>
      </c>
      <c r="Z131" s="112">
        <f t="shared" si="32"/>
        <v>0.4623221802876547</v>
      </c>
      <c r="AA131" s="104">
        <f t="shared" si="33"/>
        <v>24447.166673831744</v>
      </c>
      <c r="AB131" s="105"/>
      <c r="AC131" s="104">
        <v>23684.611725259962</v>
      </c>
      <c r="AD131" s="5">
        <f t="shared" si="34"/>
        <v>762.55494857178201</v>
      </c>
      <c r="AE131" s="5">
        <v>-83.33375983274891</v>
      </c>
      <c r="AF131" s="5">
        <f t="shared" si="35"/>
        <v>845.88870840453092</v>
      </c>
    </row>
    <row r="132" spans="2:32" x14ac:dyDescent="0.25">
      <c r="B132" s="10">
        <v>205</v>
      </c>
      <c r="C132" s="10">
        <v>7</v>
      </c>
      <c r="D132" s="9" t="s">
        <v>163</v>
      </c>
      <c r="E132" s="162">
        <v>654.37044814837861</v>
      </c>
      <c r="F132" s="162">
        <f>INDEX('2016 Lockdown Update'!H$5:H$245,MATCH(B132,'2016 Lockdown Update'!B$5:B$245,0))</f>
        <v>654.37044814837861</v>
      </c>
      <c r="G132" s="162">
        <f t="shared" si="30"/>
        <v>0</v>
      </c>
      <c r="H132" s="5">
        <v>369597.27</v>
      </c>
      <c r="I132" s="5">
        <f>INDEX('2016 Lockdown Update'!E$5:E$245,MATCH(B132,'2016 Lockdown Update'!B$5:B$245,0))</f>
        <v>369597.27</v>
      </c>
      <c r="J132" s="5">
        <f t="shared" si="19"/>
        <v>0</v>
      </c>
      <c r="K132" s="5">
        <v>17283.330000000002</v>
      </c>
      <c r="L132" s="5">
        <f>INDEX('2016 Lockdown Update'!F$5:F$245,MATCH(B132,'2016 Lockdown Update'!B$5:B$245,0))</f>
        <v>17283.330000000002</v>
      </c>
      <c r="M132" s="5">
        <f t="shared" si="20"/>
        <v>0</v>
      </c>
      <c r="N132" s="5">
        <v>352313.94</v>
      </c>
      <c r="O132" s="105">
        <f t="shared" si="21"/>
        <v>352313.94</v>
      </c>
      <c r="P132" s="105">
        <f t="shared" si="22"/>
        <v>0</v>
      </c>
      <c r="Q132" s="103">
        <f t="shared" si="23"/>
        <v>538.40136118144619</v>
      </c>
      <c r="R132" s="6">
        <f t="shared" si="24"/>
        <v>538.40136118144619</v>
      </c>
      <c r="S132" s="5">
        <f t="shared" si="25"/>
        <v>352313.94</v>
      </c>
      <c r="T132" s="140">
        <v>0.47800000000000004</v>
      </c>
      <c r="U132" s="105">
        <f t="shared" si="26"/>
        <v>85631.240515300102</v>
      </c>
      <c r="V132" s="105">
        <f t="shared" si="27"/>
        <v>32582.480830885048</v>
      </c>
      <c r="W132" s="105">
        <f t="shared" si="28"/>
        <v>12279.519889894036</v>
      </c>
      <c r="X132" s="105">
        <f t="shared" si="29"/>
        <v>5260.4522769541763</v>
      </c>
      <c r="Y132" s="105">
        <f t="shared" si="31"/>
        <v>135753.69351303336</v>
      </c>
      <c r="Z132" s="112">
        <f t="shared" si="32"/>
        <v>0.38532024453257047</v>
      </c>
      <c r="AA132" s="104">
        <f t="shared" si="33"/>
        <v>135793.77864492274</v>
      </c>
      <c r="AB132" s="105"/>
      <c r="AC132" s="104">
        <v>134944.59549094507</v>
      </c>
      <c r="AD132" s="5">
        <f t="shared" si="34"/>
        <v>849.18315397767583</v>
      </c>
      <c r="AE132" s="5">
        <v>-584.50516000352218</v>
      </c>
      <c r="AF132" s="5">
        <f t="shared" si="35"/>
        <v>1433.688313981198</v>
      </c>
    </row>
    <row r="133" spans="2:32" x14ac:dyDescent="0.25">
      <c r="B133" s="10">
        <v>212</v>
      </c>
      <c r="C133" s="10">
        <v>7</v>
      </c>
      <c r="D133" s="9" t="s">
        <v>164</v>
      </c>
      <c r="E133" s="162">
        <v>527.85992115153363</v>
      </c>
      <c r="F133" s="162">
        <f>INDEX('2016 Lockdown Update'!H$5:H$245,MATCH(B133,'2016 Lockdown Update'!B$5:B$245,0))</f>
        <v>527.85992115153363</v>
      </c>
      <c r="G133" s="162">
        <f t="shared" si="30"/>
        <v>0</v>
      </c>
      <c r="H133" s="5">
        <v>233128.4</v>
      </c>
      <c r="I133" s="5">
        <f>INDEX('2016 Lockdown Update'!E$5:E$245,MATCH(B133,'2016 Lockdown Update'!B$5:B$245,0))</f>
        <v>233128.4</v>
      </c>
      <c r="J133" s="5">
        <f t="shared" si="19"/>
        <v>0</v>
      </c>
      <c r="K133" s="5">
        <v>855</v>
      </c>
      <c r="L133" s="5">
        <f>INDEX('2016 Lockdown Update'!F$5:F$245,MATCH(B133,'2016 Lockdown Update'!B$5:B$245,0))</f>
        <v>855</v>
      </c>
      <c r="M133" s="5">
        <f t="shared" si="20"/>
        <v>0</v>
      </c>
      <c r="N133" s="5">
        <v>232273.4</v>
      </c>
      <c r="O133" s="105">
        <f t="shared" si="21"/>
        <v>232273.4</v>
      </c>
      <c r="P133" s="105">
        <f t="shared" si="22"/>
        <v>0</v>
      </c>
      <c r="Q133" s="103">
        <f t="shared" si="23"/>
        <v>440.02848235435721</v>
      </c>
      <c r="R133" s="6">
        <f t="shared" si="24"/>
        <v>440.02848235435721</v>
      </c>
      <c r="S133" s="5">
        <f t="shared" si="25"/>
        <v>232273.4</v>
      </c>
      <c r="T133" s="140">
        <v>0.29391666666666666</v>
      </c>
      <c r="U133" s="105">
        <f t="shared" si="26"/>
        <v>56454.931589441228</v>
      </c>
      <c r="V133" s="105">
        <f t="shared" si="27"/>
        <v>26283.255625279187</v>
      </c>
      <c r="W133" s="105">
        <f t="shared" si="28"/>
        <v>4977.9135928989808</v>
      </c>
      <c r="X133" s="105">
        <f t="shared" si="29"/>
        <v>3468.1089709532584</v>
      </c>
      <c r="Y133" s="105">
        <f t="shared" si="31"/>
        <v>91184.209778572651</v>
      </c>
      <c r="Z133" s="112">
        <f t="shared" si="32"/>
        <v>0.39257276028409904</v>
      </c>
      <c r="AA133" s="104">
        <f t="shared" si="33"/>
        <v>91211.134505116861</v>
      </c>
      <c r="AB133" s="105"/>
      <c r="AC133" s="104">
        <v>89327.171703804139</v>
      </c>
      <c r="AD133" s="5">
        <f t="shared" si="34"/>
        <v>1883.9628013127221</v>
      </c>
      <c r="AE133" s="5">
        <v>-355.57740687264595</v>
      </c>
      <c r="AF133" s="5">
        <f t="shared" si="35"/>
        <v>2239.5402081853681</v>
      </c>
    </row>
    <row r="134" spans="2:32" x14ac:dyDescent="0.25">
      <c r="B134" s="10">
        <v>216</v>
      </c>
      <c r="C134" s="10">
        <v>7</v>
      </c>
      <c r="D134" s="9" t="s">
        <v>165</v>
      </c>
      <c r="E134" s="162">
        <v>863.69140794001498</v>
      </c>
      <c r="F134" s="162">
        <f>INDEX('2016 Lockdown Update'!H$5:H$245,MATCH(B134,'2016 Lockdown Update'!B$5:B$245,0))</f>
        <v>863.69140794001498</v>
      </c>
      <c r="G134" s="162">
        <f t="shared" si="30"/>
        <v>0</v>
      </c>
      <c r="H134" s="5">
        <v>371837.25</v>
      </c>
      <c r="I134" s="5">
        <f>INDEX('2016 Lockdown Update'!E$5:E$245,MATCH(B134,'2016 Lockdown Update'!B$5:B$245,0))</f>
        <v>371837.25</v>
      </c>
      <c r="J134" s="5">
        <f t="shared" si="19"/>
        <v>0</v>
      </c>
      <c r="K134" s="5">
        <v>480</v>
      </c>
      <c r="L134" s="5">
        <f>INDEX('2016 Lockdown Update'!F$5:F$245,MATCH(B134,'2016 Lockdown Update'!B$5:B$245,0))</f>
        <v>480</v>
      </c>
      <c r="M134" s="5">
        <f t="shared" si="20"/>
        <v>0</v>
      </c>
      <c r="N134" s="5">
        <v>371357.25</v>
      </c>
      <c r="O134" s="105">
        <f t="shared" si="21"/>
        <v>371357.25</v>
      </c>
      <c r="P134" s="105">
        <f t="shared" si="22"/>
        <v>0</v>
      </c>
      <c r="Q134" s="103">
        <f t="shared" si="23"/>
        <v>429.96520121199524</v>
      </c>
      <c r="R134" s="6">
        <f t="shared" si="24"/>
        <v>429.96520121199524</v>
      </c>
      <c r="S134" s="5">
        <f t="shared" si="25"/>
        <v>371357.25</v>
      </c>
      <c r="T134" s="140">
        <v>0.6535833333333334</v>
      </c>
      <c r="U134" s="105">
        <f t="shared" si="26"/>
        <v>90259.78929999315</v>
      </c>
      <c r="V134" s="105">
        <f t="shared" si="27"/>
        <v>43005.011645367929</v>
      </c>
      <c r="W134" s="105">
        <f t="shared" si="28"/>
        <v>17697.688186996158</v>
      </c>
      <c r="X134" s="105">
        <f t="shared" si="29"/>
        <v>5544.7907946132964</v>
      </c>
      <c r="Y134" s="105">
        <f t="shared" si="31"/>
        <v>156507.27992697054</v>
      </c>
      <c r="Z134" s="112">
        <f t="shared" si="32"/>
        <v>0.42144667951674714</v>
      </c>
      <c r="AA134" s="104">
        <f t="shared" si="33"/>
        <v>156553.49314441733</v>
      </c>
      <c r="AB134" s="105"/>
      <c r="AC134" s="104">
        <v>155528.38505465971</v>
      </c>
      <c r="AD134" s="5">
        <f t="shared" si="34"/>
        <v>1025.1080897576176</v>
      </c>
      <c r="AE134" s="5">
        <v>-639.0765333417221</v>
      </c>
      <c r="AF134" s="5">
        <f t="shared" si="35"/>
        <v>1664.1846230993397</v>
      </c>
    </row>
    <row r="135" spans="2:32" x14ac:dyDescent="0.25">
      <c r="B135" s="10">
        <v>229</v>
      </c>
      <c r="C135" s="10">
        <v>7</v>
      </c>
      <c r="D135" s="9" t="s">
        <v>166</v>
      </c>
      <c r="E135" s="162">
        <v>848.5</v>
      </c>
      <c r="F135" s="162">
        <f>INDEX('2016 Lockdown Update'!H$5:H$245,MATCH(B135,'2016 Lockdown Update'!B$5:B$245,0))</f>
        <v>848.5</v>
      </c>
      <c r="G135" s="162">
        <f t="shared" si="30"/>
        <v>0</v>
      </c>
      <c r="H135" s="5">
        <v>406764.58</v>
      </c>
      <c r="I135" s="5">
        <f>INDEX('2016 Lockdown Update'!E$5:E$245,MATCH(B135,'2016 Lockdown Update'!B$5:B$245,0))</f>
        <v>406764.58</v>
      </c>
      <c r="J135" s="5">
        <f t="shared" si="19"/>
        <v>0</v>
      </c>
      <c r="K135" s="5">
        <v>111682.77</v>
      </c>
      <c r="L135" s="5">
        <f>INDEX('2016 Lockdown Update'!F$5:F$245,MATCH(B135,'2016 Lockdown Update'!B$5:B$245,0))</f>
        <v>111682.77000000002</v>
      </c>
      <c r="M135" s="5">
        <f t="shared" si="20"/>
        <v>0</v>
      </c>
      <c r="N135" s="5">
        <v>295081.81</v>
      </c>
      <c r="O135" s="105">
        <f t="shared" si="21"/>
        <v>295081.81</v>
      </c>
      <c r="P135" s="105">
        <f t="shared" si="22"/>
        <v>0</v>
      </c>
      <c r="Q135" s="103">
        <f t="shared" si="23"/>
        <v>347.76878020035355</v>
      </c>
      <c r="R135" s="6">
        <f t="shared" si="24"/>
        <v>347.76878020035355</v>
      </c>
      <c r="S135" s="5">
        <f t="shared" si="25"/>
        <v>295081.81</v>
      </c>
      <c r="T135" s="140">
        <v>0.60633333333333328</v>
      </c>
      <c r="U135" s="105">
        <f t="shared" si="26"/>
        <v>71720.754063265515</v>
      </c>
      <c r="V135" s="105">
        <f t="shared" si="27"/>
        <v>42248.599494727139</v>
      </c>
      <c r="W135" s="105">
        <f t="shared" si="28"/>
        <v>13046.005164107997</v>
      </c>
      <c r="X135" s="105">
        <f t="shared" si="29"/>
        <v>4405.9107604492165</v>
      </c>
      <c r="Y135" s="105">
        <f t="shared" si="31"/>
        <v>131421.26948254986</v>
      </c>
      <c r="Z135" s="112">
        <f t="shared" si="32"/>
        <v>0.4453723171975591</v>
      </c>
      <c r="AA135" s="104">
        <f t="shared" si="33"/>
        <v>131460.0753432521</v>
      </c>
      <c r="AB135" s="105"/>
      <c r="AC135" s="104">
        <v>128960.60911598837</v>
      </c>
      <c r="AD135" s="5">
        <f t="shared" si="34"/>
        <v>2499.4662272637361</v>
      </c>
      <c r="AE135" s="5">
        <v>-486.67648376262514</v>
      </c>
      <c r="AF135" s="5">
        <f t="shared" si="35"/>
        <v>2986.1427110263612</v>
      </c>
    </row>
    <row r="136" spans="2:32" x14ac:dyDescent="0.25">
      <c r="B136" s="10">
        <v>236</v>
      </c>
      <c r="C136" s="10">
        <v>7</v>
      </c>
      <c r="D136" s="9" t="s">
        <v>167</v>
      </c>
      <c r="E136" s="162">
        <v>998.63408437244459</v>
      </c>
      <c r="F136" s="162">
        <f>INDEX('2016 Lockdown Update'!H$5:H$245,MATCH(B136,'2016 Lockdown Update'!B$5:B$245,0))</f>
        <v>998.67961466343343</v>
      </c>
      <c r="G136" s="162">
        <f t="shared" si="30"/>
        <v>4.5530290988835986E-2</v>
      </c>
      <c r="H136" s="5">
        <v>511390.79</v>
      </c>
      <c r="I136" s="5">
        <f>INDEX('2016 Lockdown Update'!E$5:E$245,MATCH(B136,'2016 Lockdown Update'!B$5:B$245,0))</f>
        <v>601141.41</v>
      </c>
      <c r="J136" s="5">
        <f t="shared" si="19"/>
        <v>89750.620000000054</v>
      </c>
      <c r="K136" s="5">
        <v>147397.06</v>
      </c>
      <c r="L136" s="5">
        <f>INDEX('2016 Lockdown Update'!F$5:F$245,MATCH(B136,'2016 Lockdown Update'!B$5:B$245,0))</f>
        <v>147397.06000000003</v>
      </c>
      <c r="M136" s="5">
        <f t="shared" si="20"/>
        <v>0</v>
      </c>
      <c r="N136" s="5">
        <v>363993.73</v>
      </c>
      <c r="O136" s="105">
        <f t="shared" si="21"/>
        <v>453744.35</v>
      </c>
      <c r="P136" s="105">
        <f t="shared" si="22"/>
        <v>89750.62</v>
      </c>
      <c r="Q136" s="103">
        <f t="shared" si="23"/>
        <v>454.3442594979943</v>
      </c>
      <c r="R136" s="6">
        <f t="shared" si="24"/>
        <v>454.3442594979943</v>
      </c>
      <c r="S136" s="5">
        <f t="shared" si="25"/>
        <v>453744.35</v>
      </c>
      <c r="T136" s="140">
        <v>0.56791666666666674</v>
      </c>
      <c r="U136" s="105">
        <f t="shared" si="26"/>
        <v>110284.28669983511</v>
      </c>
      <c r="V136" s="105">
        <f t="shared" si="27"/>
        <v>49726.358354111762</v>
      </c>
      <c r="W136" s="105">
        <f t="shared" si="28"/>
        <v>18789.68534648441</v>
      </c>
      <c r="X136" s="105">
        <f t="shared" si="29"/>
        <v>6774.9249408427968</v>
      </c>
      <c r="Y136" s="105">
        <f t="shared" si="31"/>
        <v>185575.25534127408</v>
      </c>
      <c r="Z136" s="112">
        <f t="shared" si="32"/>
        <v>0.40898637160170498</v>
      </c>
      <c r="AA136" s="104">
        <f t="shared" si="33"/>
        <v>185630.05170366587</v>
      </c>
      <c r="AB136" s="105"/>
      <c r="AC136" s="104">
        <v>155658.17976129206</v>
      </c>
      <c r="AD136" s="5">
        <f t="shared" si="34"/>
        <v>29971.871942373808</v>
      </c>
      <c r="AE136" s="5">
        <v>25369.386940035736</v>
      </c>
      <c r="AF136" s="5">
        <f t="shared" si="35"/>
        <v>4602.4850023380714</v>
      </c>
    </row>
    <row r="137" spans="2:32" x14ac:dyDescent="0.25">
      <c r="B137" s="10">
        <v>239</v>
      </c>
      <c r="C137" s="10">
        <v>7</v>
      </c>
      <c r="D137" s="9" t="s">
        <v>168</v>
      </c>
      <c r="E137" s="162">
        <v>3112.44</v>
      </c>
      <c r="F137" s="162">
        <f>INDEX('2016 Lockdown Update'!H$5:H$245,MATCH(B137,'2016 Lockdown Update'!B$5:B$245,0))</f>
        <v>3112.44</v>
      </c>
      <c r="G137" s="162">
        <f t="shared" si="30"/>
        <v>0</v>
      </c>
      <c r="H137" s="5">
        <v>1694543.39</v>
      </c>
      <c r="I137" s="5">
        <f>INDEX('2016 Lockdown Update'!E$5:E$245,MATCH(B137,'2016 Lockdown Update'!B$5:B$245,0))</f>
        <v>1694543.39</v>
      </c>
      <c r="J137" s="5">
        <f t="shared" si="19"/>
        <v>0</v>
      </c>
      <c r="K137" s="5">
        <v>408372.34</v>
      </c>
      <c r="L137" s="5">
        <f>INDEX('2016 Lockdown Update'!F$5:F$245,MATCH(B137,'2016 Lockdown Update'!B$5:B$245,0))</f>
        <v>408372.34</v>
      </c>
      <c r="M137" s="5">
        <f t="shared" si="20"/>
        <v>0</v>
      </c>
      <c r="N137" s="5">
        <v>1286171.05</v>
      </c>
      <c r="O137" s="105">
        <f t="shared" si="21"/>
        <v>1286171.0499999998</v>
      </c>
      <c r="P137" s="105">
        <f t="shared" si="22"/>
        <v>0</v>
      </c>
      <c r="Q137" s="103">
        <f t="shared" si="23"/>
        <v>413.2356125740576</v>
      </c>
      <c r="R137" s="6">
        <f t="shared" si="24"/>
        <v>413.2356125740576</v>
      </c>
      <c r="S137" s="5">
        <f t="shared" si="25"/>
        <v>1286171.0499999998</v>
      </c>
      <c r="T137" s="140">
        <v>0.81933333333333347</v>
      </c>
      <c r="U137" s="105">
        <f t="shared" si="26"/>
        <v>312608.75606104615</v>
      </c>
      <c r="V137" s="105">
        <f t="shared" si="27"/>
        <v>154974.93342530177</v>
      </c>
      <c r="W137" s="105">
        <f t="shared" si="28"/>
        <v>76839.232239805147</v>
      </c>
      <c r="X137" s="105">
        <f t="shared" si="29"/>
        <v>19204.0128429918</v>
      </c>
      <c r="Y137" s="105">
        <f t="shared" si="31"/>
        <v>563626.93456914497</v>
      </c>
      <c r="Z137" s="112">
        <f t="shared" si="32"/>
        <v>0.43822082184880856</v>
      </c>
      <c r="AA137" s="104">
        <f t="shared" si="33"/>
        <v>563793.361422249</v>
      </c>
      <c r="AB137" s="105"/>
      <c r="AC137" s="104">
        <v>563933.84081844729</v>
      </c>
      <c r="AD137" s="5">
        <f t="shared" si="34"/>
        <v>-140.47939619829413</v>
      </c>
      <c r="AE137" s="5">
        <v>-2326.5862993890187</v>
      </c>
      <c r="AF137" s="5">
        <f t="shared" si="35"/>
        <v>2186.1069031907246</v>
      </c>
    </row>
    <row r="138" spans="2:32" x14ac:dyDescent="0.25">
      <c r="B138" s="10">
        <v>249</v>
      </c>
      <c r="C138" s="10">
        <v>7</v>
      </c>
      <c r="D138" s="9" t="s">
        <v>169</v>
      </c>
      <c r="E138" s="162">
        <v>1404.2530921096834</v>
      </c>
      <c r="F138" s="162">
        <f>INDEX('2016 Lockdown Update'!H$5:H$245,MATCH(B138,'2016 Lockdown Update'!B$5:B$245,0))</f>
        <v>1404.2530921096834</v>
      </c>
      <c r="G138" s="162">
        <f t="shared" si="30"/>
        <v>0</v>
      </c>
      <c r="H138" s="5">
        <v>550202.99</v>
      </c>
      <c r="I138" s="5">
        <f>INDEX('2016 Lockdown Update'!E$5:E$245,MATCH(B138,'2016 Lockdown Update'!B$5:B$245,0))</f>
        <v>550202.99</v>
      </c>
      <c r="J138" s="5">
        <f t="shared" si="19"/>
        <v>0</v>
      </c>
      <c r="K138" s="5">
        <v>0</v>
      </c>
      <c r="L138" s="5">
        <f>INDEX('2016 Lockdown Update'!F$5:F$245,MATCH(B138,'2016 Lockdown Update'!B$5:B$245,0))</f>
        <v>0</v>
      </c>
      <c r="M138" s="5">
        <f t="shared" si="20"/>
        <v>0</v>
      </c>
      <c r="N138" s="5">
        <v>550202.99</v>
      </c>
      <c r="O138" s="105">
        <f t="shared" si="21"/>
        <v>550202.99</v>
      </c>
      <c r="P138" s="105">
        <f t="shared" si="22"/>
        <v>0</v>
      </c>
      <c r="Q138" s="103">
        <f t="shared" si="23"/>
        <v>391.8118415344922</v>
      </c>
      <c r="R138" s="6">
        <f t="shared" si="24"/>
        <v>391.8118415344922</v>
      </c>
      <c r="S138" s="5">
        <f t="shared" si="25"/>
        <v>550202.99</v>
      </c>
      <c r="T138" s="140">
        <v>0.80133333333333334</v>
      </c>
      <c r="U138" s="105">
        <f t="shared" si="26"/>
        <v>133728.92531282539</v>
      </c>
      <c r="V138" s="105">
        <f t="shared" si="27"/>
        <v>69920.714764613076</v>
      </c>
      <c r="W138" s="105">
        <f t="shared" si="28"/>
        <v>32148.433645203226</v>
      </c>
      <c r="X138" s="105">
        <f t="shared" si="29"/>
        <v>8215.1633612127171</v>
      </c>
      <c r="Y138" s="105">
        <f t="shared" si="31"/>
        <v>244013.23708385439</v>
      </c>
      <c r="Z138" s="112">
        <f t="shared" si="32"/>
        <v>0.44349674850704535</v>
      </c>
      <c r="AA138" s="104">
        <f t="shared" si="33"/>
        <v>244085.28891933779</v>
      </c>
      <c r="AB138" s="105"/>
      <c r="AC138" s="104">
        <v>240841.55496356319</v>
      </c>
      <c r="AD138" s="5">
        <f t="shared" si="34"/>
        <v>3243.7339557746018</v>
      </c>
      <c r="AE138" s="5">
        <v>-968.71962525864365</v>
      </c>
      <c r="AF138" s="5">
        <f t="shared" si="35"/>
        <v>4212.4535810332454</v>
      </c>
    </row>
    <row r="139" spans="2:32" x14ac:dyDescent="0.25">
      <c r="B139" s="10">
        <v>271</v>
      </c>
      <c r="C139" s="10">
        <v>7</v>
      </c>
      <c r="D139" s="9" t="s">
        <v>170</v>
      </c>
      <c r="E139" s="162">
        <v>875.04199999999992</v>
      </c>
      <c r="F139" s="162">
        <f>INDEX('2016 Lockdown Update'!H$5:H$245,MATCH(B139,'2016 Lockdown Update'!B$5:B$245,0))</f>
        <v>875.04199999999992</v>
      </c>
      <c r="G139" s="162">
        <f t="shared" si="30"/>
        <v>0</v>
      </c>
      <c r="H139" s="5">
        <v>589241.13</v>
      </c>
      <c r="I139" s="5">
        <f>INDEX('2016 Lockdown Update'!E$5:E$245,MATCH(B139,'2016 Lockdown Update'!B$5:B$245,0))</f>
        <v>589241.13</v>
      </c>
      <c r="J139" s="5">
        <f t="shared" si="19"/>
        <v>0</v>
      </c>
      <c r="K139" s="5">
        <v>146366.99</v>
      </c>
      <c r="L139" s="5">
        <f>INDEX('2016 Lockdown Update'!F$5:F$245,MATCH(B139,'2016 Lockdown Update'!B$5:B$245,0))</f>
        <v>146366.99000000002</v>
      </c>
      <c r="M139" s="5">
        <f t="shared" si="20"/>
        <v>0</v>
      </c>
      <c r="N139" s="5">
        <v>442874.14</v>
      </c>
      <c r="O139" s="105">
        <f t="shared" si="21"/>
        <v>442874.14</v>
      </c>
      <c r="P139" s="105">
        <f t="shared" si="22"/>
        <v>0</v>
      </c>
      <c r="Q139" s="103">
        <f t="shared" si="23"/>
        <v>506.11758064184352</v>
      </c>
      <c r="R139" s="6">
        <f t="shared" si="24"/>
        <v>506.11758064184352</v>
      </c>
      <c r="S139" s="5">
        <f t="shared" si="25"/>
        <v>442874.14</v>
      </c>
      <c r="T139" s="140">
        <v>0.71218000000000004</v>
      </c>
      <c r="U139" s="105">
        <f t="shared" si="26"/>
        <v>107642.24089556799</v>
      </c>
      <c r="V139" s="105">
        <f t="shared" si="27"/>
        <v>43570.181495657067</v>
      </c>
      <c r="W139" s="105">
        <f t="shared" si="28"/>
        <v>22998.195336301684</v>
      </c>
      <c r="X139" s="105">
        <f t="shared" si="29"/>
        <v>6612.6202050566681</v>
      </c>
      <c r="Y139" s="105">
        <f t="shared" si="31"/>
        <v>180823.23793258343</v>
      </c>
      <c r="Z139" s="112">
        <f t="shared" si="32"/>
        <v>0.40829486664672593</v>
      </c>
      <c r="AA139" s="104">
        <f t="shared" si="33"/>
        <v>180876.6311269314</v>
      </c>
      <c r="AB139" s="105"/>
      <c r="AC139" s="104">
        <v>182276.60196384584</v>
      </c>
      <c r="AD139" s="5">
        <f t="shared" si="34"/>
        <v>-1399.9708369144355</v>
      </c>
      <c r="AE139" s="5">
        <v>-794.07836026744917</v>
      </c>
      <c r="AF139" s="5">
        <f t="shared" si="35"/>
        <v>-605.89247664698632</v>
      </c>
    </row>
    <row r="140" spans="2:32" x14ac:dyDescent="0.25">
      <c r="B140" s="10">
        <v>275</v>
      </c>
      <c r="C140" s="10">
        <v>7</v>
      </c>
      <c r="D140" s="9" t="s">
        <v>171</v>
      </c>
      <c r="E140" s="162">
        <v>699.2</v>
      </c>
      <c r="F140" s="162">
        <f>INDEX('2016 Lockdown Update'!H$5:H$245,MATCH(B140,'2016 Lockdown Update'!B$5:B$245,0))</f>
        <v>699.2</v>
      </c>
      <c r="G140" s="162">
        <f t="shared" si="30"/>
        <v>0</v>
      </c>
      <c r="H140" s="5">
        <v>301197.03999999998</v>
      </c>
      <c r="I140" s="5">
        <f>INDEX('2016 Lockdown Update'!E$5:E$245,MATCH(B140,'2016 Lockdown Update'!B$5:B$245,0))</f>
        <v>301197.03999999998</v>
      </c>
      <c r="J140" s="5">
        <f t="shared" si="19"/>
        <v>0</v>
      </c>
      <c r="K140" s="5">
        <v>116118.27</v>
      </c>
      <c r="L140" s="5">
        <f>INDEX('2016 Lockdown Update'!F$5:F$245,MATCH(B140,'2016 Lockdown Update'!B$5:B$245,0))</f>
        <v>116118.27</v>
      </c>
      <c r="M140" s="5">
        <f t="shared" si="20"/>
        <v>0</v>
      </c>
      <c r="N140" s="5">
        <v>185078.77</v>
      </c>
      <c r="O140" s="105">
        <f t="shared" si="21"/>
        <v>185078.76999999996</v>
      </c>
      <c r="P140" s="105">
        <f t="shared" si="22"/>
        <v>0</v>
      </c>
      <c r="Q140" s="103">
        <f t="shared" si="23"/>
        <v>264.70075800915322</v>
      </c>
      <c r="R140" s="6">
        <f t="shared" si="24"/>
        <v>264.70075800915322</v>
      </c>
      <c r="S140" s="5">
        <f t="shared" si="25"/>
        <v>185078.76999999993</v>
      </c>
      <c r="T140" s="140">
        <v>0.4000833333333334</v>
      </c>
      <c r="U140" s="105">
        <f t="shared" si="26"/>
        <v>44984.097615172148</v>
      </c>
      <c r="V140" s="105">
        <f t="shared" si="27"/>
        <v>34814.638499367378</v>
      </c>
      <c r="W140" s="105">
        <f t="shared" si="28"/>
        <v>5399.2163162610368</v>
      </c>
      <c r="X140" s="105">
        <f t="shared" si="29"/>
        <v>2763.4388723374896</v>
      </c>
      <c r="Y140" s="105">
        <f t="shared" si="31"/>
        <v>87961.391303138051</v>
      </c>
      <c r="Z140" s="112">
        <f t="shared" si="32"/>
        <v>0.47526462004873971</v>
      </c>
      <c r="AA140" s="104">
        <f t="shared" si="33"/>
        <v>87987.364401035549</v>
      </c>
      <c r="AB140" s="105"/>
      <c r="AC140" s="104">
        <v>85353.988217282676</v>
      </c>
      <c r="AD140" s="5">
        <f t="shared" si="34"/>
        <v>2633.3761837528727</v>
      </c>
      <c r="AE140" s="5">
        <v>-277.00750156988215</v>
      </c>
      <c r="AF140" s="5">
        <f t="shared" si="35"/>
        <v>2910.3836853227549</v>
      </c>
    </row>
    <row r="141" spans="2:32" x14ac:dyDescent="0.25">
      <c r="B141" s="10">
        <v>282</v>
      </c>
      <c r="C141" s="10">
        <v>7</v>
      </c>
      <c r="D141" s="9" t="s">
        <v>172</v>
      </c>
      <c r="E141" s="162">
        <v>169.86807859073753</v>
      </c>
      <c r="F141" s="162">
        <f>INDEX('2016 Lockdown Update'!H$5:H$245,MATCH(B141,'2016 Lockdown Update'!B$5:B$245,0))</f>
        <v>169.86807859073753</v>
      </c>
      <c r="G141" s="162">
        <f t="shared" si="30"/>
        <v>0</v>
      </c>
      <c r="H141" s="5">
        <v>49704.43</v>
      </c>
      <c r="I141" s="5">
        <f>INDEX('2016 Lockdown Update'!E$5:E$245,MATCH(B141,'2016 Lockdown Update'!B$5:B$245,0))</f>
        <v>49704.43</v>
      </c>
      <c r="J141" s="5">
        <f t="shared" si="19"/>
        <v>0</v>
      </c>
      <c r="K141" s="5">
        <v>0</v>
      </c>
      <c r="L141" s="5">
        <f>INDEX('2016 Lockdown Update'!F$5:F$245,MATCH(B141,'2016 Lockdown Update'!B$5:B$245,0))</f>
        <v>0</v>
      </c>
      <c r="M141" s="5">
        <f t="shared" si="20"/>
        <v>0</v>
      </c>
      <c r="N141" s="5">
        <v>49704.43</v>
      </c>
      <c r="O141" s="105">
        <f t="shared" si="21"/>
        <v>49704.43</v>
      </c>
      <c r="P141" s="105">
        <f t="shared" si="22"/>
        <v>0</v>
      </c>
      <c r="Q141" s="103">
        <f t="shared" si="23"/>
        <v>292.60606473187164</v>
      </c>
      <c r="R141" s="6">
        <f t="shared" si="24"/>
        <v>292.60606473187164</v>
      </c>
      <c r="S141" s="5">
        <f t="shared" si="25"/>
        <v>49704.43</v>
      </c>
      <c r="T141" s="140">
        <v>0.32175000000000004</v>
      </c>
      <c r="U141" s="105">
        <f t="shared" si="26"/>
        <v>12080.850391573769</v>
      </c>
      <c r="V141" s="105">
        <f t="shared" si="27"/>
        <v>8458.0888854671812</v>
      </c>
      <c r="W141" s="105">
        <f t="shared" si="28"/>
        <v>1166.104084046658</v>
      </c>
      <c r="X141" s="105">
        <f t="shared" si="29"/>
        <v>742.14429882680611</v>
      </c>
      <c r="Y141" s="105">
        <f t="shared" si="31"/>
        <v>22447.187659914416</v>
      </c>
      <c r="Z141" s="112">
        <f t="shared" si="32"/>
        <v>0.45161342077385086</v>
      </c>
      <c r="AA141" s="104">
        <f t="shared" si="33"/>
        <v>22453.815829318937</v>
      </c>
      <c r="AB141" s="105"/>
      <c r="AC141" s="104">
        <v>21750.083494383543</v>
      </c>
      <c r="AD141" s="5">
        <f t="shared" si="34"/>
        <v>703.73233493539374</v>
      </c>
      <c r="AE141" s="5">
        <v>-73.214564676811278</v>
      </c>
      <c r="AF141" s="5">
        <f t="shared" si="35"/>
        <v>776.94689961220502</v>
      </c>
    </row>
    <row r="142" spans="2:32" x14ac:dyDescent="0.25">
      <c r="B142" s="10">
        <v>287</v>
      </c>
      <c r="C142" s="10">
        <v>7</v>
      </c>
      <c r="D142" s="9" t="s">
        <v>173</v>
      </c>
      <c r="E142" s="162">
        <v>203.09241598437666</v>
      </c>
      <c r="F142" s="162">
        <f>INDEX('2016 Lockdown Update'!H$5:H$245,MATCH(B142,'2016 Lockdown Update'!B$5:B$245,0))</f>
        <v>203.09241598437666</v>
      </c>
      <c r="G142" s="162">
        <f t="shared" si="30"/>
        <v>0</v>
      </c>
      <c r="H142" s="5">
        <v>65897.53</v>
      </c>
      <c r="I142" s="5">
        <f>INDEX('2016 Lockdown Update'!E$5:E$245,MATCH(B142,'2016 Lockdown Update'!B$5:B$245,0))</f>
        <v>65897.53</v>
      </c>
      <c r="J142" s="5">
        <f t="shared" si="19"/>
        <v>0</v>
      </c>
      <c r="K142" s="5">
        <v>0</v>
      </c>
      <c r="L142" s="5">
        <f>INDEX('2016 Lockdown Update'!F$5:F$245,MATCH(B142,'2016 Lockdown Update'!B$5:B$245,0))</f>
        <v>0</v>
      </c>
      <c r="M142" s="5">
        <f t="shared" si="20"/>
        <v>0</v>
      </c>
      <c r="N142" s="5">
        <v>65897.53</v>
      </c>
      <c r="O142" s="105">
        <f t="shared" si="21"/>
        <v>65897.53</v>
      </c>
      <c r="P142" s="105">
        <f t="shared" si="22"/>
        <v>0</v>
      </c>
      <c r="Q142" s="103">
        <f t="shared" si="23"/>
        <v>324.47065874222164</v>
      </c>
      <c r="R142" s="6">
        <f t="shared" si="24"/>
        <v>324.47065874222164</v>
      </c>
      <c r="S142" s="5">
        <f t="shared" si="25"/>
        <v>65897.53</v>
      </c>
      <c r="T142" s="140">
        <v>0.40608333333333335</v>
      </c>
      <c r="U142" s="105">
        <f t="shared" si="26"/>
        <v>16016.644816251672</v>
      </c>
      <c r="V142" s="105">
        <f t="shared" si="27"/>
        <v>10112.398518963406</v>
      </c>
      <c r="W142" s="105">
        <f t="shared" si="28"/>
        <v>1951.2277547398598</v>
      </c>
      <c r="X142" s="105">
        <f t="shared" si="29"/>
        <v>983.92590351138563</v>
      </c>
      <c r="Y142" s="105">
        <f t="shared" si="31"/>
        <v>29064.196993466325</v>
      </c>
      <c r="Z142" s="112">
        <f t="shared" si="32"/>
        <v>0.44105138680412337</v>
      </c>
      <c r="AA142" s="104">
        <f t="shared" si="33"/>
        <v>29072.779022725295</v>
      </c>
      <c r="AB142" s="105"/>
      <c r="AC142" s="104">
        <v>28523.703824130211</v>
      </c>
      <c r="AD142" s="5">
        <f t="shared" si="34"/>
        <v>549.07519859508466</v>
      </c>
      <c r="AE142" s="5">
        <v>-102.50228042516392</v>
      </c>
      <c r="AF142" s="5">
        <f t="shared" si="35"/>
        <v>651.57747902024857</v>
      </c>
    </row>
    <row r="143" spans="2:32" x14ac:dyDescent="0.25">
      <c r="B143" s="10">
        <v>290</v>
      </c>
      <c r="C143" s="10">
        <v>7</v>
      </c>
      <c r="D143" s="9" t="s">
        <v>174</v>
      </c>
      <c r="E143" s="162">
        <v>387.04630277390868</v>
      </c>
      <c r="F143" s="162">
        <f>INDEX('2016 Lockdown Update'!H$5:H$245,MATCH(B143,'2016 Lockdown Update'!B$5:B$245,0))</f>
        <v>387.04630277390868</v>
      </c>
      <c r="G143" s="162">
        <f t="shared" si="30"/>
        <v>0</v>
      </c>
      <c r="H143" s="5">
        <v>162319.17000000001</v>
      </c>
      <c r="I143" s="5">
        <f>INDEX('2016 Lockdown Update'!E$5:E$245,MATCH(B143,'2016 Lockdown Update'!B$5:B$245,0))</f>
        <v>162319.17000000001</v>
      </c>
      <c r="J143" s="5">
        <f t="shared" si="19"/>
        <v>0</v>
      </c>
      <c r="K143" s="5">
        <v>0</v>
      </c>
      <c r="L143" s="5">
        <f>INDEX('2016 Lockdown Update'!F$5:F$245,MATCH(B143,'2016 Lockdown Update'!B$5:B$245,0))</f>
        <v>0</v>
      </c>
      <c r="M143" s="5">
        <f t="shared" si="20"/>
        <v>0</v>
      </c>
      <c r="N143" s="5">
        <v>162319.17000000001</v>
      </c>
      <c r="O143" s="105">
        <f t="shared" si="21"/>
        <v>162319.17000000001</v>
      </c>
      <c r="P143" s="105">
        <f t="shared" si="22"/>
        <v>0</v>
      </c>
      <c r="Q143" s="103">
        <f t="shared" si="23"/>
        <v>419.37920304800849</v>
      </c>
      <c r="R143" s="6">
        <f t="shared" si="24"/>
        <v>419.37920304800849</v>
      </c>
      <c r="S143" s="5">
        <f t="shared" si="25"/>
        <v>162319.17000000001</v>
      </c>
      <c r="T143" s="140">
        <v>0.62749999999999995</v>
      </c>
      <c r="U143" s="105">
        <f t="shared" si="26"/>
        <v>39452.290438788441</v>
      </c>
      <c r="V143" s="105">
        <f t="shared" si="27"/>
        <v>19271.849418750462</v>
      </c>
      <c r="W143" s="105">
        <f t="shared" si="28"/>
        <v>7426.8936751019237</v>
      </c>
      <c r="X143" s="105">
        <f t="shared" si="29"/>
        <v>2423.6118713321762</v>
      </c>
      <c r="Y143" s="105">
        <f t="shared" si="31"/>
        <v>68574.645403973002</v>
      </c>
      <c r="Z143" s="112">
        <f t="shared" si="32"/>
        <v>0.42246794019445144</v>
      </c>
      <c r="AA143" s="104">
        <f t="shared" si="33"/>
        <v>68594.894014777994</v>
      </c>
      <c r="AB143" s="105"/>
      <c r="AC143" s="104">
        <v>67187.174437366601</v>
      </c>
      <c r="AD143" s="5">
        <f t="shared" si="34"/>
        <v>1407.7195774113934</v>
      </c>
      <c r="AE143" s="5">
        <v>-271.3640670630848</v>
      </c>
      <c r="AF143" s="5">
        <f t="shared" si="35"/>
        <v>1679.0836444744782</v>
      </c>
    </row>
    <row r="144" spans="2:32" x14ac:dyDescent="0.25">
      <c r="B144" s="10">
        <v>294</v>
      </c>
      <c r="C144" s="10">
        <v>7</v>
      </c>
      <c r="D144" s="9" t="s">
        <v>175</v>
      </c>
      <c r="E144" s="162">
        <v>1303.7823906926667</v>
      </c>
      <c r="F144" s="162">
        <f>INDEX('2016 Lockdown Update'!H$5:H$245,MATCH(B144,'2016 Lockdown Update'!B$5:B$245,0))</f>
        <v>1303.7823906926667</v>
      </c>
      <c r="G144" s="162">
        <f t="shared" si="30"/>
        <v>0</v>
      </c>
      <c r="H144" s="5">
        <v>564829.80000000005</v>
      </c>
      <c r="I144" s="5">
        <f>INDEX('2016 Lockdown Update'!E$5:E$245,MATCH(B144,'2016 Lockdown Update'!B$5:B$245,0))</f>
        <v>593671.34</v>
      </c>
      <c r="J144" s="5">
        <f t="shared" si="19"/>
        <v>28841.539999999921</v>
      </c>
      <c r="K144" s="5">
        <v>1688.46</v>
      </c>
      <c r="L144" s="5">
        <f>INDEX('2016 Lockdown Update'!F$5:F$245,MATCH(B144,'2016 Lockdown Update'!B$5:B$245,0))</f>
        <v>1688.46</v>
      </c>
      <c r="M144" s="5">
        <f t="shared" si="20"/>
        <v>0</v>
      </c>
      <c r="N144" s="5">
        <v>563141.34</v>
      </c>
      <c r="O144" s="105">
        <f t="shared" si="21"/>
        <v>591982.88</v>
      </c>
      <c r="P144" s="105">
        <f t="shared" si="22"/>
        <v>28841.540000000037</v>
      </c>
      <c r="Q144" s="103">
        <f t="shared" si="23"/>
        <v>454.05037238269068</v>
      </c>
      <c r="R144" s="6">
        <f t="shared" si="24"/>
        <v>454.05037238269068</v>
      </c>
      <c r="S144" s="5">
        <f t="shared" si="25"/>
        <v>591982.88</v>
      </c>
      <c r="T144" s="140">
        <v>0.82233333333333336</v>
      </c>
      <c r="U144" s="105">
        <f t="shared" si="26"/>
        <v>143883.6861755173</v>
      </c>
      <c r="V144" s="105">
        <f t="shared" si="27"/>
        <v>64918.067239425276</v>
      </c>
      <c r="W144" s="105">
        <f t="shared" si="28"/>
        <v>35496.105379500121</v>
      </c>
      <c r="X144" s="105">
        <f t="shared" si="29"/>
        <v>8838.9851648046933</v>
      </c>
      <c r="Y144" s="105">
        <f t="shared" si="31"/>
        <v>253136.84395924743</v>
      </c>
      <c r="Z144" s="112">
        <f t="shared" si="32"/>
        <v>0.4276083861736803</v>
      </c>
      <c r="AA144" s="104">
        <f t="shared" si="33"/>
        <v>253211.58979866872</v>
      </c>
      <c r="AB144" s="105"/>
      <c r="AC144" s="104">
        <v>242387.07115795257</v>
      </c>
      <c r="AD144" s="5">
        <f t="shared" si="34"/>
        <v>10824.518640716153</v>
      </c>
      <c r="AE144" s="5">
        <v>8025.295249208546</v>
      </c>
      <c r="AF144" s="5">
        <f t="shared" si="35"/>
        <v>2799.2233915076067</v>
      </c>
    </row>
    <row r="145" spans="2:32" x14ac:dyDescent="0.25">
      <c r="B145" s="10">
        <v>296</v>
      </c>
      <c r="C145" s="10">
        <v>7</v>
      </c>
      <c r="D145" s="9" t="s">
        <v>176</v>
      </c>
      <c r="E145" s="162">
        <v>914.83999999999992</v>
      </c>
      <c r="F145" s="162">
        <f>INDEX('2016 Lockdown Update'!H$5:H$245,MATCH(B145,'2016 Lockdown Update'!B$5:B$245,0))</f>
        <v>914.83999999999992</v>
      </c>
      <c r="G145" s="162">
        <f t="shared" si="30"/>
        <v>0</v>
      </c>
      <c r="H145" s="5">
        <v>798338.58</v>
      </c>
      <c r="I145" s="5">
        <f>INDEX('2016 Lockdown Update'!E$5:E$245,MATCH(B145,'2016 Lockdown Update'!B$5:B$245,0))</f>
        <v>798338.58</v>
      </c>
      <c r="J145" s="5">
        <f t="shared" si="19"/>
        <v>0</v>
      </c>
      <c r="K145" s="5">
        <v>171079.48</v>
      </c>
      <c r="L145" s="5">
        <f>INDEX('2016 Lockdown Update'!F$5:F$245,MATCH(B145,'2016 Lockdown Update'!B$5:B$245,0))</f>
        <v>171079.48000000004</v>
      </c>
      <c r="M145" s="5">
        <f t="shared" si="20"/>
        <v>0</v>
      </c>
      <c r="N145" s="5">
        <v>627259.1</v>
      </c>
      <c r="O145" s="105">
        <f t="shared" si="21"/>
        <v>627259.09999999986</v>
      </c>
      <c r="P145" s="105">
        <f t="shared" si="22"/>
        <v>0</v>
      </c>
      <c r="Q145" s="103">
        <f t="shared" si="23"/>
        <v>685.6489659393992</v>
      </c>
      <c r="R145" s="6">
        <f t="shared" si="24"/>
        <v>588.67949380837035</v>
      </c>
      <c r="S145" s="5">
        <f t="shared" si="25"/>
        <v>538547.54811564949</v>
      </c>
      <c r="T145" s="140">
        <v>0.6343333333333333</v>
      </c>
      <c r="U145" s="105">
        <f t="shared" si="26"/>
        <v>130896.02591829415</v>
      </c>
      <c r="V145" s="105">
        <f t="shared" si="27"/>
        <v>45551.807615505211</v>
      </c>
      <c r="W145" s="105">
        <f t="shared" si="28"/>
        <v>24909.513732251376</v>
      </c>
      <c r="X145" s="105">
        <f t="shared" si="29"/>
        <v>8041.1342103950165</v>
      </c>
      <c r="Y145" s="105">
        <f t="shared" si="31"/>
        <v>209398.48147644577</v>
      </c>
      <c r="Z145" s="112">
        <f t="shared" si="32"/>
        <v>0.38882078696508865</v>
      </c>
      <c r="AA145" s="104">
        <f t="shared" si="33"/>
        <v>209460.31232266591</v>
      </c>
      <c r="AB145" s="105"/>
      <c r="AC145" s="104">
        <v>207522.29104561475</v>
      </c>
      <c r="AD145" s="5">
        <f t="shared" si="34"/>
        <v>1938.0212770511571</v>
      </c>
      <c r="AE145" s="5">
        <v>-1798.2054622674768</v>
      </c>
      <c r="AF145" s="5">
        <f t="shared" si="35"/>
        <v>3736.2267393186339</v>
      </c>
    </row>
    <row r="146" spans="2:32" x14ac:dyDescent="0.25">
      <c r="B146" s="10">
        <v>301</v>
      </c>
      <c r="C146" s="10">
        <v>7</v>
      </c>
      <c r="D146" s="9" t="s">
        <v>177</v>
      </c>
      <c r="E146" s="162">
        <v>641.50907968472882</v>
      </c>
      <c r="F146" s="162">
        <f>INDEX('2016 Lockdown Update'!H$5:H$245,MATCH(B146,'2016 Lockdown Update'!B$5:B$245,0))</f>
        <v>641.50907968472882</v>
      </c>
      <c r="G146" s="162">
        <f t="shared" si="30"/>
        <v>0</v>
      </c>
      <c r="H146" s="5">
        <v>239842.14</v>
      </c>
      <c r="I146" s="5">
        <f>INDEX('2016 Lockdown Update'!E$5:E$245,MATCH(B146,'2016 Lockdown Update'!B$5:B$245,0))</f>
        <v>239958.39</v>
      </c>
      <c r="J146" s="5">
        <f t="shared" si="19"/>
        <v>116.25</v>
      </c>
      <c r="K146" s="5">
        <v>1452.49</v>
      </c>
      <c r="L146" s="5">
        <f>INDEX('2016 Lockdown Update'!F$5:F$245,MATCH(B146,'2016 Lockdown Update'!B$5:B$245,0))</f>
        <v>1452.49</v>
      </c>
      <c r="M146" s="5">
        <f t="shared" si="20"/>
        <v>0</v>
      </c>
      <c r="N146" s="5">
        <v>238389.65</v>
      </c>
      <c r="O146" s="105">
        <f t="shared" si="21"/>
        <v>238505.90000000002</v>
      </c>
      <c r="P146" s="105">
        <f t="shared" si="22"/>
        <v>116.2500000000291</v>
      </c>
      <c r="Q146" s="103">
        <f t="shared" si="23"/>
        <v>371.78881414619156</v>
      </c>
      <c r="R146" s="6">
        <f t="shared" si="24"/>
        <v>371.78881414619156</v>
      </c>
      <c r="S146" s="5">
        <f t="shared" si="25"/>
        <v>238505.90000000002</v>
      </c>
      <c r="T146" s="140">
        <v>0.60008333333333341</v>
      </c>
      <c r="U146" s="105">
        <f t="shared" si="26"/>
        <v>57969.764373269238</v>
      </c>
      <c r="V146" s="105">
        <f t="shared" si="27"/>
        <v>31942.086246117982</v>
      </c>
      <c r="W146" s="105">
        <f t="shared" si="28"/>
        <v>10436.006831297795</v>
      </c>
      <c r="X146" s="105">
        <f t="shared" si="29"/>
        <v>3561.1673631818408</v>
      </c>
      <c r="Y146" s="105">
        <f t="shared" si="31"/>
        <v>103909.02481386685</v>
      </c>
      <c r="Z146" s="112">
        <f t="shared" si="32"/>
        <v>0.43566647539480929</v>
      </c>
      <c r="AA146" s="104">
        <f t="shared" si="33"/>
        <v>103939.70690329201</v>
      </c>
      <c r="AB146" s="105"/>
      <c r="AC146" s="104">
        <v>101123.24800204828</v>
      </c>
      <c r="AD146" s="5">
        <f t="shared" si="34"/>
        <v>2816.4589012437355</v>
      </c>
      <c r="AE146" s="5">
        <v>-389.17745694483165</v>
      </c>
      <c r="AF146" s="5">
        <f t="shared" si="35"/>
        <v>3205.6363581885671</v>
      </c>
    </row>
    <row r="147" spans="2:32" x14ac:dyDescent="0.25">
      <c r="B147" s="10">
        <v>321</v>
      </c>
      <c r="C147" s="10">
        <v>7</v>
      </c>
      <c r="D147" s="9" t="s">
        <v>178</v>
      </c>
      <c r="E147" s="162">
        <v>471.72999999999996</v>
      </c>
      <c r="F147" s="162">
        <f>INDEX('2016 Lockdown Update'!H$5:H$245,MATCH(B147,'2016 Lockdown Update'!B$5:B$245,0))</f>
        <v>471.72999999999996</v>
      </c>
      <c r="G147" s="162">
        <f t="shared" si="30"/>
        <v>0</v>
      </c>
      <c r="H147" s="5">
        <v>427548.87</v>
      </c>
      <c r="I147" s="5">
        <f>INDEX('2016 Lockdown Update'!E$5:E$245,MATCH(B147,'2016 Lockdown Update'!B$5:B$245,0))</f>
        <v>427548.87</v>
      </c>
      <c r="J147" s="5">
        <f t="shared" si="19"/>
        <v>0</v>
      </c>
      <c r="K147" s="5">
        <v>44460.18</v>
      </c>
      <c r="L147" s="5">
        <f>INDEX('2016 Lockdown Update'!F$5:F$245,MATCH(B147,'2016 Lockdown Update'!B$5:B$245,0))</f>
        <v>44460.180000000008</v>
      </c>
      <c r="M147" s="5">
        <f t="shared" si="20"/>
        <v>0</v>
      </c>
      <c r="N147" s="5">
        <v>383088.69</v>
      </c>
      <c r="O147" s="105">
        <f t="shared" si="21"/>
        <v>383088.69</v>
      </c>
      <c r="P147" s="105">
        <f t="shared" si="22"/>
        <v>0</v>
      </c>
      <c r="Q147" s="103">
        <f t="shared" si="23"/>
        <v>812.09312530472948</v>
      </c>
      <c r="R147" s="6">
        <f t="shared" si="24"/>
        <v>588.67949380837035</v>
      </c>
      <c r="S147" s="5">
        <f t="shared" si="25"/>
        <v>277697.77761422255</v>
      </c>
      <c r="T147" s="140">
        <v>0.24441666666666667</v>
      </c>
      <c r="U147" s="105">
        <f t="shared" si="26"/>
        <v>67495.499001395772</v>
      </c>
      <c r="V147" s="105">
        <f t="shared" si="27"/>
        <v>23488.428803356077</v>
      </c>
      <c r="W147" s="105">
        <f t="shared" si="28"/>
        <v>4949.1074642773447</v>
      </c>
      <c r="X147" s="105">
        <f t="shared" si="29"/>
        <v>4146.347165700714</v>
      </c>
      <c r="Y147" s="105">
        <f t="shared" si="31"/>
        <v>100079.38243472991</v>
      </c>
      <c r="Z147" s="112">
        <f t="shared" si="32"/>
        <v>0.36038956917314652</v>
      </c>
      <c r="AA147" s="104">
        <f t="shared" si="33"/>
        <v>100108.9337135238</v>
      </c>
      <c r="AB147" s="105"/>
      <c r="AC147" s="104">
        <v>99244.596744108538</v>
      </c>
      <c r="AD147" s="5">
        <f t="shared" si="34"/>
        <v>864.33696941526432</v>
      </c>
      <c r="AE147" s="5">
        <v>-838.49366071015538</v>
      </c>
      <c r="AF147" s="5">
        <f t="shared" si="35"/>
        <v>1702.8306301254197</v>
      </c>
    </row>
    <row r="148" spans="2:32" x14ac:dyDescent="0.25">
      <c r="B148" s="10">
        <v>325</v>
      </c>
      <c r="C148" s="10">
        <v>7</v>
      </c>
      <c r="D148" s="9" t="s">
        <v>179</v>
      </c>
      <c r="E148" s="162">
        <v>407.25024077788987</v>
      </c>
      <c r="F148" s="162">
        <f>INDEX('2016 Lockdown Update'!H$5:H$245,MATCH(B148,'2016 Lockdown Update'!B$5:B$245,0))</f>
        <v>407.25024077788987</v>
      </c>
      <c r="G148" s="162">
        <f t="shared" si="30"/>
        <v>0</v>
      </c>
      <c r="H148" s="5">
        <v>192451.15</v>
      </c>
      <c r="I148" s="5">
        <f>INDEX('2016 Lockdown Update'!E$5:E$245,MATCH(B148,'2016 Lockdown Update'!B$5:B$245,0))</f>
        <v>192451.15</v>
      </c>
      <c r="J148" s="5">
        <f t="shared" si="19"/>
        <v>0</v>
      </c>
      <c r="K148" s="5">
        <v>1208</v>
      </c>
      <c r="L148" s="5">
        <f>INDEX('2016 Lockdown Update'!F$5:F$245,MATCH(B148,'2016 Lockdown Update'!B$5:B$245,0))</f>
        <v>1208</v>
      </c>
      <c r="M148" s="5">
        <f t="shared" si="20"/>
        <v>0</v>
      </c>
      <c r="N148" s="5">
        <v>191243.15</v>
      </c>
      <c r="O148" s="105">
        <f t="shared" si="21"/>
        <v>191243.15</v>
      </c>
      <c r="P148" s="105">
        <f t="shared" si="22"/>
        <v>0</v>
      </c>
      <c r="Q148" s="103">
        <f t="shared" si="23"/>
        <v>469.5961618947257</v>
      </c>
      <c r="R148" s="6">
        <f t="shared" si="24"/>
        <v>469.5961618947257</v>
      </c>
      <c r="S148" s="5">
        <f t="shared" si="25"/>
        <v>191243.15</v>
      </c>
      <c r="T148" s="140">
        <v>0.28229166666666666</v>
      </c>
      <c r="U148" s="105">
        <f t="shared" si="26"/>
        <v>46482.37357441381</v>
      </c>
      <c r="V148" s="105">
        <f t="shared" si="27"/>
        <v>20277.845983213039</v>
      </c>
      <c r="W148" s="105">
        <f t="shared" si="28"/>
        <v>3936.4760120831688</v>
      </c>
      <c r="X148" s="105">
        <f t="shared" si="29"/>
        <v>2855.4801546296721</v>
      </c>
      <c r="Y148" s="105">
        <f t="shared" si="31"/>
        <v>73552.175724339671</v>
      </c>
      <c r="Z148" s="112">
        <f t="shared" si="32"/>
        <v>0.38460031496207669</v>
      </c>
      <c r="AA148" s="104">
        <f t="shared" si="33"/>
        <v>73573.894092277696</v>
      </c>
      <c r="AB148" s="105"/>
      <c r="AC148" s="104">
        <v>72614.729024227097</v>
      </c>
      <c r="AD148" s="5">
        <f t="shared" si="34"/>
        <v>959.16506805059907</v>
      </c>
      <c r="AE148" s="5">
        <v>-296.17415182695549</v>
      </c>
      <c r="AF148" s="5">
        <f t="shared" si="35"/>
        <v>1255.3392198775546</v>
      </c>
    </row>
    <row r="149" spans="2:32" x14ac:dyDescent="0.25">
      <c r="B149" s="10">
        <v>346</v>
      </c>
      <c r="C149" s="10">
        <v>7</v>
      </c>
      <c r="D149" s="9" t="s">
        <v>180</v>
      </c>
      <c r="E149" s="162">
        <v>192.62540121183011</v>
      </c>
      <c r="F149" s="162">
        <f>INDEX('2016 Lockdown Update'!H$5:H$245,MATCH(B149,'2016 Lockdown Update'!B$5:B$245,0))</f>
        <v>204.1760369099087</v>
      </c>
      <c r="G149" s="162">
        <f t="shared" si="30"/>
        <v>11.550635698078594</v>
      </c>
      <c r="H149" s="5">
        <v>79325.77</v>
      </c>
      <c r="I149" s="5">
        <f>INDEX('2016 Lockdown Update'!E$5:E$245,MATCH(B149,'2016 Lockdown Update'!B$5:B$245,0))</f>
        <v>79325.77</v>
      </c>
      <c r="J149" s="5">
        <f t="shared" si="19"/>
        <v>0</v>
      </c>
      <c r="K149" s="5">
        <v>0</v>
      </c>
      <c r="L149" s="5">
        <f>INDEX('2016 Lockdown Update'!F$5:F$245,MATCH(B149,'2016 Lockdown Update'!B$5:B$245,0))</f>
        <v>0</v>
      </c>
      <c r="M149" s="5">
        <f t="shared" si="20"/>
        <v>0</v>
      </c>
      <c r="N149" s="5">
        <v>79325.77</v>
      </c>
      <c r="O149" s="105">
        <f t="shared" si="21"/>
        <v>79325.77</v>
      </c>
      <c r="P149" s="105">
        <f t="shared" si="22"/>
        <v>0</v>
      </c>
      <c r="Q149" s="103">
        <f t="shared" si="23"/>
        <v>388.51655267949963</v>
      </c>
      <c r="R149" s="6">
        <f t="shared" si="24"/>
        <v>388.51655267949963</v>
      </c>
      <c r="S149" s="5">
        <f t="shared" si="25"/>
        <v>79325.77</v>
      </c>
      <c r="T149" s="140">
        <v>0.29641666666666666</v>
      </c>
      <c r="U149" s="105">
        <f t="shared" si="26"/>
        <v>19280.429522406572</v>
      </c>
      <c r="V149" s="105">
        <f t="shared" si="27"/>
        <v>10166.354283827175</v>
      </c>
      <c r="W149" s="105">
        <f t="shared" si="28"/>
        <v>1714.5121952800043</v>
      </c>
      <c r="X149" s="105">
        <f t="shared" si="29"/>
        <v>1184.4249688719194</v>
      </c>
      <c r="Y149" s="105">
        <f t="shared" si="31"/>
        <v>32345.720970385672</v>
      </c>
      <c r="Z149" s="112">
        <f t="shared" si="32"/>
        <v>0.40775804597151305</v>
      </c>
      <c r="AA149" s="104">
        <f t="shared" si="33"/>
        <v>32355.271962757241</v>
      </c>
      <c r="AB149" s="105"/>
      <c r="AC149" s="104">
        <v>30897.623399261549</v>
      </c>
      <c r="AD149" s="5">
        <f t="shared" si="34"/>
        <v>1457.6485634956916</v>
      </c>
      <c r="AE149" s="5">
        <v>-119.71331664176978</v>
      </c>
      <c r="AF149" s="5">
        <f t="shared" si="35"/>
        <v>1577.3618801374614</v>
      </c>
    </row>
    <row r="150" spans="2:32" x14ac:dyDescent="0.25">
      <c r="B150" s="10">
        <v>358</v>
      </c>
      <c r="C150" s="10">
        <v>7</v>
      </c>
      <c r="D150" s="9" t="s">
        <v>181</v>
      </c>
      <c r="E150" s="162">
        <v>411.25000000000006</v>
      </c>
      <c r="F150" s="162">
        <f>INDEX('2016 Lockdown Update'!H$5:H$245,MATCH(B150,'2016 Lockdown Update'!B$5:B$245,0))</f>
        <v>411.25000000000006</v>
      </c>
      <c r="G150" s="162">
        <f t="shared" si="30"/>
        <v>0</v>
      </c>
      <c r="H150" s="5">
        <v>224962</v>
      </c>
      <c r="I150" s="5">
        <f>INDEX('2016 Lockdown Update'!E$5:E$245,MATCH(B150,'2016 Lockdown Update'!B$5:B$245,0))</f>
        <v>224962</v>
      </c>
      <c r="J150" s="5">
        <f t="shared" si="19"/>
        <v>0</v>
      </c>
      <c r="K150" s="5">
        <v>54447.16</v>
      </c>
      <c r="L150" s="5">
        <f>INDEX('2016 Lockdown Update'!F$5:F$245,MATCH(B150,'2016 Lockdown Update'!B$5:B$245,0))</f>
        <v>54447.16</v>
      </c>
      <c r="M150" s="5">
        <f t="shared" si="20"/>
        <v>0</v>
      </c>
      <c r="N150" s="5">
        <v>170514.84</v>
      </c>
      <c r="O150" s="105">
        <f t="shared" si="21"/>
        <v>170514.84</v>
      </c>
      <c r="P150" s="105">
        <f t="shared" si="22"/>
        <v>0</v>
      </c>
      <c r="Q150" s="103">
        <f t="shared" si="23"/>
        <v>414.62575075987837</v>
      </c>
      <c r="R150" s="6">
        <f t="shared" si="24"/>
        <v>414.62575075987837</v>
      </c>
      <c r="S150" s="5">
        <f t="shared" si="25"/>
        <v>170514.84</v>
      </c>
      <c r="T150" s="140">
        <v>0.63733333333333331</v>
      </c>
      <c r="U150" s="105">
        <f t="shared" si="26"/>
        <v>41444.27914339101</v>
      </c>
      <c r="V150" s="105">
        <f t="shared" si="27"/>
        <v>20477.002406843298</v>
      </c>
      <c r="W150" s="105">
        <f t="shared" si="28"/>
        <v>7924.1461722163604</v>
      </c>
      <c r="X150" s="105">
        <f t="shared" si="29"/>
        <v>2545.9826492601369</v>
      </c>
      <c r="Y150" s="105">
        <f t="shared" si="31"/>
        <v>72391.410371710808</v>
      </c>
      <c r="Z150" s="112">
        <f t="shared" si="32"/>
        <v>0.42454610033772316</v>
      </c>
      <c r="AA150" s="104">
        <f t="shared" si="33"/>
        <v>72412.785990725781</v>
      </c>
      <c r="AB150" s="105"/>
      <c r="AC150" s="104">
        <v>70924.963750739407</v>
      </c>
      <c r="AD150" s="5">
        <f t="shared" si="34"/>
        <v>1487.8222399863735</v>
      </c>
      <c r="AE150" s="5">
        <v>-285.61642907690839</v>
      </c>
      <c r="AF150" s="5">
        <f t="shared" si="35"/>
        <v>1773.4386690632818</v>
      </c>
    </row>
    <row r="151" spans="2:32" x14ac:dyDescent="0.25">
      <c r="B151" s="10">
        <v>361</v>
      </c>
      <c r="C151" s="10">
        <v>7</v>
      </c>
      <c r="D151" s="9" t="s">
        <v>182</v>
      </c>
      <c r="E151" s="162">
        <v>1469.7815355239331</v>
      </c>
      <c r="F151" s="162">
        <f>INDEX('2016 Lockdown Update'!H$5:H$245,MATCH(B151,'2016 Lockdown Update'!B$5:B$245,0))</f>
        <v>1452.1613129112907</v>
      </c>
      <c r="G151" s="162">
        <f t="shared" si="30"/>
        <v>-17.620222612642465</v>
      </c>
      <c r="H151" s="5">
        <v>759863.23</v>
      </c>
      <c r="I151" s="5">
        <f>INDEX('2016 Lockdown Update'!E$5:E$245,MATCH(B151,'2016 Lockdown Update'!B$5:B$245,0))</f>
        <v>751691.05</v>
      </c>
      <c r="J151" s="5">
        <f t="shared" si="19"/>
        <v>-8172.1799999999348</v>
      </c>
      <c r="K151" s="5">
        <v>10291</v>
      </c>
      <c r="L151" s="5">
        <f>INDEX('2016 Lockdown Update'!F$5:F$245,MATCH(B151,'2016 Lockdown Update'!B$5:B$245,0))</f>
        <v>10291</v>
      </c>
      <c r="M151" s="5">
        <f t="shared" si="20"/>
        <v>0</v>
      </c>
      <c r="N151" s="5">
        <v>749572.23</v>
      </c>
      <c r="O151" s="105">
        <f t="shared" si="21"/>
        <v>741400.05</v>
      </c>
      <c r="P151" s="105">
        <f t="shared" si="22"/>
        <v>-8172.1799999999348</v>
      </c>
      <c r="Q151" s="103">
        <f t="shared" si="23"/>
        <v>510.54937451380135</v>
      </c>
      <c r="R151" s="6">
        <f t="shared" si="24"/>
        <v>510.54937451380135</v>
      </c>
      <c r="S151" s="5">
        <f t="shared" si="25"/>
        <v>741400.05</v>
      </c>
      <c r="T151" s="140">
        <v>0.63508333333333333</v>
      </c>
      <c r="U151" s="105">
        <f t="shared" si="26"/>
        <v>180200.0965377797</v>
      </c>
      <c r="V151" s="105">
        <f t="shared" si="27"/>
        <v>72306.165834916043</v>
      </c>
      <c r="W151" s="105">
        <f t="shared" si="28"/>
        <v>34332.623392860471</v>
      </c>
      <c r="X151" s="105">
        <f t="shared" si="29"/>
        <v>11069.955339139973</v>
      </c>
      <c r="Y151" s="105">
        <f t="shared" si="31"/>
        <v>297908.84110469616</v>
      </c>
      <c r="Z151" s="112">
        <f t="shared" si="32"/>
        <v>0.40181928920114873</v>
      </c>
      <c r="AA151" s="104">
        <f t="shared" si="33"/>
        <v>297996.80714729632</v>
      </c>
      <c r="AB151" s="105"/>
      <c r="AC151" s="104">
        <v>299313.90532175894</v>
      </c>
      <c r="AD151" s="5">
        <f t="shared" si="34"/>
        <v>-1317.0981744626188</v>
      </c>
      <c r="AE151" s="5">
        <v>-1922.5720222025411</v>
      </c>
      <c r="AF151" s="5">
        <f t="shared" si="35"/>
        <v>605.47384773992235</v>
      </c>
    </row>
    <row r="152" spans="2:32" x14ac:dyDescent="0.25">
      <c r="B152" s="10">
        <v>376</v>
      </c>
      <c r="C152" s="10">
        <v>7</v>
      </c>
      <c r="D152" s="9" t="s">
        <v>183</v>
      </c>
      <c r="E152" s="162">
        <v>821.24811474644969</v>
      </c>
      <c r="F152" s="162">
        <f>INDEX('2016 Lockdown Update'!H$5:H$245,MATCH(B152,'2016 Lockdown Update'!B$5:B$245,0))</f>
        <v>819.17770525166554</v>
      </c>
      <c r="G152" s="162">
        <f t="shared" si="30"/>
        <v>-2.070409494784144</v>
      </c>
      <c r="H152" s="5">
        <v>268362.34000000003</v>
      </c>
      <c r="I152" s="5">
        <f>INDEX('2016 Lockdown Update'!E$5:E$245,MATCH(B152,'2016 Lockdown Update'!B$5:B$245,0))</f>
        <v>268362.34000000003</v>
      </c>
      <c r="J152" s="5">
        <f t="shared" si="19"/>
        <v>0</v>
      </c>
      <c r="K152" s="5">
        <v>158</v>
      </c>
      <c r="L152" s="5">
        <f>INDEX('2016 Lockdown Update'!F$5:F$245,MATCH(B152,'2016 Lockdown Update'!B$5:B$245,0))</f>
        <v>158</v>
      </c>
      <c r="M152" s="5">
        <f t="shared" si="20"/>
        <v>0</v>
      </c>
      <c r="N152" s="5">
        <v>268204.34000000003</v>
      </c>
      <c r="O152" s="105">
        <f t="shared" si="21"/>
        <v>268204.34000000003</v>
      </c>
      <c r="P152" s="105">
        <f t="shared" si="22"/>
        <v>0</v>
      </c>
      <c r="Q152" s="103">
        <f t="shared" si="23"/>
        <v>327.40678644031578</v>
      </c>
      <c r="R152" s="6">
        <f t="shared" si="24"/>
        <v>327.40678644031578</v>
      </c>
      <c r="S152" s="5">
        <f t="shared" si="25"/>
        <v>268204.34000000003</v>
      </c>
      <c r="T152" s="140">
        <v>0.81525000000000003</v>
      </c>
      <c r="U152" s="105">
        <f t="shared" si="26"/>
        <v>65188.082951776822</v>
      </c>
      <c r="V152" s="105">
        <f t="shared" si="27"/>
        <v>40788.580770992645</v>
      </c>
      <c r="W152" s="105">
        <f t="shared" si="28"/>
        <v>15943.375387930817</v>
      </c>
      <c r="X152" s="105">
        <f t="shared" si="29"/>
        <v>4004.5992248901421</v>
      </c>
      <c r="Y152" s="105">
        <f t="shared" si="31"/>
        <v>125924.63833559044</v>
      </c>
      <c r="Z152" s="112">
        <f t="shared" si="32"/>
        <v>0.46951006958198527</v>
      </c>
      <c r="AA152" s="104">
        <f t="shared" si="33"/>
        <v>125961.82115990396</v>
      </c>
      <c r="AB152" s="105"/>
      <c r="AC152" s="104">
        <v>123673.17653698391</v>
      </c>
      <c r="AD152" s="5">
        <f t="shared" si="34"/>
        <v>2288.6446229200519</v>
      </c>
      <c r="AE152" s="5">
        <v>-360.07584883982781</v>
      </c>
      <c r="AF152" s="5">
        <f t="shared" si="35"/>
        <v>2648.7204717598797</v>
      </c>
    </row>
    <row r="153" spans="2:32" x14ac:dyDescent="0.25">
      <c r="B153" s="10">
        <v>382</v>
      </c>
      <c r="C153" s="10">
        <v>7</v>
      </c>
      <c r="D153" s="9" t="s">
        <v>184</v>
      </c>
      <c r="E153" s="162">
        <v>187.95999999999998</v>
      </c>
      <c r="F153" s="162">
        <f>INDEX('2016 Lockdown Update'!H$5:H$245,MATCH(B153,'2016 Lockdown Update'!B$5:B$245,0))</f>
        <v>187.95999999999998</v>
      </c>
      <c r="G153" s="162">
        <f t="shared" si="30"/>
        <v>0</v>
      </c>
      <c r="H153" s="5">
        <v>88443.07</v>
      </c>
      <c r="I153" s="5">
        <f>INDEX('2016 Lockdown Update'!E$5:E$245,MATCH(B153,'2016 Lockdown Update'!B$5:B$245,0))</f>
        <v>88443.07</v>
      </c>
      <c r="J153" s="5">
        <f t="shared" si="19"/>
        <v>0</v>
      </c>
      <c r="K153" s="5">
        <v>24646.22</v>
      </c>
      <c r="L153" s="5">
        <f>INDEX('2016 Lockdown Update'!F$5:F$245,MATCH(B153,'2016 Lockdown Update'!B$5:B$245,0))</f>
        <v>24646.219999999998</v>
      </c>
      <c r="M153" s="5">
        <f t="shared" si="20"/>
        <v>0</v>
      </c>
      <c r="N153" s="5">
        <v>63796.85</v>
      </c>
      <c r="O153" s="105">
        <f t="shared" si="21"/>
        <v>63796.850000000006</v>
      </c>
      <c r="P153" s="105">
        <f t="shared" si="22"/>
        <v>0</v>
      </c>
      <c r="Q153" s="103">
        <f t="shared" si="23"/>
        <v>339.41716322621841</v>
      </c>
      <c r="R153" s="6">
        <f t="shared" si="24"/>
        <v>339.41716322621841</v>
      </c>
      <c r="S153" s="5">
        <f t="shared" si="25"/>
        <v>63796.850000000006</v>
      </c>
      <c r="T153" s="140">
        <v>0.72922833333333337</v>
      </c>
      <c r="U153" s="105">
        <f t="shared" si="26"/>
        <v>15506.06656798344</v>
      </c>
      <c r="V153" s="105">
        <f t="shared" si="27"/>
        <v>9358.9237018608274</v>
      </c>
      <c r="W153" s="105">
        <f t="shared" si="28"/>
        <v>3392.2389239778854</v>
      </c>
      <c r="X153" s="105">
        <f t="shared" si="29"/>
        <v>952.56033537873657</v>
      </c>
      <c r="Y153" s="105">
        <f t="shared" si="31"/>
        <v>29209.789529200891</v>
      </c>
      <c r="Z153" s="112">
        <f t="shared" si="32"/>
        <v>0.4578562974378968</v>
      </c>
      <c r="AA153" s="104">
        <f t="shared" si="33"/>
        <v>29218.414548789231</v>
      </c>
      <c r="AB153" s="105"/>
      <c r="AC153" s="104">
        <v>28274.903722956653</v>
      </c>
      <c r="AD153" s="5">
        <f t="shared" si="34"/>
        <v>943.51082583257812</v>
      </c>
      <c r="AE153" s="5">
        <v>-106.11139973971876</v>
      </c>
      <c r="AF153" s="5">
        <f t="shared" si="35"/>
        <v>1049.6222255722969</v>
      </c>
    </row>
    <row r="154" spans="2:32" x14ac:dyDescent="0.25">
      <c r="B154" s="10">
        <v>389</v>
      </c>
      <c r="C154" s="10">
        <v>7</v>
      </c>
      <c r="D154" s="9" t="s">
        <v>185</v>
      </c>
      <c r="E154" s="162">
        <v>938.91655471161232</v>
      </c>
      <c r="F154" s="162">
        <f>INDEX('2016 Lockdown Update'!H$5:H$245,MATCH(B154,'2016 Lockdown Update'!B$5:B$245,0))</f>
        <v>938.91655471161232</v>
      </c>
      <c r="G154" s="162">
        <f t="shared" si="30"/>
        <v>0</v>
      </c>
      <c r="H154" s="5">
        <v>142421.04999999999</v>
      </c>
      <c r="I154" s="5">
        <f>INDEX('2016 Lockdown Update'!E$5:E$245,MATCH(B154,'2016 Lockdown Update'!B$5:B$245,0))</f>
        <v>142421.04999999999</v>
      </c>
      <c r="J154" s="5">
        <f t="shared" ref="J154:J217" si="36">I154-H154</f>
        <v>0</v>
      </c>
      <c r="K154" s="5">
        <v>791</v>
      </c>
      <c r="L154" s="5">
        <f>INDEX('2016 Lockdown Update'!F$5:F$245,MATCH(B154,'2016 Lockdown Update'!B$5:B$245,0))</f>
        <v>791</v>
      </c>
      <c r="M154" s="5">
        <f t="shared" ref="M154:M217" si="37">L154-K154</f>
        <v>0</v>
      </c>
      <c r="N154" s="5">
        <v>141630.04999999999</v>
      </c>
      <c r="O154" s="105">
        <f t="shared" ref="O154:O217" si="38">I154-L154</f>
        <v>141630.04999999999</v>
      </c>
      <c r="P154" s="105">
        <f t="shared" ref="P154:P217" si="39">O154-N154</f>
        <v>0</v>
      </c>
      <c r="Q154" s="103">
        <f t="shared" ref="Q154:Q217" si="40">IFERROR(O154/F154,"n.a.")</f>
        <v>150.84412910740676</v>
      </c>
      <c r="R154" s="6">
        <f t="shared" ref="R154:R217" si="41">MIN(Q154,INDEX($V$3:$V$11,MATCH(C154,$S$3:$S$11,0)))</f>
        <v>150.84412910740676</v>
      </c>
      <c r="S154" s="5">
        <f t="shared" ref="S154:S217" si="42">F154*R154</f>
        <v>141630.04999999999</v>
      </c>
      <c r="T154" s="140">
        <v>0.3823333333333333</v>
      </c>
      <c r="U154" s="105">
        <f t="shared" ref="U154:U217" si="43">$E$14*(S154/$S$24)</f>
        <v>34423.721286032502</v>
      </c>
      <c r="V154" s="105">
        <f t="shared" ref="V154:V217" si="44">$E$15*(F154/$F$24)</f>
        <v>46750.629910406569</v>
      </c>
      <c r="W154" s="105">
        <f t="shared" ref="W154:W217" si="45">IFERROR(T154*$E$16*(S154/$S$24),0)</f>
        <v>3948.4008315079277</v>
      </c>
      <c r="X154" s="105">
        <f t="shared" ref="X154:X217" si="46">($W$23+$E$9)*(S154/$S$24)</f>
        <v>2114.6995177302206</v>
      </c>
      <c r="Y154" s="105">
        <f t="shared" si="31"/>
        <v>87237.451545677206</v>
      </c>
      <c r="Z154" s="112">
        <f t="shared" si="32"/>
        <v>0.61595298134595877</v>
      </c>
      <c r="AA154" s="104">
        <f t="shared" si="33"/>
        <v>87263.210879809558</v>
      </c>
      <c r="AB154" s="105"/>
      <c r="AC154" s="104">
        <v>85657.114799243689</v>
      </c>
      <c r="AD154" s="5">
        <f t="shared" si="34"/>
        <v>1606.0960805658688</v>
      </c>
      <c r="AE154" s="5">
        <v>-201.53614792533335</v>
      </c>
      <c r="AF154" s="5">
        <f t="shared" si="35"/>
        <v>1807.6322284912021</v>
      </c>
    </row>
    <row r="155" spans="2:32" x14ac:dyDescent="0.25">
      <c r="B155" s="10">
        <v>434</v>
      </c>
      <c r="C155" s="10">
        <v>7</v>
      </c>
      <c r="D155" s="9" t="s">
        <v>186</v>
      </c>
      <c r="E155" s="162">
        <v>683.56158788791799</v>
      </c>
      <c r="F155" s="162">
        <f>INDEX('2016 Lockdown Update'!H$5:H$245,MATCH(B155,'2016 Lockdown Update'!B$5:B$245,0))</f>
        <v>683.56158788791799</v>
      </c>
      <c r="G155" s="162">
        <f t="shared" ref="G155:G217" si="47">F155-E155</f>
        <v>0</v>
      </c>
      <c r="H155" s="5">
        <v>152668.29999999999</v>
      </c>
      <c r="I155" s="5">
        <f>INDEX('2016 Lockdown Update'!E$5:E$245,MATCH(B155,'2016 Lockdown Update'!B$5:B$245,0))</f>
        <v>152668.29999999999</v>
      </c>
      <c r="J155" s="5">
        <f t="shared" si="36"/>
        <v>0</v>
      </c>
      <c r="K155" s="5">
        <v>0</v>
      </c>
      <c r="L155" s="5">
        <f>INDEX('2016 Lockdown Update'!F$5:F$245,MATCH(B155,'2016 Lockdown Update'!B$5:B$245,0))</f>
        <v>0</v>
      </c>
      <c r="M155" s="5">
        <f t="shared" si="37"/>
        <v>0</v>
      </c>
      <c r="N155" s="5">
        <v>152668.29999999999</v>
      </c>
      <c r="O155" s="105">
        <f t="shared" si="38"/>
        <v>152668.29999999999</v>
      </c>
      <c r="P155" s="105">
        <f t="shared" si="39"/>
        <v>0</v>
      </c>
      <c r="Q155" s="103">
        <f t="shared" si="40"/>
        <v>223.34242108559303</v>
      </c>
      <c r="R155" s="6">
        <f t="shared" si="41"/>
        <v>223.34242108559303</v>
      </c>
      <c r="S155" s="5">
        <f t="shared" si="42"/>
        <v>152668.29999999999</v>
      </c>
      <c r="T155" s="140">
        <v>0.54170833333333335</v>
      </c>
      <c r="U155" s="105">
        <f t="shared" si="43"/>
        <v>37106.609850186425</v>
      </c>
      <c r="V155" s="105">
        <f t="shared" si="44"/>
        <v>34035.969070897321</v>
      </c>
      <c r="W155" s="105">
        <f t="shared" si="45"/>
        <v>6030.2879332784214</v>
      </c>
      <c r="X155" s="105">
        <f t="shared" si="46"/>
        <v>2279.5132839584016</v>
      </c>
      <c r="Y155" s="105">
        <f t="shared" ref="Y155:Y217" si="48">U155+V155+W155+X155</f>
        <v>79452.380138320557</v>
      </c>
      <c r="Z155" s="112">
        <f t="shared" ref="Z155:Z217" si="49">IFERROR((Y155/S155),0)</f>
        <v>0.5204248697229259</v>
      </c>
      <c r="AA155" s="104">
        <f t="shared" ref="AA155:AA217" si="50">IF(Z155&gt;$Z$19,$Z$19*S155,Y155+($Z$23*Y155/$Z$22))</f>
        <v>79475.840709111319</v>
      </c>
      <c r="AB155" s="105"/>
      <c r="AC155" s="104">
        <v>78629.920993109801</v>
      </c>
      <c r="AD155" s="5">
        <f t="shared" ref="AD155:AD218" si="51">AA155-AC155</f>
        <v>845.91971600151737</v>
      </c>
      <c r="AE155" s="5">
        <v>-242.98984035372268</v>
      </c>
      <c r="AF155" s="5">
        <f t="shared" ref="AF155:AF218" si="52">AD155-AE155</f>
        <v>1088.9095563552401</v>
      </c>
    </row>
    <row r="156" spans="2:32" x14ac:dyDescent="0.25">
      <c r="B156" s="10">
        <v>437</v>
      </c>
      <c r="C156" s="10">
        <v>7</v>
      </c>
      <c r="D156" s="9" t="s">
        <v>187</v>
      </c>
      <c r="E156" s="162">
        <v>339.1949298031704</v>
      </c>
      <c r="F156" s="162">
        <f>INDEX('2016 Lockdown Update'!H$5:H$245,MATCH(B156,'2016 Lockdown Update'!B$5:B$245,0))</f>
        <v>339.1949298031704</v>
      </c>
      <c r="G156" s="162">
        <f t="shared" si="47"/>
        <v>0</v>
      </c>
      <c r="H156" s="5">
        <v>223027.27</v>
      </c>
      <c r="I156" s="5">
        <f>INDEX('2016 Lockdown Update'!E$5:E$245,MATCH(B156,'2016 Lockdown Update'!B$5:B$245,0))</f>
        <v>223027.27</v>
      </c>
      <c r="J156" s="5">
        <f t="shared" si="36"/>
        <v>0</v>
      </c>
      <c r="K156" s="5">
        <v>0</v>
      </c>
      <c r="L156" s="5">
        <f>INDEX('2016 Lockdown Update'!F$5:F$245,MATCH(B156,'2016 Lockdown Update'!B$5:B$245,0))</f>
        <v>0</v>
      </c>
      <c r="M156" s="5">
        <f t="shared" si="37"/>
        <v>0</v>
      </c>
      <c r="N156" s="5">
        <v>223027.27</v>
      </c>
      <c r="O156" s="105">
        <f t="shared" si="38"/>
        <v>223027.27</v>
      </c>
      <c r="P156" s="105">
        <f t="shared" si="39"/>
        <v>0</v>
      </c>
      <c r="Q156" s="103">
        <f t="shared" si="40"/>
        <v>657.51946861180761</v>
      </c>
      <c r="R156" s="6">
        <f t="shared" si="41"/>
        <v>588.67949380837035</v>
      </c>
      <c r="S156" s="5">
        <f t="shared" si="42"/>
        <v>199677.09957889607</v>
      </c>
      <c r="T156" s="140">
        <v>0.24212500000000003</v>
      </c>
      <c r="U156" s="105">
        <f t="shared" si="43"/>
        <v>48532.27703518622</v>
      </c>
      <c r="V156" s="105">
        <f t="shared" si="44"/>
        <v>16889.228921504106</v>
      </c>
      <c r="W156" s="105">
        <f t="shared" si="45"/>
        <v>3525.2632731433391</v>
      </c>
      <c r="X156" s="105">
        <f t="shared" si="46"/>
        <v>2981.4087206864697</v>
      </c>
      <c r="Y156" s="105">
        <f t="shared" si="48"/>
        <v>71928.177950520127</v>
      </c>
      <c r="Z156" s="112">
        <f t="shared" si="49"/>
        <v>0.36022246968836796</v>
      </c>
      <c r="AA156" s="104">
        <f t="shared" si="50"/>
        <v>71949.416787012146</v>
      </c>
      <c r="AB156" s="105"/>
      <c r="AC156" s="104">
        <v>71311.160890172599</v>
      </c>
      <c r="AD156" s="5">
        <f t="shared" si="51"/>
        <v>638.25589683954604</v>
      </c>
      <c r="AE156" s="5">
        <v>-602.34127065507346</v>
      </c>
      <c r="AF156" s="5">
        <f t="shared" si="52"/>
        <v>1240.5971674946195</v>
      </c>
    </row>
    <row r="157" spans="2:32" x14ac:dyDescent="0.25">
      <c r="B157" s="10">
        <v>502</v>
      </c>
      <c r="C157" s="10">
        <v>7</v>
      </c>
      <c r="D157" s="9" t="s">
        <v>188</v>
      </c>
      <c r="E157" s="162">
        <v>656.20812800661986</v>
      </c>
      <c r="F157" s="162">
        <f>INDEX('2016 Lockdown Update'!H$5:H$245,MATCH(B157,'2016 Lockdown Update'!B$5:B$245,0))</f>
        <v>656.20812800661986</v>
      </c>
      <c r="G157" s="162">
        <f t="shared" si="47"/>
        <v>0</v>
      </c>
      <c r="H157" s="5">
        <v>295377.21999999997</v>
      </c>
      <c r="I157" s="5">
        <f>INDEX('2016 Lockdown Update'!E$5:E$245,MATCH(B157,'2016 Lockdown Update'!B$5:B$245,0))</f>
        <v>295377.21999999997</v>
      </c>
      <c r="J157" s="5">
        <f t="shared" si="36"/>
        <v>0</v>
      </c>
      <c r="K157" s="5">
        <v>0</v>
      </c>
      <c r="L157" s="5">
        <f>INDEX('2016 Lockdown Update'!F$5:F$245,MATCH(B157,'2016 Lockdown Update'!B$5:B$245,0))</f>
        <v>0</v>
      </c>
      <c r="M157" s="5">
        <f t="shared" si="37"/>
        <v>0</v>
      </c>
      <c r="N157" s="5">
        <v>295377.21999999997</v>
      </c>
      <c r="O157" s="105">
        <f t="shared" si="38"/>
        <v>295377.21999999997</v>
      </c>
      <c r="P157" s="105">
        <f t="shared" si="39"/>
        <v>0</v>
      </c>
      <c r="Q157" s="103">
        <f t="shared" si="40"/>
        <v>450.1273413014174</v>
      </c>
      <c r="R157" s="6">
        <f t="shared" si="41"/>
        <v>450.1273413014174</v>
      </c>
      <c r="S157" s="5">
        <f t="shared" si="42"/>
        <v>295377.21999999997</v>
      </c>
      <c r="T157" s="140">
        <v>0.43041666666666667</v>
      </c>
      <c r="U157" s="105">
        <f t="shared" si="43"/>
        <v>71792.554585154096</v>
      </c>
      <c r="V157" s="105">
        <f t="shared" si="44"/>
        <v>32673.982775882523</v>
      </c>
      <c r="W157" s="105">
        <f t="shared" si="45"/>
        <v>9270.2136108080231</v>
      </c>
      <c r="X157" s="105">
        <f t="shared" si="46"/>
        <v>4410.3215714637763</v>
      </c>
      <c r="Y157" s="105">
        <f t="shared" si="48"/>
        <v>118147.07254330843</v>
      </c>
      <c r="Z157" s="112">
        <f t="shared" si="49"/>
        <v>0.39998708276592365</v>
      </c>
      <c r="AA157" s="104">
        <f t="shared" si="50"/>
        <v>118181.95882052628</v>
      </c>
      <c r="AB157" s="105"/>
      <c r="AC157" s="104">
        <v>115693.70755161752</v>
      </c>
      <c r="AD157" s="5">
        <f t="shared" si="51"/>
        <v>2488.2512689087598</v>
      </c>
      <c r="AE157" s="5">
        <v>-469.9015925994463</v>
      </c>
      <c r="AF157" s="5">
        <f t="shared" si="52"/>
        <v>2958.1528615082061</v>
      </c>
    </row>
    <row r="158" spans="2:32" x14ac:dyDescent="0.25">
      <c r="B158" s="10">
        <v>503</v>
      </c>
      <c r="C158" s="10">
        <v>7</v>
      </c>
      <c r="D158" s="9" t="s">
        <v>189</v>
      </c>
      <c r="E158" s="162">
        <v>399.35999999999996</v>
      </c>
      <c r="F158" s="162">
        <f>INDEX('2016 Lockdown Update'!H$5:H$245,MATCH(B158,'2016 Lockdown Update'!B$5:B$245,0))</f>
        <v>399.3599999999999</v>
      </c>
      <c r="G158" s="162">
        <f t="shared" si="47"/>
        <v>0</v>
      </c>
      <c r="H158" s="5">
        <v>188923.85</v>
      </c>
      <c r="I158" s="5">
        <f>INDEX('2016 Lockdown Update'!E$5:E$245,MATCH(B158,'2016 Lockdown Update'!B$5:B$245,0))</f>
        <v>188923.85</v>
      </c>
      <c r="J158" s="5">
        <f t="shared" si="36"/>
        <v>0</v>
      </c>
      <c r="K158" s="5">
        <v>52644.45</v>
      </c>
      <c r="L158" s="5">
        <f>INDEX('2016 Lockdown Update'!F$5:F$245,MATCH(B158,'2016 Lockdown Update'!B$5:B$245,0))</f>
        <v>52644.45</v>
      </c>
      <c r="M158" s="5">
        <f t="shared" si="37"/>
        <v>0</v>
      </c>
      <c r="N158" s="5">
        <v>136279.4</v>
      </c>
      <c r="O158" s="105">
        <f t="shared" si="38"/>
        <v>136279.40000000002</v>
      </c>
      <c r="P158" s="105">
        <f t="shared" si="39"/>
        <v>0</v>
      </c>
      <c r="Q158" s="103">
        <f t="shared" si="40"/>
        <v>341.24449118589757</v>
      </c>
      <c r="R158" s="6">
        <f t="shared" si="41"/>
        <v>341.24449118589757</v>
      </c>
      <c r="S158" s="5">
        <f t="shared" si="42"/>
        <v>136279.40000000002</v>
      </c>
      <c r="T158" s="140">
        <v>0.64341666666666664</v>
      </c>
      <c r="U158" s="105">
        <f t="shared" si="43"/>
        <v>33123.225492243626</v>
      </c>
      <c r="V158" s="105">
        <f t="shared" si="44"/>
        <v>19884.974300782826</v>
      </c>
      <c r="W158" s="105">
        <f t="shared" si="45"/>
        <v>6393.6106006403252</v>
      </c>
      <c r="X158" s="105">
        <f t="shared" si="46"/>
        <v>2034.8081601084225</v>
      </c>
      <c r="Y158" s="105">
        <f t="shared" si="48"/>
        <v>61436.618553775195</v>
      </c>
      <c r="Z158" s="112">
        <f t="shared" si="49"/>
        <v>0.4508136853682595</v>
      </c>
      <c r="AA158" s="104">
        <f t="shared" si="50"/>
        <v>61454.759459512912</v>
      </c>
      <c r="AB158" s="105"/>
      <c r="AC158" s="104">
        <v>59455.882068161118</v>
      </c>
      <c r="AD158" s="5">
        <f t="shared" si="51"/>
        <v>1998.8773913517944</v>
      </c>
      <c r="AE158" s="5">
        <v>-221.65813193275972</v>
      </c>
      <c r="AF158" s="5">
        <f t="shared" si="52"/>
        <v>2220.5355232845541</v>
      </c>
    </row>
    <row r="159" spans="2:32" x14ac:dyDescent="0.25">
      <c r="B159" s="10">
        <v>510</v>
      </c>
      <c r="C159" s="10">
        <v>7</v>
      </c>
      <c r="D159" s="9" t="s">
        <v>190</v>
      </c>
      <c r="E159" s="162">
        <v>491.84552143497001</v>
      </c>
      <c r="F159" s="162">
        <f>INDEX('2016 Lockdown Update'!H$5:H$245,MATCH(B159,'2016 Lockdown Update'!B$5:B$245,0))</f>
        <v>491.84552143497001</v>
      </c>
      <c r="G159" s="162">
        <f t="shared" si="47"/>
        <v>0</v>
      </c>
      <c r="H159" s="5">
        <v>216786.91</v>
      </c>
      <c r="I159" s="5">
        <f>INDEX('2016 Lockdown Update'!E$5:E$245,MATCH(B159,'2016 Lockdown Update'!B$5:B$245,0))</f>
        <v>216786.91</v>
      </c>
      <c r="J159" s="5">
        <f t="shared" si="36"/>
        <v>0</v>
      </c>
      <c r="K159" s="5">
        <v>385</v>
      </c>
      <c r="L159" s="5">
        <f>INDEX('2016 Lockdown Update'!F$5:F$245,MATCH(B159,'2016 Lockdown Update'!B$5:B$245,0))</f>
        <v>385</v>
      </c>
      <c r="M159" s="5">
        <f t="shared" si="37"/>
        <v>0</v>
      </c>
      <c r="N159" s="5">
        <v>216401.91</v>
      </c>
      <c r="O159" s="105">
        <f t="shared" si="38"/>
        <v>216401.91</v>
      </c>
      <c r="P159" s="105">
        <f t="shared" si="39"/>
        <v>0</v>
      </c>
      <c r="Q159" s="103">
        <f t="shared" si="40"/>
        <v>439.97942559005668</v>
      </c>
      <c r="R159" s="6">
        <f t="shared" si="41"/>
        <v>439.97942559005668</v>
      </c>
      <c r="S159" s="5">
        <f t="shared" si="42"/>
        <v>216401.91</v>
      </c>
      <c r="T159" s="140">
        <v>0.51</v>
      </c>
      <c r="U159" s="105">
        <f t="shared" si="43"/>
        <v>52597.305696108204</v>
      </c>
      <c r="V159" s="105">
        <f t="shared" si="44"/>
        <v>24490.022920897209</v>
      </c>
      <c r="W159" s="105">
        <f t="shared" si="45"/>
        <v>8047.3877715045546</v>
      </c>
      <c r="X159" s="105">
        <f t="shared" si="46"/>
        <v>3231.1293734126234</v>
      </c>
      <c r="Y159" s="105">
        <f t="shared" si="48"/>
        <v>88365.845761922581</v>
      </c>
      <c r="Z159" s="112">
        <f t="shared" si="49"/>
        <v>0.40834133932515926</v>
      </c>
      <c r="AA159" s="104">
        <f t="shared" si="50"/>
        <v>88391.938286481003</v>
      </c>
      <c r="AB159" s="105"/>
      <c r="AC159" s="104">
        <v>85888.159427945895</v>
      </c>
      <c r="AD159" s="5">
        <f t="shared" si="51"/>
        <v>2503.7788585351082</v>
      </c>
      <c r="AE159" s="5">
        <v>-347.42970003666414</v>
      </c>
      <c r="AF159" s="5">
        <f t="shared" si="52"/>
        <v>2851.2085585717723</v>
      </c>
    </row>
    <row r="160" spans="2:32" x14ac:dyDescent="0.25">
      <c r="B160" s="10">
        <v>531</v>
      </c>
      <c r="C160" s="10">
        <v>7</v>
      </c>
      <c r="D160" s="9" t="s">
        <v>191</v>
      </c>
      <c r="E160" s="162">
        <v>2036.75</v>
      </c>
      <c r="F160" s="162">
        <f>INDEX('2016 Lockdown Update'!H$5:H$245,MATCH(B160,'2016 Lockdown Update'!B$5:B$245,0))</f>
        <v>2036.75</v>
      </c>
      <c r="G160" s="162">
        <f t="shared" si="47"/>
        <v>0</v>
      </c>
      <c r="H160" s="5">
        <v>890472.21</v>
      </c>
      <c r="I160" s="5">
        <f>INDEX('2016 Lockdown Update'!E$5:E$245,MATCH(B160,'2016 Lockdown Update'!B$5:B$245,0))</f>
        <v>890544.46</v>
      </c>
      <c r="J160" s="5">
        <f t="shared" si="36"/>
        <v>72.25</v>
      </c>
      <c r="K160" s="5">
        <v>3682.9</v>
      </c>
      <c r="L160" s="5">
        <f>INDEX('2016 Lockdown Update'!F$5:F$245,MATCH(B160,'2016 Lockdown Update'!B$5:B$245,0))</f>
        <v>3682.9</v>
      </c>
      <c r="M160" s="5">
        <f t="shared" si="37"/>
        <v>0</v>
      </c>
      <c r="N160" s="5">
        <v>886789.31</v>
      </c>
      <c r="O160" s="105">
        <f t="shared" si="38"/>
        <v>886861.55999999994</v>
      </c>
      <c r="P160" s="105">
        <f t="shared" si="39"/>
        <v>72.249999999883585</v>
      </c>
      <c r="Q160" s="103">
        <f t="shared" si="40"/>
        <v>435.42975819319992</v>
      </c>
      <c r="R160" s="6">
        <f t="shared" si="41"/>
        <v>435.42975819319992</v>
      </c>
      <c r="S160" s="5">
        <f t="shared" si="42"/>
        <v>886861.55999999994</v>
      </c>
      <c r="T160" s="140">
        <v>0.81825000000000003</v>
      </c>
      <c r="U160" s="105">
        <f t="shared" si="43"/>
        <v>215555.06872119292</v>
      </c>
      <c r="V160" s="105">
        <f t="shared" si="44"/>
        <v>101414.06602343607</v>
      </c>
      <c r="W160" s="105">
        <f t="shared" si="45"/>
        <v>52913.38049433483</v>
      </c>
      <c r="X160" s="105">
        <f t="shared" si="46"/>
        <v>13241.862960759179</v>
      </c>
      <c r="Y160" s="105">
        <f t="shared" si="48"/>
        <v>383124.37819972303</v>
      </c>
      <c r="Z160" s="112">
        <f t="shared" si="49"/>
        <v>0.43200020778860126</v>
      </c>
      <c r="AA160" s="104">
        <f t="shared" si="50"/>
        <v>383237.50654881436</v>
      </c>
      <c r="AB160" s="105"/>
      <c r="AC160" s="104">
        <v>377929.66648474621</v>
      </c>
      <c r="AD160" s="5">
        <f t="shared" si="51"/>
        <v>5307.8400640681502</v>
      </c>
      <c r="AE160" s="5">
        <v>-1574.2526903093094</v>
      </c>
      <c r="AF160" s="5">
        <f t="shared" si="52"/>
        <v>6882.0927543774596</v>
      </c>
    </row>
    <row r="161" spans="2:32" x14ac:dyDescent="0.25">
      <c r="B161" s="10">
        <v>550</v>
      </c>
      <c r="C161" s="10">
        <v>7</v>
      </c>
      <c r="D161" s="9" t="s">
        <v>192</v>
      </c>
      <c r="E161" s="162">
        <v>355.66</v>
      </c>
      <c r="F161" s="162">
        <f>INDEX('2016 Lockdown Update'!H$5:H$245,MATCH(B161,'2016 Lockdown Update'!B$5:B$245,0))</f>
        <v>355.66</v>
      </c>
      <c r="G161" s="162">
        <f t="shared" si="47"/>
        <v>0</v>
      </c>
      <c r="H161" s="5">
        <v>167639.38</v>
      </c>
      <c r="I161" s="5">
        <f>INDEX('2016 Lockdown Update'!E$5:E$245,MATCH(B161,'2016 Lockdown Update'!B$5:B$245,0))</f>
        <v>167639.38</v>
      </c>
      <c r="J161" s="5">
        <f t="shared" si="36"/>
        <v>0</v>
      </c>
      <c r="K161" s="5">
        <v>0</v>
      </c>
      <c r="L161" s="5">
        <f>INDEX('2016 Lockdown Update'!F$5:F$245,MATCH(B161,'2016 Lockdown Update'!B$5:B$245,0))</f>
        <v>0</v>
      </c>
      <c r="M161" s="5">
        <f t="shared" si="37"/>
        <v>0</v>
      </c>
      <c r="N161" s="5">
        <v>167639.38</v>
      </c>
      <c r="O161" s="105">
        <f t="shared" si="38"/>
        <v>167639.38</v>
      </c>
      <c r="P161" s="105">
        <f t="shared" si="39"/>
        <v>0</v>
      </c>
      <c r="Q161" s="103">
        <f t="shared" si="40"/>
        <v>471.34729798121799</v>
      </c>
      <c r="R161" s="6">
        <f t="shared" si="41"/>
        <v>471.34729798121799</v>
      </c>
      <c r="S161" s="5">
        <f t="shared" si="42"/>
        <v>167639.38</v>
      </c>
      <c r="T161" s="140">
        <v>0.67258333333333331</v>
      </c>
      <c r="U161" s="105">
        <f t="shared" si="43"/>
        <v>40745.387675025828</v>
      </c>
      <c r="V161" s="105">
        <f t="shared" si="44"/>
        <v>17709.05939457237</v>
      </c>
      <c r="W161" s="105">
        <f t="shared" si="45"/>
        <v>8221.4005981283353</v>
      </c>
      <c r="X161" s="105">
        <f t="shared" si="46"/>
        <v>2503.0487247486899</v>
      </c>
      <c r="Y161" s="105">
        <f t="shared" si="48"/>
        <v>69178.896392475232</v>
      </c>
      <c r="Z161" s="112">
        <f t="shared" si="49"/>
        <v>0.41266495015953431</v>
      </c>
      <c r="AA161" s="104">
        <f t="shared" si="50"/>
        <v>69199.323425538532</v>
      </c>
      <c r="AB161" s="105"/>
      <c r="AC161" s="104">
        <v>69257.506074165809</v>
      </c>
      <c r="AD161" s="5">
        <f t="shared" si="51"/>
        <v>-58.182648627276649</v>
      </c>
      <c r="AE161" s="5">
        <v>-294.06526738769026</v>
      </c>
      <c r="AF161" s="5">
        <f t="shared" si="52"/>
        <v>235.88261876041361</v>
      </c>
    </row>
    <row r="162" spans="2:32" x14ac:dyDescent="0.25">
      <c r="B162" s="10">
        <v>551</v>
      </c>
      <c r="C162" s="10">
        <v>7</v>
      </c>
      <c r="D162" s="9" t="s">
        <v>193</v>
      </c>
      <c r="E162" s="162">
        <v>175.91979999999998</v>
      </c>
      <c r="F162" s="162">
        <f>INDEX('2016 Lockdown Update'!H$5:H$245,MATCH(B162,'2016 Lockdown Update'!B$5:B$245,0))</f>
        <v>175.91979999999998</v>
      </c>
      <c r="G162" s="162">
        <f t="shared" si="47"/>
        <v>0</v>
      </c>
      <c r="H162" s="5">
        <v>93612.82</v>
      </c>
      <c r="I162" s="5">
        <f>INDEX('2016 Lockdown Update'!E$5:E$245,MATCH(B162,'2016 Lockdown Update'!B$5:B$245,0))</f>
        <v>93612.82</v>
      </c>
      <c r="J162" s="5">
        <f t="shared" si="36"/>
        <v>0</v>
      </c>
      <c r="K162" s="5">
        <v>492</v>
      </c>
      <c r="L162" s="5">
        <f>INDEX('2016 Lockdown Update'!F$5:F$245,MATCH(B162,'2016 Lockdown Update'!B$5:B$245,0))</f>
        <v>492</v>
      </c>
      <c r="M162" s="5">
        <f t="shared" si="37"/>
        <v>0</v>
      </c>
      <c r="N162" s="5">
        <v>93120.82</v>
      </c>
      <c r="O162" s="105">
        <f t="shared" si="38"/>
        <v>93120.82</v>
      </c>
      <c r="P162" s="105">
        <f t="shared" si="39"/>
        <v>0</v>
      </c>
      <c r="Q162" s="103">
        <f t="shared" si="40"/>
        <v>529.33677732694116</v>
      </c>
      <c r="R162" s="6">
        <f t="shared" si="41"/>
        <v>529.33677732694116</v>
      </c>
      <c r="S162" s="5">
        <f t="shared" si="42"/>
        <v>93120.82</v>
      </c>
      <c r="T162" s="140">
        <v>0.5665</v>
      </c>
      <c r="U162" s="105">
        <f t="shared" si="43"/>
        <v>22633.36879148741</v>
      </c>
      <c r="V162" s="105">
        <f t="shared" si="44"/>
        <v>8759.4168219121966</v>
      </c>
      <c r="W162" s="105">
        <f t="shared" si="45"/>
        <v>3846.5410261132856</v>
      </c>
      <c r="X162" s="105">
        <f t="shared" si="46"/>
        <v>1390.4009293553358</v>
      </c>
      <c r="Y162" s="105">
        <f t="shared" si="48"/>
        <v>36629.727568868228</v>
      </c>
      <c r="Z162" s="112">
        <f t="shared" si="49"/>
        <v>0.39335701263013173</v>
      </c>
      <c r="AA162" s="104">
        <f t="shared" si="50"/>
        <v>36640.543535805657</v>
      </c>
      <c r="AB162" s="105"/>
      <c r="AC162" s="104">
        <v>36403.174886321911</v>
      </c>
      <c r="AD162" s="5">
        <f t="shared" si="51"/>
        <v>237.36864948374568</v>
      </c>
      <c r="AE162" s="5">
        <v>-157.97360253932129</v>
      </c>
      <c r="AF162" s="5">
        <f t="shared" si="52"/>
        <v>395.34225202306698</v>
      </c>
    </row>
    <row r="163" spans="2:32" x14ac:dyDescent="0.25">
      <c r="B163" s="10">
        <v>555</v>
      </c>
      <c r="C163" s="10">
        <v>7</v>
      </c>
      <c r="D163" s="9" t="s">
        <v>194</v>
      </c>
      <c r="E163" s="162">
        <v>734.95</v>
      </c>
      <c r="F163" s="162">
        <f>INDEX('2016 Lockdown Update'!H$5:H$245,MATCH(B163,'2016 Lockdown Update'!B$5:B$245,0))</f>
        <v>734.95</v>
      </c>
      <c r="G163" s="162">
        <f t="shared" si="47"/>
        <v>0</v>
      </c>
      <c r="H163" s="5">
        <v>447734.39</v>
      </c>
      <c r="I163" s="5">
        <f>INDEX('2016 Lockdown Update'!E$5:E$245,MATCH(B163,'2016 Lockdown Update'!B$5:B$245,0))</f>
        <v>447734.39</v>
      </c>
      <c r="J163" s="5">
        <f t="shared" si="36"/>
        <v>0</v>
      </c>
      <c r="K163" s="5">
        <v>527.70000000000005</v>
      </c>
      <c r="L163" s="5">
        <f>INDEX('2016 Lockdown Update'!F$5:F$245,MATCH(B163,'2016 Lockdown Update'!B$5:B$245,0))</f>
        <v>527.70000000000005</v>
      </c>
      <c r="M163" s="5">
        <f t="shared" si="37"/>
        <v>0</v>
      </c>
      <c r="N163" s="5">
        <v>447206.69</v>
      </c>
      <c r="O163" s="105">
        <f t="shared" si="38"/>
        <v>447206.69</v>
      </c>
      <c r="P163" s="105">
        <f t="shared" si="39"/>
        <v>0</v>
      </c>
      <c r="Q163" s="103">
        <f t="shared" si="40"/>
        <v>608.48586978706032</v>
      </c>
      <c r="R163" s="6">
        <f t="shared" si="41"/>
        <v>588.67949380837035</v>
      </c>
      <c r="S163" s="5">
        <f t="shared" si="42"/>
        <v>432649.9939744618</v>
      </c>
      <c r="T163" s="140">
        <v>0.61641666666666661</v>
      </c>
      <c r="U163" s="105">
        <f t="shared" si="43"/>
        <v>105157.22339277939</v>
      </c>
      <c r="V163" s="105">
        <f t="shared" si="44"/>
        <v>36594.706185798132</v>
      </c>
      <c r="W163" s="105">
        <f t="shared" si="45"/>
        <v>19446.199535909727</v>
      </c>
      <c r="X163" s="105">
        <f t="shared" si="46"/>
        <v>6459.9619473676466</v>
      </c>
      <c r="Y163" s="105">
        <f t="shared" si="48"/>
        <v>167658.09106185488</v>
      </c>
      <c r="Z163" s="112">
        <f t="shared" si="49"/>
        <v>0.38751437281136608</v>
      </c>
      <c r="AA163" s="104">
        <f t="shared" si="50"/>
        <v>167707.596872847</v>
      </c>
      <c r="AB163" s="105"/>
      <c r="AC163" s="104">
        <v>170047.35199311867</v>
      </c>
      <c r="AD163" s="5">
        <f t="shared" si="51"/>
        <v>-2339.7551202716713</v>
      </c>
      <c r="AE163" s="5">
        <v>-1482.6955431034439</v>
      </c>
      <c r="AF163" s="5">
        <f t="shared" si="52"/>
        <v>-857.05957716822741</v>
      </c>
    </row>
    <row r="164" spans="2:32" x14ac:dyDescent="0.25">
      <c r="B164" s="10">
        <v>556</v>
      </c>
      <c r="C164" s="10">
        <v>7</v>
      </c>
      <c r="D164" s="9" t="s">
        <v>195</v>
      </c>
      <c r="E164" s="162">
        <v>406.52175612206997</v>
      </c>
      <c r="F164" s="162">
        <f>INDEX('2016 Lockdown Update'!H$5:H$245,MATCH(B164,'2016 Lockdown Update'!B$5:B$245,0))</f>
        <v>406.52175612206997</v>
      </c>
      <c r="G164" s="162">
        <f t="shared" si="47"/>
        <v>0</v>
      </c>
      <c r="H164" s="5">
        <v>162407.85999999999</v>
      </c>
      <c r="I164" s="5">
        <f>INDEX('2016 Lockdown Update'!E$5:E$245,MATCH(B164,'2016 Lockdown Update'!B$5:B$245,0))</f>
        <v>162407.85999999999</v>
      </c>
      <c r="J164" s="5">
        <f t="shared" si="36"/>
        <v>0</v>
      </c>
      <c r="K164" s="5">
        <v>511</v>
      </c>
      <c r="L164" s="5">
        <f>INDEX('2016 Lockdown Update'!F$5:F$245,MATCH(B164,'2016 Lockdown Update'!B$5:B$245,0))</f>
        <v>511</v>
      </c>
      <c r="M164" s="5">
        <f t="shared" si="37"/>
        <v>0</v>
      </c>
      <c r="N164" s="5">
        <v>161896.85999999999</v>
      </c>
      <c r="O164" s="105">
        <f t="shared" si="38"/>
        <v>161896.85999999999</v>
      </c>
      <c r="P164" s="105">
        <f t="shared" si="39"/>
        <v>0</v>
      </c>
      <c r="Q164" s="103">
        <f t="shared" si="40"/>
        <v>398.24894378195529</v>
      </c>
      <c r="R164" s="6">
        <f t="shared" si="41"/>
        <v>398.24894378195529</v>
      </c>
      <c r="S164" s="5">
        <f t="shared" si="42"/>
        <v>161896.85999999999</v>
      </c>
      <c r="T164" s="140">
        <v>0.72691666666666677</v>
      </c>
      <c r="U164" s="105">
        <f t="shared" si="43"/>
        <v>39349.646390182192</v>
      </c>
      <c r="V164" s="105">
        <f t="shared" si="44"/>
        <v>20241.573200111343</v>
      </c>
      <c r="W164" s="105">
        <f t="shared" si="45"/>
        <v>8581.1741365389826</v>
      </c>
      <c r="X164" s="105">
        <f t="shared" si="46"/>
        <v>2417.3062973855972</v>
      </c>
      <c r="Y164" s="105">
        <f t="shared" si="48"/>
        <v>70589.700024218124</v>
      </c>
      <c r="Z164" s="112">
        <f t="shared" si="49"/>
        <v>0.43601648620126499</v>
      </c>
      <c r="AA164" s="104">
        <f t="shared" si="50"/>
        <v>70610.543637104667</v>
      </c>
      <c r="AB164" s="105"/>
      <c r="AC164" s="104">
        <v>69189.314361302357</v>
      </c>
      <c r="AD164" s="5">
        <f t="shared" si="51"/>
        <v>1421.2292758023104</v>
      </c>
      <c r="AE164" s="5">
        <v>-277.07722768682288</v>
      </c>
      <c r="AF164" s="5">
        <f t="shared" si="52"/>
        <v>1698.3065034891333</v>
      </c>
    </row>
    <row r="165" spans="2:32" x14ac:dyDescent="0.25">
      <c r="B165" s="10">
        <v>558</v>
      </c>
      <c r="C165" s="10">
        <v>7</v>
      </c>
      <c r="D165" s="9" t="s">
        <v>196</v>
      </c>
      <c r="E165" s="162">
        <v>319.12656225206729</v>
      </c>
      <c r="F165" s="162">
        <f>INDEX('2016 Lockdown Update'!H$5:H$245,MATCH(B165,'2016 Lockdown Update'!B$5:B$245,0))</f>
        <v>293.56860272101767</v>
      </c>
      <c r="G165" s="162">
        <f t="shared" si="47"/>
        <v>-25.557959531049619</v>
      </c>
      <c r="H165" s="5">
        <v>257363.82</v>
      </c>
      <c r="I165" s="5">
        <f>INDEX('2016 Lockdown Update'!E$5:E$245,MATCH(B165,'2016 Lockdown Update'!B$5:B$245,0))</f>
        <v>159786.4</v>
      </c>
      <c r="J165" s="5">
        <f t="shared" si="36"/>
        <v>-97577.420000000013</v>
      </c>
      <c r="K165" s="5">
        <v>24635.33</v>
      </c>
      <c r="L165" s="5">
        <f>INDEX('2016 Lockdown Update'!F$5:F$245,MATCH(B165,'2016 Lockdown Update'!B$5:B$245,0))</f>
        <v>21493.200000000001</v>
      </c>
      <c r="M165" s="5">
        <f t="shared" si="37"/>
        <v>-3142.130000000001</v>
      </c>
      <c r="N165" s="5">
        <v>232728.49</v>
      </c>
      <c r="O165" s="105">
        <f t="shared" si="38"/>
        <v>138293.19999999998</v>
      </c>
      <c r="P165" s="105">
        <f t="shared" si="39"/>
        <v>-94435.290000000008</v>
      </c>
      <c r="Q165" s="103">
        <f t="shared" si="40"/>
        <v>471.07626196464184</v>
      </c>
      <c r="R165" s="6">
        <f t="shared" si="41"/>
        <v>471.07626196464184</v>
      </c>
      <c r="S165" s="5">
        <f t="shared" si="42"/>
        <v>138293.19999999998</v>
      </c>
      <c r="T165" s="140">
        <v>0.39983333333333332</v>
      </c>
      <c r="U165" s="105">
        <f t="shared" si="43"/>
        <v>33612.687226711772</v>
      </c>
      <c r="V165" s="105">
        <f t="shared" si="44"/>
        <v>14617.398138582133</v>
      </c>
      <c r="W165" s="105">
        <f t="shared" si="45"/>
        <v>4031.8418328440766</v>
      </c>
      <c r="X165" s="105">
        <f t="shared" si="46"/>
        <v>2064.8765099311122</v>
      </c>
      <c r="Y165" s="105">
        <f t="shared" si="48"/>
        <v>54326.803708069092</v>
      </c>
      <c r="Z165" s="112">
        <f t="shared" si="49"/>
        <v>0.39283785253410219</v>
      </c>
      <c r="AA165" s="104">
        <f t="shared" si="50"/>
        <v>54342.845239134753</v>
      </c>
      <c r="AB165" s="105"/>
      <c r="AC165" s="104">
        <v>69780.667915982514</v>
      </c>
      <c r="AD165" s="5">
        <f t="shared" si="51"/>
        <v>-15437.822676847762</v>
      </c>
      <c r="AE165" s="5">
        <v>-12578.842735722348</v>
      </c>
      <c r="AF165" s="5">
        <f t="shared" si="52"/>
        <v>-2858.9799411254135</v>
      </c>
    </row>
    <row r="166" spans="2:32" x14ac:dyDescent="0.25">
      <c r="B166" s="10">
        <v>600</v>
      </c>
      <c r="C166" s="10">
        <v>7</v>
      </c>
      <c r="D166" s="9" t="s">
        <v>197</v>
      </c>
      <c r="E166" s="162">
        <v>921.36</v>
      </c>
      <c r="F166" s="162">
        <f>INDEX('2016 Lockdown Update'!H$5:H$245,MATCH(B166,'2016 Lockdown Update'!B$5:B$245,0))</f>
        <v>791.53215440429835</v>
      </c>
      <c r="G166" s="162">
        <f t="shared" si="47"/>
        <v>-129.82784559570166</v>
      </c>
      <c r="H166" s="5">
        <v>251795.3</v>
      </c>
      <c r="I166" s="5">
        <f>INDEX('2016 Lockdown Update'!E$5:E$245,MATCH(B166,'2016 Lockdown Update'!B$5:B$245,0))</f>
        <v>251168.79</v>
      </c>
      <c r="J166" s="5">
        <f t="shared" si="36"/>
        <v>-626.50999999998021</v>
      </c>
      <c r="K166" s="5">
        <v>110</v>
      </c>
      <c r="L166" s="5">
        <f>INDEX('2016 Lockdown Update'!F$5:F$245,MATCH(B166,'2016 Lockdown Update'!B$5:B$245,0))</f>
        <v>110</v>
      </c>
      <c r="M166" s="5">
        <f t="shared" si="37"/>
        <v>0</v>
      </c>
      <c r="N166" s="5">
        <v>251685.3</v>
      </c>
      <c r="O166" s="105">
        <f t="shared" si="38"/>
        <v>251058.79</v>
      </c>
      <c r="P166" s="105">
        <f t="shared" si="39"/>
        <v>-626.50999999998021</v>
      </c>
      <c r="Q166" s="103">
        <f t="shared" si="40"/>
        <v>317.18078489046997</v>
      </c>
      <c r="R166" s="6">
        <f t="shared" si="41"/>
        <v>317.18078489046997</v>
      </c>
      <c r="S166" s="5">
        <f t="shared" si="42"/>
        <v>251058.79</v>
      </c>
      <c r="T166" s="140">
        <v>0.85233333333333339</v>
      </c>
      <c r="U166" s="105">
        <f t="shared" si="43"/>
        <v>61020.791939059287</v>
      </c>
      <c r="V166" s="105">
        <f t="shared" si="44"/>
        <v>39412.050652475809</v>
      </c>
      <c r="W166" s="105">
        <f t="shared" si="45"/>
        <v>15603.016498817458</v>
      </c>
      <c r="X166" s="105">
        <f t="shared" si="46"/>
        <v>3748.5964464104381</v>
      </c>
      <c r="Y166" s="105">
        <f t="shared" si="48"/>
        <v>119784.45553676298</v>
      </c>
      <c r="Z166" s="112">
        <f t="shared" si="49"/>
        <v>0.47711715465832916</v>
      </c>
      <c r="AA166" s="104">
        <f t="shared" si="50"/>
        <v>119819.82529779294</v>
      </c>
      <c r="AB166" s="105"/>
      <c r="AC166" s="104">
        <v>124980.46870191567</v>
      </c>
      <c r="AD166" s="5">
        <f t="shared" si="51"/>
        <v>-5160.643404122733</v>
      </c>
      <c r="AE166" s="5">
        <v>5764.0446546973544</v>
      </c>
      <c r="AF166" s="5">
        <f t="shared" si="52"/>
        <v>-10924.688058820087</v>
      </c>
    </row>
    <row r="167" spans="2:32" x14ac:dyDescent="0.25">
      <c r="B167" s="10">
        <v>604</v>
      </c>
      <c r="C167" s="10">
        <v>7</v>
      </c>
      <c r="D167" s="9" t="s">
        <v>198</v>
      </c>
      <c r="E167" s="162">
        <v>799.49592868506568</v>
      </c>
      <c r="F167" s="162">
        <f>INDEX('2016 Lockdown Update'!H$5:H$245,MATCH(B167,'2016 Lockdown Update'!B$5:B$245,0))</f>
        <v>799.49592868506568</v>
      </c>
      <c r="G167" s="162">
        <f t="shared" si="47"/>
        <v>0</v>
      </c>
      <c r="H167" s="5">
        <v>253895.84</v>
      </c>
      <c r="I167" s="5">
        <f>INDEX('2016 Lockdown Update'!E$5:E$245,MATCH(B167,'2016 Lockdown Update'!B$5:B$245,0))</f>
        <v>253895.84</v>
      </c>
      <c r="J167" s="5">
        <f t="shared" si="36"/>
        <v>0</v>
      </c>
      <c r="K167" s="5">
        <v>22377.5</v>
      </c>
      <c r="L167" s="5">
        <f>INDEX('2016 Lockdown Update'!F$5:F$245,MATCH(B167,'2016 Lockdown Update'!B$5:B$245,0))</f>
        <v>22377.5</v>
      </c>
      <c r="M167" s="5">
        <f t="shared" si="37"/>
        <v>0</v>
      </c>
      <c r="N167" s="5">
        <v>231518.34</v>
      </c>
      <c r="O167" s="105">
        <f t="shared" si="38"/>
        <v>231518.34</v>
      </c>
      <c r="P167" s="105">
        <f t="shared" si="39"/>
        <v>0</v>
      </c>
      <c r="Q167" s="103">
        <f t="shared" si="40"/>
        <v>289.58038645772615</v>
      </c>
      <c r="R167" s="6">
        <f t="shared" si="41"/>
        <v>289.58038645772615</v>
      </c>
      <c r="S167" s="5">
        <f t="shared" si="42"/>
        <v>231518.34</v>
      </c>
      <c r="T167" s="140">
        <v>0.65650000000000008</v>
      </c>
      <c r="U167" s="105">
        <f t="shared" si="43"/>
        <v>56271.411390202215</v>
      </c>
      <c r="V167" s="105">
        <f t="shared" si="44"/>
        <v>39808.583722663847</v>
      </c>
      <c r="W167" s="105">
        <f t="shared" si="45"/>
        <v>11082.654473300328</v>
      </c>
      <c r="X167" s="105">
        <f t="shared" si="46"/>
        <v>3456.8350568519968</v>
      </c>
      <c r="Y167" s="105">
        <f t="shared" si="48"/>
        <v>110619.48464301838</v>
      </c>
      <c r="Z167" s="112">
        <f t="shared" si="49"/>
        <v>0.47780009412221247</v>
      </c>
      <c r="AA167" s="104">
        <f t="shared" si="50"/>
        <v>110652.14818620976</v>
      </c>
      <c r="AB167" s="105"/>
      <c r="AC167" s="104">
        <v>107956.19486740227</v>
      </c>
      <c r="AD167" s="5">
        <f t="shared" si="51"/>
        <v>2695.9533188074856</v>
      </c>
      <c r="AE167" s="5">
        <v>-378.61043512026663</v>
      </c>
      <c r="AF167" s="5">
        <f t="shared" si="52"/>
        <v>3074.5637539277523</v>
      </c>
    </row>
    <row r="168" spans="2:32" x14ac:dyDescent="0.25">
      <c r="B168" s="10">
        <v>612</v>
      </c>
      <c r="C168" s="10">
        <v>7</v>
      </c>
      <c r="D168" s="9" t="s">
        <v>199</v>
      </c>
      <c r="E168" s="162">
        <v>527.85133024076686</v>
      </c>
      <c r="F168" s="162">
        <f>INDEX('2016 Lockdown Update'!H$5:H$245,MATCH(B168,'2016 Lockdown Update'!B$5:B$245,0))</f>
        <v>527.85133024076686</v>
      </c>
      <c r="G168" s="162">
        <f t="shared" si="47"/>
        <v>0</v>
      </c>
      <c r="H168" s="5">
        <v>179366.53</v>
      </c>
      <c r="I168" s="5">
        <f>INDEX('2016 Lockdown Update'!E$5:E$245,MATCH(B168,'2016 Lockdown Update'!B$5:B$245,0))</f>
        <v>179350.51</v>
      </c>
      <c r="J168" s="5">
        <f t="shared" si="36"/>
        <v>-16.019999999989523</v>
      </c>
      <c r="K168" s="5">
        <v>294.38</v>
      </c>
      <c r="L168" s="5">
        <f>INDEX('2016 Lockdown Update'!F$5:F$245,MATCH(B168,'2016 Lockdown Update'!B$5:B$245,0))</f>
        <v>294.38</v>
      </c>
      <c r="M168" s="5">
        <f t="shared" si="37"/>
        <v>0</v>
      </c>
      <c r="N168" s="5">
        <v>179072.15</v>
      </c>
      <c r="O168" s="105">
        <f t="shared" si="38"/>
        <v>179056.13</v>
      </c>
      <c r="P168" s="105">
        <f t="shared" si="39"/>
        <v>-16.019999999989523</v>
      </c>
      <c r="Q168" s="103">
        <f t="shared" si="40"/>
        <v>339.21697216965958</v>
      </c>
      <c r="R168" s="6">
        <f t="shared" si="41"/>
        <v>339.21697216965958</v>
      </c>
      <c r="S168" s="5">
        <f t="shared" si="42"/>
        <v>179056.13</v>
      </c>
      <c r="T168" s="140">
        <v>0.81525000000000003</v>
      </c>
      <c r="U168" s="105">
        <f t="shared" si="43"/>
        <v>43520.272100981412</v>
      </c>
      <c r="V168" s="105">
        <f t="shared" si="44"/>
        <v>26282.827865764422</v>
      </c>
      <c r="W168" s="105">
        <f t="shared" si="45"/>
        <v>10643.97054909753</v>
      </c>
      <c r="X168" s="105">
        <f t="shared" si="46"/>
        <v>2673.5139312429787</v>
      </c>
      <c r="Y168" s="105">
        <f t="shared" si="48"/>
        <v>83120.584447086352</v>
      </c>
      <c r="Z168" s="112">
        <f t="shared" si="49"/>
        <v>0.46421524047842622</v>
      </c>
      <c r="AA168" s="104">
        <f t="shared" si="50"/>
        <v>83145.128159335072</v>
      </c>
      <c r="AB168" s="105"/>
      <c r="AC168" s="104">
        <v>81553.796797021641</v>
      </c>
      <c r="AD168" s="5">
        <f t="shared" si="51"/>
        <v>1591.3313623134309</v>
      </c>
      <c r="AE168" s="5">
        <v>-311.03627990864334</v>
      </c>
      <c r="AF168" s="5">
        <f t="shared" si="52"/>
        <v>1902.3676422220742</v>
      </c>
    </row>
    <row r="169" spans="2:32" x14ac:dyDescent="0.25">
      <c r="B169" s="10">
        <v>711</v>
      </c>
      <c r="C169" s="10">
        <v>7</v>
      </c>
      <c r="D169" s="9" t="s">
        <v>200</v>
      </c>
      <c r="E169" s="162">
        <v>366.54838968446853</v>
      </c>
      <c r="F169" s="162">
        <f>INDEX('2016 Lockdown Update'!H$5:H$245,MATCH(B169,'2016 Lockdown Update'!B$5:B$245,0))</f>
        <v>366.54838968446853</v>
      </c>
      <c r="G169" s="162">
        <f t="shared" si="47"/>
        <v>0</v>
      </c>
      <c r="H169" s="5">
        <v>209200.52</v>
      </c>
      <c r="I169" s="5">
        <f>INDEX('2016 Lockdown Update'!E$5:E$245,MATCH(B169,'2016 Lockdown Update'!B$5:B$245,0))</f>
        <v>195130.52</v>
      </c>
      <c r="J169" s="5">
        <f t="shared" si="36"/>
        <v>-14070</v>
      </c>
      <c r="K169" s="5">
        <v>7704.24</v>
      </c>
      <c r="L169" s="5">
        <f>INDEX('2016 Lockdown Update'!F$5:F$245,MATCH(B169,'2016 Lockdown Update'!B$5:B$245,0))</f>
        <v>7704.2400000000007</v>
      </c>
      <c r="M169" s="5">
        <f t="shared" si="37"/>
        <v>0</v>
      </c>
      <c r="N169" s="5">
        <v>201496.28</v>
      </c>
      <c r="O169" s="105">
        <f t="shared" si="38"/>
        <v>187426.28</v>
      </c>
      <c r="P169" s="105">
        <f t="shared" si="39"/>
        <v>-14070</v>
      </c>
      <c r="Q169" s="103">
        <f t="shared" si="40"/>
        <v>511.32752257168534</v>
      </c>
      <c r="R169" s="6">
        <f t="shared" si="41"/>
        <v>511.32752257168534</v>
      </c>
      <c r="S169" s="5">
        <f t="shared" si="42"/>
        <v>187426.28</v>
      </c>
      <c r="T169" s="140">
        <v>0.62516666666666665</v>
      </c>
      <c r="U169" s="105">
        <f t="shared" si="43"/>
        <v>45554.66883191729</v>
      </c>
      <c r="V169" s="105">
        <f t="shared" si="44"/>
        <v>18251.215216518896</v>
      </c>
      <c r="W169" s="105">
        <f t="shared" si="45"/>
        <v>8543.7781394260874</v>
      </c>
      <c r="X169" s="105">
        <f t="shared" si="46"/>
        <v>2798.4898962188408</v>
      </c>
      <c r="Y169" s="105">
        <f t="shared" si="48"/>
        <v>75148.152084081114</v>
      </c>
      <c r="Z169" s="112">
        <f t="shared" si="49"/>
        <v>0.40094778642611439</v>
      </c>
      <c r="AA169" s="104">
        <f t="shared" si="50"/>
        <v>75170.341709347151</v>
      </c>
      <c r="AB169" s="105"/>
      <c r="AC169" s="104">
        <v>80144.104442145384</v>
      </c>
      <c r="AD169" s="5">
        <f t="shared" si="51"/>
        <v>-4973.7627327982336</v>
      </c>
      <c r="AE169" s="5">
        <v>-354.84020665094431</v>
      </c>
      <c r="AF169" s="5">
        <f t="shared" si="52"/>
        <v>-4618.9225261472893</v>
      </c>
    </row>
    <row r="170" spans="2:32" x14ac:dyDescent="0.25">
      <c r="B170" s="10">
        <v>712</v>
      </c>
      <c r="C170" s="10">
        <v>7</v>
      </c>
      <c r="D170" s="9" t="s">
        <v>201</v>
      </c>
      <c r="E170" s="162">
        <v>572.25774799404269</v>
      </c>
      <c r="F170" s="162">
        <f>INDEX('2016 Lockdown Update'!H$5:H$245,MATCH(B170,'2016 Lockdown Update'!B$5:B$245,0))</f>
        <v>572.25774799404269</v>
      </c>
      <c r="G170" s="162">
        <f t="shared" si="47"/>
        <v>0</v>
      </c>
      <c r="H170" s="5">
        <v>268020.83</v>
      </c>
      <c r="I170" s="5">
        <f>INDEX('2016 Lockdown Update'!E$5:E$245,MATCH(B170,'2016 Lockdown Update'!B$5:B$245,0))</f>
        <v>268020.83</v>
      </c>
      <c r="J170" s="5">
        <f t="shared" si="36"/>
        <v>0</v>
      </c>
      <c r="K170" s="5">
        <v>0</v>
      </c>
      <c r="L170" s="5">
        <f>INDEX('2016 Lockdown Update'!F$5:F$245,MATCH(B170,'2016 Lockdown Update'!B$5:B$245,0))</f>
        <v>0</v>
      </c>
      <c r="M170" s="5">
        <f t="shared" si="37"/>
        <v>0</v>
      </c>
      <c r="N170" s="5">
        <v>268020.83</v>
      </c>
      <c r="O170" s="105">
        <f t="shared" si="38"/>
        <v>268020.83</v>
      </c>
      <c r="P170" s="105">
        <f t="shared" si="39"/>
        <v>0</v>
      </c>
      <c r="Q170" s="103">
        <f t="shared" si="40"/>
        <v>468.35683909829766</v>
      </c>
      <c r="R170" s="6">
        <f t="shared" si="41"/>
        <v>468.35683909829766</v>
      </c>
      <c r="S170" s="5">
        <f t="shared" si="42"/>
        <v>268020.83</v>
      </c>
      <c r="T170" s="140">
        <v>0.72458333333333336</v>
      </c>
      <c r="U170" s="105">
        <f t="shared" si="43"/>
        <v>65143.480149665273</v>
      </c>
      <c r="V170" s="105">
        <f t="shared" si="44"/>
        <v>28493.916797589634</v>
      </c>
      <c r="W170" s="105">
        <f t="shared" si="45"/>
        <v>14160.563997533489</v>
      </c>
      <c r="X170" s="105">
        <f t="shared" si="46"/>
        <v>4001.8592095579538</v>
      </c>
      <c r="Y170" s="105">
        <f t="shared" si="48"/>
        <v>111799.82015434635</v>
      </c>
      <c r="Z170" s="112">
        <f t="shared" si="49"/>
        <v>0.41713108699180712</v>
      </c>
      <c r="AA170" s="104">
        <f t="shared" si="50"/>
        <v>111832.83222510571</v>
      </c>
      <c r="AB170" s="105"/>
      <c r="AC170" s="104">
        <v>111889.43906464448</v>
      </c>
      <c r="AD170" s="5">
        <f t="shared" si="51"/>
        <v>-56.606839538770146</v>
      </c>
      <c r="AE170" s="5">
        <v>-475.990022924816</v>
      </c>
      <c r="AF170" s="5">
        <f t="shared" si="52"/>
        <v>419.38318338604586</v>
      </c>
    </row>
    <row r="171" spans="2:32" x14ac:dyDescent="0.25">
      <c r="B171" s="10">
        <v>718</v>
      </c>
      <c r="C171" s="10">
        <v>7</v>
      </c>
      <c r="D171" s="9" t="s">
        <v>202</v>
      </c>
      <c r="E171" s="162">
        <v>39.392807763458428</v>
      </c>
      <c r="F171" s="162">
        <f>INDEX('2016 Lockdown Update'!H$5:H$245,MATCH(B171,'2016 Lockdown Update'!B$5:B$245,0))</f>
        <v>39.392807763458428</v>
      </c>
      <c r="G171" s="162">
        <f t="shared" si="47"/>
        <v>0</v>
      </c>
      <c r="H171" s="5">
        <v>27137.86</v>
      </c>
      <c r="I171" s="5">
        <f>INDEX('2016 Lockdown Update'!E$5:E$245,MATCH(B171,'2016 Lockdown Update'!B$5:B$245,0))</f>
        <v>27137.86</v>
      </c>
      <c r="J171" s="5">
        <f t="shared" si="36"/>
        <v>0</v>
      </c>
      <c r="K171" s="5">
        <v>0</v>
      </c>
      <c r="L171" s="5">
        <f>INDEX('2016 Lockdown Update'!F$5:F$245,MATCH(B171,'2016 Lockdown Update'!B$5:B$245,0))</f>
        <v>0</v>
      </c>
      <c r="M171" s="5">
        <f t="shared" si="37"/>
        <v>0</v>
      </c>
      <c r="N171" s="5">
        <v>27137.86</v>
      </c>
      <c r="O171" s="105">
        <f t="shared" si="38"/>
        <v>27137.86</v>
      </c>
      <c r="P171" s="105">
        <f t="shared" si="39"/>
        <v>0</v>
      </c>
      <c r="Q171" s="103">
        <f t="shared" si="40"/>
        <v>688.90392791888348</v>
      </c>
      <c r="R171" s="6">
        <f t="shared" si="41"/>
        <v>588.67949380837035</v>
      </c>
      <c r="S171" s="5">
        <f t="shared" si="42"/>
        <v>23189.738133883151</v>
      </c>
      <c r="T171" s="140">
        <v>0.51433333333333342</v>
      </c>
      <c r="U171" s="105">
        <f t="shared" si="43"/>
        <v>5636.3538826461827</v>
      </c>
      <c r="V171" s="105">
        <f t="shared" si="44"/>
        <v>1961.4507462240815</v>
      </c>
      <c r="W171" s="105">
        <f t="shared" si="45"/>
        <v>869.68940409230618</v>
      </c>
      <c r="X171" s="105">
        <f t="shared" si="46"/>
        <v>346.24945799293863</v>
      </c>
      <c r="Y171" s="105">
        <f t="shared" si="48"/>
        <v>8813.7434909555104</v>
      </c>
      <c r="Z171" s="112">
        <f t="shared" si="49"/>
        <v>0.38007085030759846</v>
      </c>
      <c r="AA171" s="104">
        <f t="shared" si="50"/>
        <v>8816.3459989325056</v>
      </c>
      <c r="AB171" s="105"/>
      <c r="AC171" s="104">
        <v>8734.0183543409858</v>
      </c>
      <c r="AD171" s="5">
        <f t="shared" si="51"/>
        <v>82.327644591519856</v>
      </c>
      <c r="AE171" s="5">
        <v>-75.122977199340312</v>
      </c>
      <c r="AF171" s="5">
        <f t="shared" si="52"/>
        <v>157.45062179086017</v>
      </c>
    </row>
    <row r="172" spans="2:32" x14ac:dyDescent="0.25">
      <c r="B172" s="10">
        <v>736</v>
      </c>
      <c r="C172" s="10">
        <v>7</v>
      </c>
      <c r="D172" s="9" t="s">
        <v>203</v>
      </c>
      <c r="E172" s="162">
        <v>125.18098204444361</v>
      </c>
      <c r="F172" s="162">
        <f>INDEX('2016 Lockdown Update'!H$5:H$245,MATCH(B172,'2016 Lockdown Update'!B$5:B$245,0))</f>
        <v>125.18098204444361</v>
      </c>
      <c r="G172" s="162">
        <f t="shared" si="47"/>
        <v>0</v>
      </c>
      <c r="H172" s="5">
        <v>50572.31</v>
      </c>
      <c r="I172" s="5">
        <f>INDEX('2016 Lockdown Update'!E$5:E$245,MATCH(B172,'2016 Lockdown Update'!B$5:B$245,0))</f>
        <v>50572.31</v>
      </c>
      <c r="J172" s="5">
        <f t="shared" si="36"/>
        <v>0</v>
      </c>
      <c r="K172" s="5">
        <v>0</v>
      </c>
      <c r="L172" s="5">
        <f>INDEX('2016 Lockdown Update'!F$5:F$245,MATCH(B172,'2016 Lockdown Update'!B$5:B$245,0))</f>
        <v>0</v>
      </c>
      <c r="M172" s="5">
        <f t="shared" si="37"/>
        <v>0</v>
      </c>
      <c r="N172" s="5">
        <v>50572.31</v>
      </c>
      <c r="O172" s="105">
        <f t="shared" si="38"/>
        <v>50572.31</v>
      </c>
      <c r="P172" s="105">
        <f t="shared" si="39"/>
        <v>0</v>
      </c>
      <c r="Q172" s="103">
        <f t="shared" si="40"/>
        <v>403.99355536326647</v>
      </c>
      <c r="R172" s="6">
        <f t="shared" si="41"/>
        <v>403.99355536326647</v>
      </c>
      <c r="S172" s="5">
        <f t="shared" si="42"/>
        <v>50572.31</v>
      </c>
      <c r="T172" s="140">
        <v>0.50658333333333339</v>
      </c>
      <c r="U172" s="105">
        <f t="shared" si="43"/>
        <v>12291.791920082174</v>
      </c>
      <c r="V172" s="105">
        <f t="shared" si="44"/>
        <v>6233.024366237275</v>
      </c>
      <c r="W172" s="105">
        <f t="shared" si="45"/>
        <v>1868.0450770544885</v>
      </c>
      <c r="X172" s="105">
        <f t="shared" si="46"/>
        <v>755.10274526841727</v>
      </c>
      <c r="Y172" s="105">
        <f t="shared" si="48"/>
        <v>21147.964108642354</v>
      </c>
      <c r="Z172" s="112">
        <f t="shared" si="49"/>
        <v>0.41817279275244407</v>
      </c>
      <c r="AA172" s="104">
        <f t="shared" si="50"/>
        <v>21154.20864541001</v>
      </c>
      <c r="AB172" s="105"/>
      <c r="AC172" s="104">
        <v>20573.034152494114</v>
      </c>
      <c r="AD172" s="5">
        <f t="shared" si="51"/>
        <v>581.17449291589583</v>
      </c>
      <c r="AE172" s="5">
        <v>-80.841078072982782</v>
      </c>
      <c r="AF172" s="5">
        <f t="shared" si="52"/>
        <v>662.01557098887861</v>
      </c>
    </row>
    <row r="173" spans="2:32" x14ac:dyDescent="0.25">
      <c r="B173" s="10">
        <v>757</v>
      </c>
      <c r="C173" s="10">
        <v>7</v>
      </c>
      <c r="D173" s="9" t="s">
        <v>204</v>
      </c>
      <c r="E173" s="162">
        <v>442.07000000000005</v>
      </c>
      <c r="F173" s="162">
        <f>INDEX('2016 Lockdown Update'!H$5:H$245,MATCH(B173,'2016 Lockdown Update'!B$5:B$245,0))</f>
        <v>442.07000000000005</v>
      </c>
      <c r="G173" s="162">
        <f t="shared" si="47"/>
        <v>0</v>
      </c>
      <c r="H173" s="5">
        <v>302772.49</v>
      </c>
      <c r="I173" s="5">
        <f>INDEX('2016 Lockdown Update'!E$5:E$245,MATCH(B173,'2016 Lockdown Update'!B$5:B$245,0))</f>
        <v>302772.49</v>
      </c>
      <c r="J173" s="5">
        <f t="shared" si="36"/>
        <v>0</v>
      </c>
      <c r="K173" s="5">
        <v>32550.52</v>
      </c>
      <c r="L173" s="5">
        <f>INDEX('2016 Lockdown Update'!F$5:F$245,MATCH(B173,'2016 Lockdown Update'!B$5:B$245,0))</f>
        <v>32550.520000000004</v>
      </c>
      <c r="M173" s="5">
        <f t="shared" si="37"/>
        <v>0</v>
      </c>
      <c r="N173" s="5">
        <v>270221.96999999997</v>
      </c>
      <c r="O173" s="105">
        <f t="shared" si="38"/>
        <v>270221.96999999997</v>
      </c>
      <c r="P173" s="105">
        <f t="shared" si="39"/>
        <v>0</v>
      </c>
      <c r="Q173" s="103">
        <f t="shared" si="40"/>
        <v>611.26511638428292</v>
      </c>
      <c r="R173" s="6">
        <f t="shared" si="41"/>
        <v>588.67949380837035</v>
      </c>
      <c r="S173" s="5">
        <f t="shared" si="42"/>
        <v>260237.54382786632</v>
      </c>
      <c r="T173" s="140">
        <v>0.69491666666666663</v>
      </c>
      <c r="U173" s="105">
        <f t="shared" si="43"/>
        <v>63251.72289985168</v>
      </c>
      <c r="V173" s="105">
        <f t="shared" si="44"/>
        <v>22011.595024907518</v>
      </c>
      <c r="W173" s="105">
        <f t="shared" si="45"/>
        <v>13186.402931546578</v>
      </c>
      <c r="X173" s="105">
        <f t="shared" si="46"/>
        <v>3885.6457964117503</v>
      </c>
      <c r="Y173" s="105">
        <f t="shared" si="48"/>
        <v>102335.36665271752</v>
      </c>
      <c r="Z173" s="112">
        <f t="shared" si="49"/>
        <v>0.39323828970814095</v>
      </c>
      <c r="AA173" s="104">
        <f t="shared" si="50"/>
        <v>102365.58407489638</v>
      </c>
      <c r="AB173" s="105"/>
      <c r="AC173" s="104">
        <v>102195.80073736589</v>
      </c>
      <c r="AD173" s="5">
        <f t="shared" si="51"/>
        <v>169.78333753049083</v>
      </c>
      <c r="AE173" s="5">
        <v>-890.84057965259126</v>
      </c>
      <c r="AF173" s="5">
        <f t="shared" si="52"/>
        <v>1060.6239171830821</v>
      </c>
    </row>
    <row r="174" spans="2:32" x14ac:dyDescent="0.25">
      <c r="B174" s="10">
        <v>786</v>
      </c>
      <c r="C174" s="10">
        <v>7</v>
      </c>
      <c r="D174" s="9" t="s">
        <v>205</v>
      </c>
      <c r="E174" s="162">
        <v>2943.9</v>
      </c>
      <c r="F174" s="162">
        <f>INDEX('2016 Lockdown Update'!H$5:H$245,MATCH(B174,'2016 Lockdown Update'!B$5:B$245,0))</f>
        <v>2943.9</v>
      </c>
      <c r="G174" s="162">
        <f t="shared" si="47"/>
        <v>0</v>
      </c>
      <c r="H174" s="5">
        <v>1892576.87</v>
      </c>
      <c r="I174" s="5">
        <f>INDEX('2016 Lockdown Update'!E$5:E$245,MATCH(B174,'2016 Lockdown Update'!B$5:B$245,0))</f>
        <v>1892576.87</v>
      </c>
      <c r="J174" s="5">
        <f t="shared" si="36"/>
        <v>0</v>
      </c>
      <c r="K174" s="5">
        <v>283456.15000000002</v>
      </c>
      <c r="L174" s="5">
        <f>INDEX('2016 Lockdown Update'!F$5:F$245,MATCH(B174,'2016 Lockdown Update'!B$5:B$245,0))</f>
        <v>283456.15000000002</v>
      </c>
      <c r="M174" s="5">
        <f t="shared" si="37"/>
        <v>0</v>
      </c>
      <c r="N174" s="5">
        <v>1609120.72</v>
      </c>
      <c r="O174" s="105">
        <f t="shared" si="38"/>
        <v>1609120.7200000002</v>
      </c>
      <c r="P174" s="105">
        <f t="shared" si="39"/>
        <v>0</v>
      </c>
      <c r="Q174" s="103">
        <f t="shared" si="40"/>
        <v>546.594897924522</v>
      </c>
      <c r="R174" s="6">
        <f t="shared" si="41"/>
        <v>546.594897924522</v>
      </c>
      <c r="S174" s="5">
        <f t="shared" si="42"/>
        <v>1609120.7200000004</v>
      </c>
      <c r="T174" s="140">
        <v>0.79725000000000001</v>
      </c>
      <c r="U174" s="105">
        <f t="shared" si="43"/>
        <v>391102.89928486192</v>
      </c>
      <c r="V174" s="105">
        <f t="shared" si="44"/>
        <v>146582.972365972</v>
      </c>
      <c r="W174" s="105">
        <f t="shared" si="45"/>
        <v>93542.035936456858</v>
      </c>
      <c r="X174" s="105">
        <f t="shared" si="46"/>
        <v>24026.022800625335</v>
      </c>
      <c r="Y174" s="105">
        <f t="shared" si="48"/>
        <v>655253.93038791604</v>
      </c>
      <c r="Z174" s="112">
        <f t="shared" si="49"/>
        <v>0.40721241249563667</v>
      </c>
      <c r="AA174" s="104">
        <f t="shared" si="50"/>
        <v>655447.41271271277</v>
      </c>
      <c r="AB174" s="105"/>
      <c r="AC174" s="104">
        <v>650747.99317632581</v>
      </c>
      <c r="AD174" s="5">
        <f t="shared" si="51"/>
        <v>4699.4195363869658</v>
      </c>
      <c r="AE174" s="5">
        <v>-2893.2602065469837</v>
      </c>
      <c r="AF174" s="5">
        <f t="shared" si="52"/>
        <v>7592.6797429339495</v>
      </c>
    </row>
    <row r="175" spans="2:32" x14ac:dyDescent="0.25">
      <c r="B175" s="10">
        <v>854</v>
      </c>
      <c r="C175" s="10">
        <v>7</v>
      </c>
      <c r="D175" s="9" t="s">
        <v>206</v>
      </c>
      <c r="E175" s="162">
        <v>791.89</v>
      </c>
      <c r="F175" s="162">
        <f>INDEX('2016 Lockdown Update'!H$5:H$245,MATCH(B175,'2016 Lockdown Update'!B$5:B$245,0))</f>
        <v>791.64</v>
      </c>
      <c r="G175" s="162">
        <f t="shared" si="47"/>
        <v>-0.25</v>
      </c>
      <c r="H175" s="5">
        <v>467918.86</v>
      </c>
      <c r="I175" s="5">
        <f>INDEX('2016 Lockdown Update'!E$5:E$245,MATCH(B175,'2016 Lockdown Update'!B$5:B$245,0))</f>
        <v>471437.34</v>
      </c>
      <c r="J175" s="5">
        <f t="shared" si="36"/>
        <v>3518.4800000000396</v>
      </c>
      <c r="K175" s="5">
        <v>32932.620000000003</v>
      </c>
      <c r="L175" s="5">
        <f>INDEX('2016 Lockdown Update'!F$5:F$245,MATCH(B175,'2016 Lockdown Update'!B$5:B$245,0))</f>
        <v>32277.73</v>
      </c>
      <c r="M175" s="5">
        <f t="shared" si="37"/>
        <v>-654.89000000000306</v>
      </c>
      <c r="N175" s="5">
        <v>434986.23999999999</v>
      </c>
      <c r="O175" s="105">
        <f t="shared" si="38"/>
        <v>439159.61000000004</v>
      </c>
      <c r="P175" s="105">
        <f t="shared" si="39"/>
        <v>4173.3700000000536</v>
      </c>
      <c r="Q175" s="103">
        <f t="shared" si="40"/>
        <v>554.74661462280847</v>
      </c>
      <c r="R175" s="6">
        <f t="shared" si="41"/>
        <v>554.74661462280847</v>
      </c>
      <c r="S175" s="5">
        <f t="shared" si="42"/>
        <v>439159.6100000001</v>
      </c>
      <c r="T175" s="140">
        <v>0.77841666666666676</v>
      </c>
      <c r="U175" s="105">
        <f t="shared" si="43"/>
        <v>106739.41027855837</v>
      </c>
      <c r="V175" s="105">
        <f t="shared" si="44"/>
        <v>39417.420511497694</v>
      </c>
      <c r="W175" s="105">
        <f t="shared" si="45"/>
        <v>24926.320785300344</v>
      </c>
      <c r="X175" s="105">
        <f t="shared" si="46"/>
        <v>6557.1580005344331</v>
      </c>
      <c r="Y175" s="105">
        <f t="shared" si="48"/>
        <v>177640.30957589083</v>
      </c>
      <c r="Z175" s="112">
        <f t="shared" si="49"/>
        <v>0.40450056319134353</v>
      </c>
      <c r="AA175" s="104">
        <f t="shared" si="50"/>
        <v>177692.76292028208</v>
      </c>
      <c r="AB175" s="105"/>
      <c r="AC175" s="104">
        <v>175140.04098647309</v>
      </c>
      <c r="AD175" s="5">
        <f t="shared" si="51"/>
        <v>2552.7219338089926</v>
      </c>
      <c r="AE175" s="5">
        <v>546.24980309448438</v>
      </c>
      <c r="AF175" s="5">
        <f t="shared" si="52"/>
        <v>2006.4721307145082</v>
      </c>
    </row>
    <row r="176" spans="2:32" x14ac:dyDescent="0.25">
      <c r="B176" s="10">
        <v>855</v>
      </c>
      <c r="C176" s="10">
        <v>7</v>
      </c>
      <c r="D176" s="9" t="s">
        <v>207</v>
      </c>
      <c r="E176" s="162">
        <v>193.09000000000003</v>
      </c>
      <c r="F176" s="162">
        <f>INDEX('2016 Lockdown Update'!H$5:H$245,MATCH(B176,'2016 Lockdown Update'!B$5:B$245,0))</f>
        <v>193.09000000000003</v>
      </c>
      <c r="G176" s="162">
        <f t="shared" si="47"/>
        <v>0</v>
      </c>
      <c r="H176" s="5">
        <v>127853.57</v>
      </c>
      <c r="I176" s="5">
        <f>INDEX('2016 Lockdown Update'!E$5:E$245,MATCH(B176,'2016 Lockdown Update'!B$5:B$245,0))</f>
        <v>127853.57</v>
      </c>
      <c r="J176" s="5">
        <f t="shared" si="36"/>
        <v>0</v>
      </c>
      <c r="K176" s="5">
        <v>9807.15</v>
      </c>
      <c r="L176" s="5">
        <f>INDEX('2016 Lockdown Update'!F$5:F$245,MATCH(B176,'2016 Lockdown Update'!B$5:B$245,0))</f>
        <v>9807.15</v>
      </c>
      <c r="M176" s="5">
        <f t="shared" si="37"/>
        <v>0</v>
      </c>
      <c r="N176" s="5">
        <v>118046.42</v>
      </c>
      <c r="O176" s="105">
        <f t="shared" si="38"/>
        <v>118046.42000000001</v>
      </c>
      <c r="P176" s="105">
        <f t="shared" si="39"/>
        <v>0</v>
      </c>
      <c r="Q176" s="103">
        <f t="shared" si="40"/>
        <v>611.35439432389035</v>
      </c>
      <c r="R176" s="6">
        <f t="shared" si="41"/>
        <v>588.67949380837035</v>
      </c>
      <c r="S176" s="5">
        <f t="shared" si="42"/>
        <v>113668.12345945825</v>
      </c>
      <c r="T176" s="140">
        <v>0.22216666666666668</v>
      </c>
      <c r="U176" s="105">
        <f t="shared" si="43"/>
        <v>27627.468895723214</v>
      </c>
      <c r="V176" s="105">
        <f t="shared" si="44"/>
        <v>9614.3571908507547</v>
      </c>
      <c r="W176" s="105">
        <f t="shared" si="45"/>
        <v>1841.3708018999523</v>
      </c>
      <c r="X176" s="105">
        <f t="shared" si="46"/>
        <v>1697.1957989213131</v>
      </c>
      <c r="Y176" s="105">
        <f t="shared" si="48"/>
        <v>40780.392687395237</v>
      </c>
      <c r="Z176" s="112">
        <f t="shared" si="49"/>
        <v>0.35876718508457023</v>
      </c>
      <c r="AA176" s="104">
        <f t="shared" si="50"/>
        <v>40792.434256041168</v>
      </c>
      <c r="AB176" s="105"/>
      <c r="AC176" s="104">
        <v>40775.320858611456</v>
      </c>
      <c r="AD176" s="5">
        <f t="shared" si="51"/>
        <v>17.113397429711767</v>
      </c>
      <c r="AE176" s="5">
        <v>-344.95482560026721</v>
      </c>
      <c r="AF176" s="5">
        <f t="shared" si="52"/>
        <v>362.06822302997898</v>
      </c>
    </row>
    <row r="177" spans="2:32" x14ac:dyDescent="0.25">
      <c r="B177" s="10">
        <v>862</v>
      </c>
      <c r="C177" s="10">
        <v>7</v>
      </c>
      <c r="D177" s="9" t="s">
        <v>208</v>
      </c>
      <c r="E177" s="162">
        <v>13.923162984356898</v>
      </c>
      <c r="F177" s="162">
        <f>INDEX('2016 Lockdown Update'!H$5:H$245,MATCH(B177,'2016 Lockdown Update'!B$5:B$245,0))</f>
        <v>13.923162984356898</v>
      </c>
      <c r="G177" s="162">
        <f t="shared" si="47"/>
        <v>0</v>
      </c>
      <c r="H177" s="5">
        <v>9941.26</v>
      </c>
      <c r="I177" s="5">
        <f>INDEX('2016 Lockdown Update'!E$5:E$245,MATCH(B177,'2016 Lockdown Update'!B$5:B$245,0))</f>
        <v>9941.26</v>
      </c>
      <c r="J177" s="5">
        <f t="shared" si="36"/>
        <v>0</v>
      </c>
      <c r="K177" s="5">
        <v>7583.34</v>
      </c>
      <c r="L177" s="5">
        <f>INDEX('2016 Lockdown Update'!F$5:F$245,MATCH(B177,'2016 Lockdown Update'!B$5:B$245,0))</f>
        <v>7583.34</v>
      </c>
      <c r="M177" s="5">
        <f t="shared" si="37"/>
        <v>0</v>
      </c>
      <c r="N177" s="5">
        <v>2357.92</v>
      </c>
      <c r="O177" s="105">
        <f t="shared" si="38"/>
        <v>2357.92</v>
      </c>
      <c r="P177" s="105">
        <f t="shared" si="39"/>
        <v>0</v>
      </c>
      <c r="Q177" s="103">
        <f t="shared" si="40"/>
        <v>169.35232336568893</v>
      </c>
      <c r="R177" s="6">
        <f t="shared" si="41"/>
        <v>169.35232336568893</v>
      </c>
      <c r="S177" s="5">
        <f t="shared" si="42"/>
        <v>2357.92</v>
      </c>
      <c r="T177" s="140">
        <v>0.33566666666666667</v>
      </c>
      <c r="U177" s="105">
        <f t="shared" si="43"/>
        <v>573.10140676192498</v>
      </c>
      <c r="V177" s="105">
        <f t="shared" si="44"/>
        <v>693.26356703111901</v>
      </c>
      <c r="W177" s="105">
        <f t="shared" si="45"/>
        <v>57.711311660925837</v>
      </c>
      <c r="X177" s="105">
        <f t="shared" si="46"/>
        <v>35.206457152605978</v>
      </c>
      <c r="Y177" s="105">
        <f t="shared" si="48"/>
        <v>1359.2827426065758</v>
      </c>
      <c r="Z177" s="112">
        <f t="shared" si="49"/>
        <v>0.57647534378035548</v>
      </c>
      <c r="AA177" s="104">
        <f t="shared" si="50"/>
        <v>1359.6841094246884</v>
      </c>
      <c r="AB177" s="105"/>
      <c r="AC177" s="104">
        <v>1319.0615054752247</v>
      </c>
      <c r="AD177" s="5">
        <f t="shared" si="51"/>
        <v>40.62260394946361</v>
      </c>
      <c r="AE177" s="5">
        <v>-3.27229964496496</v>
      </c>
      <c r="AF177" s="5">
        <f t="shared" si="52"/>
        <v>43.89490359442857</v>
      </c>
    </row>
    <row r="178" spans="2:32" x14ac:dyDescent="0.25">
      <c r="B178" s="10">
        <v>958</v>
      </c>
      <c r="C178" s="10">
        <v>7</v>
      </c>
      <c r="D178" s="9" t="s">
        <v>209</v>
      </c>
      <c r="E178" s="162">
        <v>655.95490227478683</v>
      </c>
      <c r="F178" s="162">
        <f>INDEX('2016 Lockdown Update'!H$5:H$245,MATCH(B178,'2016 Lockdown Update'!B$5:B$245,0))</f>
        <v>655.95490227478683</v>
      </c>
      <c r="G178" s="162">
        <f t="shared" si="47"/>
        <v>0</v>
      </c>
      <c r="H178" s="5">
        <v>137185.5</v>
      </c>
      <c r="I178" s="5">
        <f>INDEX('2016 Lockdown Update'!E$5:E$245,MATCH(B178,'2016 Lockdown Update'!B$5:B$245,0))</f>
        <v>137185.5</v>
      </c>
      <c r="J178" s="5">
        <f t="shared" si="36"/>
        <v>0</v>
      </c>
      <c r="K178" s="5">
        <v>270.88</v>
      </c>
      <c r="L178" s="5">
        <f>INDEX('2016 Lockdown Update'!F$5:F$245,MATCH(B178,'2016 Lockdown Update'!B$5:B$245,0))</f>
        <v>270.88</v>
      </c>
      <c r="M178" s="5">
        <f t="shared" si="37"/>
        <v>0</v>
      </c>
      <c r="N178" s="5">
        <v>136914.62</v>
      </c>
      <c r="O178" s="105">
        <f t="shared" si="38"/>
        <v>136914.62</v>
      </c>
      <c r="P178" s="105">
        <f t="shared" si="39"/>
        <v>0</v>
      </c>
      <c r="Q178" s="103">
        <f t="shared" si="40"/>
        <v>208.72566014095423</v>
      </c>
      <c r="R178" s="6">
        <f t="shared" si="41"/>
        <v>208.72566014095423</v>
      </c>
      <c r="S178" s="5">
        <f t="shared" si="42"/>
        <v>136914.62</v>
      </c>
      <c r="T178" s="140">
        <v>0.56900000000000006</v>
      </c>
      <c r="U178" s="105">
        <f t="shared" si="43"/>
        <v>33277.61812456503</v>
      </c>
      <c r="V178" s="105">
        <f t="shared" si="44"/>
        <v>32661.374134131234</v>
      </c>
      <c r="W178" s="105">
        <f t="shared" si="45"/>
        <v>5680.4894138632508</v>
      </c>
      <c r="X178" s="105">
        <f t="shared" si="46"/>
        <v>2044.2927251964988</v>
      </c>
      <c r="Y178" s="105">
        <f t="shared" si="48"/>
        <v>73663.774397756017</v>
      </c>
      <c r="Z178" s="112">
        <f t="shared" si="49"/>
        <v>0.53802708869042637</v>
      </c>
      <c r="AA178" s="104">
        <f t="shared" si="50"/>
        <v>73685.525718370511</v>
      </c>
      <c r="AB178" s="105"/>
      <c r="AC178" s="104">
        <v>72915.06397504863</v>
      </c>
      <c r="AD178" s="5">
        <f t="shared" si="51"/>
        <v>770.46174332188093</v>
      </c>
      <c r="AE178" s="5">
        <v>-218.24221954782843</v>
      </c>
      <c r="AF178" s="5">
        <f t="shared" si="52"/>
        <v>988.70396286970936</v>
      </c>
    </row>
    <row r="179" spans="2:32" x14ac:dyDescent="0.25">
      <c r="B179" s="10">
        <v>967</v>
      </c>
      <c r="C179" s="10">
        <v>7</v>
      </c>
      <c r="D179" s="9" t="s">
        <v>210</v>
      </c>
      <c r="E179" s="162">
        <v>157.53480682104274</v>
      </c>
      <c r="F179" s="162">
        <f>INDEX('2016 Lockdown Update'!H$5:H$245,MATCH(B179,'2016 Lockdown Update'!B$5:B$245,0))</f>
        <v>157.53480682104274</v>
      </c>
      <c r="G179" s="162">
        <f t="shared" si="47"/>
        <v>0</v>
      </c>
      <c r="H179" s="5">
        <v>82042.509999999995</v>
      </c>
      <c r="I179" s="5">
        <f>INDEX('2016 Lockdown Update'!E$5:E$245,MATCH(B179,'2016 Lockdown Update'!B$5:B$245,0))</f>
        <v>82042.509999999995</v>
      </c>
      <c r="J179" s="5">
        <f t="shared" si="36"/>
        <v>0</v>
      </c>
      <c r="K179" s="5">
        <v>0</v>
      </c>
      <c r="L179" s="5">
        <f>INDEX('2016 Lockdown Update'!F$5:F$245,MATCH(B179,'2016 Lockdown Update'!B$5:B$245,0))</f>
        <v>0</v>
      </c>
      <c r="M179" s="5">
        <f t="shared" si="37"/>
        <v>0</v>
      </c>
      <c r="N179" s="5">
        <v>82042.509999999995</v>
      </c>
      <c r="O179" s="105">
        <f t="shared" si="38"/>
        <v>82042.509999999995</v>
      </c>
      <c r="P179" s="105">
        <f t="shared" si="39"/>
        <v>0</v>
      </c>
      <c r="Q179" s="103">
        <f t="shared" si="40"/>
        <v>520.78973311084894</v>
      </c>
      <c r="R179" s="6">
        <f t="shared" si="41"/>
        <v>520.78973311084894</v>
      </c>
      <c r="S179" s="5">
        <f t="shared" si="42"/>
        <v>82042.509999999995</v>
      </c>
      <c r="T179" s="140">
        <v>0.2515</v>
      </c>
      <c r="U179" s="105">
        <f t="shared" si="43"/>
        <v>19940.743492264068</v>
      </c>
      <c r="V179" s="105">
        <f t="shared" si="44"/>
        <v>7843.9893457412418</v>
      </c>
      <c r="W179" s="105">
        <f t="shared" si="45"/>
        <v>1504.5290964913238</v>
      </c>
      <c r="X179" s="105">
        <f t="shared" si="46"/>
        <v>1224.9890212590956</v>
      </c>
      <c r="Y179" s="105">
        <f t="shared" si="48"/>
        <v>30514.250955755724</v>
      </c>
      <c r="Z179" s="112">
        <f t="shared" si="49"/>
        <v>0.3719321965619497</v>
      </c>
      <c r="AA179" s="104">
        <f t="shared" si="50"/>
        <v>30523.261154612304</v>
      </c>
      <c r="AB179" s="105"/>
      <c r="AC179" s="104">
        <v>30357.827374933891</v>
      </c>
      <c r="AD179" s="5">
        <f t="shared" si="51"/>
        <v>165.43377967841298</v>
      </c>
      <c r="AE179" s="5">
        <v>-127.93458940375785</v>
      </c>
      <c r="AF179" s="5">
        <f t="shared" si="52"/>
        <v>293.36836908217083</v>
      </c>
    </row>
    <row r="180" spans="2:32" x14ac:dyDescent="0.25">
      <c r="B180" s="10">
        <v>971</v>
      </c>
      <c r="C180" s="10">
        <v>7</v>
      </c>
      <c r="D180" s="9" t="s">
        <v>211</v>
      </c>
      <c r="E180" s="162">
        <v>1007.65</v>
      </c>
      <c r="F180" s="162">
        <f>INDEX('2016 Lockdown Update'!H$5:H$245,MATCH(B180,'2016 Lockdown Update'!B$5:B$245,0))</f>
        <v>1007.65</v>
      </c>
      <c r="G180" s="162">
        <f t="shared" si="47"/>
        <v>0</v>
      </c>
      <c r="H180" s="5">
        <v>511642.8</v>
      </c>
      <c r="I180" s="5">
        <f>INDEX('2016 Lockdown Update'!E$5:E$245,MATCH(B180,'2016 Lockdown Update'!B$5:B$245,0))</f>
        <v>499085.03</v>
      </c>
      <c r="J180" s="5">
        <f t="shared" si="36"/>
        <v>-12557.76999999996</v>
      </c>
      <c r="K180" s="5">
        <v>150177.47</v>
      </c>
      <c r="L180" s="5">
        <f>INDEX('2016 Lockdown Update'!F$5:F$245,MATCH(B180,'2016 Lockdown Update'!B$5:B$245,0))</f>
        <v>150177.47</v>
      </c>
      <c r="M180" s="5">
        <f t="shared" si="37"/>
        <v>0</v>
      </c>
      <c r="N180" s="5">
        <v>361465.33</v>
      </c>
      <c r="O180" s="105">
        <f t="shared" si="38"/>
        <v>348907.56000000006</v>
      </c>
      <c r="P180" s="105">
        <f t="shared" si="39"/>
        <v>-12557.76999999996</v>
      </c>
      <c r="Q180" s="103">
        <f t="shared" si="40"/>
        <v>346.25868108966415</v>
      </c>
      <c r="R180" s="6">
        <f t="shared" si="41"/>
        <v>346.25868108966415</v>
      </c>
      <c r="S180" s="5">
        <f t="shared" si="42"/>
        <v>348907.56000000006</v>
      </c>
      <c r="T180" s="140">
        <v>0.61250000000000004</v>
      </c>
      <c r="U180" s="105">
        <f t="shared" si="43"/>
        <v>84803.306925540615</v>
      </c>
      <c r="V180" s="105">
        <f t="shared" si="44"/>
        <v>50173.012705788802</v>
      </c>
      <c r="W180" s="105">
        <f t="shared" si="45"/>
        <v>15582.607647568089</v>
      </c>
      <c r="X180" s="105">
        <f t="shared" si="46"/>
        <v>5209.5911062972018</v>
      </c>
      <c r="Y180" s="105">
        <f t="shared" si="48"/>
        <v>155768.51838519471</v>
      </c>
      <c r="Z180" s="112">
        <f t="shared" si="49"/>
        <v>0.4464463836358108</v>
      </c>
      <c r="AA180" s="104">
        <f t="shared" si="50"/>
        <v>155814.51346232375</v>
      </c>
      <c r="AB180" s="105"/>
      <c r="AC180" s="104">
        <v>156512.79484815916</v>
      </c>
      <c r="AD180" s="5">
        <f t="shared" si="51"/>
        <v>-698.28138583540567</v>
      </c>
      <c r="AE180" s="5">
        <v>-4270.7353564829391</v>
      </c>
      <c r="AF180" s="5">
        <f t="shared" si="52"/>
        <v>3572.4539706475334</v>
      </c>
    </row>
    <row r="181" spans="2:32" x14ac:dyDescent="0.25">
      <c r="B181" s="10">
        <v>975</v>
      </c>
      <c r="C181" s="10">
        <v>7</v>
      </c>
      <c r="D181" s="9" t="s">
        <v>212</v>
      </c>
      <c r="E181" s="162">
        <v>28.638553031917883</v>
      </c>
      <c r="F181" s="162">
        <f>INDEX('2016 Lockdown Update'!H$5:H$245,MATCH(B181,'2016 Lockdown Update'!B$5:B$245,0))</f>
        <v>28.638553031917883</v>
      </c>
      <c r="G181" s="162">
        <f t="shared" si="47"/>
        <v>0</v>
      </c>
      <c r="H181" s="5">
        <v>30459.23</v>
      </c>
      <c r="I181" s="5">
        <f>INDEX('2016 Lockdown Update'!E$5:E$245,MATCH(B181,'2016 Lockdown Update'!B$5:B$245,0))</f>
        <v>30459.23</v>
      </c>
      <c r="J181" s="5">
        <f t="shared" si="36"/>
        <v>0</v>
      </c>
      <c r="K181" s="5">
        <v>0</v>
      </c>
      <c r="L181" s="5">
        <f>INDEX('2016 Lockdown Update'!F$5:F$245,MATCH(B181,'2016 Lockdown Update'!B$5:B$245,0))</f>
        <v>0</v>
      </c>
      <c r="M181" s="5">
        <f t="shared" si="37"/>
        <v>0</v>
      </c>
      <c r="N181" s="5">
        <v>30459.23</v>
      </c>
      <c r="O181" s="105">
        <f t="shared" si="38"/>
        <v>30459.23</v>
      </c>
      <c r="P181" s="105">
        <f t="shared" si="39"/>
        <v>0</v>
      </c>
      <c r="Q181" s="103">
        <f t="shared" si="40"/>
        <v>1063.5743351297449</v>
      </c>
      <c r="R181" s="6">
        <f t="shared" si="41"/>
        <v>588.67949380837035</v>
      </c>
      <c r="S181" s="5">
        <f t="shared" si="42"/>
        <v>16858.928902233591</v>
      </c>
      <c r="T181" s="140">
        <v>0.16075</v>
      </c>
      <c r="U181" s="105">
        <f t="shared" si="43"/>
        <v>4097.6266668798535</v>
      </c>
      <c r="V181" s="105">
        <f t="shared" si="44"/>
        <v>1425.9737856853299</v>
      </c>
      <c r="W181" s="105">
        <f t="shared" si="45"/>
        <v>197.60804601028093</v>
      </c>
      <c r="X181" s="105">
        <f t="shared" si="46"/>
        <v>251.72319588252245</v>
      </c>
      <c r="Y181" s="105">
        <f t="shared" si="48"/>
        <v>5972.9316944579869</v>
      </c>
      <c r="Z181" s="112">
        <f t="shared" si="49"/>
        <v>0.35428891889250747</v>
      </c>
      <c r="AA181" s="104">
        <f t="shared" si="50"/>
        <v>5974.6953721049285</v>
      </c>
      <c r="AB181" s="105"/>
      <c r="AC181" s="104">
        <v>6025.1025946780092</v>
      </c>
      <c r="AD181" s="5">
        <f t="shared" si="51"/>
        <v>-50.407222573080617</v>
      </c>
      <c r="AE181" s="5">
        <v>-50.904638605081345</v>
      </c>
      <c r="AF181" s="5">
        <f t="shared" si="52"/>
        <v>0.49741603200072859</v>
      </c>
    </row>
    <row r="182" spans="2:32" x14ac:dyDescent="0.25">
      <c r="B182" s="10">
        <v>976</v>
      </c>
      <c r="C182" s="10">
        <v>7</v>
      </c>
      <c r="D182" s="9" t="s">
        <v>213</v>
      </c>
      <c r="E182" s="162">
        <v>24.209186540671535</v>
      </c>
      <c r="F182" s="162">
        <f>INDEX('2016 Lockdown Update'!H$5:H$245,MATCH(B182,'2016 Lockdown Update'!B$5:B$245,0))</f>
        <v>24.209186540671535</v>
      </c>
      <c r="G182" s="162">
        <f t="shared" si="47"/>
        <v>0</v>
      </c>
      <c r="H182" s="5">
        <v>18851.71</v>
      </c>
      <c r="I182" s="5">
        <f>INDEX('2016 Lockdown Update'!E$5:E$245,MATCH(B182,'2016 Lockdown Update'!B$5:B$245,0))</f>
        <v>18851.71</v>
      </c>
      <c r="J182" s="5">
        <f t="shared" si="36"/>
        <v>0</v>
      </c>
      <c r="K182" s="5">
        <v>0</v>
      </c>
      <c r="L182" s="5">
        <f>INDEX('2016 Lockdown Update'!F$5:F$245,MATCH(B182,'2016 Lockdown Update'!B$5:B$245,0))</f>
        <v>0</v>
      </c>
      <c r="M182" s="5">
        <f t="shared" si="37"/>
        <v>0</v>
      </c>
      <c r="N182" s="5">
        <v>18851.71</v>
      </c>
      <c r="O182" s="105">
        <f t="shared" si="38"/>
        <v>18851.71</v>
      </c>
      <c r="P182" s="105">
        <f t="shared" si="39"/>
        <v>0</v>
      </c>
      <c r="Q182" s="103">
        <f t="shared" si="40"/>
        <v>778.70067911323861</v>
      </c>
      <c r="R182" s="6">
        <f t="shared" si="41"/>
        <v>588.67949380837035</v>
      </c>
      <c r="S182" s="5">
        <f t="shared" si="42"/>
        <v>14251.451678274932</v>
      </c>
      <c r="T182" s="140">
        <v>0.32833333333333337</v>
      </c>
      <c r="U182" s="105">
        <f t="shared" si="43"/>
        <v>3463.8694295052242</v>
      </c>
      <c r="V182" s="105">
        <f t="shared" si="44"/>
        <v>1205.4263126104545</v>
      </c>
      <c r="W182" s="105">
        <f t="shared" si="45"/>
        <v>341.19113880626458</v>
      </c>
      <c r="X182" s="105">
        <f t="shared" si="46"/>
        <v>212.79056239126894</v>
      </c>
      <c r="Y182" s="105">
        <f t="shared" si="48"/>
        <v>5223.2774433132126</v>
      </c>
      <c r="Z182" s="112">
        <f t="shared" si="49"/>
        <v>0.36650844848848863</v>
      </c>
      <c r="AA182" s="104">
        <f t="shared" si="50"/>
        <v>5224.8197642607456</v>
      </c>
      <c r="AB182" s="105"/>
      <c r="AC182" s="104">
        <v>5176.7257536119478</v>
      </c>
      <c r="AD182" s="5">
        <f t="shared" si="51"/>
        <v>48.094010648797848</v>
      </c>
      <c r="AE182" s="5">
        <v>-43.985924789865749</v>
      </c>
      <c r="AF182" s="5">
        <f t="shared" si="52"/>
        <v>92.079935438663597</v>
      </c>
    </row>
    <row r="183" spans="2:32" x14ac:dyDescent="0.25">
      <c r="B183" s="10">
        <v>977</v>
      </c>
      <c r="C183" s="10">
        <v>7</v>
      </c>
      <c r="D183" s="39" t="s">
        <v>23</v>
      </c>
      <c r="E183" s="162">
        <v>39.801689582303489</v>
      </c>
      <c r="F183" s="162">
        <f>INDEX('2016 Lockdown Update'!H$5:H$245,MATCH(B183,'2016 Lockdown Update'!B$5:B$245,0))</f>
        <v>39.801689582303489</v>
      </c>
      <c r="G183" s="162">
        <f t="shared" si="47"/>
        <v>0</v>
      </c>
      <c r="H183" s="5">
        <v>21035.19</v>
      </c>
      <c r="I183" s="5">
        <f>INDEX('2016 Lockdown Update'!E$5:E$245,MATCH(B183,'2016 Lockdown Update'!B$5:B$245,0))</f>
        <v>21035.19</v>
      </c>
      <c r="J183" s="5">
        <f t="shared" si="36"/>
        <v>0</v>
      </c>
      <c r="K183" s="5">
        <v>0</v>
      </c>
      <c r="L183" s="5">
        <f>INDEX('2016 Lockdown Update'!F$5:F$245,MATCH(B183,'2016 Lockdown Update'!B$5:B$245,0))</f>
        <v>0</v>
      </c>
      <c r="M183" s="5">
        <f t="shared" si="37"/>
        <v>0</v>
      </c>
      <c r="N183" s="5">
        <v>21035.19</v>
      </c>
      <c r="O183" s="105">
        <f t="shared" si="38"/>
        <v>21035.19</v>
      </c>
      <c r="P183" s="105">
        <f t="shared" si="39"/>
        <v>0</v>
      </c>
      <c r="Q183" s="103">
        <f t="shared" si="40"/>
        <v>528.49992602707505</v>
      </c>
      <c r="R183" s="6">
        <f t="shared" si="41"/>
        <v>528.49992602707505</v>
      </c>
      <c r="S183" s="5">
        <f t="shared" si="42"/>
        <v>21035.19</v>
      </c>
      <c r="T183" s="140">
        <v>0.26525000000000004</v>
      </c>
      <c r="U183" s="105">
        <f t="shared" si="43"/>
        <v>5112.6827799519806</v>
      </c>
      <c r="V183" s="105">
        <f t="shared" si="44"/>
        <v>1981.8098319106587</v>
      </c>
      <c r="W183" s="105">
        <f t="shared" si="45"/>
        <v>406.84173221467893</v>
      </c>
      <c r="X183" s="105">
        <f t="shared" si="46"/>
        <v>314.07957667432549</v>
      </c>
      <c r="Y183" s="105">
        <f t="shared" si="48"/>
        <v>7815.4139207516437</v>
      </c>
      <c r="Z183" s="112">
        <f t="shared" si="49"/>
        <v>0.37153997281468076</v>
      </c>
      <c r="AA183" s="104">
        <f t="shared" si="50"/>
        <v>7817.7216435816927</v>
      </c>
      <c r="AB183" s="105"/>
      <c r="AC183" s="104">
        <v>7901.0904880583357</v>
      </c>
      <c r="AD183" s="5">
        <f t="shared" si="51"/>
        <v>-83.368844476643062</v>
      </c>
      <c r="AE183" s="5">
        <v>-33.709997742043015</v>
      </c>
      <c r="AF183" s="5">
        <f t="shared" si="52"/>
        <v>-49.658846734600047</v>
      </c>
    </row>
    <row r="184" spans="2:32" x14ac:dyDescent="0.25">
      <c r="B184" s="10">
        <v>983</v>
      </c>
      <c r="C184" s="10">
        <v>7</v>
      </c>
      <c r="D184" s="9" t="s">
        <v>214</v>
      </c>
      <c r="E184" s="162">
        <v>82.232197859229217</v>
      </c>
      <c r="F184" s="162">
        <f>INDEX('2016 Lockdown Update'!H$5:H$245,MATCH(B184,'2016 Lockdown Update'!B$5:B$245,0))</f>
        <v>82.232197859229217</v>
      </c>
      <c r="G184" s="162">
        <f t="shared" si="47"/>
        <v>0</v>
      </c>
      <c r="H184" s="5">
        <v>25312.25</v>
      </c>
      <c r="I184" s="5">
        <f>INDEX('2016 Lockdown Update'!E$5:E$245,MATCH(B184,'2016 Lockdown Update'!B$5:B$245,0))</f>
        <v>25312.25</v>
      </c>
      <c r="J184" s="5">
        <f t="shared" si="36"/>
        <v>0</v>
      </c>
      <c r="K184" s="5">
        <v>0</v>
      </c>
      <c r="L184" s="5">
        <f>INDEX('2016 Lockdown Update'!F$5:F$245,MATCH(B184,'2016 Lockdown Update'!B$5:B$245,0))</f>
        <v>0</v>
      </c>
      <c r="M184" s="5">
        <f t="shared" si="37"/>
        <v>0</v>
      </c>
      <c r="N184" s="5">
        <v>25312.25</v>
      </c>
      <c r="O184" s="105">
        <f t="shared" si="38"/>
        <v>25312.25</v>
      </c>
      <c r="P184" s="105">
        <f t="shared" si="39"/>
        <v>0</v>
      </c>
      <c r="Q184" s="103">
        <f t="shared" si="40"/>
        <v>307.81434351701586</v>
      </c>
      <c r="R184" s="6">
        <f t="shared" si="41"/>
        <v>307.81434351701586</v>
      </c>
      <c r="S184" s="5">
        <f t="shared" si="42"/>
        <v>25312.249999999996</v>
      </c>
      <c r="T184" s="140">
        <v>0.47533333333333333</v>
      </c>
      <c r="U184" s="105">
        <f t="shared" si="43"/>
        <v>6152.238448848786</v>
      </c>
      <c r="V184" s="105">
        <f t="shared" si="44"/>
        <v>4094.5140753396977</v>
      </c>
      <c r="W184" s="105">
        <f t="shared" si="45"/>
        <v>877.30920280583678</v>
      </c>
      <c r="X184" s="105">
        <f t="shared" si="46"/>
        <v>377.94100099284555</v>
      </c>
      <c r="Y184" s="105">
        <f t="shared" si="48"/>
        <v>11502.002727987165</v>
      </c>
      <c r="Z184" s="112">
        <f t="shared" si="49"/>
        <v>0.45440459571895686</v>
      </c>
      <c r="AA184" s="104">
        <f t="shared" si="50"/>
        <v>11505.399020820252</v>
      </c>
      <c r="AB184" s="105"/>
      <c r="AC184" s="104">
        <v>11217.032699325009</v>
      </c>
      <c r="AD184" s="5">
        <f t="shared" si="51"/>
        <v>288.36632149524303</v>
      </c>
      <c r="AE184" s="5">
        <v>-39.554972982878098</v>
      </c>
      <c r="AF184" s="5">
        <f t="shared" si="52"/>
        <v>327.92129447812113</v>
      </c>
    </row>
    <row r="185" spans="2:32" x14ac:dyDescent="0.25">
      <c r="B185" s="47">
        <v>188</v>
      </c>
      <c r="C185" s="47">
        <v>8</v>
      </c>
      <c r="D185" s="48" t="s">
        <v>215</v>
      </c>
      <c r="E185" s="162">
        <v>272.38</v>
      </c>
      <c r="F185" s="162">
        <f>INDEX('2016 Lockdown Update'!H$5:H$245,MATCH(B185,'2016 Lockdown Update'!B$5:B$245,0))</f>
        <v>272.38</v>
      </c>
      <c r="G185" s="162">
        <f t="shared" si="47"/>
        <v>0</v>
      </c>
      <c r="H185" s="5">
        <v>222885.73</v>
      </c>
      <c r="I185" s="5">
        <f>INDEX('2016 Lockdown Update'!E$5:E$245,MATCH(B185,'2016 Lockdown Update'!B$5:B$245,0))</f>
        <v>222885.73</v>
      </c>
      <c r="J185" s="5">
        <f t="shared" si="36"/>
        <v>0</v>
      </c>
      <c r="K185" s="5">
        <v>20234.97</v>
      </c>
      <c r="L185" s="5">
        <f>INDEX('2016 Lockdown Update'!F$5:F$245,MATCH(B185,'2016 Lockdown Update'!B$5:B$245,0))</f>
        <v>20234.97</v>
      </c>
      <c r="M185" s="5">
        <f t="shared" si="37"/>
        <v>0</v>
      </c>
      <c r="N185" s="5">
        <v>202650.76</v>
      </c>
      <c r="O185" s="105">
        <f t="shared" si="38"/>
        <v>202650.76</v>
      </c>
      <c r="P185" s="105">
        <f t="shared" si="39"/>
        <v>0</v>
      </c>
      <c r="Q185" s="103">
        <f t="shared" si="40"/>
        <v>744.00014685366034</v>
      </c>
      <c r="R185" s="6">
        <f t="shared" si="41"/>
        <v>744.00014685366034</v>
      </c>
      <c r="S185" s="5">
        <f t="shared" si="42"/>
        <v>202650.76</v>
      </c>
      <c r="T185" s="140">
        <v>0.82733333333333325</v>
      </c>
      <c r="U185" s="105">
        <f t="shared" si="43"/>
        <v>49255.036488673584</v>
      </c>
      <c r="V185" s="105">
        <f t="shared" si="44"/>
        <v>13562.373046993258</v>
      </c>
      <c r="W185" s="105">
        <f t="shared" si="45"/>
        <v>12225.100056488782</v>
      </c>
      <c r="X185" s="105">
        <f t="shared" si="46"/>
        <v>3025.808890413176</v>
      </c>
      <c r="Y185" s="105">
        <f t="shared" si="48"/>
        <v>78068.318482568793</v>
      </c>
      <c r="Z185" s="112">
        <f t="shared" si="49"/>
        <v>0.38523575476632205</v>
      </c>
      <c r="AA185" s="104">
        <f t="shared" si="50"/>
        <v>78091.3703698639</v>
      </c>
      <c r="AB185" s="105"/>
      <c r="AC185" s="104">
        <v>78707.959105282731</v>
      </c>
      <c r="AD185" s="5">
        <f t="shared" si="51"/>
        <v>-616.58873541883077</v>
      </c>
      <c r="AE185" s="5">
        <v>-377.27998510595353</v>
      </c>
      <c r="AF185" s="5">
        <f t="shared" si="52"/>
        <v>-239.30875031287724</v>
      </c>
    </row>
    <row r="186" spans="2:32" x14ac:dyDescent="0.25">
      <c r="B186" s="47">
        <v>232</v>
      </c>
      <c r="C186" s="47">
        <v>8</v>
      </c>
      <c r="D186" s="48" t="s">
        <v>216</v>
      </c>
      <c r="E186" s="162">
        <v>88.565522031298372</v>
      </c>
      <c r="F186" s="162">
        <f>INDEX('2016 Lockdown Update'!H$5:H$245,MATCH(B186,'2016 Lockdown Update'!B$5:B$245,0))</f>
        <v>88.565522031298372</v>
      </c>
      <c r="G186" s="162">
        <f t="shared" si="47"/>
        <v>0</v>
      </c>
      <c r="H186" s="5">
        <v>85070.85</v>
      </c>
      <c r="I186" s="5">
        <f>INDEX('2016 Lockdown Update'!E$5:E$245,MATCH(B186,'2016 Lockdown Update'!B$5:B$245,0))</f>
        <v>85070.85</v>
      </c>
      <c r="J186" s="5">
        <f t="shared" si="36"/>
        <v>0</v>
      </c>
      <c r="K186" s="5">
        <v>0</v>
      </c>
      <c r="L186" s="5">
        <f>INDEX('2016 Lockdown Update'!F$5:F$245,MATCH(B186,'2016 Lockdown Update'!B$5:B$245,0))</f>
        <v>0</v>
      </c>
      <c r="M186" s="5">
        <f t="shared" si="37"/>
        <v>0</v>
      </c>
      <c r="N186" s="5">
        <v>85070.85</v>
      </c>
      <c r="O186" s="105">
        <f t="shared" si="38"/>
        <v>85070.85</v>
      </c>
      <c r="P186" s="105">
        <f t="shared" si="39"/>
        <v>0</v>
      </c>
      <c r="Q186" s="103">
        <f t="shared" si="40"/>
        <v>960.54139408715537</v>
      </c>
      <c r="R186" s="6">
        <f t="shared" si="41"/>
        <v>960.54139408715537</v>
      </c>
      <c r="S186" s="5">
        <f t="shared" si="42"/>
        <v>85070.85</v>
      </c>
      <c r="T186" s="140">
        <v>0.41375000000000001</v>
      </c>
      <c r="U186" s="105">
        <f t="shared" si="43"/>
        <v>20676.793024968065</v>
      </c>
      <c r="V186" s="105">
        <f t="shared" si="44"/>
        <v>4409.8636055884008</v>
      </c>
      <c r="W186" s="105">
        <f t="shared" si="45"/>
        <v>2566.5069342241609</v>
      </c>
      <c r="X186" s="105">
        <f t="shared" si="46"/>
        <v>1270.2056199789517</v>
      </c>
      <c r="Y186" s="105">
        <f t="shared" si="48"/>
        <v>28923.36918475958</v>
      </c>
      <c r="Z186" s="112">
        <f t="shared" si="49"/>
        <v>0.33999153863820075</v>
      </c>
      <c r="AA186" s="104">
        <f t="shared" si="50"/>
        <v>28931.909630610106</v>
      </c>
      <c r="AB186" s="105"/>
      <c r="AC186" s="104">
        <v>29494.889116647275</v>
      </c>
      <c r="AD186" s="5">
        <f t="shared" si="51"/>
        <v>-562.97948603716941</v>
      </c>
      <c r="AE186" s="5">
        <v>-145.40824508302831</v>
      </c>
      <c r="AF186" s="5">
        <f t="shared" si="52"/>
        <v>-417.5712409541411</v>
      </c>
    </row>
    <row r="187" spans="2:32" x14ac:dyDescent="0.25">
      <c r="B187" s="47">
        <v>245</v>
      </c>
      <c r="C187" s="47">
        <v>8</v>
      </c>
      <c r="D187" s="48" t="s">
        <v>217</v>
      </c>
      <c r="E187" s="162">
        <v>189.79040065880613</v>
      </c>
      <c r="F187" s="162">
        <f>INDEX('2016 Lockdown Update'!H$5:H$245,MATCH(B187,'2016 Lockdown Update'!B$5:B$245,0))</f>
        <v>189.79040065880613</v>
      </c>
      <c r="G187" s="162">
        <f t="shared" si="47"/>
        <v>0</v>
      </c>
      <c r="H187" s="5">
        <v>611225.21</v>
      </c>
      <c r="I187" s="5">
        <f>INDEX('2016 Lockdown Update'!E$5:E$245,MATCH(B187,'2016 Lockdown Update'!B$5:B$245,0))</f>
        <v>611225.21</v>
      </c>
      <c r="J187" s="5">
        <f t="shared" si="36"/>
        <v>0</v>
      </c>
      <c r="K187" s="5">
        <v>0</v>
      </c>
      <c r="L187" s="5">
        <f>INDEX('2016 Lockdown Update'!F$5:F$245,MATCH(B187,'2016 Lockdown Update'!B$5:B$245,0))</f>
        <v>0</v>
      </c>
      <c r="M187" s="5">
        <f t="shared" si="37"/>
        <v>0</v>
      </c>
      <c r="N187" s="5">
        <v>611225.21</v>
      </c>
      <c r="O187" s="105">
        <f t="shared" si="38"/>
        <v>611225.21</v>
      </c>
      <c r="P187" s="105">
        <f t="shared" si="39"/>
        <v>0</v>
      </c>
      <c r="Q187" s="103">
        <f t="shared" si="40"/>
        <v>3220.5275286752999</v>
      </c>
      <c r="R187" s="6">
        <f t="shared" si="41"/>
        <v>1599.0740489486416</v>
      </c>
      <c r="S187" s="5">
        <f t="shared" si="42"/>
        <v>303488.90443306207</v>
      </c>
      <c r="T187" s="140">
        <v>0.49099999999999999</v>
      </c>
      <c r="U187" s="105">
        <f t="shared" si="43"/>
        <v>73764.130278899727</v>
      </c>
      <c r="V187" s="105">
        <f t="shared" si="44"/>
        <v>9450.0632002094262</v>
      </c>
      <c r="W187" s="105">
        <f t="shared" si="45"/>
        <v>10865.45639008193</v>
      </c>
      <c r="X187" s="105">
        <f t="shared" si="46"/>
        <v>4531.4383482959256</v>
      </c>
      <c r="Y187" s="105">
        <f t="shared" si="48"/>
        <v>98611.088217487006</v>
      </c>
      <c r="Z187" s="112">
        <f t="shared" si="49"/>
        <v>0.32492485483678302</v>
      </c>
      <c r="AA187" s="104">
        <f t="shared" si="50"/>
        <v>98640.2059407302</v>
      </c>
      <c r="AB187" s="105"/>
      <c r="AC187" s="104">
        <v>98603.448160151165</v>
      </c>
      <c r="AD187" s="5">
        <f t="shared" si="51"/>
        <v>36.75778057903517</v>
      </c>
      <c r="AE187" s="5">
        <v>1670.0175372603117</v>
      </c>
      <c r="AF187" s="5">
        <f t="shared" si="52"/>
        <v>-1633.2597566812765</v>
      </c>
    </row>
    <row r="188" spans="2:32" x14ac:dyDescent="0.25">
      <c r="B188" s="10">
        <v>372</v>
      </c>
      <c r="C188" s="10">
        <v>8</v>
      </c>
      <c r="D188" s="9" t="s">
        <v>218</v>
      </c>
      <c r="E188" s="162">
        <v>107.32400191865953</v>
      </c>
      <c r="F188" s="162">
        <f>INDEX('2016 Lockdown Update'!H$5:H$245,MATCH(B188,'2016 Lockdown Update'!B$5:B$245,0))</f>
        <v>107.32400191865953</v>
      </c>
      <c r="G188" s="162">
        <f t="shared" si="47"/>
        <v>0</v>
      </c>
      <c r="H188" s="5">
        <v>107618.51</v>
      </c>
      <c r="I188" s="5">
        <f>INDEX('2016 Lockdown Update'!E$5:E$245,MATCH(B188,'2016 Lockdown Update'!B$5:B$245,0))</f>
        <v>107618.51</v>
      </c>
      <c r="J188" s="5">
        <f t="shared" si="36"/>
        <v>0</v>
      </c>
      <c r="K188" s="5">
        <v>0</v>
      </c>
      <c r="L188" s="5">
        <f>INDEX('2016 Lockdown Update'!F$5:F$245,MATCH(B188,'2016 Lockdown Update'!B$5:B$245,0))</f>
        <v>0</v>
      </c>
      <c r="M188" s="5">
        <f t="shared" si="37"/>
        <v>0</v>
      </c>
      <c r="N188" s="5">
        <v>107618.51</v>
      </c>
      <c r="O188" s="105">
        <f t="shared" si="38"/>
        <v>107618.51</v>
      </c>
      <c r="P188" s="105">
        <f t="shared" si="39"/>
        <v>0</v>
      </c>
      <c r="Q188" s="103">
        <f t="shared" si="40"/>
        <v>1002.7441026804393</v>
      </c>
      <c r="R188" s="6">
        <f t="shared" si="41"/>
        <v>1002.7441026804393</v>
      </c>
      <c r="S188" s="5">
        <f t="shared" si="42"/>
        <v>107618.51</v>
      </c>
      <c r="T188" s="140">
        <v>0.32816666666666666</v>
      </c>
      <c r="U188" s="105">
        <f t="shared" si="43"/>
        <v>26157.087379818771</v>
      </c>
      <c r="V188" s="105">
        <f t="shared" si="44"/>
        <v>5343.8877704570114</v>
      </c>
      <c r="W188" s="105">
        <f t="shared" si="45"/>
        <v>2575.1652525431582</v>
      </c>
      <c r="X188" s="105">
        <f t="shared" si="46"/>
        <v>1606.8681130582449</v>
      </c>
      <c r="Y188" s="105">
        <f t="shared" si="48"/>
        <v>35683.008515877191</v>
      </c>
      <c r="Z188" s="112">
        <f t="shared" si="49"/>
        <v>0.33156943462492833</v>
      </c>
      <c r="AA188" s="104">
        <f t="shared" si="50"/>
        <v>35693.544937138038</v>
      </c>
      <c r="AB188" s="105"/>
      <c r="AC188" s="104">
        <v>36433.587690539302</v>
      </c>
      <c r="AD188" s="5">
        <f t="shared" si="51"/>
        <v>-740.04275340126333</v>
      </c>
      <c r="AE188" s="5">
        <v>-180.17921674204263</v>
      </c>
      <c r="AF188" s="5">
        <f t="shared" si="52"/>
        <v>-559.8635366592207</v>
      </c>
    </row>
    <row r="189" spans="2:32" x14ac:dyDescent="0.25">
      <c r="B189" s="10">
        <v>375</v>
      </c>
      <c r="C189" s="10">
        <v>8</v>
      </c>
      <c r="D189" s="9" t="s">
        <v>219</v>
      </c>
      <c r="E189" s="162">
        <v>176.10000000000002</v>
      </c>
      <c r="F189" s="162">
        <f>INDEX('2016 Lockdown Update'!H$5:H$245,MATCH(B189,'2016 Lockdown Update'!B$5:B$245,0))</f>
        <v>176.10000000000002</v>
      </c>
      <c r="G189" s="162">
        <f t="shared" si="47"/>
        <v>0</v>
      </c>
      <c r="H189" s="5">
        <v>245023.28</v>
      </c>
      <c r="I189" s="5">
        <f>INDEX('2016 Lockdown Update'!E$5:E$245,MATCH(B189,'2016 Lockdown Update'!B$5:B$245,0))</f>
        <v>245023.28</v>
      </c>
      <c r="J189" s="5">
        <f t="shared" si="36"/>
        <v>0</v>
      </c>
      <c r="K189" s="5">
        <v>0</v>
      </c>
      <c r="L189" s="5">
        <f>INDEX('2016 Lockdown Update'!F$5:F$245,MATCH(B189,'2016 Lockdown Update'!B$5:B$245,0))</f>
        <v>0</v>
      </c>
      <c r="M189" s="5">
        <f t="shared" si="37"/>
        <v>0</v>
      </c>
      <c r="N189" s="5">
        <v>245023.28</v>
      </c>
      <c r="O189" s="105">
        <f t="shared" si="38"/>
        <v>245023.28</v>
      </c>
      <c r="P189" s="105">
        <f t="shared" si="39"/>
        <v>0</v>
      </c>
      <c r="Q189" s="103">
        <f t="shared" si="40"/>
        <v>1391.387166382737</v>
      </c>
      <c r="R189" s="6">
        <f t="shared" si="41"/>
        <v>1391.387166382737</v>
      </c>
      <c r="S189" s="5">
        <f t="shared" si="42"/>
        <v>245023.28</v>
      </c>
      <c r="T189" s="140">
        <v>0.16825000000000001</v>
      </c>
      <c r="U189" s="105">
        <f t="shared" si="43"/>
        <v>59553.838322513497</v>
      </c>
      <c r="V189" s="105">
        <f t="shared" si="44"/>
        <v>8768.3893588938718</v>
      </c>
      <c r="W189" s="105">
        <f t="shared" si="45"/>
        <v>3005.9799893288687</v>
      </c>
      <c r="X189" s="105">
        <f t="shared" si="46"/>
        <v>3658.4793414157293</v>
      </c>
      <c r="Y189" s="105">
        <f t="shared" si="48"/>
        <v>74986.687012151975</v>
      </c>
      <c r="Z189" s="112">
        <f t="shared" si="49"/>
        <v>0.30603903030010854</v>
      </c>
      <c r="AA189" s="104">
        <f t="shared" si="50"/>
        <v>75008.828960271727</v>
      </c>
      <c r="AB189" s="105"/>
      <c r="AC189" s="104">
        <v>75276.466127225751</v>
      </c>
      <c r="AD189" s="5">
        <f t="shared" si="51"/>
        <v>-267.637166954024</v>
      </c>
      <c r="AE189" s="5">
        <v>-386.28605283646903</v>
      </c>
      <c r="AF189" s="5">
        <f t="shared" si="52"/>
        <v>118.64888588244503</v>
      </c>
    </row>
    <row r="190" spans="2:32" x14ac:dyDescent="0.25">
      <c r="B190" s="10">
        <v>404</v>
      </c>
      <c r="C190" s="10">
        <v>8</v>
      </c>
      <c r="D190" s="9" t="s">
        <v>220</v>
      </c>
      <c r="E190" s="162">
        <v>469.85439088740827</v>
      </c>
      <c r="F190" s="162">
        <f>INDEX('2016 Lockdown Update'!H$5:H$245,MATCH(B190,'2016 Lockdown Update'!B$5:B$245,0))</f>
        <v>469.85439088740827</v>
      </c>
      <c r="G190" s="162">
        <f t="shared" si="47"/>
        <v>0</v>
      </c>
      <c r="H190" s="5">
        <v>225949.6</v>
      </c>
      <c r="I190" s="5">
        <f>INDEX('2016 Lockdown Update'!E$5:E$245,MATCH(B190,'2016 Lockdown Update'!B$5:B$245,0))</f>
        <v>225949.6</v>
      </c>
      <c r="J190" s="5">
        <f t="shared" si="36"/>
        <v>0</v>
      </c>
      <c r="K190" s="5">
        <v>0</v>
      </c>
      <c r="L190" s="5">
        <f>INDEX('2016 Lockdown Update'!F$5:F$245,MATCH(B190,'2016 Lockdown Update'!B$5:B$245,0))</f>
        <v>0</v>
      </c>
      <c r="M190" s="5">
        <f t="shared" si="37"/>
        <v>0</v>
      </c>
      <c r="N190" s="5">
        <v>225949.6</v>
      </c>
      <c r="O190" s="105">
        <f t="shared" si="38"/>
        <v>225949.6</v>
      </c>
      <c r="P190" s="105">
        <f t="shared" si="39"/>
        <v>0</v>
      </c>
      <c r="Q190" s="103">
        <f t="shared" si="40"/>
        <v>480.89281356560645</v>
      </c>
      <c r="R190" s="6">
        <f t="shared" si="41"/>
        <v>480.89281356560645</v>
      </c>
      <c r="S190" s="5">
        <f t="shared" si="42"/>
        <v>225949.6</v>
      </c>
      <c r="T190" s="140">
        <v>0.90175000000000005</v>
      </c>
      <c r="U190" s="105">
        <f t="shared" si="43"/>
        <v>54917.907994034664</v>
      </c>
      <c r="V190" s="105">
        <f t="shared" si="44"/>
        <v>23395.038281014833</v>
      </c>
      <c r="W190" s="105">
        <f t="shared" si="45"/>
        <v>14856.667060086227</v>
      </c>
      <c r="X190" s="105">
        <f t="shared" si="46"/>
        <v>3373.6873647318221</v>
      </c>
      <c r="Y190" s="105">
        <f t="shared" si="48"/>
        <v>96543.300699867556</v>
      </c>
      <c r="Z190" s="112">
        <f t="shared" si="49"/>
        <v>0.42727803324222552</v>
      </c>
      <c r="AA190" s="104">
        <f t="shared" si="50"/>
        <v>96571.807850144251</v>
      </c>
      <c r="AB190" s="105"/>
      <c r="AC190" s="104">
        <v>96554.736399435249</v>
      </c>
      <c r="AD190" s="5">
        <f t="shared" si="51"/>
        <v>17.07145070900151</v>
      </c>
      <c r="AE190" s="5">
        <v>-418.96273760701297</v>
      </c>
      <c r="AF190" s="5">
        <f t="shared" si="52"/>
        <v>436.03418831601448</v>
      </c>
    </row>
    <row r="191" spans="2:32" x14ac:dyDescent="0.25">
      <c r="B191" s="10">
        <v>413</v>
      </c>
      <c r="C191" s="10">
        <v>8</v>
      </c>
      <c r="D191" s="9" t="s">
        <v>221</v>
      </c>
      <c r="E191" s="162">
        <v>88.53</v>
      </c>
      <c r="F191" s="162">
        <f>INDEX('2016 Lockdown Update'!H$5:H$245,MATCH(B191,'2016 Lockdown Update'!B$5:B$245,0))</f>
        <v>88.53</v>
      </c>
      <c r="G191" s="162">
        <f t="shared" si="47"/>
        <v>0</v>
      </c>
      <c r="H191" s="5">
        <v>45053.65</v>
      </c>
      <c r="I191" s="5">
        <f>INDEX('2016 Lockdown Update'!E$5:E$245,MATCH(B191,'2016 Lockdown Update'!B$5:B$245,0))</f>
        <v>45053.65</v>
      </c>
      <c r="J191" s="5">
        <f t="shared" si="36"/>
        <v>0</v>
      </c>
      <c r="K191" s="5">
        <v>90</v>
      </c>
      <c r="L191" s="5">
        <f>INDEX('2016 Lockdown Update'!F$5:F$245,MATCH(B191,'2016 Lockdown Update'!B$5:B$245,0))</f>
        <v>90</v>
      </c>
      <c r="M191" s="5">
        <f t="shared" si="37"/>
        <v>0</v>
      </c>
      <c r="N191" s="5">
        <v>44963.65</v>
      </c>
      <c r="O191" s="105">
        <f t="shared" si="38"/>
        <v>44963.65</v>
      </c>
      <c r="P191" s="105">
        <f t="shared" si="39"/>
        <v>0</v>
      </c>
      <c r="Q191" s="103">
        <f t="shared" si="40"/>
        <v>507.89167513837117</v>
      </c>
      <c r="R191" s="6">
        <f t="shared" si="41"/>
        <v>507.89167513837117</v>
      </c>
      <c r="S191" s="5">
        <f t="shared" si="42"/>
        <v>44963.65</v>
      </c>
      <c r="T191" s="140">
        <v>0.84116666666666662</v>
      </c>
      <c r="U191" s="105">
        <f t="shared" si="43"/>
        <v>10928.585816376648</v>
      </c>
      <c r="V191" s="105">
        <f t="shared" si="44"/>
        <v>4408.0948889430692</v>
      </c>
      <c r="W191" s="105">
        <f t="shared" si="45"/>
        <v>2757.8286307626463</v>
      </c>
      <c r="X191" s="105">
        <f t="shared" si="46"/>
        <v>671.35900164118016</v>
      </c>
      <c r="Y191" s="105">
        <f t="shared" si="48"/>
        <v>18765.868337723543</v>
      </c>
      <c r="Z191" s="112">
        <f t="shared" si="49"/>
        <v>0.41735642764151804</v>
      </c>
      <c r="AA191" s="104">
        <f t="shared" si="50"/>
        <v>18771.409493090079</v>
      </c>
      <c r="AB191" s="105"/>
      <c r="AC191" s="104">
        <v>18637.933986766948</v>
      </c>
      <c r="AD191" s="5">
        <f t="shared" si="51"/>
        <v>133.47550632313141</v>
      </c>
      <c r="AE191" s="5">
        <v>-81.523732863901387</v>
      </c>
      <c r="AF191" s="5">
        <f t="shared" si="52"/>
        <v>214.9992391870328</v>
      </c>
    </row>
    <row r="192" spans="2:32" x14ac:dyDescent="0.25">
      <c r="B192" s="10">
        <v>537</v>
      </c>
      <c r="C192" s="10">
        <v>8</v>
      </c>
      <c r="D192" s="9" t="s">
        <v>222</v>
      </c>
      <c r="E192" s="162">
        <v>20.22300394490447</v>
      </c>
      <c r="F192" s="162">
        <f>INDEX('2016 Lockdown Update'!H$5:H$245,MATCH(B192,'2016 Lockdown Update'!B$5:B$245,0))</f>
        <v>20.22300394490447</v>
      </c>
      <c r="G192" s="162">
        <f t="shared" si="47"/>
        <v>0</v>
      </c>
      <c r="H192" s="5">
        <v>10523.48</v>
      </c>
      <c r="I192" s="5">
        <f>INDEX('2016 Lockdown Update'!E$5:E$245,MATCH(B192,'2016 Lockdown Update'!B$5:B$245,0))</f>
        <v>10523.48</v>
      </c>
      <c r="J192" s="5">
        <f t="shared" si="36"/>
        <v>0</v>
      </c>
      <c r="K192" s="5">
        <v>0</v>
      </c>
      <c r="L192" s="5">
        <f>INDEX('2016 Lockdown Update'!F$5:F$245,MATCH(B192,'2016 Lockdown Update'!B$5:B$245,0))</f>
        <v>0</v>
      </c>
      <c r="M192" s="5">
        <f t="shared" si="37"/>
        <v>0</v>
      </c>
      <c r="N192" s="5">
        <v>10523.48</v>
      </c>
      <c r="O192" s="105">
        <f t="shared" si="38"/>
        <v>10523.48</v>
      </c>
      <c r="P192" s="105">
        <f t="shared" si="39"/>
        <v>0</v>
      </c>
      <c r="Q192" s="103">
        <f t="shared" si="40"/>
        <v>520.37175232078073</v>
      </c>
      <c r="R192" s="6">
        <f t="shared" si="41"/>
        <v>520.37175232078073</v>
      </c>
      <c r="S192" s="5">
        <f t="shared" si="42"/>
        <v>10523.48</v>
      </c>
      <c r="T192" s="140">
        <v>0.36333333333333334</v>
      </c>
      <c r="U192" s="105">
        <f t="shared" si="43"/>
        <v>2557.7717615656939</v>
      </c>
      <c r="V192" s="105">
        <f t="shared" si="44"/>
        <v>1006.9458977590524</v>
      </c>
      <c r="W192" s="105">
        <f t="shared" si="45"/>
        <v>278.79712201066059</v>
      </c>
      <c r="X192" s="105">
        <f t="shared" si="46"/>
        <v>157.12765815477448</v>
      </c>
      <c r="Y192" s="105">
        <f t="shared" si="48"/>
        <v>4000.6424394901815</v>
      </c>
      <c r="Z192" s="112">
        <f t="shared" si="49"/>
        <v>0.38016344778440037</v>
      </c>
      <c r="AA192" s="104">
        <f t="shared" si="50"/>
        <v>4001.823742743738</v>
      </c>
      <c r="AB192" s="105"/>
      <c r="AC192" s="104">
        <v>3947.2466159280589</v>
      </c>
      <c r="AD192" s="5">
        <f t="shared" si="51"/>
        <v>54.577126815679094</v>
      </c>
      <c r="AE192" s="5">
        <v>-16.727925124982448</v>
      </c>
      <c r="AF192" s="5">
        <f t="shared" si="52"/>
        <v>71.305051940661542</v>
      </c>
    </row>
    <row r="193" spans="2:32" x14ac:dyDescent="0.25">
      <c r="B193" s="10">
        <v>545</v>
      </c>
      <c r="C193" s="10">
        <v>8</v>
      </c>
      <c r="D193" s="9" t="s">
        <v>223</v>
      </c>
      <c r="E193" s="162">
        <v>16.135935126409695</v>
      </c>
      <c r="F193" s="162">
        <f>INDEX('2016 Lockdown Update'!H$5:H$245,MATCH(B193,'2016 Lockdown Update'!B$5:B$245,0))</f>
        <v>16.135935126409695</v>
      </c>
      <c r="G193" s="162">
        <f t="shared" si="47"/>
        <v>0</v>
      </c>
      <c r="H193" s="5">
        <v>4948.3599999999997</v>
      </c>
      <c r="I193" s="5">
        <f>INDEX('2016 Lockdown Update'!E$5:E$245,MATCH(B193,'2016 Lockdown Update'!B$5:B$245,0))</f>
        <v>4948.3599999999997</v>
      </c>
      <c r="J193" s="5">
        <f t="shared" si="36"/>
        <v>0</v>
      </c>
      <c r="K193" s="5">
        <v>0</v>
      </c>
      <c r="L193" s="5">
        <f>INDEX('2016 Lockdown Update'!F$5:F$245,MATCH(B193,'2016 Lockdown Update'!B$5:B$245,0))</f>
        <v>0</v>
      </c>
      <c r="M193" s="5">
        <f t="shared" si="37"/>
        <v>0</v>
      </c>
      <c r="N193" s="5">
        <v>4948.3599999999997</v>
      </c>
      <c r="O193" s="105">
        <f t="shared" si="38"/>
        <v>4948.3599999999997</v>
      </c>
      <c r="P193" s="105">
        <f t="shared" si="39"/>
        <v>0</v>
      </c>
      <c r="Q193" s="103">
        <f t="shared" si="40"/>
        <v>306.66707328917158</v>
      </c>
      <c r="R193" s="6">
        <f t="shared" si="41"/>
        <v>306.66707328917158</v>
      </c>
      <c r="S193" s="5">
        <f t="shared" si="42"/>
        <v>4948.3599999999997</v>
      </c>
      <c r="T193" s="140">
        <v>0.51608333333333334</v>
      </c>
      <c r="U193" s="105">
        <f t="shared" si="43"/>
        <v>1202.7176821793946</v>
      </c>
      <c r="V193" s="105">
        <f t="shared" si="44"/>
        <v>803.44214570251336</v>
      </c>
      <c r="W193" s="105">
        <f t="shared" si="45"/>
        <v>186.21076514342477</v>
      </c>
      <c r="X193" s="105">
        <f t="shared" si="46"/>
        <v>73.884705297749406</v>
      </c>
      <c r="Y193" s="105">
        <f t="shared" si="48"/>
        <v>2266.2552983230821</v>
      </c>
      <c r="Z193" s="112">
        <f t="shared" si="49"/>
        <v>0.45798108834504409</v>
      </c>
      <c r="AA193" s="104">
        <f t="shared" si="50"/>
        <v>2266.9244745361007</v>
      </c>
      <c r="AB193" s="105"/>
      <c r="AC193" s="104">
        <v>2209.8261749352982</v>
      </c>
      <c r="AD193" s="5">
        <f t="shared" si="51"/>
        <v>57.09829960080242</v>
      </c>
      <c r="AE193" s="5">
        <v>-7.8157832538431649</v>
      </c>
      <c r="AF193" s="5">
        <f t="shared" si="52"/>
        <v>64.914082854645585</v>
      </c>
    </row>
    <row r="194" spans="2:32" x14ac:dyDescent="0.25">
      <c r="B194" s="10">
        <v>605</v>
      </c>
      <c r="C194" s="10">
        <v>8</v>
      </c>
      <c r="D194" s="9" t="s">
        <v>224</v>
      </c>
      <c r="E194" s="162">
        <v>13.041002543910359</v>
      </c>
      <c r="F194" s="162">
        <f>INDEX('2016 Lockdown Update'!H$5:H$245,MATCH(B194,'2016 Lockdown Update'!B$5:B$245,0))</f>
        <v>13.041002543910359</v>
      </c>
      <c r="G194" s="162">
        <f t="shared" si="47"/>
        <v>0</v>
      </c>
      <c r="H194" s="5">
        <v>6999.31</v>
      </c>
      <c r="I194" s="5">
        <f>INDEX('2016 Lockdown Update'!E$5:E$245,MATCH(B194,'2016 Lockdown Update'!B$5:B$245,0))</f>
        <v>6999.31</v>
      </c>
      <c r="J194" s="5">
        <f t="shared" si="36"/>
        <v>0</v>
      </c>
      <c r="K194" s="5">
        <v>0</v>
      </c>
      <c r="L194" s="5">
        <f>INDEX('2016 Lockdown Update'!F$5:F$245,MATCH(B194,'2016 Lockdown Update'!B$5:B$245,0))</f>
        <v>0</v>
      </c>
      <c r="M194" s="5">
        <f t="shared" si="37"/>
        <v>0</v>
      </c>
      <c r="N194" s="5">
        <v>6999.31</v>
      </c>
      <c r="O194" s="105">
        <f t="shared" si="38"/>
        <v>6999.31</v>
      </c>
      <c r="P194" s="105">
        <f t="shared" si="39"/>
        <v>0</v>
      </c>
      <c r="Q194" s="103">
        <f t="shared" si="40"/>
        <v>536.71563796054977</v>
      </c>
      <c r="R194" s="6">
        <f t="shared" si="41"/>
        <v>536.71563796054977</v>
      </c>
      <c r="S194" s="5">
        <f t="shared" si="42"/>
        <v>6999.3100000000013</v>
      </c>
      <c r="T194" s="140">
        <v>0.22333333333333333</v>
      </c>
      <c r="U194" s="105">
        <f t="shared" si="43"/>
        <v>1701.2088651704933</v>
      </c>
      <c r="V194" s="105">
        <f t="shared" si="44"/>
        <v>649.33894341471603</v>
      </c>
      <c r="W194" s="105">
        <f t="shared" si="45"/>
        <v>113.98099396642303</v>
      </c>
      <c r="X194" s="105">
        <f t="shared" si="46"/>
        <v>104.50774734206698</v>
      </c>
      <c r="Y194" s="105">
        <f t="shared" si="48"/>
        <v>2569.036549893699</v>
      </c>
      <c r="Z194" s="112">
        <f t="shared" si="49"/>
        <v>0.36704140120864748</v>
      </c>
      <c r="AA194" s="104">
        <f t="shared" si="50"/>
        <v>2569.7951308668294</v>
      </c>
      <c r="AB194" s="105"/>
      <c r="AC194" s="104">
        <v>2493.2765031435647</v>
      </c>
      <c r="AD194" s="5">
        <f t="shared" si="51"/>
        <v>76.518627723264672</v>
      </c>
      <c r="AE194" s="5">
        <v>-10.460321136611583</v>
      </c>
      <c r="AF194" s="5">
        <f t="shared" si="52"/>
        <v>86.978948859876255</v>
      </c>
    </row>
    <row r="195" spans="2:32" x14ac:dyDescent="0.25">
      <c r="B195" s="10">
        <v>607</v>
      </c>
      <c r="C195" s="10">
        <v>8</v>
      </c>
      <c r="D195" s="9" t="s">
        <v>225</v>
      </c>
      <c r="E195" s="162">
        <v>19.561503815865539</v>
      </c>
      <c r="F195" s="162">
        <f>INDEX('2016 Lockdown Update'!H$5:H$245,MATCH(B195,'2016 Lockdown Update'!B$5:B$245,0))</f>
        <v>19.561503815865539</v>
      </c>
      <c r="G195" s="162">
        <f t="shared" si="47"/>
        <v>0</v>
      </c>
      <c r="H195" s="5">
        <v>10598.19</v>
      </c>
      <c r="I195" s="5">
        <f>INDEX('2016 Lockdown Update'!E$5:E$245,MATCH(B195,'2016 Lockdown Update'!B$5:B$245,0))</f>
        <v>10598.19</v>
      </c>
      <c r="J195" s="5">
        <f t="shared" si="36"/>
        <v>0</v>
      </c>
      <c r="K195" s="5">
        <v>0</v>
      </c>
      <c r="L195" s="5">
        <f>INDEX('2016 Lockdown Update'!F$5:F$245,MATCH(B195,'2016 Lockdown Update'!B$5:B$245,0))</f>
        <v>0</v>
      </c>
      <c r="M195" s="5">
        <f t="shared" si="37"/>
        <v>0</v>
      </c>
      <c r="N195" s="5">
        <v>10598.19</v>
      </c>
      <c r="O195" s="105">
        <f t="shared" si="38"/>
        <v>10598.19</v>
      </c>
      <c r="P195" s="105">
        <f t="shared" si="39"/>
        <v>0</v>
      </c>
      <c r="Q195" s="103">
        <f t="shared" si="40"/>
        <v>541.78810073917941</v>
      </c>
      <c r="R195" s="6">
        <f t="shared" si="41"/>
        <v>541.78810073917941</v>
      </c>
      <c r="S195" s="5">
        <f t="shared" si="42"/>
        <v>10598.19</v>
      </c>
      <c r="T195" s="140">
        <v>0.26508333333333334</v>
      </c>
      <c r="U195" s="105">
        <f t="shared" si="43"/>
        <v>2575.9303106679467</v>
      </c>
      <c r="V195" s="105">
        <f t="shared" si="44"/>
        <v>974.0084151220741</v>
      </c>
      <c r="W195" s="105">
        <f t="shared" si="45"/>
        <v>204.85085795586846</v>
      </c>
      <c r="X195" s="105">
        <f t="shared" si="46"/>
        <v>158.24316436951938</v>
      </c>
      <c r="Y195" s="105">
        <f t="shared" si="48"/>
        <v>3913.0327481154086</v>
      </c>
      <c r="Z195" s="112">
        <f t="shared" si="49"/>
        <v>0.36921707839880286</v>
      </c>
      <c r="AA195" s="104">
        <f t="shared" si="50"/>
        <v>3914.1881821204556</v>
      </c>
      <c r="AB195" s="105"/>
      <c r="AC195" s="104">
        <v>3829.4821572786927</v>
      </c>
      <c r="AD195" s="5">
        <f t="shared" si="51"/>
        <v>84.706024841762883</v>
      </c>
      <c r="AE195" s="5">
        <v>-16.229007583989642</v>
      </c>
      <c r="AF195" s="5">
        <f t="shared" si="52"/>
        <v>100.93503242575252</v>
      </c>
    </row>
    <row r="196" spans="2:32" x14ac:dyDescent="0.25">
      <c r="B196" s="10">
        <v>610</v>
      </c>
      <c r="C196" s="10">
        <v>8</v>
      </c>
      <c r="D196" s="9" t="s">
        <v>226</v>
      </c>
      <c r="E196" s="162">
        <v>75.807934496253225</v>
      </c>
      <c r="F196" s="162">
        <f>INDEX('2016 Lockdown Update'!H$5:H$245,MATCH(B196,'2016 Lockdown Update'!B$5:B$245,0))</f>
        <v>75.807934496253225</v>
      </c>
      <c r="G196" s="162">
        <f t="shared" si="47"/>
        <v>0</v>
      </c>
      <c r="H196" s="5">
        <v>28825.57</v>
      </c>
      <c r="I196" s="5">
        <f>INDEX('2016 Lockdown Update'!E$5:E$245,MATCH(B196,'2016 Lockdown Update'!B$5:B$245,0))</f>
        <v>28825.57</v>
      </c>
      <c r="J196" s="5">
        <f t="shared" si="36"/>
        <v>0</v>
      </c>
      <c r="K196" s="5">
        <v>0</v>
      </c>
      <c r="L196" s="5">
        <f>INDEX('2016 Lockdown Update'!F$5:F$245,MATCH(B196,'2016 Lockdown Update'!B$5:B$245,0))</f>
        <v>0</v>
      </c>
      <c r="M196" s="5">
        <f t="shared" si="37"/>
        <v>0</v>
      </c>
      <c r="N196" s="5">
        <v>28825.57</v>
      </c>
      <c r="O196" s="105">
        <f t="shared" si="38"/>
        <v>28825.57</v>
      </c>
      <c r="P196" s="105">
        <f t="shared" si="39"/>
        <v>0</v>
      </c>
      <c r="Q196" s="103">
        <f t="shared" si="40"/>
        <v>380.24476186492973</v>
      </c>
      <c r="R196" s="6">
        <f t="shared" si="41"/>
        <v>380.24476186492973</v>
      </c>
      <c r="S196" s="5">
        <f t="shared" si="42"/>
        <v>28825.57</v>
      </c>
      <c r="T196" s="140">
        <v>0.39050000000000001</v>
      </c>
      <c r="U196" s="105">
        <f t="shared" si="43"/>
        <v>7006.1642115569393</v>
      </c>
      <c r="V196" s="105">
        <f t="shared" si="44"/>
        <v>3774.6364915199906</v>
      </c>
      <c r="W196" s="105">
        <f t="shared" si="45"/>
        <v>820.77213738389548</v>
      </c>
      <c r="X196" s="105">
        <f t="shared" si="46"/>
        <v>430.39890882830804</v>
      </c>
      <c r="Y196" s="105">
        <f t="shared" si="48"/>
        <v>12031.971749289134</v>
      </c>
      <c r="Z196" s="112">
        <f t="shared" si="49"/>
        <v>0.41740620391163591</v>
      </c>
      <c r="AA196" s="104">
        <f t="shared" si="50"/>
        <v>12035.524530520926</v>
      </c>
      <c r="AB196" s="105"/>
      <c r="AC196" s="104">
        <v>11713.414677281808</v>
      </c>
      <c r="AD196" s="5">
        <f t="shared" si="51"/>
        <v>322.10985323911882</v>
      </c>
      <c r="AE196" s="5">
        <v>-44.522851114263176</v>
      </c>
      <c r="AF196" s="5">
        <f t="shared" si="52"/>
        <v>366.632704353382</v>
      </c>
    </row>
    <row r="197" spans="2:32" x14ac:dyDescent="0.25">
      <c r="B197" s="10">
        <v>611</v>
      </c>
      <c r="C197" s="10">
        <v>8</v>
      </c>
      <c r="D197" s="9" t="s">
        <v>227</v>
      </c>
      <c r="E197" s="162">
        <v>18.139267929914286</v>
      </c>
      <c r="F197" s="162">
        <f>INDEX('2016 Lockdown Update'!H$5:H$245,MATCH(B197,'2016 Lockdown Update'!B$5:B$245,0))</f>
        <v>18.139267929914286</v>
      </c>
      <c r="G197" s="162">
        <f t="shared" si="47"/>
        <v>0</v>
      </c>
      <c r="H197" s="5">
        <v>24010.02</v>
      </c>
      <c r="I197" s="5">
        <f>INDEX('2016 Lockdown Update'!E$5:E$245,MATCH(B197,'2016 Lockdown Update'!B$5:B$245,0))</f>
        <v>24010.02</v>
      </c>
      <c r="J197" s="5">
        <f t="shared" si="36"/>
        <v>0</v>
      </c>
      <c r="K197" s="5">
        <v>0</v>
      </c>
      <c r="L197" s="5">
        <f>INDEX('2016 Lockdown Update'!F$5:F$245,MATCH(B197,'2016 Lockdown Update'!B$5:B$245,0))</f>
        <v>0</v>
      </c>
      <c r="M197" s="5">
        <f t="shared" si="37"/>
        <v>0</v>
      </c>
      <c r="N197" s="5">
        <v>24010.02</v>
      </c>
      <c r="O197" s="105">
        <f t="shared" si="38"/>
        <v>24010.02</v>
      </c>
      <c r="P197" s="105">
        <f t="shared" si="39"/>
        <v>0</v>
      </c>
      <c r="Q197" s="103">
        <f t="shared" si="40"/>
        <v>1323.6487874135203</v>
      </c>
      <c r="R197" s="6">
        <f t="shared" si="41"/>
        <v>1323.6487874135203</v>
      </c>
      <c r="S197" s="5">
        <f t="shared" si="42"/>
        <v>24010.02</v>
      </c>
      <c r="T197" s="140">
        <v>0.55791666666666673</v>
      </c>
      <c r="U197" s="105">
        <f t="shared" si="43"/>
        <v>5835.7265040298025</v>
      </c>
      <c r="V197" s="105">
        <f t="shared" si="44"/>
        <v>903.19229923217085</v>
      </c>
      <c r="W197" s="105">
        <f t="shared" si="45"/>
        <v>976.75472361198831</v>
      </c>
      <c r="X197" s="105">
        <f t="shared" si="46"/>
        <v>358.49720955893855</v>
      </c>
      <c r="Y197" s="105">
        <f t="shared" si="48"/>
        <v>8074.1707364328995</v>
      </c>
      <c r="Z197" s="112">
        <f t="shared" si="49"/>
        <v>0.33628338237256361</v>
      </c>
      <c r="AA197" s="104">
        <f t="shared" si="50"/>
        <v>8076.554864558565</v>
      </c>
      <c r="AB197" s="105"/>
      <c r="AC197" s="104">
        <v>7943.2295979543505</v>
      </c>
      <c r="AD197" s="5">
        <f t="shared" si="51"/>
        <v>133.32526660421445</v>
      </c>
      <c r="AE197" s="5">
        <v>-40.998762820010597</v>
      </c>
      <c r="AF197" s="5">
        <f t="shared" si="52"/>
        <v>174.32402942422505</v>
      </c>
    </row>
    <row r="198" spans="2:32" x14ac:dyDescent="0.25">
      <c r="B198" s="10">
        <v>616</v>
      </c>
      <c r="C198" s="10">
        <v>8</v>
      </c>
      <c r="D198" s="9" t="s">
        <v>228</v>
      </c>
      <c r="E198" s="162">
        <v>175.33</v>
      </c>
      <c r="F198" s="162">
        <f>INDEX('2016 Lockdown Update'!H$5:H$245,MATCH(B198,'2016 Lockdown Update'!B$5:B$245,0))</f>
        <v>175.33</v>
      </c>
      <c r="G198" s="162">
        <f t="shared" si="47"/>
        <v>0</v>
      </c>
      <c r="H198" s="5">
        <v>201479.84</v>
      </c>
      <c r="I198" s="5">
        <f>INDEX('2016 Lockdown Update'!E$5:E$245,MATCH(B198,'2016 Lockdown Update'!B$5:B$245,0))</f>
        <v>201479.84</v>
      </c>
      <c r="J198" s="5">
        <f t="shared" si="36"/>
        <v>0</v>
      </c>
      <c r="K198" s="5">
        <v>0</v>
      </c>
      <c r="L198" s="5">
        <f>INDEX('2016 Lockdown Update'!F$5:F$245,MATCH(B198,'2016 Lockdown Update'!B$5:B$245,0))</f>
        <v>0</v>
      </c>
      <c r="M198" s="5">
        <f t="shared" si="37"/>
        <v>0</v>
      </c>
      <c r="N198" s="5">
        <v>201479.84</v>
      </c>
      <c r="O198" s="105">
        <f t="shared" si="38"/>
        <v>201479.84</v>
      </c>
      <c r="P198" s="105">
        <f t="shared" si="39"/>
        <v>0</v>
      </c>
      <c r="Q198" s="103">
        <f t="shared" si="40"/>
        <v>1149.1464096275593</v>
      </c>
      <c r="R198" s="6">
        <f t="shared" si="41"/>
        <v>1149.1464096275593</v>
      </c>
      <c r="S198" s="5">
        <f t="shared" si="42"/>
        <v>201479.83999999997</v>
      </c>
      <c r="T198" s="140">
        <v>0.50050000000000006</v>
      </c>
      <c r="U198" s="105">
        <f t="shared" si="43"/>
        <v>48970.439937812786</v>
      </c>
      <c r="V198" s="105">
        <f t="shared" si="44"/>
        <v>8730.049439493825</v>
      </c>
      <c r="W198" s="105">
        <f t="shared" si="45"/>
        <v>7352.9115566625906</v>
      </c>
      <c r="X198" s="105">
        <f t="shared" si="46"/>
        <v>3008.325708282684</v>
      </c>
      <c r="Y198" s="105">
        <f t="shared" si="48"/>
        <v>68061.726642251888</v>
      </c>
      <c r="Z198" s="112">
        <f t="shared" si="49"/>
        <v>0.33780911600015118</v>
      </c>
      <c r="AA198" s="104">
        <f t="shared" si="50"/>
        <v>68081.823799231366</v>
      </c>
      <c r="AB198" s="105"/>
      <c r="AC198" s="104">
        <v>68174.662130299635</v>
      </c>
      <c r="AD198" s="5">
        <f t="shared" si="51"/>
        <v>-92.838331068269326</v>
      </c>
      <c r="AE198" s="5">
        <v>-345.596590996749</v>
      </c>
      <c r="AF198" s="5">
        <f t="shared" si="52"/>
        <v>252.75825992847967</v>
      </c>
    </row>
    <row r="199" spans="2:32" x14ac:dyDescent="0.25">
      <c r="B199" s="10">
        <v>692</v>
      </c>
      <c r="C199" s="10">
        <v>8</v>
      </c>
      <c r="D199" s="9" t="s">
        <v>229</v>
      </c>
      <c r="E199" s="162">
        <v>393.61</v>
      </c>
      <c r="F199" s="162">
        <f>INDEX('2016 Lockdown Update'!H$5:H$245,MATCH(B199,'2016 Lockdown Update'!B$5:B$245,0))</f>
        <v>393.61</v>
      </c>
      <c r="G199" s="162">
        <f t="shared" si="47"/>
        <v>0</v>
      </c>
      <c r="H199" s="5">
        <v>246195.46</v>
      </c>
      <c r="I199" s="5">
        <f>INDEX('2016 Lockdown Update'!E$5:E$245,MATCH(B199,'2016 Lockdown Update'!B$5:B$245,0))</f>
        <v>241522.31</v>
      </c>
      <c r="J199" s="5">
        <f t="shared" si="36"/>
        <v>-4673.1499999999942</v>
      </c>
      <c r="K199" s="5">
        <v>43276.23</v>
      </c>
      <c r="L199" s="5">
        <f>INDEX('2016 Lockdown Update'!F$5:F$245,MATCH(B199,'2016 Lockdown Update'!B$5:B$245,0))</f>
        <v>43276.229999999996</v>
      </c>
      <c r="M199" s="5">
        <f t="shared" si="37"/>
        <v>0</v>
      </c>
      <c r="N199" s="5">
        <v>202919.23</v>
      </c>
      <c r="O199" s="105">
        <f t="shared" si="38"/>
        <v>198246.08000000002</v>
      </c>
      <c r="P199" s="105">
        <f t="shared" si="39"/>
        <v>-4673.1499999999942</v>
      </c>
      <c r="Q199" s="103">
        <f t="shared" si="40"/>
        <v>503.66118746983057</v>
      </c>
      <c r="R199" s="6">
        <f t="shared" si="41"/>
        <v>503.66118746983057</v>
      </c>
      <c r="S199" s="5">
        <f t="shared" si="42"/>
        <v>198246.08000000002</v>
      </c>
      <c r="T199" s="140">
        <v>8.3500000000000005E-2</v>
      </c>
      <c r="U199" s="105">
        <f t="shared" si="43"/>
        <v>48184.462294325975</v>
      </c>
      <c r="V199" s="105">
        <f t="shared" si="44"/>
        <v>19598.669707860401</v>
      </c>
      <c r="W199" s="105">
        <f t="shared" si="45"/>
        <v>1207.0207804728657</v>
      </c>
      <c r="X199" s="105">
        <f t="shared" si="46"/>
        <v>2960.0419527346539</v>
      </c>
      <c r="Y199" s="105">
        <f t="shared" si="48"/>
        <v>71950.194735393903</v>
      </c>
      <c r="Z199" s="112">
        <f t="shared" si="49"/>
        <v>0.3629337575572435</v>
      </c>
      <c r="AA199" s="104">
        <f t="shared" si="50"/>
        <v>71971.440072966681</v>
      </c>
      <c r="AB199" s="105"/>
      <c r="AC199" s="104">
        <v>71032.742954994028</v>
      </c>
      <c r="AD199" s="5">
        <f t="shared" si="51"/>
        <v>938.69711797265336</v>
      </c>
      <c r="AE199" s="5">
        <v>-1468.157005733301</v>
      </c>
      <c r="AF199" s="5">
        <f t="shared" si="52"/>
        <v>2406.8541237059544</v>
      </c>
    </row>
    <row r="200" spans="2:32" x14ac:dyDescent="0.25">
      <c r="B200" s="10">
        <v>706</v>
      </c>
      <c r="C200" s="10">
        <v>8</v>
      </c>
      <c r="D200" s="9" t="s">
        <v>230</v>
      </c>
      <c r="E200" s="162">
        <v>70.445468287262813</v>
      </c>
      <c r="F200" s="162">
        <f>INDEX('2016 Lockdown Update'!H$5:H$245,MATCH(B200,'2016 Lockdown Update'!B$5:B$245,0))</f>
        <v>70.445468287262813</v>
      </c>
      <c r="G200" s="162">
        <f t="shared" si="47"/>
        <v>0</v>
      </c>
      <c r="H200" s="5">
        <v>67043.899999999994</v>
      </c>
      <c r="I200" s="5">
        <f>INDEX('2016 Lockdown Update'!E$5:E$245,MATCH(B200,'2016 Lockdown Update'!B$5:B$245,0))</f>
        <v>67043.899999999994</v>
      </c>
      <c r="J200" s="5">
        <f t="shared" si="36"/>
        <v>0</v>
      </c>
      <c r="K200" s="5">
        <v>43777</v>
      </c>
      <c r="L200" s="5">
        <f>INDEX('2016 Lockdown Update'!F$5:F$245,MATCH(B200,'2016 Lockdown Update'!B$5:B$245,0))</f>
        <v>43777</v>
      </c>
      <c r="M200" s="5">
        <f t="shared" si="37"/>
        <v>0</v>
      </c>
      <c r="N200" s="5">
        <v>23266.9</v>
      </c>
      <c r="O200" s="105">
        <f t="shared" si="38"/>
        <v>23266.899999999994</v>
      </c>
      <c r="P200" s="105">
        <f t="shared" si="39"/>
        <v>0</v>
      </c>
      <c r="Q200" s="103">
        <f t="shared" si="40"/>
        <v>330.28242363472037</v>
      </c>
      <c r="R200" s="6">
        <f t="shared" si="41"/>
        <v>330.28242363472037</v>
      </c>
      <c r="S200" s="5">
        <f t="shared" si="42"/>
        <v>23266.899999999994</v>
      </c>
      <c r="T200" s="140">
        <v>0.34958333333333336</v>
      </c>
      <c r="U200" s="105">
        <f t="shared" si="43"/>
        <v>5655.1083671155202</v>
      </c>
      <c r="V200" s="105">
        <f t="shared" si="44"/>
        <v>3507.6280210808113</v>
      </c>
      <c r="W200" s="105">
        <f t="shared" si="45"/>
        <v>593.07949000124017</v>
      </c>
      <c r="X200" s="105">
        <f t="shared" si="46"/>
        <v>347.4015733883964</v>
      </c>
      <c r="Y200" s="105">
        <f t="shared" si="48"/>
        <v>10103.21745158597</v>
      </c>
      <c r="Z200" s="112">
        <f t="shared" si="49"/>
        <v>0.4342313523325399</v>
      </c>
      <c r="AA200" s="104">
        <f t="shared" si="50"/>
        <v>10106.200713356415</v>
      </c>
      <c r="AB200" s="105"/>
      <c r="AC200" s="104">
        <v>9915.4199202689615</v>
      </c>
      <c r="AD200" s="5">
        <f t="shared" si="51"/>
        <v>190.78079308745328</v>
      </c>
      <c r="AE200" s="5">
        <v>-35.665092097468005</v>
      </c>
      <c r="AF200" s="5">
        <f t="shared" si="52"/>
        <v>226.44588518492128</v>
      </c>
    </row>
    <row r="201" spans="2:32" x14ac:dyDescent="0.25">
      <c r="B201" s="10">
        <v>709</v>
      </c>
      <c r="C201" s="10">
        <v>8</v>
      </c>
      <c r="D201" s="9" t="s">
        <v>231</v>
      </c>
      <c r="E201" s="162">
        <v>73.641287092489847</v>
      </c>
      <c r="F201" s="162">
        <f>INDEX('2016 Lockdown Update'!H$5:H$245,MATCH(B201,'2016 Lockdown Update'!B$5:B$245,0))</f>
        <v>78.057130871097016</v>
      </c>
      <c r="G201" s="162">
        <f t="shared" si="47"/>
        <v>4.4158437786071687</v>
      </c>
      <c r="H201" s="5">
        <v>44609.25</v>
      </c>
      <c r="I201" s="5">
        <f>INDEX('2016 Lockdown Update'!E$5:E$245,MATCH(B201,'2016 Lockdown Update'!B$5:B$245,0))</f>
        <v>44609.25</v>
      </c>
      <c r="J201" s="5">
        <f t="shared" si="36"/>
        <v>0</v>
      </c>
      <c r="K201" s="5">
        <v>0</v>
      </c>
      <c r="L201" s="5">
        <f>INDEX('2016 Lockdown Update'!F$5:F$245,MATCH(B201,'2016 Lockdown Update'!B$5:B$245,0))</f>
        <v>0</v>
      </c>
      <c r="M201" s="5">
        <f t="shared" si="37"/>
        <v>0</v>
      </c>
      <c r="N201" s="5">
        <v>44609.25</v>
      </c>
      <c r="O201" s="105">
        <f t="shared" si="38"/>
        <v>44609.25</v>
      </c>
      <c r="P201" s="105">
        <f t="shared" si="39"/>
        <v>0</v>
      </c>
      <c r="Q201" s="103">
        <f t="shared" si="40"/>
        <v>571.4948717967535</v>
      </c>
      <c r="R201" s="6">
        <f t="shared" si="41"/>
        <v>571.4948717967535</v>
      </c>
      <c r="S201" s="5">
        <f t="shared" si="42"/>
        <v>44609.25</v>
      </c>
      <c r="T201" s="140">
        <v>0.39133333333333337</v>
      </c>
      <c r="U201" s="105">
        <f t="shared" si="43"/>
        <v>10842.447551059577</v>
      </c>
      <c r="V201" s="105">
        <f t="shared" si="44"/>
        <v>3886.6287093464703</v>
      </c>
      <c r="W201" s="105">
        <f t="shared" si="45"/>
        <v>1272.9033424943941</v>
      </c>
      <c r="X201" s="105">
        <f t="shared" si="46"/>
        <v>666.06740208950589</v>
      </c>
      <c r="Y201" s="105">
        <f t="shared" si="48"/>
        <v>16668.047004989949</v>
      </c>
      <c r="Z201" s="112">
        <f t="shared" si="49"/>
        <v>0.3736455332692199</v>
      </c>
      <c r="AA201" s="104">
        <f t="shared" si="50"/>
        <v>16672.968719053439</v>
      </c>
      <c r="AB201" s="105"/>
      <c r="AC201" s="104">
        <v>16219.852304547372</v>
      </c>
      <c r="AD201" s="5">
        <f t="shared" si="51"/>
        <v>453.11641450606658</v>
      </c>
      <c r="AE201" s="5">
        <v>-71.805098031863963</v>
      </c>
      <c r="AF201" s="5">
        <f t="shared" si="52"/>
        <v>524.92151253793054</v>
      </c>
    </row>
    <row r="202" spans="2:32" x14ac:dyDescent="0.25">
      <c r="B202" s="10">
        <v>714</v>
      </c>
      <c r="C202" s="10">
        <v>8</v>
      </c>
      <c r="D202" s="9" t="s">
        <v>232</v>
      </c>
      <c r="E202" s="162">
        <v>53.206698049442352</v>
      </c>
      <c r="F202" s="162">
        <f>INDEX('2016 Lockdown Update'!H$5:H$245,MATCH(B202,'2016 Lockdown Update'!B$5:B$245,0))</f>
        <v>53.206698049442352</v>
      </c>
      <c r="G202" s="162">
        <f t="shared" si="47"/>
        <v>0</v>
      </c>
      <c r="H202" s="5">
        <v>34143.47</v>
      </c>
      <c r="I202" s="5">
        <f>INDEX('2016 Lockdown Update'!E$5:E$245,MATCH(B202,'2016 Lockdown Update'!B$5:B$245,0))</f>
        <v>34143.47</v>
      </c>
      <c r="J202" s="5">
        <f t="shared" si="36"/>
        <v>0</v>
      </c>
      <c r="K202" s="5">
        <v>0</v>
      </c>
      <c r="L202" s="5">
        <f>INDEX('2016 Lockdown Update'!F$5:F$245,MATCH(B202,'2016 Lockdown Update'!B$5:B$245,0))</f>
        <v>0</v>
      </c>
      <c r="M202" s="5">
        <f t="shared" si="37"/>
        <v>0</v>
      </c>
      <c r="N202" s="5">
        <v>34143.47</v>
      </c>
      <c r="O202" s="105">
        <f t="shared" si="38"/>
        <v>34143.47</v>
      </c>
      <c r="P202" s="105">
        <f t="shared" si="39"/>
        <v>0</v>
      </c>
      <c r="Q202" s="103">
        <f t="shared" si="40"/>
        <v>641.713755066555</v>
      </c>
      <c r="R202" s="6">
        <f t="shared" si="41"/>
        <v>641.713755066555</v>
      </c>
      <c r="S202" s="5">
        <f t="shared" si="42"/>
        <v>34143.47</v>
      </c>
      <c r="T202" s="140">
        <v>0.28000000000000003</v>
      </c>
      <c r="U202" s="105">
        <f t="shared" si="43"/>
        <v>8298.6999935254717</v>
      </c>
      <c r="V202" s="105">
        <f t="shared" si="44"/>
        <v>2649.2733957899468</v>
      </c>
      <c r="W202" s="105">
        <f t="shared" si="45"/>
        <v>697.09079945613951</v>
      </c>
      <c r="X202" s="105">
        <f t="shared" si="46"/>
        <v>509.80127128837591</v>
      </c>
      <c r="Y202" s="105">
        <f t="shared" si="48"/>
        <v>12154.865460059935</v>
      </c>
      <c r="Z202" s="112">
        <f t="shared" si="49"/>
        <v>0.35599385358488561</v>
      </c>
      <c r="AA202" s="104">
        <f t="shared" si="50"/>
        <v>12158.454529148634</v>
      </c>
      <c r="AB202" s="105"/>
      <c r="AC202" s="104">
        <v>12189.206458760778</v>
      </c>
      <c r="AD202" s="5">
        <f t="shared" si="51"/>
        <v>-30.751929612144522</v>
      </c>
      <c r="AE202" s="5">
        <v>-54.638473937380695</v>
      </c>
      <c r="AF202" s="5">
        <f t="shared" si="52"/>
        <v>23.886544325236173</v>
      </c>
    </row>
    <row r="203" spans="2:32" x14ac:dyDescent="0.25">
      <c r="B203" s="10">
        <v>749</v>
      </c>
      <c r="C203" s="10">
        <v>8</v>
      </c>
      <c r="D203" s="9" t="s">
        <v>233</v>
      </c>
      <c r="E203" s="162">
        <v>11.40013858746314</v>
      </c>
      <c r="F203" s="162">
        <f>INDEX('2016 Lockdown Update'!H$5:H$245,MATCH(B203,'2016 Lockdown Update'!B$5:B$245,0))</f>
        <v>11.40013858746314</v>
      </c>
      <c r="G203" s="162">
        <f t="shared" si="47"/>
        <v>0</v>
      </c>
      <c r="H203" s="5">
        <v>3648.79</v>
      </c>
      <c r="I203" s="5">
        <f>INDEX('2016 Lockdown Update'!E$5:E$245,MATCH(B203,'2016 Lockdown Update'!B$5:B$245,0))</f>
        <v>3648.79</v>
      </c>
      <c r="J203" s="5">
        <f t="shared" si="36"/>
        <v>0</v>
      </c>
      <c r="K203" s="5">
        <v>0</v>
      </c>
      <c r="L203" s="5">
        <f>INDEX('2016 Lockdown Update'!F$5:F$245,MATCH(B203,'2016 Lockdown Update'!B$5:B$245,0))</f>
        <v>0</v>
      </c>
      <c r="M203" s="5">
        <f t="shared" si="37"/>
        <v>0</v>
      </c>
      <c r="N203" s="5">
        <v>3648.79</v>
      </c>
      <c r="O203" s="105">
        <f t="shared" si="38"/>
        <v>3648.79</v>
      </c>
      <c r="P203" s="105">
        <f t="shared" si="39"/>
        <v>0</v>
      </c>
      <c r="Q203" s="103">
        <f t="shared" si="40"/>
        <v>320.06540727606728</v>
      </c>
      <c r="R203" s="6">
        <f t="shared" si="41"/>
        <v>320.06540727606728</v>
      </c>
      <c r="S203" s="5">
        <f t="shared" si="42"/>
        <v>3648.79</v>
      </c>
      <c r="T203" s="140">
        <v>0.22950000000000001</v>
      </c>
      <c r="U203" s="105">
        <f t="shared" si="43"/>
        <v>886.85226045787977</v>
      </c>
      <c r="V203" s="105">
        <f t="shared" si="44"/>
        <v>567.63687609441899</v>
      </c>
      <c r="W203" s="105">
        <f t="shared" si="45"/>
        <v>61.059778132525025</v>
      </c>
      <c r="X203" s="105">
        <f t="shared" si="46"/>
        <v>54.480630722779885</v>
      </c>
      <c r="Y203" s="105">
        <f t="shared" si="48"/>
        <v>1570.0295454076036</v>
      </c>
      <c r="Z203" s="112">
        <f t="shared" si="49"/>
        <v>0.43028772426135886</v>
      </c>
      <c r="AA203" s="104">
        <f t="shared" si="50"/>
        <v>1570.4931412020846</v>
      </c>
      <c r="AB203" s="105"/>
      <c r="AC203" s="104">
        <v>1519.7529594127966</v>
      </c>
      <c r="AD203" s="5">
        <f t="shared" si="51"/>
        <v>50.740181789288044</v>
      </c>
      <c r="AE203" s="5">
        <v>-5.2625858030869495</v>
      </c>
      <c r="AF203" s="5">
        <f t="shared" si="52"/>
        <v>56.002767592374994</v>
      </c>
    </row>
    <row r="204" spans="2:32" x14ac:dyDescent="0.25">
      <c r="B204" s="10">
        <v>764</v>
      </c>
      <c r="C204" s="10">
        <v>8</v>
      </c>
      <c r="D204" s="9" t="s">
        <v>234</v>
      </c>
      <c r="E204" s="162">
        <v>47.765463863070885</v>
      </c>
      <c r="F204" s="162">
        <f>INDEX('2016 Lockdown Update'!H$5:H$245,MATCH(B204,'2016 Lockdown Update'!B$5:B$245,0))</f>
        <v>47.765463863070885</v>
      </c>
      <c r="G204" s="162">
        <f t="shared" si="47"/>
        <v>0</v>
      </c>
      <c r="H204" s="5">
        <v>14931.6</v>
      </c>
      <c r="I204" s="5">
        <f>INDEX('2016 Lockdown Update'!E$5:E$245,MATCH(B204,'2016 Lockdown Update'!B$5:B$245,0))</f>
        <v>14931.6</v>
      </c>
      <c r="J204" s="5">
        <f t="shared" si="36"/>
        <v>0</v>
      </c>
      <c r="K204" s="5">
        <v>0</v>
      </c>
      <c r="L204" s="5">
        <f>INDEX('2016 Lockdown Update'!F$5:F$245,MATCH(B204,'2016 Lockdown Update'!B$5:B$245,0))</f>
        <v>0</v>
      </c>
      <c r="M204" s="5">
        <f t="shared" si="37"/>
        <v>0</v>
      </c>
      <c r="N204" s="5">
        <v>14931.6</v>
      </c>
      <c r="O204" s="105">
        <f t="shared" si="38"/>
        <v>14931.6</v>
      </c>
      <c r="P204" s="105">
        <f t="shared" si="39"/>
        <v>0</v>
      </c>
      <c r="Q204" s="103">
        <f t="shared" si="40"/>
        <v>312.60242845760638</v>
      </c>
      <c r="R204" s="6">
        <f t="shared" si="41"/>
        <v>312.60242845760638</v>
      </c>
      <c r="S204" s="5">
        <f t="shared" si="42"/>
        <v>14931.599999999999</v>
      </c>
      <c r="T204" s="140">
        <v>0.18174999999999999</v>
      </c>
      <c r="U204" s="105">
        <f t="shared" si="43"/>
        <v>3629.1820609716856</v>
      </c>
      <c r="V204" s="105">
        <f t="shared" si="44"/>
        <v>2378.3429020986969</v>
      </c>
      <c r="W204" s="105">
        <f t="shared" si="45"/>
        <v>197.88115187448113</v>
      </c>
      <c r="X204" s="105">
        <f t="shared" si="46"/>
        <v>222.94595898921563</v>
      </c>
      <c r="Y204" s="105">
        <f t="shared" si="48"/>
        <v>6428.3520739340793</v>
      </c>
      <c r="Z204" s="112">
        <f t="shared" si="49"/>
        <v>0.43051997601958797</v>
      </c>
      <c r="AA204" s="104">
        <f t="shared" si="50"/>
        <v>6430.2502273768832</v>
      </c>
      <c r="AB204" s="105"/>
      <c r="AC204" s="104">
        <v>6222.4615828334991</v>
      </c>
      <c r="AD204" s="5">
        <f t="shared" si="51"/>
        <v>207.78864454338418</v>
      </c>
      <c r="AE204" s="5">
        <v>-21.186600793800608</v>
      </c>
      <c r="AF204" s="5">
        <f t="shared" si="52"/>
        <v>228.97524533718479</v>
      </c>
    </row>
    <row r="205" spans="2:32" x14ac:dyDescent="0.25">
      <c r="B205" s="10">
        <v>775</v>
      </c>
      <c r="C205" s="10">
        <v>8</v>
      </c>
      <c r="D205" s="9" t="s">
        <v>235</v>
      </c>
      <c r="E205" s="162">
        <v>199.86753898819137</v>
      </c>
      <c r="F205" s="162">
        <f>INDEX('2016 Lockdown Update'!H$5:H$245,MATCH(B205,'2016 Lockdown Update'!B$5:B$245,0))</f>
        <v>199.86753898819137</v>
      </c>
      <c r="G205" s="162">
        <f t="shared" si="47"/>
        <v>0</v>
      </c>
      <c r="H205" s="5">
        <v>102177.37</v>
      </c>
      <c r="I205" s="5">
        <f>INDEX('2016 Lockdown Update'!E$5:E$245,MATCH(B205,'2016 Lockdown Update'!B$5:B$245,0))</f>
        <v>102177.37</v>
      </c>
      <c r="J205" s="5">
        <f t="shared" si="36"/>
        <v>0</v>
      </c>
      <c r="K205" s="5">
        <v>0</v>
      </c>
      <c r="L205" s="5">
        <f>INDEX('2016 Lockdown Update'!F$5:F$245,MATCH(B205,'2016 Lockdown Update'!B$5:B$245,0))</f>
        <v>0</v>
      </c>
      <c r="M205" s="5">
        <f t="shared" si="37"/>
        <v>0</v>
      </c>
      <c r="N205" s="5">
        <v>102177.37</v>
      </c>
      <c r="O205" s="105">
        <f t="shared" si="38"/>
        <v>102177.37</v>
      </c>
      <c r="P205" s="105">
        <f t="shared" si="39"/>
        <v>0</v>
      </c>
      <c r="Q205" s="103">
        <f t="shared" si="40"/>
        <v>511.22543719336471</v>
      </c>
      <c r="R205" s="6">
        <f t="shared" si="41"/>
        <v>511.22543719336471</v>
      </c>
      <c r="S205" s="5">
        <f t="shared" si="42"/>
        <v>102177.37</v>
      </c>
      <c r="T205" s="140">
        <v>0.16700000000000001</v>
      </c>
      <c r="U205" s="105">
        <f t="shared" si="43"/>
        <v>24834.597648026098</v>
      </c>
      <c r="V205" s="105">
        <f t="shared" si="44"/>
        <v>9951.8251110298861</v>
      </c>
      <c r="W205" s="105">
        <f t="shared" si="45"/>
        <v>1244.2133421661074</v>
      </c>
      <c r="X205" s="105">
        <f t="shared" si="46"/>
        <v>1525.6256356750723</v>
      </c>
      <c r="Y205" s="105">
        <f t="shared" si="48"/>
        <v>37556.261736897162</v>
      </c>
      <c r="Z205" s="112">
        <f t="shared" si="49"/>
        <v>0.36755948735906163</v>
      </c>
      <c r="AA205" s="104">
        <f t="shared" si="50"/>
        <v>37567.35128935086</v>
      </c>
      <c r="AB205" s="105"/>
      <c r="AC205" s="104">
        <v>37073.744702377553</v>
      </c>
      <c r="AD205" s="5">
        <f t="shared" si="51"/>
        <v>493.60658697330655</v>
      </c>
      <c r="AE205" s="5">
        <v>-153.65955994956312</v>
      </c>
      <c r="AF205" s="5">
        <f t="shared" si="52"/>
        <v>647.26614692286967</v>
      </c>
    </row>
    <row r="206" spans="2:32" x14ac:dyDescent="0.25">
      <c r="B206" s="10">
        <v>790</v>
      </c>
      <c r="C206" s="10">
        <v>8</v>
      </c>
      <c r="D206" s="9" t="s">
        <v>236</v>
      </c>
      <c r="E206" s="162">
        <v>20.22300394490447</v>
      </c>
      <c r="F206" s="162">
        <f>INDEX('2016 Lockdown Update'!H$5:H$245,MATCH(B206,'2016 Lockdown Update'!B$5:B$245,0))</f>
        <v>20.22300394490447</v>
      </c>
      <c r="G206" s="162">
        <f t="shared" si="47"/>
        <v>0</v>
      </c>
      <c r="H206" s="5">
        <v>10651.9</v>
      </c>
      <c r="I206" s="5">
        <f>INDEX('2016 Lockdown Update'!E$5:E$245,MATCH(B206,'2016 Lockdown Update'!B$5:B$245,0))</f>
        <v>10651.9</v>
      </c>
      <c r="J206" s="5">
        <f t="shared" si="36"/>
        <v>0</v>
      </c>
      <c r="K206" s="5">
        <v>0</v>
      </c>
      <c r="L206" s="5">
        <f>INDEX('2016 Lockdown Update'!F$5:F$245,MATCH(B206,'2016 Lockdown Update'!B$5:B$245,0))</f>
        <v>0</v>
      </c>
      <c r="M206" s="5">
        <f t="shared" si="37"/>
        <v>0</v>
      </c>
      <c r="N206" s="5">
        <v>10651.9</v>
      </c>
      <c r="O206" s="105">
        <f t="shared" si="38"/>
        <v>10651.9</v>
      </c>
      <c r="P206" s="105">
        <f t="shared" si="39"/>
        <v>0</v>
      </c>
      <c r="Q206" s="103">
        <f t="shared" si="40"/>
        <v>526.72194640420503</v>
      </c>
      <c r="R206" s="6">
        <f t="shared" si="41"/>
        <v>526.72194640420503</v>
      </c>
      <c r="S206" s="5">
        <f t="shared" si="42"/>
        <v>10651.9</v>
      </c>
      <c r="T206" s="140">
        <v>0.26591666666666669</v>
      </c>
      <c r="U206" s="105">
        <f t="shared" si="43"/>
        <v>2588.9847300533297</v>
      </c>
      <c r="V206" s="105">
        <f t="shared" si="44"/>
        <v>1006.9458977590524</v>
      </c>
      <c r="W206" s="105">
        <f t="shared" si="45"/>
        <v>206.5362568400044</v>
      </c>
      <c r="X206" s="105">
        <f t="shared" si="46"/>
        <v>159.04511643475755</v>
      </c>
      <c r="Y206" s="105">
        <f t="shared" si="48"/>
        <v>3961.5120010871437</v>
      </c>
      <c r="Z206" s="112">
        <f t="shared" si="49"/>
        <v>0.37190660831280276</v>
      </c>
      <c r="AA206" s="104">
        <f t="shared" si="50"/>
        <v>3962.6817499678968</v>
      </c>
      <c r="AB206" s="105"/>
      <c r="AC206" s="104">
        <v>3876.8854643316154</v>
      </c>
      <c r="AD206" s="5">
        <f t="shared" si="51"/>
        <v>85.796285636281482</v>
      </c>
      <c r="AE206" s="5">
        <v>-16.294724900767505</v>
      </c>
      <c r="AF206" s="5">
        <f t="shared" si="52"/>
        <v>102.09101053704899</v>
      </c>
    </row>
    <row r="207" spans="2:32" x14ac:dyDescent="0.25">
      <c r="B207" s="10">
        <v>796</v>
      </c>
      <c r="C207" s="10">
        <v>8</v>
      </c>
      <c r="D207" s="9" t="s">
        <v>237</v>
      </c>
      <c r="E207" s="162">
        <v>3.2130006267605236</v>
      </c>
      <c r="F207" s="162">
        <f>INDEX('2016 Lockdown Update'!H$5:H$245,MATCH(B207,'2016 Lockdown Update'!B$5:B$245,0))</f>
        <v>3.2130006267605236</v>
      </c>
      <c r="G207" s="162">
        <f t="shared" si="47"/>
        <v>0</v>
      </c>
      <c r="H207" s="5">
        <v>16075.64</v>
      </c>
      <c r="I207" s="5">
        <f>INDEX('2016 Lockdown Update'!E$5:E$245,MATCH(B207,'2016 Lockdown Update'!B$5:B$245,0))</f>
        <v>16075.64</v>
      </c>
      <c r="J207" s="5">
        <f t="shared" si="36"/>
        <v>0</v>
      </c>
      <c r="K207" s="5">
        <v>0</v>
      </c>
      <c r="L207" s="5">
        <f>INDEX('2016 Lockdown Update'!F$5:F$245,MATCH(B207,'2016 Lockdown Update'!B$5:B$245,0))</f>
        <v>0</v>
      </c>
      <c r="M207" s="5">
        <f t="shared" si="37"/>
        <v>0</v>
      </c>
      <c r="N207" s="5">
        <v>16075.64</v>
      </c>
      <c r="O207" s="105">
        <f t="shared" si="38"/>
        <v>16075.64</v>
      </c>
      <c r="P207" s="105">
        <f t="shared" si="39"/>
        <v>0</v>
      </c>
      <c r="Q207" s="103">
        <f t="shared" si="40"/>
        <v>5003.3105708442099</v>
      </c>
      <c r="R207" s="6">
        <f t="shared" si="41"/>
        <v>1599.0740489486416</v>
      </c>
      <c r="S207" s="5">
        <f t="shared" si="42"/>
        <v>5137.8259215084736</v>
      </c>
      <c r="T207" s="140">
        <v>0.28558333333333336</v>
      </c>
      <c r="U207" s="105">
        <f t="shared" si="43"/>
        <v>1248.7680936225102</v>
      </c>
      <c r="V207" s="105">
        <f t="shared" si="44"/>
        <v>159.9820585224663</v>
      </c>
      <c r="W207" s="105">
        <f t="shared" si="45"/>
        <v>106.98820642110856</v>
      </c>
      <c r="X207" s="105">
        <f t="shared" si="46"/>
        <v>76.71364938722958</v>
      </c>
      <c r="Y207" s="105">
        <f t="shared" si="48"/>
        <v>1592.4520079533147</v>
      </c>
      <c r="Z207" s="112">
        <f t="shared" si="49"/>
        <v>0.30994666465573212</v>
      </c>
      <c r="AA207" s="104">
        <f t="shared" si="50"/>
        <v>1592.9222246164084</v>
      </c>
      <c r="AB207" s="105"/>
      <c r="AC207" s="104">
        <v>1536.4605779166147</v>
      </c>
      <c r="AD207" s="5">
        <f t="shared" si="51"/>
        <v>56.461646699793619</v>
      </c>
      <c r="AE207" s="5">
        <v>25.814789778498152</v>
      </c>
      <c r="AF207" s="5">
        <f t="shared" si="52"/>
        <v>30.646856921295466</v>
      </c>
    </row>
    <row r="208" spans="2:32" x14ac:dyDescent="0.25">
      <c r="B208" s="10">
        <v>797</v>
      </c>
      <c r="C208" s="10">
        <v>8</v>
      </c>
      <c r="D208" s="9" t="s">
        <v>238</v>
      </c>
      <c r="E208" s="162">
        <v>27.117841312893944</v>
      </c>
      <c r="F208" s="162">
        <f>INDEX('2016 Lockdown Update'!H$5:H$245,MATCH(B208,'2016 Lockdown Update'!B$5:B$245,0))</f>
        <v>27.117841312893944</v>
      </c>
      <c r="G208" s="162">
        <f t="shared" si="47"/>
        <v>0</v>
      </c>
      <c r="H208" s="5">
        <v>32983.11</v>
      </c>
      <c r="I208" s="5">
        <f>INDEX('2016 Lockdown Update'!E$5:E$245,MATCH(B208,'2016 Lockdown Update'!B$5:B$245,0))</f>
        <v>33613.51</v>
      </c>
      <c r="J208" s="5">
        <f t="shared" si="36"/>
        <v>630.40000000000146</v>
      </c>
      <c r="K208" s="5">
        <v>1525</v>
      </c>
      <c r="L208" s="5">
        <f>INDEX('2016 Lockdown Update'!F$5:F$245,MATCH(B208,'2016 Lockdown Update'!B$5:B$245,0))</f>
        <v>1525</v>
      </c>
      <c r="M208" s="5">
        <f t="shared" si="37"/>
        <v>0</v>
      </c>
      <c r="N208" s="5">
        <v>31458.11</v>
      </c>
      <c r="O208" s="105">
        <f t="shared" si="38"/>
        <v>32088.510000000002</v>
      </c>
      <c r="P208" s="105">
        <f t="shared" si="39"/>
        <v>630.40000000000146</v>
      </c>
      <c r="Q208" s="103">
        <f t="shared" si="40"/>
        <v>1183.2988337734173</v>
      </c>
      <c r="R208" s="6">
        <f t="shared" si="41"/>
        <v>1183.2988337734173</v>
      </c>
      <c r="S208" s="5">
        <f t="shared" si="42"/>
        <v>32088.51</v>
      </c>
      <c r="T208" s="140">
        <v>0.31524999999999997</v>
      </c>
      <c r="U208" s="105">
        <f t="shared" si="43"/>
        <v>7799.2341648122465</v>
      </c>
      <c r="V208" s="105">
        <f t="shared" si="44"/>
        <v>1350.2543509605443</v>
      </c>
      <c r="W208" s="105">
        <f t="shared" si="45"/>
        <v>737.61257113711804</v>
      </c>
      <c r="X208" s="105">
        <f t="shared" si="46"/>
        <v>479.11835533265253</v>
      </c>
      <c r="Y208" s="105">
        <f t="shared" si="48"/>
        <v>10366.219442242562</v>
      </c>
      <c r="Z208" s="112">
        <f t="shared" si="49"/>
        <v>0.32305081919486328</v>
      </c>
      <c r="AA208" s="104">
        <f t="shared" si="50"/>
        <v>10369.28036281705</v>
      </c>
      <c r="AB208" s="105"/>
      <c r="AC208" s="104">
        <v>10218.526558145459</v>
      </c>
      <c r="AD208" s="5">
        <f t="shared" si="51"/>
        <v>150.75380467159084</v>
      </c>
      <c r="AE208" s="5">
        <v>125.21136673407818</v>
      </c>
      <c r="AF208" s="5">
        <f t="shared" si="52"/>
        <v>25.542437937512659</v>
      </c>
    </row>
    <row r="209" spans="2:32" x14ac:dyDescent="0.25">
      <c r="B209" s="10">
        <v>801</v>
      </c>
      <c r="C209" s="10">
        <v>8</v>
      </c>
      <c r="D209" s="9" t="s">
        <v>239</v>
      </c>
      <c r="E209" s="162">
        <v>123.59652791803542</v>
      </c>
      <c r="F209" s="162">
        <f>INDEX('2016 Lockdown Update'!H$5:H$245,MATCH(B209,'2016 Lockdown Update'!B$5:B$245,0))</f>
        <v>123.59652791803542</v>
      </c>
      <c r="G209" s="162">
        <f t="shared" si="47"/>
        <v>0</v>
      </c>
      <c r="H209" s="5">
        <v>48233.03</v>
      </c>
      <c r="I209" s="5">
        <f>INDEX('2016 Lockdown Update'!E$5:E$245,MATCH(B209,'2016 Lockdown Update'!B$5:B$245,0))</f>
        <v>48233.03</v>
      </c>
      <c r="J209" s="5">
        <f t="shared" si="36"/>
        <v>0</v>
      </c>
      <c r="K209" s="5">
        <v>0</v>
      </c>
      <c r="L209" s="5">
        <f>INDEX('2016 Lockdown Update'!F$5:F$245,MATCH(B209,'2016 Lockdown Update'!B$5:B$245,0))</f>
        <v>0</v>
      </c>
      <c r="M209" s="5">
        <f t="shared" si="37"/>
        <v>0</v>
      </c>
      <c r="N209" s="5">
        <v>48233.03</v>
      </c>
      <c r="O209" s="105">
        <f t="shared" si="38"/>
        <v>48233.03</v>
      </c>
      <c r="P209" s="105">
        <f t="shared" si="39"/>
        <v>0</v>
      </c>
      <c r="Q209" s="103">
        <f t="shared" si="40"/>
        <v>390.2458330543584</v>
      </c>
      <c r="R209" s="6">
        <f t="shared" si="41"/>
        <v>390.2458330543584</v>
      </c>
      <c r="S209" s="5">
        <f t="shared" si="42"/>
        <v>48233.03</v>
      </c>
      <c r="T209" s="140">
        <v>0.58158333333333334</v>
      </c>
      <c r="U209" s="105">
        <f t="shared" si="43"/>
        <v>11723.221036078461</v>
      </c>
      <c r="V209" s="105">
        <f t="shared" si="44"/>
        <v>6154.1310629910904</v>
      </c>
      <c r="W209" s="105">
        <f t="shared" si="45"/>
        <v>2045.4089902697895</v>
      </c>
      <c r="X209" s="105">
        <f t="shared" si="46"/>
        <v>720.17460475137341</v>
      </c>
      <c r="Y209" s="105">
        <f t="shared" si="48"/>
        <v>20642.935694090713</v>
      </c>
      <c r="Z209" s="112">
        <f t="shared" si="49"/>
        <v>0.42798339009783781</v>
      </c>
      <c r="AA209" s="104">
        <f t="shared" si="50"/>
        <v>20649.031106881837</v>
      </c>
      <c r="AB209" s="105"/>
      <c r="AC209" s="104">
        <v>20239.712098265802</v>
      </c>
      <c r="AD209" s="5">
        <f t="shared" si="51"/>
        <v>409.31900861603572</v>
      </c>
      <c r="AE209" s="5">
        <v>-79.459014559150091</v>
      </c>
      <c r="AF209" s="5">
        <f t="shared" si="52"/>
        <v>488.77802317518581</v>
      </c>
    </row>
    <row r="210" spans="2:32" x14ac:dyDescent="0.25">
      <c r="B210" s="10">
        <v>810</v>
      </c>
      <c r="C210" s="10">
        <v>8</v>
      </c>
      <c r="D210" s="9" t="s">
        <v>240</v>
      </c>
      <c r="E210" s="162">
        <v>117.85999999999999</v>
      </c>
      <c r="F210" s="162">
        <f>INDEX('2016 Lockdown Update'!H$5:H$245,MATCH(B210,'2016 Lockdown Update'!B$5:B$245,0))</f>
        <v>117.85999999999999</v>
      </c>
      <c r="G210" s="162">
        <f t="shared" si="47"/>
        <v>0</v>
      </c>
      <c r="H210" s="5">
        <v>111643.23</v>
      </c>
      <c r="I210" s="5">
        <f>INDEX('2016 Lockdown Update'!E$5:E$245,MATCH(B210,'2016 Lockdown Update'!B$5:B$245,0))</f>
        <v>111643.23</v>
      </c>
      <c r="J210" s="5">
        <f t="shared" si="36"/>
        <v>0</v>
      </c>
      <c r="K210" s="5">
        <v>1356.8</v>
      </c>
      <c r="L210" s="5">
        <f>INDEX('2016 Lockdown Update'!F$5:F$245,MATCH(B210,'2016 Lockdown Update'!B$5:B$245,0))</f>
        <v>1356.8</v>
      </c>
      <c r="M210" s="5">
        <f t="shared" si="37"/>
        <v>0</v>
      </c>
      <c r="N210" s="5">
        <v>110286.43</v>
      </c>
      <c r="O210" s="105">
        <f t="shared" si="38"/>
        <v>110286.43</v>
      </c>
      <c r="P210" s="105">
        <f t="shared" si="39"/>
        <v>0</v>
      </c>
      <c r="Q210" s="103">
        <f t="shared" si="40"/>
        <v>935.7409638554218</v>
      </c>
      <c r="R210" s="6">
        <f t="shared" si="41"/>
        <v>935.7409638554218</v>
      </c>
      <c r="S210" s="5">
        <f t="shared" si="42"/>
        <v>110286.43</v>
      </c>
      <c r="T210" s="140">
        <v>0.63491666666666668</v>
      </c>
      <c r="U210" s="105">
        <f t="shared" si="43"/>
        <v>26805.535463353528</v>
      </c>
      <c r="V210" s="105">
        <f t="shared" si="44"/>
        <v>5868.4972733630411</v>
      </c>
      <c r="W210" s="105">
        <f t="shared" si="45"/>
        <v>5105.7843673822626</v>
      </c>
      <c r="X210" s="105">
        <f t="shared" si="46"/>
        <v>1646.7032267035681</v>
      </c>
      <c r="Y210" s="105">
        <f t="shared" si="48"/>
        <v>39426.520330802399</v>
      </c>
      <c r="Z210" s="112">
        <f t="shared" si="49"/>
        <v>0.35749203533746082</v>
      </c>
      <c r="AA210" s="104">
        <f t="shared" si="50"/>
        <v>39438.162130200282</v>
      </c>
      <c r="AB210" s="105"/>
      <c r="AC210" s="104">
        <v>40148.902517193936</v>
      </c>
      <c r="AD210" s="5">
        <f t="shared" si="51"/>
        <v>-710.74038699365337</v>
      </c>
      <c r="AE210" s="5">
        <v>-199.09697321608837</v>
      </c>
      <c r="AF210" s="5">
        <f t="shared" si="52"/>
        <v>-511.643413777565</v>
      </c>
    </row>
    <row r="211" spans="2:32" x14ac:dyDescent="0.25">
      <c r="B211" s="10">
        <v>812</v>
      </c>
      <c r="C211" s="10">
        <v>8</v>
      </c>
      <c r="D211" s="9" t="s">
        <v>241</v>
      </c>
      <c r="E211" s="162">
        <v>73.094329153324267</v>
      </c>
      <c r="F211" s="162">
        <f>INDEX('2016 Lockdown Update'!H$5:H$245,MATCH(B211,'2016 Lockdown Update'!B$5:B$245,0))</f>
        <v>73.094329153324267</v>
      </c>
      <c r="G211" s="162">
        <f t="shared" si="47"/>
        <v>0</v>
      </c>
      <c r="H211" s="5">
        <v>74919.570000000007</v>
      </c>
      <c r="I211" s="5">
        <f>INDEX('2016 Lockdown Update'!E$5:E$245,MATCH(B211,'2016 Lockdown Update'!B$5:B$245,0))</f>
        <v>79827.28</v>
      </c>
      <c r="J211" s="5">
        <f t="shared" si="36"/>
        <v>4907.7099999999919</v>
      </c>
      <c r="K211" s="5">
        <v>614.27</v>
      </c>
      <c r="L211" s="5">
        <f>INDEX('2016 Lockdown Update'!F$5:F$245,MATCH(B211,'2016 Lockdown Update'!B$5:B$245,0))</f>
        <v>614.27</v>
      </c>
      <c r="M211" s="5">
        <f t="shared" si="37"/>
        <v>0</v>
      </c>
      <c r="N211" s="5">
        <v>74305.3</v>
      </c>
      <c r="O211" s="105">
        <f t="shared" si="38"/>
        <v>79213.009999999995</v>
      </c>
      <c r="P211" s="105">
        <f t="shared" si="39"/>
        <v>4907.7099999999919</v>
      </c>
      <c r="Q211" s="103">
        <f t="shared" si="40"/>
        <v>1083.7093782452132</v>
      </c>
      <c r="R211" s="6">
        <f t="shared" si="41"/>
        <v>1083.7093782452132</v>
      </c>
      <c r="S211" s="5">
        <f t="shared" si="42"/>
        <v>79213.010000000009</v>
      </c>
      <c r="T211" s="140">
        <v>0.67300000000000004</v>
      </c>
      <c r="U211" s="105">
        <f t="shared" si="43"/>
        <v>19253.022776364942</v>
      </c>
      <c r="V211" s="105">
        <f t="shared" si="44"/>
        <v>3639.5203744661812</v>
      </c>
      <c r="W211" s="105">
        <f t="shared" si="45"/>
        <v>3887.1852985480823</v>
      </c>
      <c r="X211" s="105">
        <f t="shared" si="46"/>
        <v>1182.7413324005686</v>
      </c>
      <c r="Y211" s="105">
        <f t="shared" si="48"/>
        <v>27962.469781779775</v>
      </c>
      <c r="Z211" s="112">
        <f t="shared" si="49"/>
        <v>0.35300350007883519</v>
      </c>
      <c r="AA211" s="104">
        <f t="shared" si="50"/>
        <v>27970.726494802821</v>
      </c>
      <c r="AB211" s="105"/>
      <c r="AC211" s="104">
        <v>26921.230580737149</v>
      </c>
      <c r="AD211" s="5">
        <f t="shared" si="51"/>
        <v>1049.495914065672</v>
      </c>
      <c r="AE211" s="5">
        <v>1393.2145875944589</v>
      </c>
      <c r="AF211" s="5">
        <f t="shared" si="52"/>
        <v>-343.71867352878689</v>
      </c>
    </row>
    <row r="212" spans="2:32" x14ac:dyDescent="0.25">
      <c r="B212" s="10">
        <v>818</v>
      </c>
      <c r="C212" s="10">
        <v>8</v>
      </c>
      <c r="D212" s="9" t="s">
        <v>242</v>
      </c>
      <c r="E212" s="162">
        <v>41.596473847313483</v>
      </c>
      <c r="F212" s="162">
        <f>INDEX('2016 Lockdown Update'!H$5:H$245,MATCH(B212,'2016 Lockdown Update'!B$5:B$245,0))</f>
        <v>41.596473847313483</v>
      </c>
      <c r="G212" s="162">
        <f t="shared" si="47"/>
        <v>0</v>
      </c>
      <c r="H212" s="5">
        <v>18863.13</v>
      </c>
      <c r="I212" s="5">
        <f>INDEX('2016 Lockdown Update'!E$5:E$245,MATCH(B212,'2016 Lockdown Update'!B$5:B$245,0))</f>
        <v>18863.13</v>
      </c>
      <c r="J212" s="5">
        <f t="shared" si="36"/>
        <v>0</v>
      </c>
      <c r="K212" s="5">
        <v>0</v>
      </c>
      <c r="L212" s="5">
        <f>INDEX('2016 Lockdown Update'!F$5:F$245,MATCH(B212,'2016 Lockdown Update'!B$5:B$245,0))</f>
        <v>0</v>
      </c>
      <c r="M212" s="5">
        <f t="shared" si="37"/>
        <v>0</v>
      </c>
      <c r="N212" s="5">
        <v>18863.13</v>
      </c>
      <c r="O212" s="105">
        <f t="shared" si="38"/>
        <v>18863.13</v>
      </c>
      <c r="P212" s="105">
        <f t="shared" si="39"/>
        <v>0</v>
      </c>
      <c r="Q212" s="103">
        <f t="shared" si="40"/>
        <v>453.4790633754231</v>
      </c>
      <c r="R212" s="6">
        <f t="shared" si="41"/>
        <v>453.4790633754231</v>
      </c>
      <c r="S212" s="5">
        <f t="shared" si="42"/>
        <v>18863.13</v>
      </c>
      <c r="T212" s="140">
        <v>0.18174999999999999</v>
      </c>
      <c r="U212" s="105">
        <f t="shared" si="43"/>
        <v>4584.7553517223105</v>
      </c>
      <c r="V212" s="105">
        <f t="shared" si="44"/>
        <v>2071.1759151067049</v>
      </c>
      <c r="W212" s="105">
        <f t="shared" si="45"/>
        <v>249.98378555265893</v>
      </c>
      <c r="X212" s="105">
        <f t="shared" si="46"/>
        <v>281.64822305635323</v>
      </c>
      <c r="Y212" s="105">
        <f t="shared" si="48"/>
        <v>7187.5632754380276</v>
      </c>
      <c r="Z212" s="112">
        <f t="shared" si="49"/>
        <v>0.38103767908284719</v>
      </c>
      <c r="AA212" s="104">
        <f t="shared" si="50"/>
        <v>7189.6856075411433</v>
      </c>
      <c r="AB212" s="105"/>
      <c r="AC212" s="104">
        <v>7040.5243387911405</v>
      </c>
      <c r="AD212" s="5">
        <f t="shared" si="51"/>
        <v>149.16126875000282</v>
      </c>
      <c r="AE212" s="5">
        <v>-28.000945085210333</v>
      </c>
      <c r="AF212" s="5">
        <f t="shared" si="52"/>
        <v>177.16221383521315</v>
      </c>
    </row>
    <row r="213" spans="2:32" x14ac:dyDescent="0.25">
      <c r="B213" s="10">
        <v>833</v>
      </c>
      <c r="C213" s="10">
        <v>8</v>
      </c>
      <c r="D213" s="9" t="s">
        <v>243</v>
      </c>
      <c r="E213" s="162">
        <v>116.59396916396712</v>
      </c>
      <c r="F213" s="162">
        <f>INDEX('2016 Lockdown Update'!H$5:H$245,MATCH(B213,'2016 Lockdown Update'!B$5:B$245,0))</f>
        <v>58.296984581983558</v>
      </c>
      <c r="G213" s="162">
        <f t="shared" si="47"/>
        <v>-58.296984581983558</v>
      </c>
      <c r="H213" s="5">
        <v>48886.62</v>
      </c>
      <c r="I213" s="5">
        <f>INDEX('2016 Lockdown Update'!E$5:E$245,MATCH(B213,'2016 Lockdown Update'!B$5:B$245,0))</f>
        <v>33538.120000000003</v>
      </c>
      <c r="J213" s="5">
        <f t="shared" si="36"/>
        <v>-15348.5</v>
      </c>
      <c r="K213" s="5">
        <v>0</v>
      </c>
      <c r="L213" s="5">
        <f>INDEX('2016 Lockdown Update'!F$5:F$245,MATCH(B213,'2016 Lockdown Update'!B$5:B$245,0))</f>
        <v>0</v>
      </c>
      <c r="M213" s="5">
        <f t="shared" si="37"/>
        <v>0</v>
      </c>
      <c r="N213" s="5">
        <v>48886.62</v>
      </c>
      <c r="O213" s="105">
        <f t="shared" si="38"/>
        <v>33538.120000000003</v>
      </c>
      <c r="P213" s="105">
        <f t="shared" si="39"/>
        <v>-15348.5</v>
      </c>
      <c r="Q213" s="103">
        <f t="shared" si="40"/>
        <v>575.29768032573031</v>
      </c>
      <c r="R213" s="6">
        <f t="shared" si="41"/>
        <v>575.29768032573031</v>
      </c>
      <c r="S213" s="5">
        <f t="shared" si="42"/>
        <v>33538.120000000003</v>
      </c>
      <c r="T213" s="140">
        <v>0.29349999999999998</v>
      </c>
      <c r="U213" s="105">
        <f t="shared" si="43"/>
        <v>8151.5673780918132</v>
      </c>
      <c r="V213" s="105">
        <f t="shared" si="44"/>
        <v>2902.7294677130308</v>
      </c>
      <c r="W213" s="105">
        <f t="shared" si="45"/>
        <v>717.7455076409841</v>
      </c>
      <c r="X213" s="105">
        <f t="shared" si="46"/>
        <v>500.76269965009732</v>
      </c>
      <c r="Y213" s="105">
        <f t="shared" si="48"/>
        <v>12272.805053095924</v>
      </c>
      <c r="Z213" s="112">
        <f t="shared" si="49"/>
        <v>0.3659359872615377</v>
      </c>
      <c r="AA213" s="104">
        <f t="shared" si="50"/>
        <v>12276.428947197626</v>
      </c>
      <c r="AB213" s="105"/>
      <c r="AC213" s="104">
        <v>19366.834413367254</v>
      </c>
      <c r="AD213" s="5">
        <f t="shared" si="51"/>
        <v>-7090.4054661696282</v>
      </c>
      <c r="AE213" s="5">
        <v>2036.2234716004568</v>
      </c>
      <c r="AF213" s="5">
        <f t="shared" si="52"/>
        <v>-9126.628937770085</v>
      </c>
    </row>
    <row r="214" spans="2:32" x14ac:dyDescent="0.25">
      <c r="B214" s="10">
        <v>834</v>
      </c>
      <c r="C214" s="10">
        <v>8</v>
      </c>
      <c r="D214" s="9" t="s">
        <v>244</v>
      </c>
      <c r="E214" s="162">
        <v>113.44</v>
      </c>
      <c r="F214" s="162">
        <f>INDEX('2016 Lockdown Update'!H$5:H$245,MATCH(B214,'2016 Lockdown Update'!B$5:B$245,0))</f>
        <v>113.44</v>
      </c>
      <c r="G214" s="162">
        <f t="shared" si="47"/>
        <v>0</v>
      </c>
      <c r="H214" s="5">
        <v>61267.93</v>
      </c>
      <c r="I214" s="5">
        <f>INDEX('2016 Lockdown Update'!E$5:E$245,MATCH(B214,'2016 Lockdown Update'!B$5:B$245,0))</f>
        <v>61267.93</v>
      </c>
      <c r="J214" s="5">
        <f t="shared" si="36"/>
        <v>0</v>
      </c>
      <c r="K214" s="5">
        <v>5853.95</v>
      </c>
      <c r="L214" s="5">
        <f>INDEX('2016 Lockdown Update'!F$5:F$245,MATCH(B214,'2016 Lockdown Update'!B$5:B$245,0))</f>
        <v>5853.95</v>
      </c>
      <c r="M214" s="5">
        <f t="shared" si="37"/>
        <v>0</v>
      </c>
      <c r="N214" s="5">
        <v>55413.98</v>
      </c>
      <c r="O214" s="105">
        <f t="shared" si="38"/>
        <v>55413.98</v>
      </c>
      <c r="P214" s="105">
        <f t="shared" si="39"/>
        <v>0</v>
      </c>
      <c r="Q214" s="103">
        <f t="shared" si="40"/>
        <v>488.48712976022568</v>
      </c>
      <c r="R214" s="6">
        <f t="shared" si="41"/>
        <v>488.48712976022568</v>
      </c>
      <c r="S214" s="5">
        <f t="shared" si="42"/>
        <v>55413.98</v>
      </c>
      <c r="T214" s="140">
        <v>0.69074999999999998</v>
      </c>
      <c r="U214" s="105">
        <f t="shared" si="43"/>
        <v>13468.578192761914</v>
      </c>
      <c r="V214" s="105">
        <f t="shared" si="44"/>
        <v>5648.4161775861485</v>
      </c>
      <c r="W214" s="105">
        <f t="shared" si="45"/>
        <v>2791.0261159950874</v>
      </c>
      <c r="X214" s="105">
        <f t="shared" si="46"/>
        <v>827.39444617517313</v>
      </c>
      <c r="Y214" s="105">
        <f t="shared" si="48"/>
        <v>22735.414932518321</v>
      </c>
      <c r="Z214" s="112">
        <f t="shared" si="49"/>
        <v>0.41028301761610192</v>
      </c>
      <c r="AA214" s="104">
        <f t="shared" si="50"/>
        <v>22742.128209207494</v>
      </c>
      <c r="AB214" s="105"/>
      <c r="AC214" s="104">
        <v>22761.729605355365</v>
      </c>
      <c r="AD214" s="5">
        <f t="shared" si="51"/>
        <v>-19.601396147871128</v>
      </c>
      <c r="AE214" s="5">
        <v>-97.772998476739303</v>
      </c>
      <c r="AF214" s="5">
        <f t="shared" si="52"/>
        <v>78.171602328868175</v>
      </c>
    </row>
    <row r="215" spans="2:32" x14ac:dyDescent="0.25">
      <c r="B215" s="10">
        <v>837</v>
      </c>
      <c r="C215" s="10">
        <v>8</v>
      </c>
      <c r="D215" s="9" t="s">
        <v>245</v>
      </c>
      <c r="E215" s="162">
        <v>172.41</v>
      </c>
      <c r="F215" s="162">
        <f>INDEX('2016 Lockdown Update'!H$5:H$245,MATCH(B215,'2016 Lockdown Update'!B$5:B$245,0))</f>
        <v>172.41</v>
      </c>
      <c r="G215" s="162">
        <f t="shared" si="47"/>
        <v>0</v>
      </c>
      <c r="H215" s="5">
        <v>90655.29</v>
      </c>
      <c r="I215" s="5">
        <f>INDEX('2016 Lockdown Update'!E$5:E$245,MATCH(B215,'2016 Lockdown Update'!B$5:B$245,0))</f>
        <v>90655.29</v>
      </c>
      <c r="J215" s="5">
        <f t="shared" si="36"/>
        <v>0</v>
      </c>
      <c r="K215" s="5">
        <v>0</v>
      </c>
      <c r="L215" s="5">
        <f>INDEX('2016 Lockdown Update'!F$5:F$245,MATCH(B215,'2016 Lockdown Update'!B$5:B$245,0))</f>
        <v>0</v>
      </c>
      <c r="M215" s="5">
        <f t="shared" si="37"/>
        <v>0</v>
      </c>
      <c r="N215" s="5">
        <v>90655.29</v>
      </c>
      <c r="O215" s="105">
        <f t="shared" si="38"/>
        <v>90655.29</v>
      </c>
      <c r="P215" s="105">
        <f t="shared" si="39"/>
        <v>0</v>
      </c>
      <c r="Q215" s="103">
        <f t="shared" si="40"/>
        <v>525.81224986949712</v>
      </c>
      <c r="R215" s="6">
        <f t="shared" si="41"/>
        <v>525.81224986949712</v>
      </c>
      <c r="S215" s="5">
        <f t="shared" si="42"/>
        <v>90655.29</v>
      </c>
      <c r="T215" s="140">
        <v>0.54933333333333334</v>
      </c>
      <c r="U215" s="105">
        <f t="shared" si="43"/>
        <v>22034.112365733465</v>
      </c>
      <c r="V215" s="105">
        <f t="shared" si="44"/>
        <v>8584.6564983923472</v>
      </c>
      <c r="W215" s="105">
        <f t="shared" si="45"/>
        <v>3631.2217178728747</v>
      </c>
      <c r="X215" s="105">
        <f t="shared" si="46"/>
        <v>1353.5877311537577</v>
      </c>
      <c r="Y215" s="105">
        <f t="shared" si="48"/>
        <v>35603.578313152444</v>
      </c>
      <c r="Z215" s="112">
        <f t="shared" si="49"/>
        <v>0.39273580519297269</v>
      </c>
      <c r="AA215" s="104">
        <f t="shared" si="50"/>
        <v>35614.091280391011</v>
      </c>
      <c r="AB215" s="105"/>
      <c r="AC215" s="104">
        <v>35662.261974492074</v>
      </c>
      <c r="AD215" s="5">
        <f t="shared" si="51"/>
        <v>-48.170694101063418</v>
      </c>
      <c r="AE215" s="5">
        <v>-154.76299426603509</v>
      </c>
      <c r="AF215" s="5">
        <f t="shared" si="52"/>
        <v>106.59230016497168</v>
      </c>
    </row>
    <row r="216" spans="2:32" x14ac:dyDescent="0.25">
      <c r="B216" s="10">
        <v>847</v>
      </c>
      <c r="C216" s="10">
        <v>8</v>
      </c>
      <c r="D216" s="9" t="s">
        <v>246</v>
      </c>
      <c r="E216" s="162">
        <v>132.9484496871228</v>
      </c>
      <c r="F216" s="162">
        <f>INDEX('2016 Lockdown Update'!H$5:H$245,MATCH(B216,'2016 Lockdown Update'!B$5:B$245,0))</f>
        <v>66.474224843561387</v>
      </c>
      <c r="G216" s="162">
        <f t="shared" si="47"/>
        <v>-66.474224843561416</v>
      </c>
      <c r="H216" s="5">
        <v>101371.56</v>
      </c>
      <c r="I216" s="5">
        <f>INDEX('2016 Lockdown Update'!E$5:E$245,MATCH(B216,'2016 Lockdown Update'!B$5:B$245,0))</f>
        <v>90372</v>
      </c>
      <c r="J216" s="5">
        <f t="shared" si="36"/>
        <v>-10999.559999999998</v>
      </c>
      <c r="K216" s="5">
        <v>0</v>
      </c>
      <c r="L216" s="5">
        <f>INDEX('2016 Lockdown Update'!F$5:F$245,MATCH(B216,'2016 Lockdown Update'!B$5:B$245,0))</f>
        <v>0</v>
      </c>
      <c r="M216" s="5">
        <f t="shared" si="37"/>
        <v>0</v>
      </c>
      <c r="N216" s="5">
        <v>101371.56</v>
      </c>
      <c r="O216" s="105">
        <f t="shared" si="38"/>
        <v>90372</v>
      </c>
      <c r="P216" s="105">
        <f t="shared" si="39"/>
        <v>-10999.559999999998</v>
      </c>
      <c r="Q216" s="103">
        <f t="shared" si="40"/>
        <v>1359.5043825284008</v>
      </c>
      <c r="R216" s="6">
        <f t="shared" si="41"/>
        <v>1359.5043825284008</v>
      </c>
      <c r="S216" s="5">
        <f t="shared" si="42"/>
        <v>90372</v>
      </c>
      <c r="T216" s="140">
        <v>0.26525000000000004</v>
      </c>
      <c r="U216" s="105">
        <f t="shared" si="43"/>
        <v>21965.257655852904</v>
      </c>
      <c r="V216" s="105">
        <f t="shared" si="44"/>
        <v>3309.8914580295418</v>
      </c>
      <c r="W216" s="105">
        <f t="shared" si="45"/>
        <v>1747.8853779644951</v>
      </c>
      <c r="X216" s="105">
        <f t="shared" si="46"/>
        <v>1349.3578856769132</v>
      </c>
      <c r="Y216" s="105">
        <f t="shared" si="48"/>
        <v>28372.392377523855</v>
      </c>
      <c r="Z216" s="112">
        <f t="shared" si="49"/>
        <v>0.31395113948483883</v>
      </c>
      <c r="AA216" s="104">
        <f t="shared" si="50"/>
        <v>28380.77013183049</v>
      </c>
      <c r="AB216" s="105"/>
      <c r="AC216" s="104">
        <v>35146.187249283743</v>
      </c>
      <c r="AD216" s="5">
        <f t="shared" si="51"/>
        <v>-6765.417117453253</v>
      </c>
      <c r="AE216" s="5">
        <v>18729.714614783807</v>
      </c>
      <c r="AF216" s="5">
        <f t="shared" si="52"/>
        <v>-25495.13173223706</v>
      </c>
    </row>
    <row r="217" spans="2:32" x14ac:dyDescent="0.25">
      <c r="B217" s="10">
        <v>866</v>
      </c>
      <c r="C217" s="10">
        <v>8</v>
      </c>
      <c r="D217" s="9" t="s">
        <v>247</v>
      </c>
      <c r="E217" s="162">
        <v>353.30120528215645</v>
      </c>
      <c r="F217" s="162">
        <f>INDEX('2016 Lockdown Update'!H$5:H$245,MATCH(B217,'2016 Lockdown Update'!B$5:B$245,0))</f>
        <v>353.30120528215645</v>
      </c>
      <c r="G217" s="162">
        <f t="shared" si="47"/>
        <v>0</v>
      </c>
      <c r="H217" s="5">
        <v>55359.46</v>
      </c>
      <c r="I217" s="5">
        <f>INDEX('2016 Lockdown Update'!E$5:E$245,MATCH(B217,'2016 Lockdown Update'!B$5:B$245,0))</f>
        <v>55359.46</v>
      </c>
      <c r="J217" s="5">
        <f t="shared" si="36"/>
        <v>0</v>
      </c>
      <c r="K217" s="5">
        <v>0</v>
      </c>
      <c r="L217" s="5">
        <f>INDEX('2016 Lockdown Update'!F$5:F$245,MATCH(B217,'2016 Lockdown Update'!B$5:B$245,0))</f>
        <v>0</v>
      </c>
      <c r="M217" s="5">
        <f t="shared" si="37"/>
        <v>0</v>
      </c>
      <c r="N217" s="5">
        <v>55359.46</v>
      </c>
      <c r="O217" s="105">
        <f t="shared" si="38"/>
        <v>55359.46</v>
      </c>
      <c r="P217" s="105">
        <f t="shared" si="39"/>
        <v>0</v>
      </c>
      <c r="Q217" s="103">
        <f t="shared" si="40"/>
        <v>156.69196473810032</v>
      </c>
      <c r="R217" s="6">
        <f t="shared" si="41"/>
        <v>156.69196473810032</v>
      </c>
      <c r="S217" s="5">
        <f t="shared" si="42"/>
        <v>55359.46</v>
      </c>
      <c r="T217" s="140">
        <v>0.76416666666666666</v>
      </c>
      <c r="U217" s="105">
        <f t="shared" si="43"/>
        <v>13455.326899801736</v>
      </c>
      <c r="V217" s="105">
        <f t="shared" si="44"/>
        <v>17591.610044749799</v>
      </c>
      <c r="W217" s="105">
        <f t="shared" si="45"/>
        <v>3084.6336917795479</v>
      </c>
      <c r="X217" s="105">
        <f t="shared" si="46"/>
        <v>826.58039987845393</v>
      </c>
      <c r="Y217" s="105">
        <f t="shared" si="48"/>
        <v>34958.151036209536</v>
      </c>
      <c r="Z217" s="112">
        <f t="shared" si="49"/>
        <v>0.63147565088621771</v>
      </c>
      <c r="AA217" s="104">
        <f t="shared" si="50"/>
        <v>34968.473422721705</v>
      </c>
      <c r="AB217" s="105"/>
      <c r="AC217" s="104">
        <v>34639.81993943837</v>
      </c>
      <c r="AD217" s="5">
        <f t="shared" si="51"/>
        <v>328.65348328333494</v>
      </c>
      <c r="AE217" s="5">
        <v>-90.344457365536073</v>
      </c>
      <c r="AF217" s="5">
        <f t="shared" si="52"/>
        <v>418.99794064887101</v>
      </c>
    </row>
    <row r="218" spans="2:32" x14ac:dyDescent="0.25">
      <c r="B218" s="10">
        <v>871</v>
      </c>
      <c r="C218" s="10">
        <v>8</v>
      </c>
      <c r="D218" s="9" t="s">
        <v>248</v>
      </c>
      <c r="E218" s="162">
        <v>19.878525045684178</v>
      </c>
      <c r="F218" s="162">
        <f>INDEX('2016 Lockdown Update'!H$5:H$245,MATCH(B218,'2016 Lockdown Update'!B$5:B$245,0))</f>
        <v>19.878525045684178</v>
      </c>
      <c r="G218" s="162">
        <f t="shared" ref="G218:G266" si="53">F218-E218</f>
        <v>0</v>
      </c>
      <c r="H218" s="5">
        <v>11493.22</v>
      </c>
      <c r="I218" s="5">
        <f>INDEX('2016 Lockdown Update'!E$5:E$245,MATCH(B218,'2016 Lockdown Update'!B$5:B$245,0))</f>
        <v>11493.22</v>
      </c>
      <c r="J218" s="5">
        <f t="shared" ref="J218:J266" si="54">I218-H218</f>
        <v>0</v>
      </c>
      <c r="K218" s="5">
        <v>0</v>
      </c>
      <c r="L218" s="5">
        <f>INDEX('2016 Lockdown Update'!F$5:F$245,MATCH(B218,'2016 Lockdown Update'!B$5:B$245,0))</f>
        <v>0</v>
      </c>
      <c r="M218" s="5">
        <f t="shared" ref="M218:M266" si="55">L218-K218</f>
        <v>0</v>
      </c>
      <c r="N218" s="5">
        <v>11493.22</v>
      </c>
      <c r="O218" s="105">
        <f t="shared" ref="O218:O266" si="56">I218-L218</f>
        <v>11493.22</v>
      </c>
      <c r="P218" s="105">
        <f t="shared" ref="P218:P266" si="57">O218-N218</f>
        <v>0</v>
      </c>
      <c r="Q218" s="103">
        <f t="shared" ref="Q218:Q266" si="58">IFERROR(O218/F218,"n.a.")</f>
        <v>578.17267496389479</v>
      </c>
      <c r="R218" s="6">
        <f t="shared" ref="R218:R266" si="59">MIN(Q218,INDEX($V$3:$V$11,MATCH(C218,$S$3:$S$11,0)))</f>
        <v>578.17267496389479</v>
      </c>
      <c r="S218" s="5">
        <f t="shared" ref="S218:S266" si="60">F218*R218</f>
        <v>11493.22</v>
      </c>
      <c r="T218" s="140">
        <v>0.14000000000000001</v>
      </c>
      <c r="U218" s="105">
        <f t="shared" ref="U218:U266" si="61">$E$14*(S218/$S$24)</f>
        <v>2793.4707497388758</v>
      </c>
      <c r="V218" s="105">
        <f t="shared" ref="V218:V266" si="62">$E$15*(F218/$F$24)</f>
        <v>989.79356888746429</v>
      </c>
      <c r="W218" s="105">
        <f t="shared" ref="W218:W266" si="63">IFERROR(T218*$E$16*(S218/$S$24),0)</f>
        <v>117.32577148903277</v>
      </c>
      <c r="X218" s="105">
        <f t="shared" ref="X218:X266" si="64">($W$23+$E$9)*(S218/$S$24)</f>
        <v>171.60699153299262</v>
      </c>
      <c r="Y218" s="105">
        <f t="shared" ref="Y218:Y266" si="65">U218+V218+W218+X218</f>
        <v>4072.1970816483658</v>
      </c>
      <c r="Z218" s="112">
        <f t="shared" ref="Z218:Z266" si="66">IFERROR((Y218/S218),0)</f>
        <v>0.35431298466821015</v>
      </c>
      <c r="AA218" s="104">
        <f t="shared" ref="AA218:AA249" si="67">IF(Z218&gt;$Z$19,$Z$19*S218,Y218+($Z$23*Y218/$Z$22))</f>
        <v>4073.3995134413676</v>
      </c>
      <c r="AB218" s="105"/>
      <c r="AC218" s="104">
        <v>3948.8648270234316</v>
      </c>
      <c r="AD218" s="5">
        <f t="shared" si="51"/>
        <v>124.53468641793597</v>
      </c>
      <c r="AE218" s="5">
        <v>-16.804204876064432</v>
      </c>
      <c r="AF218" s="5">
        <f t="shared" si="52"/>
        <v>141.3388912940004</v>
      </c>
    </row>
    <row r="219" spans="2:32" x14ac:dyDescent="0.25">
      <c r="B219" s="10">
        <v>873</v>
      </c>
      <c r="C219" s="10">
        <v>8</v>
      </c>
      <c r="D219" s="9" t="s">
        <v>249</v>
      </c>
      <c r="E219" s="162">
        <v>155.24918621340797</v>
      </c>
      <c r="F219" s="162">
        <f>INDEX('2016 Lockdown Update'!H$5:H$245,MATCH(B219,'2016 Lockdown Update'!B$5:B$245,0))</f>
        <v>155.24918621340797</v>
      </c>
      <c r="G219" s="162">
        <f t="shared" si="53"/>
        <v>0</v>
      </c>
      <c r="H219" s="5">
        <v>67263.009999999995</v>
      </c>
      <c r="I219" s="5">
        <f>INDEX('2016 Lockdown Update'!E$5:E$245,MATCH(B219,'2016 Lockdown Update'!B$5:B$245,0))</f>
        <v>66603.63</v>
      </c>
      <c r="J219" s="5">
        <f t="shared" si="54"/>
        <v>-659.3799999999901</v>
      </c>
      <c r="K219" s="5">
        <v>0</v>
      </c>
      <c r="L219" s="5">
        <f>INDEX('2016 Lockdown Update'!F$5:F$245,MATCH(B219,'2016 Lockdown Update'!B$5:B$245,0))</f>
        <v>0</v>
      </c>
      <c r="M219" s="5">
        <f t="shared" si="55"/>
        <v>0</v>
      </c>
      <c r="N219" s="5">
        <v>67263.009999999995</v>
      </c>
      <c r="O219" s="105">
        <f t="shared" si="56"/>
        <v>66603.63</v>
      </c>
      <c r="P219" s="105">
        <f t="shared" si="57"/>
        <v>-659.3799999999901</v>
      </c>
      <c r="Q219" s="103">
        <f t="shared" si="58"/>
        <v>429.01113767157278</v>
      </c>
      <c r="R219" s="6">
        <f t="shared" si="59"/>
        <v>429.01113767157278</v>
      </c>
      <c r="S219" s="5">
        <f t="shared" si="60"/>
        <v>66603.63</v>
      </c>
      <c r="T219" s="140">
        <v>0.46750000000000003</v>
      </c>
      <c r="U219" s="105">
        <f t="shared" si="61"/>
        <v>16188.265101636503</v>
      </c>
      <c r="V219" s="105">
        <f t="shared" si="62"/>
        <v>7730.1834887596788</v>
      </c>
      <c r="W219" s="105">
        <f t="shared" si="63"/>
        <v>2270.4041805045194</v>
      </c>
      <c r="X219" s="105">
        <f t="shared" si="64"/>
        <v>994.46878850979749</v>
      </c>
      <c r="Y219" s="105">
        <f t="shared" si="65"/>
        <v>27183.321559410502</v>
      </c>
      <c r="Z219" s="112">
        <f t="shared" si="66"/>
        <v>0.40813573613646131</v>
      </c>
      <c r="AA219" s="104">
        <f t="shared" si="67"/>
        <v>27191.348206801838</v>
      </c>
      <c r="AB219" s="105"/>
      <c r="AC219" s="104">
        <v>26612.935721973416</v>
      </c>
      <c r="AD219" s="5">
        <f t="shared" ref="AD219:AD266" si="68">AA219-AC219</f>
        <v>578.41248482842275</v>
      </c>
      <c r="AE219" s="5">
        <v>-290.73024990643898</v>
      </c>
      <c r="AF219" s="5">
        <f t="shared" ref="AF219:AF266" si="69">AD219-AE219</f>
        <v>869.14273473486173</v>
      </c>
    </row>
    <row r="220" spans="2:32" x14ac:dyDescent="0.25">
      <c r="B220" s="10">
        <v>895</v>
      </c>
      <c r="C220" s="10">
        <v>8</v>
      </c>
      <c r="D220" s="9" t="s">
        <v>250</v>
      </c>
      <c r="E220" s="162">
        <v>32.417567183983358</v>
      </c>
      <c r="F220" s="162">
        <f>INDEX('2016 Lockdown Update'!H$5:H$245,MATCH(B220,'2016 Lockdown Update'!B$5:B$245,0))</f>
        <v>32.417567183983358</v>
      </c>
      <c r="G220" s="162">
        <f t="shared" si="53"/>
        <v>0</v>
      </c>
      <c r="H220" s="5">
        <v>12048.4</v>
      </c>
      <c r="I220" s="5">
        <f>INDEX('2016 Lockdown Update'!E$5:E$245,MATCH(B220,'2016 Lockdown Update'!B$5:B$245,0))</f>
        <v>12048.4</v>
      </c>
      <c r="J220" s="5">
        <f t="shared" si="54"/>
        <v>0</v>
      </c>
      <c r="K220" s="5">
        <v>0</v>
      </c>
      <c r="L220" s="5">
        <f>INDEX('2016 Lockdown Update'!F$5:F$245,MATCH(B220,'2016 Lockdown Update'!B$5:B$245,0))</f>
        <v>0</v>
      </c>
      <c r="M220" s="5">
        <f t="shared" si="55"/>
        <v>0</v>
      </c>
      <c r="N220" s="5">
        <v>12048.4</v>
      </c>
      <c r="O220" s="105">
        <f t="shared" si="56"/>
        <v>12048.4</v>
      </c>
      <c r="P220" s="105">
        <f t="shared" si="57"/>
        <v>0</v>
      </c>
      <c r="Q220" s="103">
        <f t="shared" si="58"/>
        <v>371.66268312548721</v>
      </c>
      <c r="R220" s="6">
        <f t="shared" si="59"/>
        <v>371.66268312548721</v>
      </c>
      <c r="S220" s="5">
        <f t="shared" si="60"/>
        <v>12048.4</v>
      </c>
      <c r="T220" s="140">
        <v>0.32666666666666666</v>
      </c>
      <c r="U220" s="105">
        <f t="shared" si="61"/>
        <v>2928.4093562251369</v>
      </c>
      <c r="V220" s="105">
        <f t="shared" si="62"/>
        <v>1614.1388480253654</v>
      </c>
      <c r="W220" s="105">
        <f t="shared" si="63"/>
        <v>286.98411691006345</v>
      </c>
      <c r="X220" s="105">
        <f t="shared" si="64"/>
        <v>179.89646737694991</v>
      </c>
      <c r="Y220" s="105">
        <f t="shared" si="65"/>
        <v>5009.4287885375161</v>
      </c>
      <c r="Z220" s="112">
        <f t="shared" si="66"/>
        <v>0.41577543811107831</v>
      </c>
      <c r="AA220" s="104">
        <f t="shared" si="67"/>
        <v>5010.9079645988277</v>
      </c>
      <c r="AB220" s="105"/>
      <c r="AC220" s="104">
        <v>4876.2707335602781</v>
      </c>
      <c r="AD220" s="5">
        <f t="shared" si="68"/>
        <v>134.63723103854954</v>
      </c>
      <c r="AE220" s="5">
        <v>-18.247739605265451</v>
      </c>
      <c r="AF220" s="5">
        <f t="shared" si="69"/>
        <v>152.884970643815</v>
      </c>
    </row>
    <row r="221" spans="2:32" x14ac:dyDescent="0.25">
      <c r="B221" s="10">
        <v>897</v>
      </c>
      <c r="C221" s="10">
        <v>8</v>
      </c>
      <c r="D221" s="9" t="s">
        <v>251</v>
      </c>
      <c r="E221" s="162">
        <v>133.13334415215996</v>
      </c>
      <c r="F221" s="162">
        <f>INDEX('2016 Lockdown Update'!H$5:H$245,MATCH(B221,'2016 Lockdown Update'!B$5:B$245,0))</f>
        <v>133.13334415215996</v>
      </c>
      <c r="G221" s="162">
        <f t="shared" si="53"/>
        <v>0</v>
      </c>
      <c r="H221" s="5">
        <v>256275.57</v>
      </c>
      <c r="I221" s="5">
        <f>INDEX('2016 Lockdown Update'!E$5:E$245,MATCH(B221,'2016 Lockdown Update'!B$5:B$245,0))</f>
        <v>256275.57</v>
      </c>
      <c r="J221" s="5">
        <f t="shared" si="54"/>
        <v>0</v>
      </c>
      <c r="K221" s="5">
        <v>305</v>
      </c>
      <c r="L221" s="5">
        <f>INDEX('2016 Lockdown Update'!F$5:F$245,MATCH(B221,'2016 Lockdown Update'!B$5:B$245,0))</f>
        <v>305</v>
      </c>
      <c r="M221" s="5">
        <f t="shared" si="55"/>
        <v>0</v>
      </c>
      <c r="N221" s="5">
        <v>255970.57</v>
      </c>
      <c r="O221" s="105">
        <f t="shared" si="56"/>
        <v>255970.57</v>
      </c>
      <c r="P221" s="105">
        <f t="shared" si="57"/>
        <v>0</v>
      </c>
      <c r="Q221" s="103">
        <f t="shared" si="58"/>
        <v>1922.6631136633032</v>
      </c>
      <c r="R221" s="6">
        <f t="shared" si="59"/>
        <v>1599.0740489486416</v>
      </c>
      <c r="S221" s="5">
        <f t="shared" si="60"/>
        <v>212890.07568346738</v>
      </c>
      <c r="T221" s="140">
        <v>0.38866666666666666</v>
      </c>
      <c r="U221" s="105">
        <f t="shared" si="61"/>
        <v>51743.741034406514</v>
      </c>
      <c r="V221" s="105">
        <f t="shared" si="62"/>
        <v>6628.9892003279674</v>
      </c>
      <c r="W221" s="105">
        <f t="shared" si="63"/>
        <v>6033.3202046117995</v>
      </c>
      <c r="X221" s="105">
        <f t="shared" si="64"/>
        <v>3178.6936485398305</v>
      </c>
      <c r="Y221" s="105">
        <f t="shared" si="65"/>
        <v>67584.744087886109</v>
      </c>
      <c r="Z221" s="112">
        <f t="shared" si="66"/>
        <v>0.31746310329831223</v>
      </c>
      <c r="AA221" s="104">
        <f t="shared" si="67"/>
        <v>67604.700402225455</v>
      </c>
      <c r="AB221" s="105"/>
      <c r="AC221" s="104">
        <v>65152.858474316759</v>
      </c>
      <c r="AD221" s="5">
        <f t="shared" si="68"/>
        <v>2451.8419279086957</v>
      </c>
      <c r="AE221" s="5">
        <v>1097.1932816373737</v>
      </c>
      <c r="AF221" s="5">
        <f t="shared" si="69"/>
        <v>1354.6486462713219</v>
      </c>
    </row>
    <row r="222" spans="2:32" x14ac:dyDescent="0.25">
      <c r="B222" s="10">
        <v>905</v>
      </c>
      <c r="C222" s="10">
        <v>8</v>
      </c>
      <c r="D222" s="9" t="s">
        <v>252</v>
      </c>
      <c r="E222" s="162">
        <v>85.61701670132453</v>
      </c>
      <c r="F222" s="162">
        <f>INDEX('2016 Lockdown Update'!H$5:H$245,MATCH(B222,'2016 Lockdown Update'!B$5:B$245,0))</f>
        <v>85.61701670132453</v>
      </c>
      <c r="G222" s="162">
        <f t="shared" si="53"/>
        <v>0</v>
      </c>
      <c r="H222" s="5">
        <v>49432.19</v>
      </c>
      <c r="I222" s="5">
        <f>INDEX('2016 Lockdown Update'!E$5:E$245,MATCH(B222,'2016 Lockdown Update'!B$5:B$245,0))</f>
        <v>49432.19</v>
      </c>
      <c r="J222" s="5">
        <f t="shared" si="54"/>
        <v>0</v>
      </c>
      <c r="K222" s="5">
        <v>0</v>
      </c>
      <c r="L222" s="5">
        <f>INDEX('2016 Lockdown Update'!F$5:F$245,MATCH(B222,'2016 Lockdown Update'!B$5:B$245,0))</f>
        <v>0</v>
      </c>
      <c r="M222" s="5">
        <f t="shared" si="55"/>
        <v>0</v>
      </c>
      <c r="N222" s="5">
        <v>49432.19</v>
      </c>
      <c r="O222" s="105">
        <f t="shared" si="56"/>
        <v>49432.19</v>
      </c>
      <c r="P222" s="105">
        <f t="shared" si="57"/>
        <v>0</v>
      </c>
      <c r="Q222" s="103">
        <f t="shared" si="58"/>
        <v>577.36407906438149</v>
      </c>
      <c r="R222" s="6">
        <f t="shared" si="59"/>
        <v>577.36407906438149</v>
      </c>
      <c r="S222" s="5">
        <f t="shared" si="60"/>
        <v>49432.19000000001</v>
      </c>
      <c r="T222" s="140">
        <v>0.18149999999999999</v>
      </c>
      <c r="U222" s="105">
        <f t="shared" si="61"/>
        <v>12014.681426139463</v>
      </c>
      <c r="V222" s="105">
        <f t="shared" si="62"/>
        <v>4263.0513241574836</v>
      </c>
      <c r="W222" s="105">
        <f t="shared" si="63"/>
        <v>654.19940365329364</v>
      </c>
      <c r="X222" s="105">
        <f t="shared" si="64"/>
        <v>738.07944255720201</v>
      </c>
      <c r="Y222" s="105">
        <f t="shared" si="65"/>
        <v>17670.01159650744</v>
      </c>
      <c r="Z222" s="112">
        <f t="shared" si="66"/>
        <v>0.3574596148078294</v>
      </c>
      <c r="AA222" s="104">
        <f t="shared" si="67"/>
        <v>17675.229169061113</v>
      </c>
      <c r="AB222" s="105"/>
      <c r="AC222" s="104">
        <v>17137.891684456226</v>
      </c>
      <c r="AD222" s="5">
        <f t="shared" si="68"/>
        <v>537.33748460488641</v>
      </c>
      <c r="AE222" s="5">
        <v>-73.168547547629714</v>
      </c>
      <c r="AF222" s="5">
        <f t="shared" si="69"/>
        <v>610.50603215251613</v>
      </c>
    </row>
    <row r="223" spans="2:32" x14ac:dyDescent="0.25">
      <c r="B223" s="10">
        <v>907</v>
      </c>
      <c r="C223" s="10">
        <v>8</v>
      </c>
      <c r="D223" s="9" t="s">
        <v>253</v>
      </c>
      <c r="E223" s="162">
        <v>11.528269678349137</v>
      </c>
      <c r="F223" s="162">
        <f>INDEX('2016 Lockdown Update'!H$5:H$245,MATCH(B223,'2016 Lockdown Update'!B$5:B$245,0))</f>
        <v>11.528269678349137</v>
      </c>
      <c r="G223" s="162">
        <f t="shared" si="53"/>
        <v>0</v>
      </c>
      <c r="H223" s="5">
        <v>22074.400000000001</v>
      </c>
      <c r="I223" s="5">
        <f>INDEX('2016 Lockdown Update'!E$5:E$245,MATCH(B223,'2016 Lockdown Update'!B$5:B$245,0))</f>
        <v>22074.400000000001</v>
      </c>
      <c r="J223" s="5">
        <f t="shared" si="54"/>
        <v>0</v>
      </c>
      <c r="K223" s="5">
        <v>4379.54</v>
      </c>
      <c r="L223" s="5">
        <f>INDEX('2016 Lockdown Update'!F$5:F$245,MATCH(B223,'2016 Lockdown Update'!B$5:B$245,0))</f>
        <v>4379.54</v>
      </c>
      <c r="M223" s="5">
        <f t="shared" si="55"/>
        <v>0</v>
      </c>
      <c r="N223" s="5">
        <v>17694.86</v>
      </c>
      <c r="O223" s="105">
        <f t="shared" si="56"/>
        <v>17694.86</v>
      </c>
      <c r="P223" s="105">
        <f t="shared" si="57"/>
        <v>0</v>
      </c>
      <c r="Q223" s="103">
        <f t="shared" si="58"/>
        <v>1534.9103112353569</v>
      </c>
      <c r="R223" s="6">
        <f t="shared" si="59"/>
        <v>1534.9103112353569</v>
      </c>
      <c r="S223" s="5">
        <f t="shared" si="60"/>
        <v>17694.86</v>
      </c>
      <c r="T223" s="140">
        <v>7.7249999999999999E-2</v>
      </c>
      <c r="U223" s="105">
        <f t="shared" si="61"/>
        <v>4300.8028934210297</v>
      </c>
      <c r="V223" s="105">
        <f t="shared" si="62"/>
        <v>574.01679258430124</v>
      </c>
      <c r="W223" s="105">
        <f t="shared" si="63"/>
        <v>99.671107055032365</v>
      </c>
      <c r="X223" s="105">
        <f t="shared" si="64"/>
        <v>264.20460847329906</v>
      </c>
      <c r="Y223" s="105">
        <f t="shared" si="65"/>
        <v>5238.6954015336632</v>
      </c>
      <c r="Z223" s="112">
        <f t="shared" si="66"/>
        <v>0.29605746536189964</v>
      </c>
      <c r="AA223" s="104">
        <f t="shared" si="67"/>
        <v>5240.2422750710575</v>
      </c>
      <c r="AB223" s="105"/>
      <c r="AC223" s="104">
        <v>5156.4297044421382</v>
      </c>
      <c r="AD223" s="5">
        <f t="shared" si="68"/>
        <v>83.812570628919275</v>
      </c>
      <c r="AE223" s="5">
        <v>-26.592912264653933</v>
      </c>
      <c r="AF223" s="5">
        <f t="shared" si="69"/>
        <v>110.40548289357321</v>
      </c>
    </row>
    <row r="224" spans="2:32" x14ac:dyDescent="0.25">
      <c r="B224" s="10">
        <v>918</v>
      </c>
      <c r="C224" s="10">
        <v>8</v>
      </c>
      <c r="D224" s="9" t="s">
        <v>254</v>
      </c>
      <c r="E224" s="162">
        <v>129.10420700255921</v>
      </c>
      <c r="F224" s="162">
        <f>INDEX('2016 Lockdown Update'!H$5:H$245,MATCH(B224,'2016 Lockdown Update'!B$5:B$245,0))</f>
        <v>129.10420700255921</v>
      </c>
      <c r="G224" s="162">
        <f t="shared" si="53"/>
        <v>0</v>
      </c>
      <c r="H224" s="5">
        <v>53986.39</v>
      </c>
      <c r="I224" s="5">
        <f>INDEX('2016 Lockdown Update'!E$5:E$245,MATCH(B224,'2016 Lockdown Update'!B$5:B$245,0))</f>
        <v>53986.39</v>
      </c>
      <c r="J224" s="5">
        <f t="shared" si="54"/>
        <v>0</v>
      </c>
      <c r="K224" s="5">
        <v>0</v>
      </c>
      <c r="L224" s="5">
        <f>INDEX('2016 Lockdown Update'!F$5:F$245,MATCH(B224,'2016 Lockdown Update'!B$5:B$245,0))</f>
        <v>0</v>
      </c>
      <c r="M224" s="5">
        <f t="shared" si="55"/>
        <v>0</v>
      </c>
      <c r="N224" s="5">
        <v>53986.39</v>
      </c>
      <c r="O224" s="105">
        <f t="shared" si="56"/>
        <v>53986.39</v>
      </c>
      <c r="P224" s="105">
        <f t="shared" si="57"/>
        <v>0</v>
      </c>
      <c r="Q224" s="103">
        <f t="shared" si="58"/>
        <v>418.16135394356155</v>
      </c>
      <c r="R224" s="6">
        <f t="shared" si="59"/>
        <v>418.16135394356155</v>
      </c>
      <c r="S224" s="5">
        <f t="shared" si="60"/>
        <v>53986.39</v>
      </c>
      <c r="T224" s="140">
        <v>0.52370833333333333</v>
      </c>
      <c r="U224" s="105">
        <f t="shared" si="61"/>
        <v>13121.597024071178</v>
      </c>
      <c r="V224" s="105">
        <f t="shared" si="62"/>
        <v>6428.3699879027363</v>
      </c>
      <c r="W224" s="105">
        <f t="shared" si="63"/>
        <v>2061.566912444383</v>
      </c>
      <c r="X224" s="105">
        <f t="shared" si="64"/>
        <v>806.07888578021118</v>
      </c>
      <c r="Y224" s="105">
        <f t="shared" si="65"/>
        <v>22417.612810198509</v>
      </c>
      <c r="Z224" s="112">
        <f t="shared" si="66"/>
        <v>0.41524563524618907</v>
      </c>
      <c r="AA224" s="104">
        <f t="shared" si="67"/>
        <v>22424.232246789055</v>
      </c>
      <c r="AB224" s="105"/>
      <c r="AC224" s="104">
        <v>22449.976611533733</v>
      </c>
      <c r="AD224" s="5">
        <f t="shared" si="68"/>
        <v>-25.744364744678023</v>
      </c>
      <c r="AE224" s="5">
        <v>-90.760317796990421</v>
      </c>
      <c r="AF224" s="5">
        <f t="shared" si="69"/>
        <v>65.015953052312398</v>
      </c>
    </row>
    <row r="225" spans="2:32" x14ac:dyDescent="0.25">
      <c r="B225" s="10">
        <v>922</v>
      </c>
      <c r="C225" s="10">
        <v>8</v>
      </c>
      <c r="D225" s="9" t="s">
        <v>255</v>
      </c>
      <c r="E225" s="162">
        <v>137.41</v>
      </c>
      <c r="F225" s="162">
        <f>INDEX('2016 Lockdown Update'!H$5:H$245,MATCH(B225,'2016 Lockdown Update'!B$5:B$245,0))</f>
        <v>198.95999999999998</v>
      </c>
      <c r="G225" s="162">
        <f t="shared" si="53"/>
        <v>61.549999999999983</v>
      </c>
      <c r="H225" s="5">
        <v>122446.31</v>
      </c>
      <c r="I225" s="5">
        <f>INDEX('2016 Lockdown Update'!E$5:E$245,MATCH(B225,'2016 Lockdown Update'!B$5:B$245,0))</f>
        <v>122446.31</v>
      </c>
      <c r="J225" s="5">
        <f t="shared" si="54"/>
        <v>0</v>
      </c>
      <c r="K225" s="5">
        <v>10197.290000000001</v>
      </c>
      <c r="L225" s="5">
        <f>INDEX('2016 Lockdown Update'!F$5:F$245,MATCH(B225,'2016 Lockdown Update'!B$5:B$245,0))</f>
        <v>10197.290000000001</v>
      </c>
      <c r="M225" s="5">
        <f t="shared" si="55"/>
        <v>0</v>
      </c>
      <c r="N225" s="5">
        <v>112249.02</v>
      </c>
      <c r="O225" s="105">
        <f t="shared" si="56"/>
        <v>112249.01999999999</v>
      </c>
      <c r="P225" s="105">
        <f t="shared" si="57"/>
        <v>0</v>
      </c>
      <c r="Q225" s="103">
        <f t="shared" si="58"/>
        <v>564.17882991556087</v>
      </c>
      <c r="R225" s="6">
        <f t="shared" si="59"/>
        <v>564.17882991556087</v>
      </c>
      <c r="S225" s="5">
        <f t="shared" si="60"/>
        <v>112249.01999999997</v>
      </c>
      <c r="T225" s="140">
        <v>0.67116666666666669</v>
      </c>
      <c r="U225" s="105">
        <f t="shared" si="61"/>
        <v>27282.550412926405</v>
      </c>
      <c r="V225" s="105">
        <f t="shared" si="62"/>
        <v>9906.6368361472141</v>
      </c>
      <c r="W225" s="105">
        <f t="shared" si="63"/>
        <v>5493.3415256427315</v>
      </c>
      <c r="X225" s="105">
        <f t="shared" si="64"/>
        <v>1676.0069523359614</v>
      </c>
      <c r="Y225" s="105">
        <f t="shared" si="65"/>
        <v>44358.535727052316</v>
      </c>
      <c r="Z225" s="112">
        <f t="shared" si="66"/>
        <v>0.39517971495031606</v>
      </c>
      <c r="AA225" s="104">
        <f t="shared" si="67"/>
        <v>44371.633844009761</v>
      </c>
      <c r="AB225" s="105"/>
      <c r="AC225" s="104">
        <v>41340.34832807882</v>
      </c>
      <c r="AD225" s="5">
        <f t="shared" si="68"/>
        <v>3031.2855159309402</v>
      </c>
      <c r="AE225" s="5">
        <v>-7743.5533377496467</v>
      </c>
      <c r="AF225" s="5">
        <f t="shared" si="69"/>
        <v>10774.838853680587</v>
      </c>
    </row>
    <row r="226" spans="2:32" x14ac:dyDescent="0.25">
      <c r="B226" s="10">
        <v>924</v>
      </c>
      <c r="C226" s="10">
        <v>8</v>
      </c>
      <c r="D226" s="9" t="s">
        <v>256</v>
      </c>
      <c r="E226" s="162">
        <v>324.30315665460205</v>
      </c>
      <c r="F226" s="162">
        <f>INDEX('2016 Lockdown Update'!H$5:H$245,MATCH(B226,'2016 Lockdown Update'!B$5:B$245,0))</f>
        <v>162.15157832730102</v>
      </c>
      <c r="G226" s="162">
        <f t="shared" si="53"/>
        <v>-162.15157832730102</v>
      </c>
      <c r="H226" s="5">
        <v>60494.03</v>
      </c>
      <c r="I226" s="5">
        <f>INDEX('2016 Lockdown Update'!E$5:E$245,MATCH(B226,'2016 Lockdown Update'!B$5:B$245,0))</f>
        <v>60494.03</v>
      </c>
      <c r="J226" s="5">
        <f t="shared" si="54"/>
        <v>0</v>
      </c>
      <c r="K226" s="5">
        <v>0</v>
      </c>
      <c r="L226" s="5">
        <f>INDEX('2016 Lockdown Update'!F$5:F$245,MATCH(B226,'2016 Lockdown Update'!B$5:B$245,0))</f>
        <v>0</v>
      </c>
      <c r="M226" s="5">
        <f t="shared" si="55"/>
        <v>0</v>
      </c>
      <c r="N226" s="5">
        <v>60494.03</v>
      </c>
      <c r="O226" s="105">
        <f t="shared" si="56"/>
        <v>60494.03</v>
      </c>
      <c r="P226" s="105">
        <f t="shared" si="57"/>
        <v>0</v>
      </c>
      <c r="Q226" s="103">
        <f t="shared" si="58"/>
        <v>373.07086754279703</v>
      </c>
      <c r="R226" s="6">
        <f t="shared" si="59"/>
        <v>373.07086754279703</v>
      </c>
      <c r="S226" s="5">
        <f t="shared" si="60"/>
        <v>60494.03</v>
      </c>
      <c r="T226" s="140">
        <v>0.377</v>
      </c>
      <c r="U226" s="105">
        <f t="shared" si="61"/>
        <v>14703.303629341997</v>
      </c>
      <c r="V226" s="105">
        <f t="shared" si="62"/>
        <v>8073.8681086482238</v>
      </c>
      <c r="W226" s="105">
        <f t="shared" si="63"/>
        <v>1662.9436404785799</v>
      </c>
      <c r="X226" s="105">
        <f t="shared" si="64"/>
        <v>903.24543461332871</v>
      </c>
      <c r="Y226" s="105">
        <f t="shared" si="65"/>
        <v>25343.36081308213</v>
      </c>
      <c r="Z226" s="112">
        <f t="shared" si="66"/>
        <v>0.41893986585258297</v>
      </c>
      <c r="AA226" s="104">
        <f t="shared" si="67"/>
        <v>25350.844159828903</v>
      </c>
      <c r="AB226" s="105"/>
      <c r="AC226" s="104">
        <v>32927.371489717887</v>
      </c>
      <c r="AD226" s="5">
        <f t="shared" si="68"/>
        <v>-7576.5273298889842</v>
      </c>
      <c r="AE226" s="5">
        <v>8517.4090725948408</v>
      </c>
      <c r="AF226" s="5">
        <f t="shared" si="69"/>
        <v>-16093.936402483825</v>
      </c>
    </row>
    <row r="227" spans="2:32" x14ac:dyDescent="0.25">
      <c r="B227" s="10">
        <v>929</v>
      </c>
      <c r="C227" s="10">
        <v>8</v>
      </c>
      <c r="D227" s="9" t="s">
        <v>257</v>
      </c>
      <c r="E227" s="162">
        <v>61.174498972471973</v>
      </c>
      <c r="F227" s="162">
        <f>INDEX('2016 Lockdown Update'!H$5:H$245,MATCH(B227,'2016 Lockdown Update'!B$5:B$245,0))</f>
        <v>53.206698049442352</v>
      </c>
      <c r="G227" s="162">
        <f t="shared" si="53"/>
        <v>-7.9678009230296212</v>
      </c>
      <c r="H227" s="5">
        <v>44478.52</v>
      </c>
      <c r="I227" s="5">
        <f>INDEX('2016 Lockdown Update'!E$5:E$245,MATCH(B227,'2016 Lockdown Update'!B$5:B$245,0))</f>
        <v>44478.52</v>
      </c>
      <c r="J227" s="5">
        <f t="shared" si="54"/>
        <v>0</v>
      </c>
      <c r="K227" s="5">
        <v>0</v>
      </c>
      <c r="L227" s="5">
        <f>INDEX('2016 Lockdown Update'!F$5:F$245,MATCH(B227,'2016 Lockdown Update'!B$5:B$245,0))</f>
        <v>0</v>
      </c>
      <c r="M227" s="5">
        <f t="shared" si="55"/>
        <v>0</v>
      </c>
      <c r="N227" s="5">
        <v>44478.52</v>
      </c>
      <c r="O227" s="105">
        <f t="shared" si="56"/>
        <v>44478.52</v>
      </c>
      <c r="P227" s="105">
        <f t="shared" si="57"/>
        <v>0</v>
      </c>
      <c r="Q227" s="103">
        <f t="shared" si="58"/>
        <v>835.95715634652447</v>
      </c>
      <c r="R227" s="6">
        <f t="shared" si="59"/>
        <v>835.95715634652447</v>
      </c>
      <c r="S227" s="5">
        <f t="shared" si="60"/>
        <v>44478.52</v>
      </c>
      <c r="T227" s="140">
        <v>0.48783333333333334</v>
      </c>
      <c r="U227" s="105">
        <f t="shared" si="61"/>
        <v>10810.673128303086</v>
      </c>
      <c r="V227" s="105">
        <f t="shared" si="62"/>
        <v>2649.2733957899468</v>
      </c>
      <c r="W227" s="105">
        <f t="shared" si="63"/>
        <v>1582.1420123271566</v>
      </c>
      <c r="X227" s="105">
        <f t="shared" si="64"/>
        <v>664.11545285307716</v>
      </c>
      <c r="Y227" s="105">
        <f t="shared" si="65"/>
        <v>15706.203989273266</v>
      </c>
      <c r="Z227" s="112">
        <f t="shared" si="66"/>
        <v>0.35311885353364425</v>
      </c>
      <c r="AA227" s="104">
        <f t="shared" si="67"/>
        <v>15710.841691880829</v>
      </c>
      <c r="AB227" s="105"/>
      <c r="AC227" s="104">
        <v>15865.585438566628</v>
      </c>
      <c r="AD227" s="5">
        <f t="shared" si="68"/>
        <v>-154.74374668579912</v>
      </c>
      <c r="AE227" s="5">
        <v>1437.8344536133482</v>
      </c>
      <c r="AF227" s="5">
        <f t="shared" si="69"/>
        <v>-1592.5782002991473</v>
      </c>
    </row>
    <row r="228" spans="2:32" x14ac:dyDescent="0.25">
      <c r="B228" s="10">
        <v>955</v>
      </c>
      <c r="C228" s="10">
        <v>8</v>
      </c>
      <c r="D228" s="9" t="s">
        <v>258</v>
      </c>
      <c r="E228" s="162">
        <v>38.28109837659062</v>
      </c>
      <c r="F228" s="162">
        <f>INDEX('2016 Lockdown Update'!H$5:H$245,MATCH(B228,'2016 Lockdown Update'!B$5:B$245,0))</f>
        <v>38.28109837659062</v>
      </c>
      <c r="G228" s="162">
        <f t="shared" si="53"/>
        <v>0</v>
      </c>
      <c r="H228" s="5">
        <v>21369.599999999999</v>
      </c>
      <c r="I228" s="5">
        <f>INDEX('2016 Lockdown Update'!E$5:E$245,MATCH(B228,'2016 Lockdown Update'!B$5:B$245,0))</f>
        <v>21369.599999999999</v>
      </c>
      <c r="J228" s="5">
        <f t="shared" si="54"/>
        <v>0</v>
      </c>
      <c r="K228" s="5">
        <v>0</v>
      </c>
      <c r="L228" s="5">
        <f>INDEX('2016 Lockdown Update'!F$5:F$245,MATCH(B228,'2016 Lockdown Update'!B$5:B$245,0))</f>
        <v>0</v>
      </c>
      <c r="M228" s="5">
        <f t="shared" si="55"/>
        <v>0</v>
      </c>
      <c r="N228" s="5">
        <v>21369.599999999999</v>
      </c>
      <c r="O228" s="105">
        <f t="shared" si="56"/>
        <v>21369.599999999999</v>
      </c>
      <c r="P228" s="105">
        <f t="shared" si="57"/>
        <v>0</v>
      </c>
      <c r="Q228" s="103">
        <f t="shared" si="58"/>
        <v>558.22849673163455</v>
      </c>
      <c r="R228" s="6">
        <f t="shared" si="59"/>
        <v>558.22849673163455</v>
      </c>
      <c r="S228" s="5">
        <f t="shared" si="60"/>
        <v>21369.599999999999</v>
      </c>
      <c r="T228" s="140">
        <v>0.19591666666666666</v>
      </c>
      <c r="U228" s="105">
        <f t="shared" si="61"/>
        <v>5193.9623998861825</v>
      </c>
      <c r="V228" s="105">
        <f t="shared" si="62"/>
        <v>1906.096397797085</v>
      </c>
      <c r="W228" s="105">
        <f t="shared" si="63"/>
        <v>305.27514005331039</v>
      </c>
      <c r="X228" s="105">
        <f t="shared" si="64"/>
        <v>319.07270253796923</v>
      </c>
      <c r="Y228" s="105">
        <f t="shared" si="65"/>
        <v>7724.4066402745475</v>
      </c>
      <c r="Z228" s="112">
        <f t="shared" si="66"/>
        <v>0.36146706724854694</v>
      </c>
      <c r="AA228" s="104">
        <f t="shared" si="67"/>
        <v>7726.6874906214516</v>
      </c>
      <c r="AB228" s="105"/>
      <c r="AC228" s="104">
        <v>7493.2092473132288</v>
      </c>
      <c r="AD228" s="5">
        <f t="shared" si="68"/>
        <v>233.47824330822277</v>
      </c>
      <c r="AE228" s="5">
        <v>-31.722883358250328</v>
      </c>
      <c r="AF228" s="5">
        <f t="shared" si="69"/>
        <v>265.2011266664731</v>
      </c>
    </row>
    <row r="229" spans="2:32" x14ac:dyDescent="0.25">
      <c r="B229" s="10">
        <v>973</v>
      </c>
      <c r="C229" s="10">
        <v>8</v>
      </c>
      <c r="D229" s="9" t="s">
        <v>259</v>
      </c>
      <c r="E229" s="162">
        <v>6.7868195057241003</v>
      </c>
      <c r="F229" s="162">
        <f>INDEX('2016 Lockdown Update'!H$5:H$245,MATCH(B229,'2016 Lockdown Update'!B$5:B$245,0))</f>
        <v>6.7868195057241003</v>
      </c>
      <c r="G229" s="162">
        <f t="shared" si="53"/>
        <v>0</v>
      </c>
      <c r="H229" s="5">
        <v>6830.21</v>
      </c>
      <c r="I229" s="5">
        <f>INDEX('2016 Lockdown Update'!E$5:E$245,MATCH(B229,'2016 Lockdown Update'!B$5:B$245,0))</f>
        <v>6830.21</v>
      </c>
      <c r="J229" s="5">
        <f t="shared" si="54"/>
        <v>0</v>
      </c>
      <c r="K229" s="5">
        <v>0</v>
      </c>
      <c r="L229" s="5">
        <f>INDEX('2016 Lockdown Update'!F$5:F$245,MATCH(B229,'2016 Lockdown Update'!B$5:B$245,0))</f>
        <v>0</v>
      </c>
      <c r="M229" s="5">
        <f t="shared" si="55"/>
        <v>0</v>
      </c>
      <c r="N229" s="5">
        <v>6830.21</v>
      </c>
      <c r="O229" s="105">
        <f t="shared" si="56"/>
        <v>6830.21</v>
      </c>
      <c r="P229" s="105">
        <f t="shared" si="57"/>
        <v>0</v>
      </c>
      <c r="Q229" s="103">
        <f t="shared" si="58"/>
        <v>1006.3933473167076</v>
      </c>
      <c r="R229" s="6">
        <f t="shared" si="59"/>
        <v>1006.3933473167076</v>
      </c>
      <c r="S229" s="5">
        <f t="shared" si="60"/>
        <v>6830.21</v>
      </c>
      <c r="T229" s="140">
        <v>0.251</v>
      </c>
      <c r="U229" s="105">
        <f t="shared" si="61"/>
        <v>1660.108468259893</v>
      </c>
      <c r="V229" s="105">
        <f t="shared" si="62"/>
        <v>337.93001666510253</v>
      </c>
      <c r="W229" s="105">
        <f t="shared" si="63"/>
        <v>125.00616765996993</v>
      </c>
      <c r="X229" s="105">
        <f t="shared" si="64"/>
        <v>101.98288988103957</v>
      </c>
      <c r="Y229" s="105">
        <f t="shared" si="65"/>
        <v>2225.0275424660053</v>
      </c>
      <c r="Z229" s="112">
        <f t="shared" si="66"/>
        <v>0.32576268408526315</v>
      </c>
      <c r="AA229" s="104">
        <f t="shared" si="67"/>
        <v>2225.6845450137021</v>
      </c>
      <c r="AB229" s="105"/>
      <c r="AC229" s="104">
        <v>2191.8755373268846</v>
      </c>
      <c r="AD229" s="5">
        <f t="shared" si="68"/>
        <v>33.809007686817495</v>
      </c>
      <c r="AE229" s="5">
        <v>-10.712822690627036</v>
      </c>
      <c r="AF229" s="5">
        <f t="shared" si="69"/>
        <v>44.52183037744453</v>
      </c>
    </row>
    <row r="230" spans="2:32" x14ac:dyDescent="0.25">
      <c r="B230" s="10">
        <v>974</v>
      </c>
      <c r="C230" s="10">
        <v>8</v>
      </c>
      <c r="D230" s="9" t="s">
        <v>260</v>
      </c>
      <c r="E230" s="162">
        <v>20.330000000000002</v>
      </c>
      <c r="F230" s="162">
        <f>INDEX('2016 Lockdown Update'!H$5:H$245,MATCH(B230,'2016 Lockdown Update'!B$5:B$245,0))</f>
        <v>20.330000000000002</v>
      </c>
      <c r="G230" s="162">
        <f t="shared" si="53"/>
        <v>0</v>
      </c>
      <c r="H230" s="5">
        <v>36154.49</v>
      </c>
      <c r="I230" s="5">
        <f>INDEX('2016 Lockdown Update'!E$5:E$245,MATCH(B230,'2016 Lockdown Update'!B$5:B$245,0))</f>
        <v>36154.49</v>
      </c>
      <c r="J230" s="5">
        <f t="shared" si="54"/>
        <v>0</v>
      </c>
      <c r="K230" s="5">
        <v>0</v>
      </c>
      <c r="L230" s="5">
        <f>INDEX('2016 Lockdown Update'!F$5:F$245,MATCH(B230,'2016 Lockdown Update'!B$5:B$245,0))</f>
        <v>0</v>
      </c>
      <c r="M230" s="5">
        <f t="shared" si="55"/>
        <v>0</v>
      </c>
      <c r="N230" s="5">
        <v>36154.49</v>
      </c>
      <c r="O230" s="105">
        <f t="shared" si="56"/>
        <v>36154.49</v>
      </c>
      <c r="P230" s="105">
        <f t="shared" si="57"/>
        <v>0</v>
      </c>
      <c r="Q230" s="103">
        <f t="shared" si="58"/>
        <v>1778.3812100344317</v>
      </c>
      <c r="R230" s="6">
        <f t="shared" si="59"/>
        <v>1599.0740489486416</v>
      </c>
      <c r="S230" s="5">
        <f t="shared" si="60"/>
        <v>32509.175415125887</v>
      </c>
      <c r="T230" s="140">
        <v>0.12783333333333335</v>
      </c>
      <c r="U230" s="105">
        <f t="shared" si="61"/>
        <v>7901.4784908219226</v>
      </c>
      <c r="V230" s="105">
        <f t="shared" si="62"/>
        <v>1012.2734563674754</v>
      </c>
      <c r="W230" s="105">
        <f t="shared" si="63"/>
        <v>303.02170012302076</v>
      </c>
      <c r="X230" s="105">
        <f t="shared" si="64"/>
        <v>485.39937373582688</v>
      </c>
      <c r="Y230" s="105">
        <f t="shared" si="65"/>
        <v>9702.1730210482456</v>
      </c>
      <c r="Z230" s="112">
        <f t="shared" si="66"/>
        <v>0.2984441437580731</v>
      </c>
      <c r="AA230" s="104">
        <f t="shared" si="67"/>
        <v>9705.0378630654177</v>
      </c>
      <c r="AB230" s="105"/>
      <c r="AC230" s="104">
        <v>9457.5552357203378</v>
      </c>
      <c r="AD230" s="5">
        <f t="shared" si="68"/>
        <v>247.48262734507989</v>
      </c>
      <c r="AE230" s="5">
        <v>158.45159877035621</v>
      </c>
      <c r="AF230" s="5">
        <f t="shared" si="69"/>
        <v>89.031028574723678</v>
      </c>
    </row>
    <row r="231" spans="2:32" x14ac:dyDescent="0.25">
      <c r="B231" s="10">
        <v>978</v>
      </c>
      <c r="C231" s="10">
        <v>8</v>
      </c>
      <c r="D231" s="9" t="s">
        <v>261</v>
      </c>
      <c r="E231" s="162">
        <v>25.987505069386586</v>
      </c>
      <c r="F231" s="162">
        <f>INDEX('2016 Lockdown Update'!H$5:H$245,MATCH(B231,'2016 Lockdown Update'!B$5:B$245,0))</f>
        <v>27.545826048188108</v>
      </c>
      <c r="G231" s="162">
        <f t="shared" si="53"/>
        <v>1.5583209788015218</v>
      </c>
      <c r="H231" s="5">
        <v>43946.37</v>
      </c>
      <c r="I231" s="5">
        <f>INDEX('2016 Lockdown Update'!E$5:E$245,MATCH(B231,'2016 Lockdown Update'!B$5:B$245,0))</f>
        <v>43946.37</v>
      </c>
      <c r="J231" s="5">
        <f t="shared" si="54"/>
        <v>0</v>
      </c>
      <c r="K231" s="5">
        <v>832.76</v>
      </c>
      <c r="L231" s="5">
        <f>INDEX('2016 Lockdown Update'!F$5:F$245,MATCH(B231,'2016 Lockdown Update'!B$5:B$245,0))</f>
        <v>832.76</v>
      </c>
      <c r="M231" s="5">
        <f t="shared" si="55"/>
        <v>0</v>
      </c>
      <c r="N231" s="5">
        <v>43113.61</v>
      </c>
      <c r="O231" s="105">
        <f t="shared" si="56"/>
        <v>43113.61</v>
      </c>
      <c r="P231" s="105">
        <f t="shared" si="57"/>
        <v>0</v>
      </c>
      <c r="Q231" s="103">
        <f t="shared" si="58"/>
        <v>1565.1594519103521</v>
      </c>
      <c r="R231" s="6">
        <f t="shared" si="59"/>
        <v>1565.1594519103521</v>
      </c>
      <c r="S231" s="5">
        <f t="shared" si="60"/>
        <v>43113.61</v>
      </c>
      <c r="T231" s="140">
        <v>0.113</v>
      </c>
      <c r="U231" s="105">
        <f t="shared" si="61"/>
        <v>10478.926571548225</v>
      </c>
      <c r="V231" s="105">
        <f t="shared" si="62"/>
        <v>1371.5646110327893</v>
      </c>
      <c r="W231" s="105">
        <f t="shared" si="63"/>
        <v>355.23561077548482</v>
      </c>
      <c r="X231" s="105">
        <f t="shared" si="64"/>
        <v>643.73577693864263</v>
      </c>
      <c r="Y231" s="105">
        <f t="shared" si="65"/>
        <v>12849.462570295142</v>
      </c>
      <c r="Z231" s="112">
        <f t="shared" si="66"/>
        <v>0.29803726874866526</v>
      </c>
      <c r="AA231" s="104">
        <f t="shared" si="67"/>
        <v>12853.256738899392</v>
      </c>
      <c r="AB231" s="105"/>
      <c r="AC231" s="104">
        <v>11920.52893182044</v>
      </c>
      <c r="AD231" s="5">
        <f t="shared" si="68"/>
        <v>932.72780707895254</v>
      </c>
      <c r="AE231" s="5">
        <v>199.4210671914625</v>
      </c>
      <c r="AF231" s="5">
        <f t="shared" si="69"/>
        <v>733.30673988749004</v>
      </c>
    </row>
    <row r="232" spans="2:32" x14ac:dyDescent="0.25">
      <c r="B232" s="10">
        <v>985</v>
      </c>
      <c r="C232" s="10">
        <v>8</v>
      </c>
      <c r="D232" s="9" t="s">
        <v>262</v>
      </c>
      <c r="E232" s="162">
        <v>19.15773100982879</v>
      </c>
      <c r="F232" s="162">
        <f>INDEX('2016 Lockdown Update'!H$5:H$245,MATCH(B232,'2016 Lockdown Update'!B$5:B$245,0))</f>
        <v>20.306509780978342</v>
      </c>
      <c r="G232" s="162">
        <f t="shared" si="53"/>
        <v>1.1487787711495514</v>
      </c>
      <c r="H232" s="5">
        <v>49440</v>
      </c>
      <c r="I232" s="5">
        <f>INDEX('2016 Lockdown Update'!E$5:E$245,MATCH(B232,'2016 Lockdown Update'!B$5:B$245,0))</f>
        <v>49440</v>
      </c>
      <c r="J232" s="5">
        <f t="shared" si="54"/>
        <v>0</v>
      </c>
      <c r="K232" s="5">
        <v>0</v>
      </c>
      <c r="L232" s="5">
        <f>INDEX('2016 Lockdown Update'!F$5:F$245,MATCH(B232,'2016 Lockdown Update'!B$5:B$245,0))</f>
        <v>0</v>
      </c>
      <c r="M232" s="5">
        <f t="shared" si="55"/>
        <v>0</v>
      </c>
      <c r="N232" s="5">
        <v>49440</v>
      </c>
      <c r="O232" s="105">
        <f t="shared" si="56"/>
        <v>49440</v>
      </c>
      <c r="P232" s="105">
        <f t="shared" si="57"/>
        <v>0</v>
      </c>
      <c r="Q232" s="103">
        <f t="shared" si="58"/>
        <v>2434.6872275565438</v>
      </c>
      <c r="R232" s="6">
        <f t="shared" si="59"/>
        <v>1599.0740489486416</v>
      </c>
      <c r="S232" s="5">
        <f t="shared" si="60"/>
        <v>32471.61281548423</v>
      </c>
      <c r="T232" s="140">
        <v>5.6500000000000002E-2</v>
      </c>
      <c r="U232" s="105">
        <f t="shared" si="61"/>
        <v>7892.3487583898359</v>
      </c>
      <c r="V232" s="105">
        <f t="shared" si="62"/>
        <v>1011.1038289597093</v>
      </c>
      <c r="W232" s="105">
        <f t="shared" si="63"/>
        <v>133.77531145470772</v>
      </c>
      <c r="X232" s="105">
        <f t="shared" si="64"/>
        <v>484.83852092706985</v>
      </c>
      <c r="Y232" s="105">
        <f t="shared" si="65"/>
        <v>9522.0664197313235</v>
      </c>
      <c r="Z232" s="112">
        <f t="shared" si="66"/>
        <v>0.29324279252278729</v>
      </c>
      <c r="AA232" s="104">
        <f t="shared" si="67"/>
        <v>9524.8780801614521</v>
      </c>
      <c r="AB232" s="105"/>
      <c r="AC232" s="104">
        <v>8668.1586869778275</v>
      </c>
      <c r="AD232" s="5">
        <f t="shared" si="68"/>
        <v>856.71939318362456</v>
      </c>
      <c r="AE232" s="5">
        <v>144.79965647983045</v>
      </c>
      <c r="AF232" s="5">
        <f t="shared" si="69"/>
        <v>711.91973670379411</v>
      </c>
    </row>
    <row r="233" spans="2:32" x14ac:dyDescent="0.25">
      <c r="B233" s="10">
        <v>990</v>
      </c>
      <c r="C233" s="10">
        <v>8</v>
      </c>
      <c r="D233" s="9" t="s">
        <v>0</v>
      </c>
      <c r="E233" s="162">
        <v>5.9189378285362872</v>
      </c>
      <c r="F233" s="162">
        <f>INDEX('2016 Lockdown Update'!H$5:H$245,MATCH(B233,'2016 Lockdown Update'!B$5:B$245,0))</f>
        <v>5.9189378285362872</v>
      </c>
      <c r="G233" s="162">
        <f t="shared" si="53"/>
        <v>0</v>
      </c>
      <c r="H233" s="5">
        <v>4179.4799999999996</v>
      </c>
      <c r="I233" s="5">
        <f>INDEX('2016 Lockdown Update'!E$5:E$245,MATCH(B233,'2016 Lockdown Update'!B$5:B$245,0))</f>
        <v>4179.4799999999996</v>
      </c>
      <c r="J233" s="5">
        <f t="shared" si="54"/>
        <v>0</v>
      </c>
      <c r="K233" s="5">
        <v>0</v>
      </c>
      <c r="L233" s="5">
        <f>INDEX('2016 Lockdown Update'!F$5:F$245,MATCH(B233,'2016 Lockdown Update'!B$5:B$245,0))</f>
        <v>0</v>
      </c>
      <c r="M233" s="5">
        <f t="shared" si="55"/>
        <v>0</v>
      </c>
      <c r="N233" s="5">
        <v>4179.4799999999996</v>
      </c>
      <c r="O233" s="105">
        <f t="shared" si="56"/>
        <v>4179.4799999999996</v>
      </c>
      <c r="P233" s="105">
        <f t="shared" si="57"/>
        <v>0</v>
      </c>
      <c r="Q233" s="103">
        <f t="shared" si="58"/>
        <v>706.11993588612438</v>
      </c>
      <c r="R233" s="6">
        <f t="shared" si="59"/>
        <v>706.11993588612438</v>
      </c>
      <c r="S233" s="5">
        <f t="shared" si="60"/>
        <v>4179.4799999999996</v>
      </c>
      <c r="T233" s="140">
        <v>0.15308333333333335</v>
      </c>
      <c r="U233" s="105">
        <f t="shared" si="61"/>
        <v>1015.8384794790873</v>
      </c>
      <c r="V233" s="105">
        <f t="shared" si="62"/>
        <v>294.71636270126049</v>
      </c>
      <c r="W233" s="105">
        <f t="shared" si="63"/>
        <v>46.65238217007709</v>
      </c>
      <c r="X233" s="105">
        <f t="shared" si="64"/>
        <v>62.404442703812506</v>
      </c>
      <c r="Y233" s="105">
        <f t="shared" si="65"/>
        <v>1419.6116670542374</v>
      </c>
      <c r="Z233" s="112">
        <f t="shared" si="66"/>
        <v>0.3396622706782273</v>
      </c>
      <c r="AA233" s="104">
        <f t="shared" si="67"/>
        <v>1420.0308476999569</v>
      </c>
      <c r="AB233" s="105"/>
      <c r="AC233" s="104">
        <v>1387.4621755966127</v>
      </c>
      <c r="AD233" s="5">
        <f t="shared" si="68"/>
        <v>32.56867210334417</v>
      </c>
      <c r="AE233" s="5">
        <v>-6.2504707951159162</v>
      </c>
      <c r="AF233" s="5">
        <f t="shared" si="69"/>
        <v>38.819142898460086</v>
      </c>
    </row>
    <row r="234" spans="2:32" x14ac:dyDescent="0.25">
      <c r="B234" s="10">
        <v>100</v>
      </c>
      <c r="C234" s="10">
        <v>9</v>
      </c>
      <c r="D234" s="9" t="s">
        <v>263</v>
      </c>
      <c r="E234" s="162">
        <v>35.824097897303162</v>
      </c>
      <c r="F234" s="162">
        <f>INDEX('2016 Lockdown Update'!H$5:H$245,MATCH(B234,'2016 Lockdown Update'!B$5:B$245,0))</f>
        <v>35.824097897303162</v>
      </c>
      <c r="G234" s="162">
        <f t="shared" si="53"/>
        <v>0</v>
      </c>
      <c r="H234" s="5">
        <v>29603.85</v>
      </c>
      <c r="I234" s="5">
        <f>INDEX('2016 Lockdown Update'!E$5:E$245,MATCH(B234,'2016 Lockdown Update'!B$5:B$245,0))</f>
        <v>29603.85</v>
      </c>
      <c r="J234" s="5">
        <f t="shared" si="54"/>
        <v>0</v>
      </c>
      <c r="K234" s="5">
        <v>0</v>
      </c>
      <c r="L234" s="5">
        <f>INDEX('2016 Lockdown Update'!F$5:F$245,MATCH(B234,'2016 Lockdown Update'!B$5:B$245,0))</f>
        <v>0</v>
      </c>
      <c r="M234" s="5">
        <f t="shared" si="55"/>
        <v>0</v>
      </c>
      <c r="N234" s="5">
        <v>29603.85</v>
      </c>
      <c r="O234" s="105">
        <f t="shared" si="56"/>
        <v>29603.85</v>
      </c>
      <c r="P234" s="105">
        <f t="shared" si="57"/>
        <v>0</v>
      </c>
      <c r="Q234" s="103">
        <f t="shared" si="58"/>
        <v>826.36693559919559</v>
      </c>
      <c r="R234" s="6">
        <f t="shared" si="59"/>
        <v>826.36693559919559</v>
      </c>
      <c r="S234" s="5">
        <f t="shared" si="60"/>
        <v>29603.85</v>
      </c>
      <c r="T234" s="140">
        <v>0.13183333333333333</v>
      </c>
      <c r="U234" s="105">
        <f t="shared" si="61"/>
        <v>7195.3281199400353</v>
      </c>
      <c r="V234" s="105">
        <f t="shared" si="62"/>
        <v>1783.7571765740222</v>
      </c>
      <c r="W234" s="105">
        <f t="shared" si="63"/>
        <v>284.57522714362835</v>
      </c>
      <c r="X234" s="105">
        <f t="shared" si="64"/>
        <v>442.01952423202408</v>
      </c>
      <c r="Y234" s="105">
        <f t="shared" si="65"/>
        <v>9705.6800478897112</v>
      </c>
      <c r="Z234" s="112">
        <f t="shared" si="66"/>
        <v>0.32785195330640143</v>
      </c>
      <c r="AA234" s="104">
        <f t="shared" si="67"/>
        <v>9708.5459254561192</v>
      </c>
      <c r="AB234" s="105"/>
      <c r="AC234" s="104">
        <v>9563.2581961445776</v>
      </c>
      <c r="AD234" s="5">
        <f t="shared" si="68"/>
        <v>145.28772931154163</v>
      </c>
      <c r="AE234" s="5">
        <v>-44.691136418377937</v>
      </c>
      <c r="AF234" s="5">
        <f t="shared" si="69"/>
        <v>189.97886572991956</v>
      </c>
    </row>
    <row r="235" spans="2:32" x14ac:dyDescent="0.25">
      <c r="B235" s="47">
        <v>159</v>
      </c>
      <c r="C235" s="47">
        <v>9</v>
      </c>
      <c r="D235" s="48" t="s">
        <v>264</v>
      </c>
      <c r="E235" s="162">
        <v>788.86692772911874</v>
      </c>
      <c r="F235" s="162">
        <f>INDEX('2016 Lockdown Update'!H$5:H$245,MATCH(B235,'2016 Lockdown Update'!B$5:B$245,0))</f>
        <v>788.86692772911874</v>
      </c>
      <c r="G235" s="162">
        <f t="shared" si="53"/>
        <v>0</v>
      </c>
      <c r="H235" s="5">
        <v>156611.32</v>
      </c>
      <c r="I235" s="5">
        <f>INDEX('2016 Lockdown Update'!E$5:E$245,MATCH(B235,'2016 Lockdown Update'!B$5:B$245,0))</f>
        <v>156611.32</v>
      </c>
      <c r="J235" s="5">
        <f t="shared" si="54"/>
        <v>0</v>
      </c>
      <c r="K235" s="5">
        <v>0</v>
      </c>
      <c r="L235" s="5">
        <f>INDEX('2016 Lockdown Update'!F$5:F$245,MATCH(B235,'2016 Lockdown Update'!B$5:B$245,0))</f>
        <v>0</v>
      </c>
      <c r="M235" s="5">
        <f t="shared" si="55"/>
        <v>0</v>
      </c>
      <c r="N235" s="5">
        <v>156611.32</v>
      </c>
      <c r="O235" s="105">
        <f t="shared" si="56"/>
        <v>156611.32</v>
      </c>
      <c r="P235" s="105">
        <f t="shared" si="57"/>
        <v>0</v>
      </c>
      <c r="Q235" s="103">
        <f t="shared" si="58"/>
        <v>198.52691815948106</v>
      </c>
      <c r="R235" s="6">
        <f t="shared" si="59"/>
        <v>198.52691815948106</v>
      </c>
      <c r="S235" s="5">
        <f t="shared" si="60"/>
        <v>156611.32</v>
      </c>
      <c r="T235" s="140">
        <v>0.7899166666666666</v>
      </c>
      <c r="U235" s="105">
        <f t="shared" si="61"/>
        <v>38064.975829053568</v>
      </c>
      <c r="V235" s="105">
        <f t="shared" si="62"/>
        <v>39279.343411035239</v>
      </c>
      <c r="W235" s="105">
        <f t="shared" si="63"/>
        <v>9020.4476470899681</v>
      </c>
      <c r="X235" s="105">
        <f t="shared" si="64"/>
        <v>2338.3871069387692</v>
      </c>
      <c r="Y235" s="105">
        <f t="shared" si="65"/>
        <v>88703.153994117543</v>
      </c>
      <c r="Z235" s="112">
        <f t="shared" si="66"/>
        <v>0.56639043712879467</v>
      </c>
      <c r="AA235" s="104">
        <f t="shared" si="67"/>
        <v>88729.346118507281</v>
      </c>
      <c r="AB235" s="105"/>
      <c r="AC235" s="104">
        <v>87796.904446512664</v>
      </c>
      <c r="AD235" s="5">
        <f t="shared" si="68"/>
        <v>932.44167199461663</v>
      </c>
      <c r="AE235" s="5">
        <v>-263.51138713449473</v>
      </c>
      <c r="AF235" s="5">
        <f t="shared" si="69"/>
        <v>1195.9530591291114</v>
      </c>
    </row>
    <row r="236" spans="2:32" x14ac:dyDescent="0.25">
      <c r="B236" s="47">
        <v>173</v>
      </c>
      <c r="C236" s="47">
        <v>9</v>
      </c>
      <c r="D236" s="48" t="s">
        <v>265</v>
      </c>
      <c r="E236" s="162">
        <v>335.96999999999997</v>
      </c>
      <c r="F236" s="162">
        <f>INDEX('2016 Lockdown Update'!H$5:H$245,MATCH(B236,'2016 Lockdown Update'!B$5:B$245,0))</f>
        <v>335.96999999999997</v>
      </c>
      <c r="G236" s="162">
        <f t="shared" si="53"/>
        <v>0</v>
      </c>
      <c r="H236" s="5">
        <v>165403.65</v>
      </c>
      <c r="I236" s="5">
        <f>INDEX('2016 Lockdown Update'!E$5:E$245,MATCH(B236,'2016 Lockdown Update'!B$5:B$245,0))</f>
        <v>165403.65</v>
      </c>
      <c r="J236" s="5">
        <f t="shared" si="54"/>
        <v>0</v>
      </c>
      <c r="K236" s="5">
        <v>70</v>
      </c>
      <c r="L236" s="5">
        <f>INDEX('2016 Lockdown Update'!F$5:F$245,MATCH(B236,'2016 Lockdown Update'!B$5:B$245,0))</f>
        <v>70</v>
      </c>
      <c r="M236" s="5">
        <f t="shared" si="55"/>
        <v>0</v>
      </c>
      <c r="N236" s="5">
        <v>165333.65</v>
      </c>
      <c r="O236" s="105">
        <f t="shared" si="56"/>
        <v>165333.65</v>
      </c>
      <c r="P236" s="105">
        <f t="shared" si="57"/>
        <v>0</v>
      </c>
      <c r="Q236" s="103">
        <f t="shared" si="58"/>
        <v>492.10837277137841</v>
      </c>
      <c r="R236" s="6">
        <f t="shared" si="59"/>
        <v>492.10837277137841</v>
      </c>
      <c r="S236" s="5">
        <f t="shared" si="60"/>
        <v>165333.65</v>
      </c>
      <c r="T236" s="140">
        <v>0.76675000000000004</v>
      </c>
      <c r="U236" s="105">
        <f t="shared" si="61"/>
        <v>40184.9712458793</v>
      </c>
      <c r="V236" s="105">
        <f t="shared" si="62"/>
        <v>16728.652884199735</v>
      </c>
      <c r="W236" s="105">
        <f t="shared" si="63"/>
        <v>9243.5480108333868</v>
      </c>
      <c r="X236" s="105">
        <f t="shared" si="64"/>
        <v>2468.6215243133574</v>
      </c>
      <c r="Y236" s="105">
        <f t="shared" si="65"/>
        <v>68625.793665225778</v>
      </c>
      <c r="Z236" s="112">
        <f t="shared" si="66"/>
        <v>0.41507456990894342</v>
      </c>
      <c r="AA236" s="104">
        <f t="shared" si="67"/>
        <v>68646.057379006947</v>
      </c>
      <c r="AB236" s="105"/>
      <c r="AC236" s="104">
        <v>68667.619582135667</v>
      </c>
      <c r="AD236" s="5">
        <f t="shared" si="68"/>
        <v>-21.562203128720284</v>
      </c>
      <c r="AE236" s="5">
        <v>-297.12559031242563</v>
      </c>
      <c r="AF236" s="5">
        <f t="shared" si="69"/>
        <v>275.56338718370534</v>
      </c>
    </row>
    <row r="237" spans="2:32" x14ac:dyDescent="0.25">
      <c r="B237" s="10">
        <v>204</v>
      </c>
      <c r="C237" s="10">
        <v>9</v>
      </c>
      <c r="D237" s="9" t="s">
        <v>266</v>
      </c>
      <c r="E237" s="162">
        <v>721.47299100758471</v>
      </c>
      <c r="F237" s="162">
        <f>INDEX('2016 Lockdown Update'!H$5:H$245,MATCH(B237,'2016 Lockdown Update'!B$5:B$245,0))</f>
        <v>721.47299100758471</v>
      </c>
      <c r="G237" s="162">
        <f t="shared" si="53"/>
        <v>0</v>
      </c>
      <c r="H237" s="5">
        <v>436718.59</v>
      </c>
      <c r="I237" s="5">
        <f>INDEX('2016 Lockdown Update'!E$5:E$245,MATCH(B237,'2016 Lockdown Update'!B$5:B$245,0))</f>
        <v>436718.59</v>
      </c>
      <c r="J237" s="5">
        <f t="shared" si="54"/>
        <v>0</v>
      </c>
      <c r="K237" s="5">
        <v>8908.4500000000007</v>
      </c>
      <c r="L237" s="5">
        <f>INDEX('2016 Lockdown Update'!F$5:F$245,MATCH(B237,'2016 Lockdown Update'!B$5:B$245,0))</f>
        <v>8908.4500000000007</v>
      </c>
      <c r="M237" s="5">
        <f t="shared" si="55"/>
        <v>0</v>
      </c>
      <c r="N237" s="5">
        <v>427810.14</v>
      </c>
      <c r="O237" s="105">
        <f t="shared" si="56"/>
        <v>427810.14</v>
      </c>
      <c r="P237" s="105">
        <f t="shared" si="57"/>
        <v>0</v>
      </c>
      <c r="Q237" s="103">
        <f t="shared" si="58"/>
        <v>592.96764443327936</v>
      </c>
      <c r="R237" s="6">
        <f t="shared" si="59"/>
        <v>592.96764443327936</v>
      </c>
      <c r="S237" s="5">
        <f t="shared" si="60"/>
        <v>427810.14000000007</v>
      </c>
      <c r="T237" s="140">
        <v>0.39008333333333339</v>
      </c>
      <c r="U237" s="105">
        <f t="shared" si="61"/>
        <v>103980.87851200043</v>
      </c>
      <c r="V237" s="105">
        <f t="shared" si="62"/>
        <v>35923.657564339803</v>
      </c>
      <c r="W237" s="105">
        <f t="shared" si="63"/>
        <v>12168.362307866853</v>
      </c>
      <c r="X237" s="105">
        <f t="shared" si="64"/>
        <v>6387.697361810564</v>
      </c>
      <c r="Y237" s="105">
        <f t="shared" si="65"/>
        <v>158460.59574601767</v>
      </c>
      <c r="Z237" s="112">
        <f t="shared" si="66"/>
        <v>0.37039934524697721</v>
      </c>
      <c r="AA237" s="104">
        <f t="shared" si="67"/>
        <v>158507.38573541227</v>
      </c>
      <c r="AB237" s="105"/>
      <c r="AC237" s="104">
        <v>157589.93651981259</v>
      </c>
      <c r="AD237" s="5">
        <f t="shared" si="68"/>
        <v>917.44921559968498</v>
      </c>
      <c r="AE237" s="5">
        <v>-695.94143688862096</v>
      </c>
      <c r="AF237" s="5">
        <f t="shared" si="69"/>
        <v>1613.3906524883059</v>
      </c>
    </row>
    <row r="238" spans="2:32" x14ac:dyDescent="0.25">
      <c r="B238" s="10">
        <v>218</v>
      </c>
      <c r="C238" s="10">
        <v>9</v>
      </c>
      <c r="D238" s="9" t="s">
        <v>267</v>
      </c>
      <c r="E238" s="162">
        <v>328.51926160015944</v>
      </c>
      <c r="F238" s="162">
        <f>INDEX('2016 Lockdown Update'!H$5:H$245,MATCH(B238,'2016 Lockdown Update'!B$5:B$245,0))</f>
        <v>328.51926160015944</v>
      </c>
      <c r="G238" s="162">
        <f t="shared" si="53"/>
        <v>0</v>
      </c>
      <c r="H238" s="5">
        <v>191809.35</v>
      </c>
      <c r="I238" s="5">
        <f>INDEX('2016 Lockdown Update'!E$5:E$245,MATCH(B238,'2016 Lockdown Update'!B$5:B$245,0))</f>
        <v>191809.35</v>
      </c>
      <c r="J238" s="5">
        <f t="shared" si="54"/>
        <v>0</v>
      </c>
      <c r="K238" s="5">
        <v>296</v>
      </c>
      <c r="L238" s="5">
        <f>INDEX('2016 Lockdown Update'!F$5:F$245,MATCH(B238,'2016 Lockdown Update'!B$5:B$245,0))</f>
        <v>296</v>
      </c>
      <c r="M238" s="5">
        <f t="shared" si="55"/>
        <v>0</v>
      </c>
      <c r="N238" s="5">
        <v>191513.35</v>
      </c>
      <c r="O238" s="105">
        <f t="shared" si="56"/>
        <v>191513.35</v>
      </c>
      <c r="P238" s="105">
        <f t="shared" si="57"/>
        <v>0</v>
      </c>
      <c r="Q238" s="103">
        <f t="shared" si="58"/>
        <v>582.95927327722654</v>
      </c>
      <c r="R238" s="6">
        <f t="shared" si="59"/>
        <v>582.95927327722654</v>
      </c>
      <c r="S238" s="5">
        <f t="shared" si="60"/>
        <v>191513.35000000003</v>
      </c>
      <c r="T238" s="140">
        <v>0.41091666666666671</v>
      </c>
      <c r="U238" s="105">
        <f t="shared" si="61"/>
        <v>46548.046710104201</v>
      </c>
      <c r="V238" s="105">
        <f t="shared" si="62"/>
        <v>16357.664949497501</v>
      </c>
      <c r="W238" s="105">
        <f t="shared" si="63"/>
        <v>5738.2104581880958</v>
      </c>
      <c r="X238" s="105">
        <f t="shared" si="64"/>
        <v>2859.5145513533248</v>
      </c>
      <c r="Y238" s="105">
        <f t="shared" si="65"/>
        <v>71503.436669143121</v>
      </c>
      <c r="Z238" s="112">
        <f t="shared" si="66"/>
        <v>0.37336006429391533</v>
      </c>
      <c r="AA238" s="104">
        <f t="shared" si="67"/>
        <v>71524.550088713935</v>
      </c>
      <c r="AB238" s="105"/>
      <c r="AC238" s="104">
        <v>69931.274407454373</v>
      </c>
      <c r="AD238" s="5">
        <f t="shared" si="68"/>
        <v>1593.2756812595617</v>
      </c>
      <c r="AE238" s="5">
        <v>-305.97364783774537</v>
      </c>
      <c r="AF238" s="5">
        <f t="shared" si="69"/>
        <v>1899.2493290973071</v>
      </c>
    </row>
    <row r="239" spans="2:32" x14ac:dyDescent="0.25">
      <c r="B239" s="10">
        <v>230</v>
      </c>
      <c r="C239" s="10">
        <v>9</v>
      </c>
      <c r="D239" s="9" t="s">
        <v>268</v>
      </c>
      <c r="E239" s="162">
        <v>144.52224965646064</v>
      </c>
      <c r="F239" s="162">
        <f>INDEX('2016 Lockdown Update'!H$5:H$245,MATCH(B239,'2016 Lockdown Update'!B$5:B$245,0))</f>
        <v>144.52224965646064</v>
      </c>
      <c r="G239" s="162">
        <f t="shared" si="53"/>
        <v>0</v>
      </c>
      <c r="H239" s="5">
        <v>67006.03</v>
      </c>
      <c r="I239" s="5">
        <f>INDEX('2016 Lockdown Update'!E$5:E$245,MATCH(B239,'2016 Lockdown Update'!B$5:B$245,0))</f>
        <v>66569.070000000007</v>
      </c>
      <c r="J239" s="5">
        <f t="shared" si="54"/>
        <v>-436.95999999999185</v>
      </c>
      <c r="K239" s="5">
        <v>2335.5100000000002</v>
      </c>
      <c r="L239" s="5">
        <f>INDEX('2016 Lockdown Update'!F$5:F$245,MATCH(B239,'2016 Lockdown Update'!B$5:B$245,0))</f>
        <v>2335.5099999999998</v>
      </c>
      <c r="M239" s="5">
        <f t="shared" si="55"/>
        <v>0</v>
      </c>
      <c r="N239" s="5">
        <v>64670.52</v>
      </c>
      <c r="O239" s="105">
        <f t="shared" si="56"/>
        <v>64233.560000000005</v>
      </c>
      <c r="P239" s="105">
        <f t="shared" si="57"/>
        <v>-436.95999999999185</v>
      </c>
      <c r="Q239" s="103">
        <f t="shared" si="58"/>
        <v>444.45447086997058</v>
      </c>
      <c r="R239" s="6">
        <f t="shared" si="59"/>
        <v>444.45447086997058</v>
      </c>
      <c r="S239" s="5">
        <f t="shared" si="60"/>
        <v>64233.560000000005</v>
      </c>
      <c r="T239" s="140">
        <v>0.24766666666666665</v>
      </c>
      <c r="U239" s="105">
        <f t="shared" si="61"/>
        <v>15612.210591252677</v>
      </c>
      <c r="V239" s="105">
        <f t="shared" si="62"/>
        <v>7196.0667575872394</v>
      </c>
      <c r="W239" s="105">
        <f t="shared" si="63"/>
        <v>1159.9872469300738</v>
      </c>
      <c r="X239" s="105">
        <f t="shared" si="64"/>
        <v>959.080917884977</v>
      </c>
      <c r="Y239" s="105">
        <f t="shared" si="65"/>
        <v>24927.345513654971</v>
      </c>
      <c r="Z239" s="112">
        <f t="shared" si="66"/>
        <v>0.38807354774754771</v>
      </c>
      <c r="AA239" s="104">
        <f t="shared" si="67"/>
        <v>24934.706020074427</v>
      </c>
      <c r="AB239" s="105"/>
      <c r="AC239" s="104">
        <v>24534.024495485395</v>
      </c>
      <c r="AD239" s="5">
        <f t="shared" si="68"/>
        <v>400.68152458903205</v>
      </c>
      <c r="AE239" s="5">
        <v>-214.23619076794057</v>
      </c>
      <c r="AF239" s="5">
        <f t="shared" si="69"/>
        <v>614.91771535697262</v>
      </c>
    </row>
    <row r="240" spans="2:32" x14ac:dyDescent="0.25">
      <c r="B240" s="10">
        <v>277</v>
      </c>
      <c r="C240" s="10">
        <v>9</v>
      </c>
      <c r="D240" s="9" t="s">
        <v>269</v>
      </c>
      <c r="E240" s="162">
        <v>124.25216410827329</v>
      </c>
      <c r="F240" s="162">
        <f>INDEX('2016 Lockdown Update'!H$5:H$245,MATCH(B240,'2016 Lockdown Update'!B$5:B$245,0))</f>
        <v>124.25216410827329</v>
      </c>
      <c r="G240" s="162">
        <f t="shared" si="53"/>
        <v>0</v>
      </c>
      <c r="H240" s="5">
        <v>70919.39</v>
      </c>
      <c r="I240" s="5">
        <f>INDEX('2016 Lockdown Update'!E$5:E$245,MATCH(B240,'2016 Lockdown Update'!B$5:B$245,0))</f>
        <v>70919.39</v>
      </c>
      <c r="J240" s="5">
        <f t="shared" si="54"/>
        <v>0</v>
      </c>
      <c r="K240" s="5">
        <v>0</v>
      </c>
      <c r="L240" s="5">
        <f>INDEX('2016 Lockdown Update'!F$5:F$245,MATCH(B240,'2016 Lockdown Update'!B$5:B$245,0))</f>
        <v>0</v>
      </c>
      <c r="M240" s="5">
        <f t="shared" si="55"/>
        <v>0</v>
      </c>
      <c r="N240" s="5">
        <v>70919.39</v>
      </c>
      <c r="O240" s="105">
        <f t="shared" si="56"/>
        <v>70919.39</v>
      </c>
      <c r="P240" s="105">
        <f t="shared" si="57"/>
        <v>0</v>
      </c>
      <c r="Q240" s="103">
        <f t="shared" si="58"/>
        <v>570.76985748273057</v>
      </c>
      <c r="R240" s="6">
        <f t="shared" si="59"/>
        <v>570.76985748273057</v>
      </c>
      <c r="S240" s="5">
        <f t="shared" si="60"/>
        <v>70919.39</v>
      </c>
      <c r="T240" s="140">
        <v>0.20250000000000001</v>
      </c>
      <c r="U240" s="105">
        <f t="shared" si="61"/>
        <v>17237.226952440113</v>
      </c>
      <c r="V240" s="105">
        <f t="shared" si="62"/>
        <v>6186.7765677826155</v>
      </c>
      <c r="W240" s="105">
        <f t="shared" si="63"/>
        <v>1047.1615373607367</v>
      </c>
      <c r="X240" s="105">
        <f t="shared" si="64"/>
        <v>1058.9080483324083</v>
      </c>
      <c r="Y240" s="105">
        <f t="shared" si="65"/>
        <v>25530.073105915875</v>
      </c>
      <c r="Z240" s="112">
        <f t="shared" si="66"/>
        <v>0.35998720668516571</v>
      </c>
      <c r="AA240" s="104">
        <f t="shared" si="67"/>
        <v>25537.611584767637</v>
      </c>
      <c r="AB240" s="105"/>
      <c r="AC240" s="104">
        <v>25400.777974182583</v>
      </c>
      <c r="AD240" s="5">
        <f t="shared" si="68"/>
        <v>136.83361058505398</v>
      </c>
      <c r="AE240" s="5">
        <v>-109.43795160555965</v>
      </c>
      <c r="AF240" s="5">
        <f t="shared" si="69"/>
        <v>246.27156219061362</v>
      </c>
    </row>
    <row r="241" spans="2:32" x14ac:dyDescent="0.25">
      <c r="B241" s="10">
        <v>279</v>
      </c>
      <c r="C241" s="10">
        <v>9</v>
      </c>
      <c r="D241" s="9" t="s">
        <v>270</v>
      </c>
      <c r="E241" s="162">
        <v>798.20063738181045</v>
      </c>
      <c r="F241" s="162">
        <f>INDEX('2016 Lockdown Update'!H$5:H$245,MATCH(B241,'2016 Lockdown Update'!B$5:B$245,0))</f>
        <v>798.20063738181045</v>
      </c>
      <c r="G241" s="162">
        <f t="shared" si="53"/>
        <v>0</v>
      </c>
      <c r="H241" s="5">
        <v>112806.89</v>
      </c>
      <c r="I241" s="5">
        <f>INDEX('2016 Lockdown Update'!E$5:E$245,MATCH(B241,'2016 Lockdown Update'!B$5:B$245,0))</f>
        <v>112813.46</v>
      </c>
      <c r="J241" s="5">
        <f t="shared" si="54"/>
        <v>6.5700000000069849</v>
      </c>
      <c r="K241" s="5">
        <v>200</v>
      </c>
      <c r="L241" s="5">
        <f>INDEX('2016 Lockdown Update'!F$5:F$245,MATCH(B241,'2016 Lockdown Update'!B$5:B$245,0))</f>
        <v>200</v>
      </c>
      <c r="M241" s="5">
        <f t="shared" si="55"/>
        <v>0</v>
      </c>
      <c r="N241" s="5">
        <v>112606.89</v>
      </c>
      <c r="O241" s="105">
        <f t="shared" si="56"/>
        <v>112613.46</v>
      </c>
      <c r="P241" s="105">
        <f t="shared" si="57"/>
        <v>6.5700000000069849</v>
      </c>
      <c r="Q241" s="103">
        <f t="shared" si="58"/>
        <v>141.08415193626638</v>
      </c>
      <c r="R241" s="6">
        <f t="shared" si="59"/>
        <v>141.08415193626638</v>
      </c>
      <c r="S241" s="5">
        <f t="shared" si="60"/>
        <v>112613.46</v>
      </c>
      <c r="T241" s="140">
        <v>0.63858333333333328</v>
      </c>
      <c r="U241" s="105">
        <f t="shared" si="61"/>
        <v>27371.128938355738</v>
      </c>
      <c r="V241" s="105">
        <f t="shared" si="62"/>
        <v>39744.088444525682</v>
      </c>
      <c r="W241" s="105">
        <f t="shared" si="63"/>
        <v>5243.6240263655</v>
      </c>
      <c r="X241" s="105">
        <f t="shared" si="64"/>
        <v>1681.4484606334001</v>
      </c>
      <c r="Y241" s="105">
        <f t="shared" si="65"/>
        <v>74040.289869880318</v>
      </c>
      <c r="Z241" s="112">
        <f t="shared" si="66"/>
        <v>0.65747282669301088</v>
      </c>
      <c r="AA241" s="104">
        <f t="shared" si="67"/>
        <v>74062.152367376766</v>
      </c>
      <c r="AB241" s="105"/>
      <c r="AC241" s="104">
        <v>73073.370452074305</v>
      </c>
      <c r="AD241" s="5">
        <f t="shared" si="68"/>
        <v>988.78191530246113</v>
      </c>
      <c r="AE241" s="5">
        <v>-173.25479493640887</v>
      </c>
      <c r="AF241" s="5">
        <f t="shared" si="69"/>
        <v>1162.03671023887</v>
      </c>
    </row>
    <row r="242" spans="2:32" x14ac:dyDescent="0.25">
      <c r="B242" s="10">
        <v>331</v>
      </c>
      <c r="C242" s="10">
        <v>9</v>
      </c>
      <c r="D242" s="9" t="s">
        <v>271</v>
      </c>
      <c r="E242" s="162">
        <v>466.35</v>
      </c>
      <c r="F242" s="162">
        <f>INDEX('2016 Lockdown Update'!H$5:H$245,MATCH(B242,'2016 Lockdown Update'!B$5:B$245,0))</f>
        <v>424.87046339053245</v>
      </c>
      <c r="G242" s="162">
        <f t="shared" si="53"/>
        <v>-41.479536609467573</v>
      </c>
      <c r="H242" s="5">
        <v>173535.32</v>
      </c>
      <c r="I242" s="5">
        <f>INDEX('2016 Lockdown Update'!E$5:E$245,MATCH(B242,'2016 Lockdown Update'!B$5:B$245,0))</f>
        <v>162371.22</v>
      </c>
      <c r="J242" s="5">
        <f t="shared" si="54"/>
        <v>-11164.100000000006</v>
      </c>
      <c r="K242" s="5">
        <v>12843.16</v>
      </c>
      <c r="L242" s="5">
        <f>INDEX('2016 Lockdown Update'!F$5:F$245,MATCH(B242,'2016 Lockdown Update'!B$5:B$245,0))</f>
        <v>12843.16</v>
      </c>
      <c r="M242" s="5">
        <f t="shared" si="55"/>
        <v>0</v>
      </c>
      <c r="N242" s="5">
        <v>160692.16</v>
      </c>
      <c r="O242" s="105">
        <f t="shared" si="56"/>
        <v>149528.06</v>
      </c>
      <c r="P242" s="105">
        <f t="shared" si="57"/>
        <v>-11164.100000000006</v>
      </c>
      <c r="Q242" s="103">
        <f t="shared" si="58"/>
        <v>351.93799730567946</v>
      </c>
      <c r="R242" s="6">
        <f t="shared" si="59"/>
        <v>351.93799730567946</v>
      </c>
      <c r="S242" s="5">
        <f t="shared" si="60"/>
        <v>149528.06</v>
      </c>
      <c r="T242" s="140">
        <v>0.55266666666666675</v>
      </c>
      <c r="U242" s="105">
        <f t="shared" si="61"/>
        <v>36343.362597705396</v>
      </c>
      <c r="V242" s="105">
        <f t="shared" si="62"/>
        <v>21155.193924485251</v>
      </c>
      <c r="W242" s="105">
        <f t="shared" si="63"/>
        <v>6025.7295186995552</v>
      </c>
      <c r="X242" s="105">
        <f t="shared" si="64"/>
        <v>2232.6258895561746</v>
      </c>
      <c r="Y242" s="105">
        <f t="shared" si="65"/>
        <v>65756.911930446367</v>
      </c>
      <c r="Z242" s="112">
        <f t="shared" si="66"/>
        <v>0.43976302461522182</v>
      </c>
      <c r="AA242" s="104">
        <f t="shared" si="67"/>
        <v>65776.328525451332</v>
      </c>
      <c r="AB242" s="105"/>
      <c r="AC242" s="104">
        <v>70280.829035012706</v>
      </c>
      <c r="AD242" s="5">
        <f t="shared" si="68"/>
        <v>-4504.5005095613742</v>
      </c>
      <c r="AE242" s="5">
        <v>-1330.2358490097686</v>
      </c>
      <c r="AF242" s="5">
        <f t="shared" si="69"/>
        <v>-3174.2646605516056</v>
      </c>
    </row>
    <row r="243" spans="2:32" x14ac:dyDescent="0.25">
      <c r="B243" s="10">
        <v>369</v>
      </c>
      <c r="C243" s="10">
        <v>9</v>
      </c>
      <c r="D243" s="9" t="s">
        <v>272</v>
      </c>
      <c r="E243" s="162">
        <v>358.53</v>
      </c>
      <c r="F243" s="162">
        <f>INDEX('2016 Lockdown Update'!H$5:H$245,MATCH(B243,'2016 Lockdown Update'!B$5:B$245,0))</f>
        <v>358.53</v>
      </c>
      <c r="G243" s="162">
        <f t="shared" si="53"/>
        <v>0</v>
      </c>
      <c r="H243" s="5">
        <v>377022.73</v>
      </c>
      <c r="I243" s="5">
        <f>INDEX('2016 Lockdown Update'!E$5:E$245,MATCH(B243,'2016 Lockdown Update'!B$5:B$245,0))</f>
        <v>377022.73</v>
      </c>
      <c r="J243" s="5">
        <f t="shared" si="54"/>
        <v>0</v>
      </c>
      <c r="K243" s="5">
        <v>0</v>
      </c>
      <c r="L243" s="5">
        <f>INDEX('2016 Lockdown Update'!F$5:F$245,MATCH(B243,'2016 Lockdown Update'!B$5:B$245,0))</f>
        <v>0</v>
      </c>
      <c r="M243" s="5">
        <f t="shared" si="55"/>
        <v>0</v>
      </c>
      <c r="N243" s="5">
        <v>377022.73</v>
      </c>
      <c r="O243" s="105">
        <f t="shared" si="56"/>
        <v>377022.73</v>
      </c>
      <c r="P243" s="105">
        <f t="shared" si="57"/>
        <v>0</v>
      </c>
      <c r="Q243" s="103">
        <f t="shared" si="58"/>
        <v>1051.5793099601149</v>
      </c>
      <c r="R243" s="6">
        <f t="shared" si="59"/>
        <v>1051.5793099601149</v>
      </c>
      <c r="S243" s="5">
        <f t="shared" si="60"/>
        <v>377022.73</v>
      </c>
      <c r="T243" s="140">
        <v>0.65341666666666676</v>
      </c>
      <c r="U243" s="105">
        <f t="shared" si="61"/>
        <v>91636.805720389733</v>
      </c>
      <c r="V243" s="105">
        <f t="shared" si="62"/>
        <v>17851.962730517997</v>
      </c>
      <c r="W243" s="105">
        <f t="shared" si="63"/>
        <v>17963.104841339398</v>
      </c>
      <c r="X243" s="105">
        <f t="shared" si="64"/>
        <v>5629.3829261821984</v>
      </c>
      <c r="Y243" s="105">
        <f t="shared" si="65"/>
        <v>133081.25621842933</v>
      </c>
      <c r="Z243" s="112">
        <f t="shared" si="66"/>
        <v>0.35297939786927263</v>
      </c>
      <c r="AA243" s="104">
        <f t="shared" si="67"/>
        <v>133120.55223734031</v>
      </c>
      <c r="AB243" s="105"/>
      <c r="AC243" s="104">
        <v>134353.18099856889</v>
      </c>
      <c r="AD243" s="5">
        <f t="shared" si="68"/>
        <v>-1232.6287612285814</v>
      </c>
      <c r="AE243" s="5">
        <v>-677.75020630779909</v>
      </c>
      <c r="AF243" s="5">
        <f t="shared" si="69"/>
        <v>-554.87855492078234</v>
      </c>
    </row>
    <row r="244" spans="2:32" x14ac:dyDescent="0.25">
      <c r="B244" s="10">
        <v>416</v>
      </c>
      <c r="C244" s="10">
        <v>9</v>
      </c>
      <c r="D244" s="9" t="s">
        <v>273</v>
      </c>
      <c r="E244" s="162">
        <v>76.764070607016791</v>
      </c>
      <c r="F244" s="162">
        <f>INDEX('2016 Lockdown Update'!H$5:H$245,MATCH(B244,'2016 Lockdown Update'!B$5:B$245,0))</f>
        <v>76.764070607016791</v>
      </c>
      <c r="G244" s="162">
        <f t="shared" si="53"/>
        <v>0</v>
      </c>
      <c r="H244" s="5">
        <v>52678.44</v>
      </c>
      <c r="I244" s="5">
        <f>INDEX('2016 Lockdown Update'!E$5:E$245,MATCH(B244,'2016 Lockdown Update'!B$5:B$245,0))</f>
        <v>52678.44</v>
      </c>
      <c r="J244" s="5">
        <f t="shared" si="54"/>
        <v>0</v>
      </c>
      <c r="K244" s="5">
        <v>667.5</v>
      </c>
      <c r="L244" s="5">
        <f>INDEX('2016 Lockdown Update'!F$5:F$245,MATCH(B244,'2016 Lockdown Update'!B$5:B$245,0))</f>
        <v>667.5</v>
      </c>
      <c r="M244" s="5">
        <f t="shared" si="55"/>
        <v>0</v>
      </c>
      <c r="N244" s="5">
        <v>52010.94</v>
      </c>
      <c r="O244" s="105">
        <f t="shared" si="56"/>
        <v>52010.94</v>
      </c>
      <c r="P244" s="105">
        <f t="shared" si="57"/>
        <v>0</v>
      </c>
      <c r="Q244" s="103">
        <f t="shared" si="58"/>
        <v>677.54275650991633</v>
      </c>
      <c r="R244" s="6">
        <f t="shared" si="59"/>
        <v>677.54275650991633</v>
      </c>
      <c r="S244" s="5">
        <f t="shared" si="60"/>
        <v>52010.94</v>
      </c>
      <c r="T244" s="140">
        <v>0.5827500000000001</v>
      </c>
      <c r="U244" s="105">
        <f t="shared" si="61"/>
        <v>12641.456402681206</v>
      </c>
      <c r="V244" s="105">
        <f t="shared" si="62"/>
        <v>3822.244519340964</v>
      </c>
      <c r="W244" s="105">
        <f t="shared" si="63"/>
        <v>2210.042615598742</v>
      </c>
      <c r="X244" s="105">
        <f t="shared" si="64"/>
        <v>776.58314555912</v>
      </c>
      <c r="Y244" s="105">
        <f t="shared" si="65"/>
        <v>19450.326683180032</v>
      </c>
      <c r="Z244" s="112">
        <f t="shared" si="66"/>
        <v>0.37396606720009351</v>
      </c>
      <c r="AA244" s="104">
        <f t="shared" si="67"/>
        <v>19456.069944303988</v>
      </c>
      <c r="AB244" s="105"/>
      <c r="AC244" s="104">
        <v>19322.887490980847</v>
      </c>
      <c r="AD244" s="5">
        <f t="shared" si="68"/>
        <v>133.18245332314109</v>
      </c>
      <c r="AE244" s="5">
        <v>-89.232181753508485</v>
      </c>
      <c r="AF244" s="5">
        <f t="shared" si="69"/>
        <v>222.41463507664957</v>
      </c>
    </row>
    <row r="245" spans="2:32" x14ac:dyDescent="0.25">
      <c r="B245" s="10">
        <v>420</v>
      </c>
      <c r="C245" s="10">
        <v>9</v>
      </c>
      <c r="D245" s="9" t="s">
        <v>274</v>
      </c>
      <c r="E245" s="162">
        <v>369.28029930829172</v>
      </c>
      <c r="F245" s="162">
        <f>INDEX('2016 Lockdown Update'!H$5:H$245,MATCH(B245,'2016 Lockdown Update'!B$5:B$245,0))</f>
        <v>369.28029930829172</v>
      </c>
      <c r="G245" s="162">
        <f t="shared" si="53"/>
        <v>0</v>
      </c>
      <c r="H245" s="5">
        <v>85213.02</v>
      </c>
      <c r="I245" s="5">
        <f>INDEX('2016 Lockdown Update'!E$5:E$245,MATCH(B245,'2016 Lockdown Update'!B$5:B$245,0))</f>
        <v>85213.02</v>
      </c>
      <c r="J245" s="5">
        <f t="shared" si="54"/>
        <v>0</v>
      </c>
      <c r="K245" s="5">
        <v>87.63</v>
      </c>
      <c r="L245" s="5">
        <f>INDEX('2016 Lockdown Update'!F$5:F$245,MATCH(B245,'2016 Lockdown Update'!B$5:B$245,0))</f>
        <v>87.63</v>
      </c>
      <c r="M245" s="5">
        <f t="shared" si="55"/>
        <v>0</v>
      </c>
      <c r="N245" s="5">
        <v>85125.39</v>
      </c>
      <c r="O245" s="105">
        <f t="shared" si="56"/>
        <v>85125.39</v>
      </c>
      <c r="P245" s="105">
        <f t="shared" si="57"/>
        <v>0</v>
      </c>
      <c r="Q245" s="103">
        <f t="shared" si="58"/>
        <v>230.51700878560411</v>
      </c>
      <c r="R245" s="6">
        <f t="shared" si="59"/>
        <v>230.51700878560411</v>
      </c>
      <c r="S245" s="5">
        <f t="shared" si="60"/>
        <v>85125.39</v>
      </c>
      <c r="T245" s="140">
        <v>0.60758333333333336</v>
      </c>
      <c r="U245" s="105">
        <f t="shared" si="61"/>
        <v>20690.04917900416</v>
      </c>
      <c r="V245" s="105">
        <f t="shared" si="62"/>
        <v>18387.242742214476</v>
      </c>
      <c r="W245" s="105">
        <f t="shared" si="63"/>
        <v>3771.2787141029839</v>
      </c>
      <c r="X245" s="105">
        <f t="shared" si="64"/>
        <v>1271.0199648986704</v>
      </c>
      <c r="Y245" s="105">
        <f t="shared" si="65"/>
        <v>44119.59060022029</v>
      </c>
      <c r="Z245" s="112">
        <f t="shared" si="66"/>
        <v>0.51828943867652522</v>
      </c>
      <c r="AA245" s="104">
        <f t="shared" si="67"/>
        <v>44132.618161845683</v>
      </c>
      <c r="AB245" s="105"/>
      <c r="AC245" s="104">
        <v>43655.528479122877</v>
      </c>
      <c r="AD245" s="5">
        <f t="shared" si="68"/>
        <v>477.08968272280617</v>
      </c>
      <c r="AE245" s="5">
        <v>-138.28274253691052</v>
      </c>
      <c r="AF245" s="5">
        <f t="shared" si="69"/>
        <v>615.37242525971669</v>
      </c>
    </row>
    <row r="246" spans="2:32" x14ac:dyDescent="0.25">
      <c r="B246" s="10">
        <v>508</v>
      </c>
      <c r="C246" s="10">
        <v>9</v>
      </c>
      <c r="D246" s="9" t="s">
        <v>275</v>
      </c>
      <c r="E246" s="162">
        <v>69.260678652072329</v>
      </c>
      <c r="F246" s="162">
        <f>INDEX('2016 Lockdown Update'!H$5:H$245,MATCH(B246,'2016 Lockdown Update'!B$5:B$245,0))</f>
        <v>69.260678652072329</v>
      </c>
      <c r="G246" s="162">
        <f t="shared" si="53"/>
        <v>0</v>
      </c>
      <c r="H246" s="5">
        <v>52910.11</v>
      </c>
      <c r="I246" s="5">
        <f>INDEX('2016 Lockdown Update'!E$5:E$245,MATCH(B246,'2016 Lockdown Update'!B$5:B$245,0))</f>
        <v>52910.11</v>
      </c>
      <c r="J246" s="5">
        <f t="shared" si="54"/>
        <v>0</v>
      </c>
      <c r="K246" s="5">
        <v>0</v>
      </c>
      <c r="L246" s="5">
        <f>INDEX('2016 Lockdown Update'!F$5:F$245,MATCH(B246,'2016 Lockdown Update'!B$5:B$245,0))</f>
        <v>0</v>
      </c>
      <c r="M246" s="5">
        <f t="shared" si="55"/>
        <v>0</v>
      </c>
      <c r="N246" s="5">
        <v>52910.11</v>
      </c>
      <c r="O246" s="105">
        <f t="shared" si="56"/>
        <v>52910.11</v>
      </c>
      <c r="P246" s="105">
        <f t="shared" si="57"/>
        <v>0</v>
      </c>
      <c r="Q246" s="103">
        <f t="shared" si="58"/>
        <v>763.92710885481472</v>
      </c>
      <c r="R246" s="6">
        <f t="shared" si="59"/>
        <v>763.92710885481472</v>
      </c>
      <c r="S246" s="5">
        <f t="shared" si="60"/>
        <v>52910.11</v>
      </c>
      <c r="T246" s="140">
        <v>0.32908333333333334</v>
      </c>
      <c r="U246" s="105">
        <f t="shared" si="61"/>
        <v>12860.003084467746</v>
      </c>
      <c r="V246" s="105">
        <f t="shared" si="62"/>
        <v>3448.6348533935202</v>
      </c>
      <c r="W246" s="105">
        <f t="shared" si="63"/>
        <v>1269.6038045140781</v>
      </c>
      <c r="X246" s="105">
        <f t="shared" si="64"/>
        <v>790.00878768349594</v>
      </c>
      <c r="Y246" s="105">
        <f t="shared" si="65"/>
        <v>18368.250530058838</v>
      </c>
      <c r="Z246" s="112">
        <f t="shared" si="66"/>
        <v>0.34715956043294632</v>
      </c>
      <c r="AA246" s="104">
        <f t="shared" si="67"/>
        <v>18373.674277479782</v>
      </c>
      <c r="AB246" s="105"/>
      <c r="AC246" s="104">
        <v>18416.935172262853</v>
      </c>
      <c r="AD246" s="5">
        <f t="shared" si="68"/>
        <v>-43.260894783070398</v>
      </c>
      <c r="AE246" s="5">
        <v>-86.178322115338233</v>
      </c>
      <c r="AF246" s="5">
        <f t="shared" si="69"/>
        <v>42.917427332267835</v>
      </c>
    </row>
    <row r="247" spans="2:32" x14ac:dyDescent="0.25">
      <c r="B247" s="10">
        <v>512</v>
      </c>
      <c r="C247" s="10">
        <v>9</v>
      </c>
      <c r="D247" s="9" t="s">
        <v>276</v>
      </c>
      <c r="E247" s="162">
        <v>244.01504152505674</v>
      </c>
      <c r="F247" s="162">
        <f>INDEX('2016 Lockdown Update'!H$5:H$245,MATCH(B247,'2016 Lockdown Update'!B$5:B$245,0))</f>
        <v>244.01504152505674</v>
      </c>
      <c r="G247" s="162">
        <f t="shared" si="53"/>
        <v>0</v>
      </c>
      <c r="H247" s="5">
        <v>282825</v>
      </c>
      <c r="I247" s="5">
        <f>INDEX('2016 Lockdown Update'!E$5:E$245,MATCH(B247,'2016 Lockdown Update'!B$5:B$245,0))</f>
        <v>282825</v>
      </c>
      <c r="J247" s="5">
        <f t="shared" si="54"/>
        <v>0</v>
      </c>
      <c r="K247" s="5">
        <v>8018.65</v>
      </c>
      <c r="L247" s="5">
        <f>INDEX('2016 Lockdown Update'!F$5:F$245,MATCH(B247,'2016 Lockdown Update'!B$5:B$245,0))</f>
        <v>8018.6500000000005</v>
      </c>
      <c r="M247" s="5">
        <f t="shared" si="55"/>
        <v>0</v>
      </c>
      <c r="N247" s="5">
        <v>274806.34999999998</v>
      </c>
      <c r="O247" s="105">
        <f t="shared" si="56"/>
        <v>274806.34999999998</v>
      </c>
      <c r="P247" s="105">
        <f t="shared" si="57"/>
        <v>0</v>
      </c>
      <c r="Q247" s="103">
        <f t="shared" si="58"/>
        <v>1126.1861083747226</v>
      </c>
      <c r="R247" s="6">
        <f t="shared" si="59"/>
        <v>1107.7956815413972</v>
      </c>
      <c r="S247" s="5">
        <f t="shared" si="60"/>
        <v>270318.80923260259</v>
      </c>
      <c r="T247" s="140">
        <v>0.67200000000000004</v>
      </c>
      <c r="U247" s="105">
        <f t="shared" si="61"/>
        <v>65702.012725373614</v>
      </c>
      <c r="V247" s="105">
        <f t="shared" si="62"/>
        <v>12150.022109701042</v>
      </c>
      <c r="W247" s="105">
        <f t="shared" si="63"/>
        <v>13245.525765435323</v>
      </c>
      <c r="X247" s="105">
        <f t="shared" si="64"/>
        <v>4036.1706821228418</v>
      </c>
      <c r="Y247" s="105">
        <f t="shared" si="65"/>
        <v>95133.731282632813</v>
      </c>
      <c r="Z247" s="112">
        <f t="shared" si="66"/>
        <v>0.35193160088528136</v>
      </c>
      <c r="AA247" s="104">
        <f t="shared" si="67"/>
        <v>95161.822217523135</v>
      </c>
      <c r="AB247" s="105"/>
      <c r="AC247" s="104">
        <v>92829.03059555497</v>
      </c>
      <c r="AD247" s="5">
        <f t="shared" si="68"/>
        <v>2332.7916219681647</v>
      </c>
      <c r="AE247" s="5">
        <v>122.7615525044821</v>
      </c>
      <c r="AF247" s="5">
        <f t="shared" si="69"/>
        <v>2210.0300694636826</v>
      </c>
    </row>
    <row r="248" spans="2:32" x14ac:dyDescent="0.25">
      <c r="B248" s="10">
        <v>516</v>
      </c>
      <c r="C248" s="10">
        <v>9</v>
      </c>
      <c r="D248" s="9" t="s">
        <v>277</v>
      </c>
      <c r="E248" s="162">
        <v>314.41874315189409</v>
      </c>
      <c r="F248" s="162">
        <f>INDEX('2016 Lockdown Update'!H$5:H$245,MATCH(B248,'2016 Lockdown Update'!B$5:B$245,0))</f>
        <v>314.41874315189409</v>
      </c>
      <c r="G248" s="162">
        <f t="shared" si="53"/>
        <v>0</v>
      </c>
      <c r="H248" s="5">
        <v>170870.97</v>
      </c>
      <c r="I248" s="5">
        <f>INDEX('2016 Lockdown Update'!E$5:E$245,MATCH(B248,'2016 Lockdown Update'!B$5:B$245,0))</f>
        <v>170870.97</v>
      </c>
      <c r="J248" s="5">
        <f t="shared" si="54"/>
        <v>0</v>
      </c>
      <c r="K248" s="5">
        <v>168.2</v>
      </c>
      <c r="L248" s="5">
        <f>INDEX('2016 Lockdown Update'!F$5:F$245,MATCH(B248,'2016 Lockdown Update'!B$5:B$245,0))</f>
        <v>168.2</v>
      </c>
      <c r="M248" s="5">
        <f t="shared" si="55"/>
        <v>0</v>
      </c>
      <c r="N248" s="5">
        <v>170702.77</v>
      </c>
      <c r="O248" s="105">
        <f t="shared" si="56"/>
        <v>170702.77</v>
      </c>
      <c r="P248" s="105">
        <f t="shared" si="57"/>
        <v>0</v>
      </c>
      <c r="Q248" s="103">
        <f t="shared" si="58"/>
        <v>542.91537549189411</v>
      </c>
      <c r="R248" s="6">
        <f t="shared" si="59"/>
        <v>542.91537549189411</v>
      </c>
      <c r="S248" s="5">
        <f t="shared" si="60"/>
        <v>170702.77</v>
      </c>
      <c r="T248" s="140">
        <v>0.51175000000000004</v>
      </c>
      <c r="U248" s="105">
        <f t="shared" si="61"/>
        <v>41489.956243281071</v>
      </c>
      <c r="V248" s="105">
        <f t="shared" si="62"/>
        <v>15655.570480919099</v>
      </c>
      <c r="W248" s="105">
        <f t="shared" si="63"/>
        <v>6369.7455322497262</v>
      </c>
      <c r="X248" s="105">
        <f t="shared" si="64"/>
        <v>2548.7886602752224</v>
      </c>
      <c r="Y248" s="105">
        <f t="shared" si="65"/>
        <v>66064.060916725124</v>
      </c>
      <c r="Z248" s="112">
        <f t="shared" si="66"/>
        <v>0.38701223721633299</v>
      </c>
      <c r="AA248" s="104">
        <f t="shared" si="67"/>
        <v>66083.568206187876</v>
      </c>
      <c r="AB248" s="105"/>
      <c r="AC248" s="104">
        <v>65138.467962708542</v>
      </c>
      <c r="AD248" s="5">
        <f t="shared" si="68"/>
        <v>945.10024347933359</v>
      </c>
      <c r="AE248" s="5">
        <v>-282.59263009687129</v>
      </c>
      <c r="AF248" s="5">
        <f t="shared" si="69"/>
        <v>1227.6928735762049</v>
      </c>
    </row>
    <row r="249" spans="2:32" x14ac:dyDescent="0.25">
      <c r="B249" s="10">
        <v>521</v>
      </c>
      <c r="C249" s="10">
        <v>9</v>
      </c>
      <c r="D249" s="9" t="s">
        <v>278</v>
      </c>
      <c r="E249" s="162">
        <v>126.34655749375537</v>
      </c>
      <c r="F249" s="162">
        <f>INDEX('2016 Lockdown Update'!H$5:H$245,MATCH(B249,'2016 Lockdown Update'!B$5:B$245,0))</f>
        <v>126.34655749375537</v>
      </c>
      <c r="G249" s="162">
        <f t="shared" si="53"/>
        <v>0</v>
      </c>
      <c r="H249" s="5">
        <v>276578.64</v>
      </c>
      <c r="I249" s="5">
        <f>INDEX('2016 Lockdown Update'!E$5:E$245,MATCH(B249,'2016 Lockdown Update'!B$5:B$245,0))</f>
        <v>276578.64</v>
      </c>
      <c r="J249" s="5">
        <f t="shared" si="54"/>
        <v>0</v>
      </c>
      <c r="K249" s="5">
        <v>35.4</v>
      </c>
      <c r="L249" s="5">
        <f>INDEX('2016 Lockdown Update'!F$5:F$245,MATCH(B249,'2016 Lockdown Update'!B$5:B$245,0))</f>
        <v>35.4</v>
      </c>
      <c r="M249" s="5">
        <f t="shared" si="55"/>
        <v>0</v>
      </c>
      <c r="N249" s="5">
        <v>276543.24</v>
      </c>
      <c r="O249" s="105">
        <f t="shared" si="56"/>
        <v>276543.24</v>
      </c>
      <c r="P249" s="105">
        <f t="shared" si="57"/>
        <v>0</v>
      </c>
      <c r="Q249" s="103">
        <f t="shared" si="58"/>
        <v>2188.7675096622083</v>
      </c>
      <c r="R249" s="6">
        <f t="shared" si="59"/>
        <v>1107.7956815413972</v>
      </c>
      <c r="S249" s="5">
        <f t="shared" si="60"/>
        <v>139966.17076920407</v>
      </c>
      <c r="T249" s="140">
        <v>0.30891666666666667</v>
      </c>
      <c r="U249" s="105">
        <f t="shared" si="61"/>
        <v>34019.30912283311</v>
      </c>
      <c r="V249" s="105">
        <f t="shared" si="62"/>
        <v>6291.0608191999845</v>
      </c>
      <c r="W249" s="105">
        <f t="shared" si="63"/>
        <v>3152.7394729585585</v>
      </c>
      <c r="X249" s="105">
        <f t="shared" si="64"/>
        <v>2089.8558873924108</v>
      </c>
      <c r="Y249" s="105">
        <f t="shared" si="65"/>
        <v>45552.965302384066</v>
      </c>
      <c r="Z249" s="112">
        <f t="shared" si="66"/>
        <v>0.32545696615147252</v>
      </c>
      <c r="AA249" s="104">
        <f t="shared" si="67"/>
        <v>45566.416108582009</v>
      </c>
      <c r="AB249" s="105"/>
      <c r="AC249" s="104">
        <v>45299.92603072217</v>
      </c>
      <c r="AD249" s="5">
        <f t="shared" si="68"/>
        <v>266.49007785983849</v>
      </c>
      <c r="AE249" s="5">
        <v>60.056737569793768</v>
      </c>
      <c r="AF249" s="5">
        <f t="shared" si="69"/>
        <v>206.43334029004473</v>
      </c>
    </row>
    <row r="250" spans="2:32" x14ac:dyDescent="0.25">
      <c r="B250" s="10">
        <v>522</v>
      </c>
      <c r="C250" s="10">
        <v>9</v>
      </c>
      <c r="D250" s="9" t="s">
        <v>279</v>
      </c>
      <c r="E250" s="162">
        <v>104.42827541177562</v>
      </c>
      <c r="F250" s="162">
        <f>INDEX('2016 Lockdown Update'!H$5:H$245,MATCH(B250,'2016 Lockdown Update'!B$5:B$245,0))</f>
        <v>104.42827541177562</v>
      </c>
      <c r="G250" s="162">
        <f t="shared" si="53"/>
        <v>0</v>
      </c>
      <c r="H250" s="5">
        <v>92178.82</v>
      </c>
      <c r="I250" s="5">
        <f>INDEX('2016 Lockdown Update'!E$5:E$245,MATCH(B250,'2016 Lockdown Update'!B$5:B$245,0))</f>
        <v>92178.82</v>
      </c>
      <c r="J250" s="5">
        <f t="shared" si="54"/>
        <v>0</v>
      </c>
      <c r="K250" s="5">
        <v>30</v>
      </c>
      <c r="L250" s="5">
        <f>INDEX('2016 Lockdown Update'!F$5:F$245,MATCH(B250,'2016 Lockdown Update'!B$5:B$245,0))</f>
        <v>30</v>
      </c>
      <c r="M250" s="5">
        <f t="shared" si="55"/>
        <v>0</v>
      </c>
      <c r="N250" s="5">
        <v>92148.82</v>
      </c>
      <c r="O250" s="105">
        <f t="shared" si="56"/>
        <v>92148.82</v>
      </c>
      <c r="P250" s="105">
        <f t="shared" si="57"/>
        <v>0</v>
      </c>
      <c r="Q250" s="103">
        <f t="shared" si="58"/>
        <v>882.41254235640724</v>
      </c>
      <c r="R250" s="6">
        <f t="shared" si="59"/>
        <v>882.41254235640724</v>
      </c>
      <c r="S250" s="5">
        <f t="shared" si="60"/>
        <v>92148.82</v>
      </c>
      <c r="T250" s="140">
        <v>0.62358333333333327</v>
      </c>
      <c r="U250" s="105">
        <f t="shared" si="61"/>
        <v>22397.120501735171</v>
      </c>
      <c r="V250" s="105">
        <f t="shared" si="62"/>
        <v>5199.7034576277783</v>
      </c>
      <c r="W250" s="105">
        <f t="shared" si="63"/>
        <v>4189.9413178621071</v>
      </c>
      <c r="X250" s="105">
        <f t="shared" si="64"/>
        <v>1375.8878515781707</v>
      </c>
      <c r="Y250" s="105">
        <f t="shared" si="65"/>
        <v>33162.653128803227</v>
      </c>
      <c r="Z250" s="112">
        <f t="shared" si="66"/>
        <v>0.35988147356421085</v>
      </c>
      <c r="AA250" s="104">
        <f t="shared" ref="AA250:AA266" si="70">IF(Z250&gt;$Z$19,$Z$19*S250,Y250+($Z$23*Y250/$Z$22))</f>
        <v>33172.445343586267</v>
      </c>
      <c r="AB250" s="105"/>
      <c r="AC250" s="104">
        <v>32647.479646440806</v>
      </c>
      <c r="AD250" s="5">
        <f t="shared" si="68"/>
        <v>524.96569714546058</v>
      </c>
      <c r="AE250" s="5">
        <v>-158.92957142918385</v>
      </c>
      <c r="AF250" s="5">
        <f t="shared" si="69"/>
        <v>683.89526857464443</v>
      </c>
    </row>
    <row r="251" spans="2:32" x14ac:dyDescent="0.25">
      <c r="B251" s="10">
        <v>523</v>
      </c>
      <c r="C251" s="10">
        <v>9</v>
      </c>
      <c r="D251" s="9" t="s">
        <v>280</v>
      </c>
      <c r="E251" s="162">
        <v>1140.8889255376664</v>
      </c>
      <c r="F251" s="162">
        <f>INDEX('2016 Lockdown Update'!H$5:H$245,MATCH(B251,'2016 Lockdown Update'!B$5:B$245,0))</f>
        <v>1140.8889255376664</v>
      </c>
      <c r="G251" s="162">
        <f t="shared" si="53"/>
        <v>0</v>
      </c>
      <c r="H251" s="5">
        <v>217776.58</v>
      </c>
      <c r="I251" s="5">
        <f>INDEX('2016 Lockdown Update'!E$5:E$245,MATCH(B251,'2016 Lockdown Update'!B$5:B$245,0))</f>
        <v>217776.58</v>
      </c>
      <c r="J251" s="5">
        <f t="shared" si="54"/>
        <v>0</v>
      </c>
      <c r="K251" s="5">
        <v>300</v>
      </c>
      <c r="L251" s="5">
        <f>INDEX('2016 Lockdown Update'!F$5:F$245,MATCH(B251,'2016 Lockdown Update'!B$5:B$245,0))</f>
        <v>300</v>
      </c>
      <c r="M251" s="5">
        <f t="shared" si="55"/>
        <v>0</v>
      </c>
      <c r="N251" s="5">
        <v>217476.58</v>
      </c>
      <c r="O251" s="105">
        <f t="shared" si="56"/>
        <v>217476.58</v>
      </c>
      <c r="P251" s="105">
        <f t="shared" si="57"/>
        <v>0</v>
      </c>
      <c r="Q251" s="103">
        <f t="shared" si="58"/>
        <v>190.62029188994876</v>
      </c>
      <c r="R251" s="6">
        <f t="shared" si="59"/>
        <v>190.62029188994876</v>
      </c>
      <c r="S251" s="5">
        <f t="shared" si="60"/>
        <v>217476.58</v>
      </c>
      <c r="T251" s="140">
        <v>0.81933333333333325</v>
      </c>
      <c r="U251" s="105">
        <f t="shared" si="61"/>
        <v>52858.508319100009</v>
      </c>
      <c r="V251" s="105">
        <f t="shared" si="62"/>
        <v>56807.259025351144</v>
      </c>
      <c r="W251" s="105">
        <f t="shared" si="63"/>
        <v>12992.621344834781</v>
      </c>
      <c r="X251" s="105">
        <f t="shared" si="64"/>
        <v>3247.1754323578766</v>
      </c>
      <c r="Y251" s="105">
        <f t="shared" si="65"/>
        <v>125905.56412164382</v>
      </c>
      <c r="Z251" s="112">
        <f t="shared" si="66"/>
        <v>0.57893849591364654</v>
      </c>
      <c r="AA251" s="104">
        <f t="shared" si="70"/>
        <v>125942.74131375417</v>
      </c>
      <c r="AB251" s="105"/>
      <c r="AC251" s="104">
        <v>124650.19291135261</v>
      </c>
      <c r="AD251" s="5">
        <f t="shared" si="68"/>
        <v>1292.5484024015605</v>
      </c>
      <c r="AE251" s="5">
        <v>-367.4381047734496</v>
      </c>
      <c r="AF251" s="5">
        <f t="shared" si="69"/>
        <v>1659.98650717501</v>
      </c>
    </row>
    <row r="252" spans="2:32" x14ac:dyDescent="0.25">
      <c r="B252" s="10">
        <v>527</v>
      </c>
      <c r="C252" s="10">
        <v>9</v>
      </c>
      <c r="D252" s="9" t="s">
        <v>281</v>
      </c>
      <c r="E252" s="162">
        <v>208.85655082355123</v>
      </c>
      <c r="F252" s="162">
        <f>INDEX('2016 Lockdown Update'!H$5:H$245,MATCH(B252,'2016 Lockdown Update'!B$5:B$245,0))</f>
        <v>208.85655082355123</v>
      </c>
      <c r="G252" s="162">
        <f t="shared" si="53"/>
        <v>0</v>
      </c>
      <c r="H252" s="5">
        <v>94943.59</v>
      </c>
      <c r="I252" s="5">
        <f>INDEX('2016 Lockdown Update'!E$5:E$245,MATCH(B252,'2016 Lockdown Update'!B$5:B$245,0))</f>
        <v>94943.59</v>
      </c>
      <c r="J252" s="5">
        <f t="shared" si="54"/>
        <v>0</v>
      </c>
      <c r="K252" s="5">
        <v>40</v>
      </c>
      <c r="L252" s="5">
        <f>INDEX('2016 Lockdown Update'!F$5:F$245,MATCH(B252,'2016 Lockdown Update'!B$5:B$245,0))</f>
        <v>40</v>
      </c>
      <c r="M252" s="5">
        <f t="shared" si="55"/>
        <v>0</v>
      </c>
      <c r="N252" s="5">
        <v>94903.59</v>
      </c>
      <c r="O252" s="105">
        <f t="shared" si="56"/>
        <v>94903.59</v>
      </c>
      <c r="P252" s="105">
        <f t="shared" si="57"/>
        <v>0</v>
      </c>
      <c r="Q252" s="103">
        <f t="shared" si="58"/>
        <v>454.396041808512</v>
      </c>
      <c r="R252" s="6">
        <f t="shared" si="59"/>
        <v>454.396041808512</v>
      </c>
      <c r="S252" s="5">
        <f t="shared" si="60"/>
        <v>94903.59</v>
      </c>
      <c r="T252" s="140">
        <v>0.75791666666666679</v>
      </c>
      <c r="U252" s="105">
        <f t="shared" si="61"/>
        <v>23066.677807456123</v>
      </c>
      <c r="V252" s="105">
        <f t="shared" si="62"/>
        <v>10399.406915255557</v>
      </c>
      <c r="W252" s="105">
        <f t="shared" si="63"/>
        <v>5244.7858664703372</v>
      </c>
      <c r="X252" s="105">
        <f t="shared" si="64"/>
        <v>1417.0197355989535</v>
      </c>
      <c r="Y252" s="105">
        <f t="shared" si="65"/>
        <v>40127.890324780965</v>
      </c>
      <c r="Z252" s="112">
        <f t="shared" si="66"/>
        <v>0.42282794913006944</v>
      </c>
      <c r="AA252" s="104">
        <f t="shared" si="70"/>
        <v>40139.739223580596</v>
      </c>
      <c r="AB252" s="105"/>
      <c r="AC252" s="104">
        <v>39581.815193457674</v>
      </c>
      <c r="AD252" s="5">
        <f t="shared" si="68"/>
        <v>557.92403012292198</v>
      </c>
      <c r="AE252" s="5">
        <v>-166.25473401605996</v>
      </c>
      <c r="AF252" s="5">
        <f t="shared" si="69"/>
        <v>724.17876413898193</v>
      </c>
    </row>
    <row r="253" spans="2:32" x14ac:dyDescent="0.25">
      <c r="B253" s="10">
        <v>543</v>
      </c>
      <c r="C253" s="10">
        <v>9</v>
      </c>
      <c r="D253" s="9" t="s">
        <v>282</v>
      </c>
      <c r="E253" s="162">
        <v>91.407290558106865</v>
      </c>
      <c r="F253" s="162">
        <f>INDEX('2016 Lockdown Update'!H$5:H$245,MATCH(B253,'2016 Lockdown Update'!B$5:B$245,0))</f>
        <v>91.407290558106865</v>
      </c>
      <c r="G253" s="162">
        <f t="shared" si="53"/>
        <v>0</v>
      </c>
      <c r="H253" s="5">
        <v>32860.15</v>
      </c>
      <c r="I253" s="5">
        <f>INDEX('2016 Lockdown Update'!E$5:E$245,MATCH(B253,'2016 Lockdown Update'!B$5:B$245,0))</f>
        <v>32860.15</v>
      </c>
      <c r="J253" s="5">
        <f t="shared" si="54"/>
        <v>0</v>
      </c>
      <c r="K253" s="5">
        <v>0</v>
      </c>
      <c r="L253" s="5">
        <f>INDEX('2016 Lockdown Update'!F$5:F$245,MATCH(B253,'2016 Lockdown Update'!B$5:B$245,0))</f>
        <v>0</v>
      </c>
      <c r="M253" s="5">
        <f t="shared" si="55"/>
        <v>0</v>
      </c>
      <c r="N253" s="5">
        <v>32860.15</v>
      </c>
      <c r="O253" s="105">
        <f t="shared" si="56"/>
        <v>32860.15</v>
      </c>
      <c r="P253" s="105">
        <f t="shared" si="57"/>
        <v>0</v>
      </c>
      <c r="Q253" s="103">
        <f t="shared" si="58"/>
        <v>359.49156570953249</v>
      </c>
      <c r="R253" s="6">
        <f t="shared" si="59"/>
        <v>359.49156570953249</v>
      </c>
      <c r="S253" s="5">
        <f t="shared" si="60"/>
        <v>32860.15</v>
      </c>
      <c r="T253" s="140">
        <v>0.41125</v>
      </c>
      <c r="U253" s="105">
        <f t="shared" si="61"/>
        <v>7986.7841959896296</v>
      </c>
      <c r="V253" s="105">
        <f t="shared" si="62"/>
        <v>4551.3612371097361</v>
      </c>
      <c r="W253" s="105">
        <f t="shared" si="63"/>
        <v>985.3695001802206</v>
      </c>
      <c r="X253" s="105">
        <f t="shared" si="64"/>
        <v>490.63982790052472</v>
      </c>
      <c r="Y253" s="105">
        <f t="shared" si="65"/>
        <v>14014.154761180111</v>
      </c>
      <c r="Z253" s="112">
        <f t="shared" si="66"/>
        <v>0.42647872152683752</v>
      </c>
      <c r="AA253" s="104">
        <f t="shared" si="70"/>
        <v>14018.292838217892</v>
      </c>
      <c r="AB253" s="105"/>
      <c r="AC253" s="104">
        <v>13644.946821911257</v>
      </c>
      <c r="AD253" s="5">
        <f t="shared" si="68"/>
        <v>373.34601630663565</v>
      </c>
      <c r="AE253" s="5">
        <v>-50.873007788322866</v>
      </c>
      <c r="AF253" s="5">
        <f t="shared" si="69"/>
        <v>424.21902409495851</v>
      </c>
    </row>
    <row r="254" spans="2:32" x14ac:dyDescent="0.25">
      <c r="B254" s="10">
        <v>547</v>
      </c>
      <c r="C254" s="10">
        <v>9</v>
      </c>
      <c r="D254" s="9" t="s">
        <v>283</v>
      </c>
      <c r="E254" s="162">
        <v>262.36374879351928</v>
      </c>
      <c r="F254" s="162">
        <f>INDEX('2016 Lockdown Update'!H$5:H$245,MATCH(B254,'2016 Lockdown Update'!B$5:B$245,0))</f>
        <v>262.36374879351928</v>
      </c>
      <c r="G254" s="162">
        <f t="shared" si="53"/>
        <v>0</v>
      </c>
      <c r="H254" s="5">
        <v>109621.25</v>
      </c>
      <c r="I254" s="5">
        <f>INDEX('2016 Lockdown Update'!E$5:E$245,MATCH(B254,'2016 Lockdown Update'!B$5:B$245,0))</f>
        <v>109621.25</v>
      </c>
      <c r="J254" s="5">
        <f t="shared" si="54"/>
        <v>0</v>
      </c>
      <c r="K254" s="5">
        <v>0</v>
      </c>
      <c r="L254" s="5">
        <f>INDEX('2016 Lockdown Update'!F$5:F$245,MATCH(B254,'2016 Lockdown Update'!B$5:B$245,0))</f>
        <v>0</v>
      </c>
      <c r="M254" s="5">
        <f t="shared" si="55"/>
        <v>0</v>
      </c>
      <c r="N254" s="5">
        <v>109621.25</v>
      </c>
      <c r="O254" s="105">
        <f t="shared" si="56"/>
        <v>109621.25</v>
      </c>
      <c r="P254" s="105">
        <f t="shared" si="57"/>
        <v>0</v>
      </c>
      <c r="Q254" s="103">
        <f t="shared" si="58"/>
        <v>417.82163314899162</v>
      </c>
      <c r="R254" s="6">
        <f t="shared" si="59"/>
        <v>417.82163314899162</v>
      </c>
      <c r="S254" s="5">
        <f t="shared" si="60"/>
        <v>109621.25</v>
      </c>
      <c r="T254" s="140">
        <v>0.69416666666666682</v>
      </c>
      <c r="U254" s="105">
        <f t="shared" si="61"/>
        <v>26643.860939302715</v>
      </c>
      <c r="V254" s="105">
        <f t="shared" si="62"/>
        <v>13063.642834074952</v>
      </c>
      <c r="W254" s="105">
        <f t="shared" si="63"/>
        <v>5548.5840406097914</v>
      </c>
      <c r="X254" s="105">
        <f t="shared" si="64"/>
        <v>1636.7713243621952</v>
      </c>
      <c r="Y254" s="105">
        <f t="shared" si="65"/>
        <v>46892.85913834966</v>
      </c>
      <c r="Z254" s="112">
        <f t="shared" si="66"/>
        <v>0.42777161488625298</v>
      </c>
      <c r="AA254" s="104">
        <f t="shared" si="70"/>
        <v>46906.705586240605</v>
      </c>
      <c r="AB254" s="105"/>
      <c r="AC254" s="104">
        <v>46279.439806888047</v>
      </c>
      <c r="AD254" s="5">
        <f t="shared" si="68"/>
        <v>627.26577935255773</v>
      </c>
      <c r="AE254" s="5">
        <v>-188.43173312142608</v>
      </c>
      <c r="AF254" s="5">
        <f t="shared" si="69"/>
        <v>815.69751247398381</v>
      </c>
    </row>
    <row r="255" spans="2:32" x14ac:dyDescent="0.25">
      <c r="B255" s="10">
        <v>552</v>
      </c>
      <c r="C255" s="10">
        <v>9</v>
      </c>
      <c r="D255" s="9" t="s">
        <v>284</v>
      </c>
      <c r="E255" s="162">
        <v>141.18</v>
      </c>
      <c r="F255" s="162">
        <f>INDEX('2016 Lockdown Update'!H$5:H$245,MATCH(B255,'2016 Lockdown Update'!B$5:B$245,0))</f>
        <v>141.18</v>
      </c>
      <c r="G255" s="162">
        <f t="shared" si="53"/>
        <v>0</v>
      </c>
      <c r="H255" s="5">
        <v>104489.98</v>
      </c>
      <c r="I255" s="5">
        <f>INDEX('2016 Lockdown Update'!E$5:E$245,MATCH(B255,'2016 Lockdown Update'!B$5:B$245,0))</f>
        <v>104489.98</v>
      </c>
      <c r="J255" s="5">
        <f t="shared" si="54"/>
        <v>0</v>
      </c>
      <c r="K255" s="5">
        <v>0</v>
      </c>
      <c r="L255" s="5">
        <f>INDEX('2016 Lockdown Update'!F$5:F$245,MATCH(B255,'2016 Lockdown Update'!B$5:B$245,0))</f>
        <v>0</v>
      </c>
      <c r="M255" s="5">
        <f t="shared" si="55"/>
        <v>0</v>
      </c>
      <c r="N255" s="5">
        <v>104489.98</v>
      </c>
      <c r="O255" s="105">
        <f t="shared" si="56"/>
        <v>104489.98</v>
      </c>
      <c r="P255" s="105">
        <f t="shared" si="57"/>
        <v>0</v>
      </c>
      <c r="Q255" s="103">
        <f t="shared" si="58"/>
        <v>740.11885536194927</v>
      </c>
      <c r="R255" s="6">
        <f t="shared" si="59"/>
        <v>740.11885536194927</v>
      </c>
      <c r="S255" s="5">
        <f t="shared" si="60"/>
        <v>104489.98000000001</v>
      </c>
      <c r="T255" s="140">
        <v>0.62708333333333333</v>
      </c>
      <c r="U255" s="105">
        <f t="shared" si="61"/>
        <v>25396.686287289391</v>
      </c>
      <c r="V255" s="105">
        <f t="shared" si="62"/>
        <v>7029.6491180501807</v>
      </c>
      <c r="W255" s="105">
        <f t="shared" si="63"/>
        <v>4777.7516077963164</v>
      </c>
      <c r="X255" s="105">
        <f t="shared" si="64"/>
        <v>1560.1555624222431</v>
      </c>
      <c r="Y255" s="105">
        <f t="shared" si="65"/>
        <v>38764.242575558135</v>
      </c>
      <c r="Z255" s="112">
        <f t="shared" si="66"/>
        <v>0.37098526170220464</v>
      </c>
      <c r="AA255" s="104">
        <f t="shared" si="70"/>
        <v>38775.688818647533</v>
      </c>
      <c r="AB255" s="105"/>
      <c r="AC255" s="104">
        <v>38500.595959002021</v>
      </c>
      <c r="AD255" s="5">
        <f t="shared" si="68"/>
        <v>275.09285964551236</v>
      </c>
      <c r="AE255" s="5">
        <v>-181.65300566663063</v>
      </c>
      <c r="AF255" s="5">
        <f t="shared" si="69"/>
        <v>456.745865312143</v>
      </c>
    </row>
    <row r="256" spans="2:32" x14ac:dyDescent="0.25">
      <c r="B256" s="10">
        <v>567</v>
      </c>
      <c r="C256" s="10">
        <v>9</v>
      </c>
      <c r="D256" s="9" t="s">
        <v>285</v>
      </c>
      <c r="E256" s="162">
        <v>359.07008685360444</v>
      </c>
      <c r="F256" s="162">
        <f>INDEX('2016 Lockdown Update'!H$5:H$245,MATCH(B256,'2016 Lockdown Update'!B$5:B$245,0))</f>
        <v>359.07008685360444</v>
      </c>
      <c r="G256" s="162">
        <f t="shared" si="53"/>
        <v>0</v>
      </c>
      <c r="H256" s="5">
        <v>201269.54</v>
      </c>
      <c r="I256" s="5">
        <f>INDEX('2016 Lockdown Update'!E$5:E$245,MATCH(B256,'2016 Lockdown Update'!B$5:B$245,0))</f>
        <v>201269.54</v>
      </c>
      <c r="J256" s="5">
        <f t="shared" si="54"/>
        <v>0</v>
      </c>
      <c r="K256" s="5">
        <v>354</v>
      </c>
      <c r="L256" s="5">
        <f>INDEX('2016 Lockdown Update'!F$5:F$245,MATCH(B256,'2016 Lockdown Update'!B$5:B$245,0))</f>
        <v>354</v>
      </c>
      <c r="M256" s="5">
        <f t="shared" si="55"/>
        <v>0</v>
      </c>
      <c r="N256" s="5">
        <v>200915.54</v>
      </c>
      <c r="O256" s="105">
        <f t="shared" si="56"/>
        <v>200915.54</v>
      </c>
      <c r="P256" s="105">
        <f t="shared" si="57"/>
        <v>0</v>
      </c>
      <c r="Q256" s="103">
        <f t="shared" si="58"/>
        <v>559.54407608984366</v>
      </c>
      <c r="R256" s="6">
        <f t="shared" si="59"/>
        <v>559.54407608984366</v>
      </c>
      <c r="S256" s="5">
        <f t="shared" si="60"/>
        <v>200915.54</v>
      </c>
      <c r="T256" s="140">
        <v>0.65241666666666664</v>
      </c>
      <c r="U256" s="105">
        <f t="shared" si="61"/>
        <v>48833.284680706638</v>
      </c>
      <c r="V256" s="105">
        <f t="shared" si="62"/>
        <v>17878.854790824778</v>
      </c>
      <c r="W256" s="105">
        <f t="shared" si="63"/>
        <v>9557.8946441313055</v>
      </c>
      <c r="X256" s="105">
        <f t="shared" si="64"/>
        <v>2999.9000603509412</v>
      </c>
      <c r="Y256" s="105">
        <f t="shared" si="65"/>
        <v>79269.934176013659</v>
      </c>
      <c r="Z256" s="112">
        <f t="shared" si="66"/>
        <v>0.39454356878524011</v>
      </c>
      <c r="AA256" s="104">
        <f t="shared" si="70"/>
        <v>79293.340874454647</v>
      </c>
      <c r="AB256" s="105"/>
      <c r="AC256" s="104">
        <v>78758.429649482059</v>
      </c>
      <c r="AD256" s="5">
        <f t="shared" si="68"/>
        <v>534.91122497258766</v>
      </c>
      <c r="AE256" s="5">
        <v>-348.94035032966349</v>
      </c>
      <c r="AF256" s="5">
        <f t="shared" si="69"/>
        <v>883.85157530225115</v>
      </c>
    </row>
    <row r="257" spans="2:32" x14ac:dyDescent="0.25">
      <c r="B257" s="49">
        <v>629</v>
      </c>
      <c r="C257" s="49">
        <v>9</v>
      </c>
      <c r="D257" s="50" t="s">
        <v>286</v>
      </c>
      <c r="E257" s="162">
        <v>260.09634030227994</v>
      </c>
      <c r="F257" s="162">
        <f>INDEX('2016 Lockdown Update'!H$5:H$245,MATCH(B257,'2016 Lockdown Update'!B$5:B$245,0))</f>
        <v>260.09634030227994</v>
      </c>
      <c r="G257" s="162">
        <f t="shared" si="53"/>
        <v>0</v>
      </c>
      <c r="H257" s="5">
        <v>181348.4</v>
      </c>
      <c r="I257" s="5">
        <f>INDEX('2016 Lockdown Update'!E$5:E$245,MATCH(B257,'2016 Lockdown Update'!B$5:B$245,0))</f>
        <v>195402.41</v>
      </c>
      <c r="J257" s="5">
        <f t="shared" si="54"/>
        <v>14054.010000000009</v>
      </c>
      <c r="K257" s="5">
        <v>2914.39</v>
      </c>
      <c r="L257" s="5">
        <f>INDEX('2016 Lockdown Update'!F$5:F$245,MATCH(B257,'2016 Lockdown Update'!B$5:B$245,0))</f>
        <v>2914.3900000000003</v>
      </c>
      <c r="M257" s="5">
        <f t="shared" si="55"/>
        <v>0</v>
      </c>
      <c r="N257" s="5">
        <v>178434.01</v>
      </c>
      <c r="O257" s="105">
        <f t="shared" si="56"/>
        <v>192488.02</v>
      </c>
      <c r="P257" s="105">
        <f t="shared" si="57"/>
        <v>14054.00999999998</v>
      </c>
      <c r="Q257" s="103">
        <f t="shared" si="58"/>
        <v>740.06431530829457</v>
      </c>
      <c r="R257" s="6">
        <f t="shared" si="59"/>
        <v>740.06431530829457</v>
      </c>
      <c r="S257" s="5">
        <f t="shared" si="60"/>
        <v>192488.02</v>
      </c>
      <c r="T257" s="140">
        <v>0.50741666666666674</v>
      </c>
      <c r="U257" s="105">
        <f t="shared" si="61"/>
        <v>46784.943953491857</v>
      </c>
      <c r="V257" s="105">
        <f t="shared" si="62"/>
        <v>12950.743796670929</v>
      </c>
      <c r="W257" s="105">
        <f t="shared" si="63"/>
        <v>7121.838093320298</v>
      </c>
      <c r="X257" s="105">
        <f t="shared" si="64"/>
        <v>2874.0674953009266</v>
      </c>
      <c r="Y257" s="105">
        <f t="shared" si="65"/>
        <v>69731.59333878402</v>
      </c>
      <c r="Z257" s="112">
        <f t="shared" si="66"/>
        <v>0.3622645884080683</v>
      </c>
      <c r="AA257" s="104">
        <f t="shared" si="70"/>
        <v>69752.183571311092</v>
      </c>
      <c r="AB257" s="105"/>
      <c r="AC257" s="104">
        <v>65683.918009887231</v>
      </c>
      <c r="AD257" s="5">
        <f t="shared" si="68"/>
        <v>4068.2655614238611</v>
      </c>
      <c r="AE257" s="5">
        <v>-303.52531285791338</v>
      </c>
      <c r="AF257" s="5">
        <f t="shared" si="69"/>
        <v>4371.7908742817744</v>
      </c>
    </row>
    <row r="258" spans="2:32" x14ac:dyDescent="0.25">
      <c r="B258" s="49">
        <v>630</v>
      </c>
      <c r="C258" s="49">
        <v>9</v>
      </c>
      <c r="D258" s="50" t="s">
        <v>287</v>
      </c>
      <c r="E258" s="162">
        <v>156.57867071027917</v>
      </c>
      <c r="F258" s="162">
        <f>INDEX('2016 Lockdown Update'!H$5:H$245,MATCH(B258,'2016 Lockdown Update'!B$5:B$245,0))</f>
        <v>156.57867071027917</v>
      </c>
      <c r="G258" s="162">
        <f t="shared" si="53"/>
        <v>0</v>
      </c>
      <c r="H258" s="5">
        <v>187385.35</v>
      </c>
      <c r="I258" s="5">
        <f>INDEX('2016 Lockdown Update'!E$5:E$245,MATCH(B258,'2016 Lockdown Update'!B$5:B$245,0))</f>
        <v>187385.35</v>
      </c>
      <c r="J258" s="5">
        <f t="shared" si="54"/>
        <v>0</v>
      </c>
      <c r="K258" s="5">
        <v>3041.79</v>
      </c>
      <c r="L258" s="5">
        <f>INDEX('2016 Lockdown Update'!F$5:F$245,MATCH(B258,'2016 Lockdown Update'!B$5:B$245,0))</f>
        <v>3041.79</v>
      </c>
      <c r="M258" s="5">
        <f t="shared" si="55"/>
        <v>0</v>
      </c>
      <c r="N258" s="5">
        <v>184343.56</v>
      </c>
      <c r="O258" s="105">
        <f t="shared" si="56"/>
        <v>184343.56</v>
      </c>
      <c r="P258" s="105">
        <f t="shared" si="57"/>
        <v>0</v>
      </c>
      <c r="Q258" s="103">
        <f t="shared" si="58"/>
        <v>1177.3222953277896</v>
      </c>
      <c r="R258" s="6">
        <f t="shared" si="59"/>
        <v>1107.7956815413972</v>
      </c>
      <c r="S258" s="5">
        <f t="shared" si="60"/>
        <v>173457.17523433972</v>
      </c>
      <c r="T258" s="140">
        <v>0.75550000000000006</v>
      </c>
      <c r="U258" s="105">
        <f t="shared" si="61"/>
        <v>42159.42489132363</v>
      </c>
      <c r="V258" s="105">
        <f t="shared" si="62"/>
        <v>7796.3813179202689</v>
      </c>
      <c r="W258" s="105">
        <f t="shared" si="63"/>
        <v>9555.4336516185012</v>
      </c>
      <c r="X258" s="105">
        <f t="shared" si="64"/>
        <v>2589.9150979252254</v>
      </c>
      <c r="Y258" s="105">
        <f t="shared" si="65"/>
        <v>62101.154958787622</v>
      </c>
      <c r="Z258" s="112">
        <f t="shared" si="66"/>
        <v>0.35802009847611832</v>
      </c>
      <c r="AA258" s="104">
        <f t="shared" si="70"/>
        <v>62119.49208776428</v>
      </c>
      <c r="AB258" s="105"/>
      <c r="AC258" s="104">
        <v>61622.347453580194</v>
      </c>
      <c r="AD258" s="5">
        <f t="shared" si="68"/>
        <v>497.14463418408559</v>
      </c>
      <c r="AE258" s="5">
        <v>81.380845183135534</v>
      </c>
      <c r="AF258" s="5">
        <f t="shared" si="69"/>
        <v>415.76378900095006</v>
      </c>
    </row>
    <row r="259" spans="2:32" x14ac:dyDescent="0.25">
      <c r="B259" s="49">
        <v>695</v>
      </c>
      <c r="C259" s="49">
        <v>9</v>
      </c>
      <c r="D259" s="50" t="s">
        <v>288</v>
      </c>
      <c r="E259" s="162">
        <v>20.171458480304032</v>
      </c>
      <c r="F259" s="162">
        <f>INDEX('2016 Lockdown Update'!H$5:H$245,MATCH(B259,'2016 Lockdown Update'!B$5:B$245,0))</f>
        <v>20.171458480304032</v>
      </c>
      <c r="G259" s="162">
        <f t="shared" si="53"/>
        <v>0</v>
      </c>
      <c r="H259" s="5">
        <v>13899.55</v>
      </c>
      <c r="I259" s="5">
        <f>INDEX('2016 Lockdown Update'!E$5:E$245,MATCH(B259,'2016 Lockdown Update'!B$5:B$245,0))</f>
        <v>13899.55</v>
      </c>
      <c r="J259" s="5">
        <f t="shared" si="54"/>
        <v>0</v>
      </c>
      <c r="K259" s="5">
        <v>0</v>
      </c>
      <c r="L259" s="5">
        <f>INDEX('2016 Lockdown Update'!F$5:F$245,MATCH(B259,'2016 Lockdown Update'!B$5:B$245,0))</f>
        <v>0</v>
      </c>
      <c r="M259" s="5">
        <f t="shared" si="55"/>
        <v>0</v>
      </c>
      <c r="N259" s="5">
        <v>13899.55</v>
      </c>
      <c r="O259" s="105">
        <f t="shared" si="56"/>
        <v>13899.55</v>
      </c>
      <c r="P259" s="105">
        <f t="shared" si="57"/>
        <v>0</v>
      </c>
      <c r="Q259" s="103">
        <f t="shared" si="58"/>
        <v>689.07015392922142</v>
      </c>
      <c r="R259" s="6">
        <f t="shared" si="59"/>
        <v>689.07015392922142</v>
      </c>
      <c r="S259" s="5">
        <f t="shared" si="60"/>
        <v>13899.55</v>
      </c>
      <c r="T259" s="140">
        <v>2.8250000000000001E-2</v>
      </c>
      <c r="U259" s="105">
        <f t="shared" si="61"/>
        <v>3378.3383907671646</v>
      </c>
      <c r="V259" s="105">
        <f t="shared" si="62"/>
        <v>1004.3793406704566</v>
      </c>
      <c r="W259" s="105">
        <f t="shared" si="63"/>
        <v>28.631417861751718</v>
      </c>
      <c r="X259" s="105">
        <f t="shared" si="64"/>
        <v>207.5362656559613</v>
      </c>
      <c r="Y259" s="105">
        <f t="shared" si="65"/>
        <v>4618.8854149553335</v>
      </c>
      <c r="Z259" s="112">
        <f t="shared" si="66"/>
        <v>0.33230467280993514</v>
      </c>
      <c r="AA259" s="104">
        <f t="shared" si="70"/>
        <v>4620.2492719985503</v>
      </c>
      <c r="AB259" s="105"/>
      <c r="AC259" s="104">
        <v>4555.2987888578909</v>
      </c>
      <c r="AD259" s="5">
        <f t="shared" si="68"/>
        <v>64.950483140659344</v>
      </c>
      <c r="AE259" s="5">
        <v>-20.267986836842283</v>
      </c>
      <c r="AF259" s="5">
        <f t="shared" si="69"/>
        <v>85.218469977501627</v>
      </c>
    </row>
    <row r="260" spans="2:32" x14ac:dyDescent="0.25">
      <c r="B260" s="49">
        <v>771</v>
      </c>
      <c r="C260" s="49">
        <v>9</v>
      </c>
      <c r="D260" s="50" t="s">
        <v>289</v>
      </c>
      <c r="E260" s="162">
        <v>201.07087106447656</v>
      </c>
      <c r="F260" s="162">
        <f>INDEX('2016 Lockdown Update'!H$5:H$245,MATCH(B260,'2016 Lockdown Update'!B$5:B$245,0))</f>
        <v>201.07087106447656</v>
      </c>
      <c r="G260" s="162">
        <f t="shared" si="53"/>
        <v>0</v>
      </c>
      <c r="H260" s="5">
        <v>50307.6</v>
      </c>
      <c r="I260" s="5">
        <f>INDEX('2016 Lockdown Update'!E$5:E$245,MATCH(B260,'2016 Lockdown Update'!B$5:B$245,0))</f>
        <v>50307.6</v>
      </c>
      <c r="J260" s="5">
        <f t="shared" si="54"/>
        <v>0</v>
      </c>
      <c r="K260" s="5">
        <v>78</v>
      </c>
      <c r="L260" s="5">
        <f>INDEX('2016 Lockdown Update'!F$5:F$245,MATCH(B260,'2016 Lockdown Update'!B$5:B$245,0))</f>
        <v>78</v>
      </c>
      <c r="M260" s="5">
        <f t="shared" si="55"/>
        <v>0</v>
      </c>
      <c r="N260" s="5">
        <v>50229.599999999999</v>
      </c>
      <c r="O260" s="105">
        <f t="shared" si="56"/>
        <v>50229.599999999999</v>
      </c>
      <c r="P260" s="105">
        <f t="shared" si="57"/>
        <v>0</v>
      </c>
      <c r="Q260" s="103">
        <f t="shared" si="58"/>
        <v>249.81042621481001</v>
      </c>
      <c r="R260" s="6">
        <f t="shared" si="59"/>
        <v>249.81042621481001</v>
      </c>
      <c r="S260" s="5">
        <f t="shared" si="60"/>
        <v>50229.599999999999</v>
      </c>
      <c r="T260" s="140">
        <v>0.38424999999999998</v>
      </c>
      <c r="U260" s="105">
        <f t="shared" si="61"/>
        <v>12208.494953640828</v>
      </c>
      <c r="V260" s="105">
        <f t="shared" si="62"/>
        <v>10011.741545856205</v>
      </c>
      <c r="W260" s="105">
        <f t="shared" si="63"/>
        <v>1407.3342557809463</v>
      </c>
      <c r="X260" s="105">
        <f t="shared" si="64"/>
        <v>749.98569085996849</v>
      </c>
      <c r="Y260" s="105">
        <f t="shared" si="65"/>
        <v>24377.556446137947</v>
      </c>
      <c r="Z260" s="112">
        <f t="shared" si="66"/>
        <v>0.48532252787475805</v>
      </c>
      <c r="AA260" s="104">
        <f t="shared" si="70"/>
        <v>24384.754611727385</v>
      </c>
      <c r="AB260" s="105"/>
      <c r="AC260" s="104">
        <v>24120.253673349427</v>
      </c>
      <c r="AD260" s="5">
        <f t="shared" si="68"/>
        <v>264.50093837795794</v>
      </c>
      <c r="AE260" s="5">
        <v>-77.227235200160067</v>
      </c>
      <c r="AF260" s="5">
        <f t="shared" si="69"/>
        <v>341.728173578118</v>
      </c>
    </row>
    <row r="261" spans="2:32" x14ac:dyDescent="0.25">
      <c r="B261" s="49">
        <v>830</v>
      </c>
      <c r="C261" s="49">
        <v>9</v>
      </c>
      <c r="D261" s="50" t="s">
        <v>290</v>
      </c>
      <c r="E261" s="162">
        <v>19.195570680853066</v>
      </c>
      <c r="F261" s="162">
        <f>INDEX('2016 Lockdown Update'!H$5:H$245,MATCH(B261,'2016 Lockdown Update'!B$5:B$245,0))</f>
        <v>19.195570680853066</v>
      </c>
      <c r="G261" s="162">
        <f t="shared" si="53"/>
        <v>0</v>
      </c>
      <c r="H261" s="5">
        <v>12788.57</v>
      </c>
      <c r="I261" s="5">
        <f>INDEX('2016 Lockdown Update'!E$5:E$245,MATCH(B261,'2016 Lockdown Update'!B$5:B$245,0))</f>
        <v>23211.78</v>
      </c>
      <c r="J261" s="5">
        <f t="shared" si="54"/>
        <v>10423.209999999999</v>
      </c>
      <c r="K261" s="5">
        <v>0</v>
      </c>
      <c r="L261" s="5">
        <f>INDEX('2016 Lockdown Update'!F$5:F$245,MATCH(B261,'2016 Lockdown Update'!B$5:B$245,0))</f>
        <v>0</v>
      </c>
      <c r="M261" s="5">
        <f t="shared" si="55"/>
        <v>0</v>
      </c>
      <c r="N261" s="5">
        <v>12788.57</v>
      </c>
      <c r="O261" s="105">
        <f t="shared" si="56"/>
        <v>23211.78</v>
      </c>
      <c r="P261" s="105">
        <f t="shared" si="57"/>
        <v>10423.209999999999</v>
      </c>
      <c r="Q261" s="103">
        <f t="shared" si="58"/>
        <v>1209.2258357889284</v>
      </c>
      <c r="R261" s="6">
        <f t="shared" si="59"/>
        <v>1107.7956815413972</v>
      </c>
      <c r="S261" s="5">
        <f t="shared" si="60"/>
        <v>21264.770304971684</v>
      </c>
      <c r="T261" s="140">
        <v>0.25275000000000003</v>
      </c>
      <c r="U261" s="105">
        <f t="shared" si="61"/>
        <v>5168.4831445716891</v>
      </c>
      <c r="V261" s="105">
        <f t="shared" si="62"/>
        <v>955.78783472962641</v>
      </c>
      <c r="W261" s="105">
        <f t="shared" si="63"/>
        <v>391.90023443714841</v>
      </c>
      <c r="X261" s="105">
        <f t="shared" si="64"/>
        <v>317.50747463951001</v>
      </c>
      <c r="Y261" s="105">
        <f t="shared" si="65"/>
        <v>6833.6786883779741</v>
      </c>
      <c r="Z261" s="112">
        <f t="shared" si="66"/>
        <v>0.32136150968817501</v>
      </c>
      <c r="AA261" s="104">
        <f t="shared" si="70"/>
        <v>6835.6965260104143</v>
      </c>
      <c r="AB261" s="105"/>
      <c r="AC261" s="104">
        <v>4465.2358189735523</v>
      </c>
      <c r="AD261" s="5">
        <f t="shared" si="68"/>
        <v>2370.460707036862</v>
      </c>
      <c r="AE261" s="5">
        <v>2278.9837953371079</v>
      </c>
      <c r="AF261" s="5">
        <f t="shared" si="69"/>
        <v>91.476911699754055</v>
      </c>
    </row>
    <row r="262" spans="2:32" x14ac:dyDescent="0.25">
      <c r="B262" s="49">
        <v>936</v>
      </c>
      <c r="C262" s="49">
        <v>9</v>
      </c>
      <c r="D262" s="50" t="s">
        <v>291</v>
      </c>
      <c r="E262" s="162">
        <v>37.316626494371853</v>
      </c>
      <c r="F262" s="162">
        <f>INDEX('2016 Lockdown Update'!H$5:H$245,MATCH(B262,'2016 Lockdown Update'!B$5:B$245,0))</f>
        <v>37.316626494371853</v>
      </c>
      <c r="G262" s="162">
        <f t="shared" si="53"/>
        <v>0</v>
      </c>
      <c r="H262" s="5">
        <v>44215.32</v>
      </c>
      <c r="I262" s="5">
        <f>INDEX('2016 Lockdown Update'!E$5:E$245,MATCH(B262,'2016 Lockdown Update'!B$5:B$245,0))</f>
        <v>44215.32</v>
      </c>
      <c r="J262" s="5">
        <f t="shared" si="54"/>
        <v>0</v>
      </c>
      <c r="K262" s="5">
        <v>0</v>
      </c>
      <c r="L262" s="5">
        <f>INDEX('2016 Lockdown Update'!F$5:F$245,MATCH(B262,'2016 Lockdown Update'!B$5:B$245,0))</f>
        <v>0</v>
      </c>
      <c r="M262" s="5">
        <f t="shared" si="55"/>
        <v>0</v>
      </c>
      <c r="N262" s="5">
        <v>44215.32</v>
      </c>
      <c r="O262" s="105">
        <f t="shared" si="56"/>
        <v>44215.32</v>
      </c>
      <c r="P262" s="105">
        <f t="shared" si="57"/>
        <v>0</v>
      </c>
      <c r="Q262" s="103">
        <f t="shared" si="58"/>
        <v>1184.8691629900848</v>
      </c>
      <c r="R262" s="6">
        <f t="shared" si="59"/>
        <v>1107.7956815413972</v>
      </c>
      <c r="S262" s="5">
        <f t="shared" si="60"/>
        <v>41339.197680158431</v>
      </c>
      <c r="T262" s="140">
        <v>0.30733333333333335</v>
      </c>
      <c r="U262" s="105">
        <f t="shared" si="61"/>
        <v>10047.648921468115</v>
      </c>
      <c r="V262" s="105">
        <f t="shared" si="62"/>
        <v>1858.0733143842547</v>
      </c>
      <c r="W262" s="105">
        <f t="shared" si="63"/>
        <v>926.39323055936006</v>
      </c>
      <c r="X262" s="105">
        <f t="shared" si="64"/>
        <v>617.24176047092601</v>
      </c>
      <c r="Y262" s="105">
        <f t="shared" si="65"/>
        <v>13449.357226882657</v>
      </c>
      <c r="Z262" s="112">
        <f t="shared" si="66"/>
        <v>0.32534151559835289</v>
      </c>
      <c r="AA262" s="104">
        <f t="shared" si="70"/>
        <v>13453.328531414532</v>
      </c>
      <c r="AB262" s="105"/>
      <c r="AC262" s="104">
        <v>13250.07983381106</v>
      </c>
      <c r="AD262" s="5">
        <f t="shared" si="68"/>
        <v>203.24869760347246</v>
      </c>
      <c r="AE262" s="5">
        <v>17.573839008460709</v>
      </c>
      <c r="AF262" s="5">
        <f t="shared" si="69"/>
        <v>185.67485859501176</v>
      </c>
    </row>
    <row r="263" spans="2:32" x14ac:dyDescent="0.25">
      <c r="B263" s="49">
        <v>952</v>
      </c>
      <c r="C263" s="49">
        <v>9</v>
      </c>
      <c r="D263" s="50" t="s">
        <v>292</v>
      </c>
      <c r="E263" s="162">
        <v>73.831919867341881</v>
      </c>
      <c r="F263" s="162">
        <f>INDEX('2016 Lockdown Update'!H$5:H$245,MATCH(B263,'2016 Lockdown Update'!B$5:B$245,0))</f>
        <v>73.831919867341881</v>
      </c>
      <c r="G263" s="162">
        <f t="shared" si="53"/>
        <v>0</v>
      </c>
      <c r="H263" s="5">
        <v>96315.09</v>
      </c>
      <c r="I263" s="5">
        <f>INDEX('2016 Lockdown Update'!E$5:E$245,MATCH(B263,'2016 Lockdown Update'!B$5:B$245,0))</f>
        <v>95547.41</v>
      </c>
      <c r="J263" s="5">
        <f t="shared" si="54"/>
        <v>-767.67999999999302</v>
      </c>
      <c r="K263" s="5">
        <v>3880</v>
      </c>
      <c r="L263" s="5">
        <f>INDEX('2016 Lockdown Update'!F$5:F$245,MATCH(B263,'2016 Lockdown Update'!B$5:B$245,0))</f>
        <v>3880</v>
      </c>
      <c r="M263" s="5">
        <f t="shared" si="55"/>
        <v>0</v>
      </c>
      <c r="N263" s="5">
        <v>92435.09</v>
      </c>
      <c r="O263" s="105">
        <f t="shared" si="56"/>
        <v>91667.41</v>
      </c>
      <c r="P263" s="105">
        <f t="shared" si="57"/>
        <v>-767.67999999999302</v>
      </c>
      <c r="Q263" s="103">
        <f t="shared" si="58"/>
        <v>1241.568825038062</v>
      </c>
      <c r="R263" s="6">
        <f t="shared" si="59"/>
        <v>1107.7956815413972</v>
      </c>
      <c r="S263" s="5">
        <f t="shared" si="60"/>
        <v>81790.681988951823</v>
      </c>
      <c r="T263" s="140">
        <v>0.62845833333333334</v>
      </c>
      <c r="U263" s="105">
        <f t="shared" si="61"/>
        <v>19879.535738229253</v>
      </c>
      <c r="V263" s="105">
        <f t="shared" si="62"/>
        <v>3676.2465673566471</v>
      </c>
      <c r="W263" s="105">
        <f t="shared" si="63"/>
        <v>3748.0379692463976</v>
      </c>
      <c r="X263" s="105">
        <f t="shared" si="64"/>
        <v>1221.2289394578497</v>
      </c>
      <c r="Y263" s="105">
        <f t="shared" si="65"/>
        <v>28525.049214290149</v>
      </c>
      <c r="Z263" s="112">
        <f t="shared" si="66"/>
        <v>0.34875671067449071</v>
      </c>
      <c r="AA263" s="104">
        <f t="shared" si="70"/>
        <v>28533.472044861581</v>
      </c>
      <c r="AB263" s="105"/>
      <c r="AC263" s="104">
        <v>28807.815524755508</v>
      </c>
      <c r="AD263" s="5">
        <f t="shared" si="68"/>
        <v>-274.343479893927</v>
      </c>
      <c r="AE263" s="5">
        <v>38.057768460068473</v>
      </c>
      <c r="AF263" s="5">
        <f t="shared" si="69"/>
        <v>-312.40124835399547</v>
      </c>
    </row>
    <row r="264" spans="2:32" x14ac:dyDescent="0.25">
      <c r="B264" s="49">
        <v>982</v>
      </c>
      <c r="C264" s="49">
        <v>9</v>
      </c>
      <c r="D264" s="50" t="s">
        <v>293</v>
      </c>
      <c r="E264" s="162">
        <v>105.44815392992339</v>
      </c>
      <c r="F264" s="162">
        <f>INDEX('2016 Lockdown Update'!H$5:H$245,MATCH(B264,'2016 Lockdown Update'!B$5:B$245,0))</f>
        <v>105.44815392992339</v>
      </c>
      <c r="G264" s="162">
        <f t="shared" si="53"/>
        <v>0</v>
      </c>
      <c r="H264" s="5">
        <v>17969.3</v>
      </c>
      <c r="I264" s="5">
        <f>INDEX('2016 Lockdown Update'!E$5:E$245,MATCH(B264,'2016 Lockdown Update'!B$5:B$245,0))</f>
        <v>17969.3</v>
      </c>
      <c r="J264" s="5">
        <f t="shared" si="54"/>
        <v>0</v>
      </c>
      <c r="K264" s="5">
        <v>0</v>
      </c>
      <c r="L264" s="5">
        <f>INDEX('2016 Lockdown Update'!F$5:F$245,MATCH(B264,'2016 Lockdown Update'!B$5:B$245,0))</f>
        <v>0</v>
      </c>
      <c r="M264" s="5">
        <f t="shared" si="55"/>
        <v>0</v>
      </c>
      <c r="N264" s="5">
        <v>17969.3</v>
      </c>
      <c r="O264" s="105">
        <f t="shared" si="56"/>
        <v>17969.3</v>
      </c>
      <c r="P264" s="105">
        <f t="shared" si="57"/>
        <v>0</v>
      </c>
      <c r="Q264" s="103">
        <f t="shared" si="58"/>
        <v>170.4088628421288</v>
      </c>
      <c r="R264" s="6">
        <f t="shared" si="59"/>
        <v>170.4088628421288</v>
      </c>
      <c r="S264" s="5">
        <f t="shared" si="60"/>
        <v>17969.3</v>
      </c>
      <c r="T264" s="140">
        <v>0.20941666666666667</v>
      </c>
      <c r="U264" s="105">
        <f t="shared" si="61"/>
        <v>4367.50657720663</v>
      </c>
      <c r="V264" s="105">
        <f t="shared" si="62"/>
        <v>5250.4853539701489</v>
      </c>
      <c r="W264" s="105">
        <f t="shared" si="63"/>
        <v>274.3886007130065</v>
      </c>
      <c r="X264" s="105">
        <f t="shared" si="64"/>
        <v>268.30231327285168</v>
      </c>
      <c r="Y264" s="105">
        <f t="shared" si="65"/>
        <v>10160.682845162637</v>
      </c>
      <c r="Z264" s="112">
        <f t="shared" si="66"/>
        <v>0.56544678118583569</v>
      </c>
      <c r="AA264" s="104">
        <f t="shared" si="70"/>
        <v>10163.683075221907</v>
      </c>
      <c r="AB264" s="105"/>
      <c r="AC264" s="104">
        <v>9912.0512809697702</v>
      </c>
      <c r="AD264" s="5">
        <f t="shared" si="68"/>
        <v>251.63179425213639</v>
      </c>
      <c r="AE264" s="5">
        <v>-24.304529401057152</v>
      </c>
      <c r="AF264" s="5">
        <f t="shared" si="69"/>
        <v>275.93632365319354</v>
      </c>
    </row>
    <row r="265" spans="2:32" x14ac:dyDescent="0.25">
      <c r="B265" s="49">
        <v>987</v>
      </c>
      <c r="C265" s="49">
        <v>9</v>
      </c>
      <c r="D265" s="50" t="s">
        <v>294</v>
      </c>
      <c r="E265" s="162">
        <v>292.83261952318452</v>
      </c>
      <c r="F265" s="162">
        <f>INDEX('2016 Lockdown Update'!H$5:H$245,MATCH(B265,'2016 Lockdown Update'!B$5:B$245,0))</f>
        <v>237.45867962267809</v>
      </c>
      <c r="G265" s="162">
        <f t="shared" si="53"/>
        <v>-55.373939900506429</v>
      </c>
      <c r="H265" s="5">
        <v>76004.149999999994</v>
      </c>
      <c r="I265" s="5">
        <f>INDEX('2016 Lockdown Update'!E$5:E$245,MATCH(B265,'2016 Lockdown Update'!B$5:B$245,0))</f>
        <v>76004.149999999994</v>
      </c>
      <c r="J265" s="5">
        <f t="shared" si="54"/>
        <v>0</v>
      </c>
      <c r="K265" s="5">
        <v>0</v>
      </c>
      <c r="L265" s="5">
        <f>INDEX('2016 Lockdown Update'!F$5:F$245,MATCH(B265,'2016 Lockdown Update'!B$5:B$245,0))</f>
        <v>0</v>
      </c>
      <c r="M265" s="5">
        <f t="shared" si="55"/>
        <v>0</v>
      </c>
      <c r="N265" s="5">
        <v>76004.149999999994</v>
      </c>
      <c r="O265" s="105">
        <f t="shared" si="56"/>
        <v>76004.149999999994</v>
      </c>
      <c r="P265" s="105">
        <f t="shared" si="57"/>
        <v>0</v>
      </c>
      <c r="Q265" s="103">
        <f t="shared" si="58"/>
        <v>320.07316018420806</v>
      </c>
      <c r="R265" s="6">
        <f t="shared" si="59"/>
        <v>320.07316018420806</v>
      </c>
      <c r="S265" s="5">
        <f t="shared" si="60"/>
        <v>76004.149999999994</v>
      </c>
      <c r="T265" s="140">
        <v>0.4565833333333334</v>
      </c>
      <c r="U265" s="105">
        <f t="shared" si="61"/>
        <v>18473.09717239955</v>
      </c>
      <c r="V265" s="105">
        <f t="shared" si="62"/>
        <v>11823.567061785801</v>
      </c>
      <c r="W265" s="105">
        <f t="shared" si="63"/>
        <v>2530.3524851894285</v>
      </c>
      <c r="X265" s="105">
        <f t="shared" si="64"/>
        <v>1134.8293624869532</v>
      </c>
      <c r="Y265" s="105">
        <f t="shared" si="65"/>
        <v>33961.846081861731</v>
      </c>
      <c r="Z265" s="112">
        <f t="shared" si="66"/>
        <v>0.44684199588919465</v>
      </c>
      <c r="AA265" s="104">
        <f t="shared" si="70"/>
        <v>33971.87428105226</v>
      </c>
      <c r="AB265" s="105"/>
      <c r="AC265" s="104">
        <v>35638.339725285412</v>
      </c>
      <c r="AD265" s="5">
        <f t="shared" si="68"/>
        <v>-1666.4654442331521</v>
      </c>
      <c r="AE265" s="5">
        <v>2008.4996234370265</v>
      </c>
      <c r="AF265" s="5">
        <f t="shared" si="69"/>
        <v>-3674.9650676701785</v>
      </c>
    </row>
    <row r="266" spans="2:32" x14ac:dyDescent="0.25">
      <c r="B266" s="49">
        <v>998</v>
      </c>
      <c r="C266" s="49">
        <v>9</v>
      </c>
      <c r="D266" s="50" t="s">
        <v>298</v>
      </c>
      <c r="E266" s="162">
        <v>44.619685168965859</v>
      </c>
      <c r="F266" s="162">
        <f>INDEX('2016 Lockdown Update'!H$5:H$245,MATCH(B266,'2016 Lockdown Update'!B$5:B$245,0))</f>
        <v>44.619685168965859</v>
      </c>
      <c r="G266" s="162">
        <f t="shared" si="53"/>
        <v>0</v>
      </c>
      <c r="H266" s="5">
        <v>205043.32</v>
      </c>
      <c r="I266" s="5">
        <f>INDEX('2016 Lockdown Update'!E$5:E$245,MATCH(B266,'2016 Lockdown Update'!B$5:B$245,0))</f>
        <v>205043.32</v>
      </c>
      <c r="J266" s="5">
        <f t="shared" si="54"/>
        <v>0</v>
      </c>
      <c r="K266" s="5">
        <v>0</v>
      </c>
      <c r="L266" s="5">
        <f>INDEX('2016 Lockdown Update'!F$5:F$245,MATCH(B266,'2016 Lockdown Update'!B$5:B$245,0))</f>
        <v>0</v>
      </c>
      <c r="M266" s="5">
        <f t="shared" si="55"/>
        <v>0</v>
      </c>
      <c r="N266" s="5">
        <v>205043.32</v>
      </c>
      <c r="O266" s="105">
        <f t="shared" si="56"/>
        <v>205043.32</v>
      </c>
      <c r="P266" s="105">
        <f t="shared" si="57"/>
        <v>0</v>
      </c>
      <c r="Q266" s="103">
        <f t="shared" si="58"/>
        <v>4595.3555975023537</v>
      </c>
      <c r="R266" s="6">
        <f t="shared" si="59"/>
        <v>1107.7956815413972</v>
      </c>
      <c r="S266" s="5">
        <f t="shared" si="60"/>
        <v>49429.494541917105</v>
      </c>
      <c r="T266" s="140">
        <v>0.19483333333333336</v>
      </c>
      <c r="U266" s="105">
        <f t="shared" si="61"/>
        <v>12014.026284820342</v>
      </c>
      <c r="V266" s="105">
        <f t="shared" si="62"/>
        <v>2221.7079649787333</v>
      </c>
      <c r="W266" s="105">
        <f t="shared" si="63"/>
        <v>702.21983634774904</v>
      </c>
      <c r="X266" s="105">
        <f t="shared" si="64"/>
        <v>738.03919626831077</v>
      </c>
      <c r="Y266" s="105">
        <f t="shared" si="65"/>
        <v>15675.993282415136</v>
      </c>
      <c r="Z266" s="112">
        <f t="shared" si="66"/>
        <v>0.31713844998195584</v>
      </c>
      <c r="AA266" s="104">
        <f t="shared" si="70"/>
        <v>15680.622064453855</v>
      </c>
      <c r="AB266" s="105"/>
      <c r="AC266" s="104">
        <v>15607.187550233039</v>
      </c>
      <c r="AD266" s="5">
        <f t="shared" si="68"/>
        <v>73.434514220816709</v>
      </c>
      <c r="AE266" s="5">
        <v>20.713827924708312</v>
      </c>
      <c r="AF266" s="5">
        <f t="shared" si="69"/>
        <v>52.720686296108397</v>
      </c>
    </row>
  </sheetData>
  <mergeCells count="5">
    <mergeCell ref="U18:AA18"/>
    <mergeCell ref="Z24:AA24"/>
    <mergeCell ref="D4:K4"/>
    <mergeCell ref="D13:K13"/>
    <mergeCell ref="B2:K2"/>
  </mergeCells>
  <conditionalFormatting sqref="B71:D97 B171:D183 B185:D190 B234:D256 B99:D101 B192:D202 B204:D232 B27:D69 AB99:AB102 AB204:AB232 AB171:AB183 AB234:AB264 AB192:AB202 AB185:AB190 AB71:AB97 AB27:AB69 B104:D169 AB104:AB169 E27:H169 J27:K169 M27:N169 AB266 E171:H266 J171:K266 M171:N266 P171:S266 P27:S169 I27:I266 L27:L266 B26:AC26 O27:O266 U27:AA169 U171:AA266 T27:T266 AC27:AC266 AD26:AF266 H24:P24">
    <cfRule type="expression" dxfId="13" priority="7">
      <formula>$C24&lt;&gt;$C23</formula>
    </cfRule>
  </conditionalFormatting>
  <conditionalFormatting sqref="Z26:Z266">
    <cfRule type="expression" dxfId="12" priority="6">
      <formula>Z26&gt;75%</formula>
    </cfRule>
  </conditionalFormatting>
  <conditionalFormatting sqref="B70:D70 B98:D98 B184:D184 B233:D233 B102:D102 B203:D203 AB98 AB203 AB265 AB233 AB184 AB70">
    <cfRule type="expression" dxfId="11" priority="8">
      <formula>$C70&lt;&gt;$C68</formula>
    </cfRule>
  </conditionalFormatting>
  <conditionalFormatting sqref="B170:D170 B191:D191 AB191 AB170">
    <cfRule type="expression" dxfId="10" priority="9">
      <formula>$C170&lt;&gt;#REF!</formula>
    </cfRule>
  </conditionalFormatting>
  <conditionalFormatting sqref="B103:D103 AB103">
    <cfRule type="expression" dxfId="9" priority="10">
      <formula>$C103&lt;&gt;$C100</formula>
    </cfRule>
  </conditionalFormatting>
  <conditionalFormatting sqref="V3:V11">
    <cfRule type="expression" dxfId="8" priority="5">
      <formula>$C3&lt;&gt;$C2</formula>
    </cfRule>
  </conditionalFormatting>
  <conditionalFormatting sqref="E170:H170 J170:K170 M170:N170 P170:S170 U170:AA170">
    <cfRule type="expression" dxfId="7" priority="32">
      <formula>$C170&lt;&gt;#REF!</formula>
    </cfRule>
  </conditionalFormatting>
  <pageMargins left="0.7" right="0.7" top="0.75" bottom="0.75" header="0.3" footer="0.3"/>
  <pageSetup orientation="portrait" r:id="rId1"/>
  <ignoredErrors>
    <ignoredError sqref="W2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D48D-8B01-4C36-AD20-3E9F72231FD1}">
  <sheetPr codeName="Sheet4">
    <tabColor theme="8" tint="0.59999389629810485"/>
  </sheetPr>
  <dimension ref="B2:S246"/>
  <sheetViews>
    <sheetView workbookViewId="0"/>
  </sheetViews>
  <sheetFormatPr defaultRowHeight="15" x14ac:dyDescent="0.25"/>
  <cols>
    <col min="1" max="1" width="5.7109375" style="17" customWidth="1"/>
    <col min="2" max="3" width="6.7109375" style="1" customWidth="1"/>
    <col min="4" max="4" width="50.7109375" style="17" customWidth="1"/>
    <col min="5" max="11" width="14.7109375" style="17" customWidth="1"/>
    <col min="12" max="12" width="5.7109375" style="17" customWidth="1"/>
    <col min="13" max="19" width="12.7109375" style="17" customWidth="1"/>
    <col min="20" max="16384" width="9.140625" style="17"/>
  </cols>
  <sheetData>
    <row r="2" spans="2:19" x14ac:dyDescent="0.25">
      <c r="B2" s="22" t="s">
        <v>544</v>
      </c>
      <c r="E2" s="21"/>
      <c r="F2" s="150"/>
      <c r="G2" s="21"/>
      <c r="I2" s="17" t="s">
        <v>13</v>
      </c>
      <c r="J2" s="20">
        <v>0</v>
      </c>
    </row>
    <row r="3" spans="2:19" x14ac:dyDescent="0.25">
      <c r="D3" s="19"/>
      <c r="E3" s="164"/>
      <c r="F3" s="164"/>
      <c r="G3" s="164"/>
      <c r="H3" s="19"/>
      <c r="K3" s="16"/>
    </row>
    <row r="4" spans="2:19" ht="15.75" thickBot="1" x14ac:dyDescent="0.3">
      <c r="E4" s="165">
        <f>SUM(E6:E248)</f>
        <v>835856.23913598247</v>
      </c>
      <c r="F4" s="16">
        <f>SUM(F6:F248)</f>
        <v>344197317.13999963</v>
      </c>
      <c r="G4" s="16">
        <f>SUM(G6:G248)</f>
        <v>96400450.660000026</v>
      </c>
      <c r="H4" s="16">
        <f>SUM(H6:H248)</f>
        <v>247796866.48000008</v>
      </c>
      <c r="J4" s="17" t="s">
        <v>12</v>
      </c>
      <c r="K4" s="16">
        <f>SUM(K6:K248)</f>
        <v>244619802.15225312</v>
      </c>
      <c r="Q4" s="15">
        <v>0.1</v>
      </c>
      <c r="R4" s="14">
        <f>100%-Q4</f>
        <v>0.9</v>
      </c>
    </row>
    <row r="5" spans="2:19" ht="60.75" thickBot="1" x14ac:dyDescent="0.3">
      <c r="B5" s="13" t="s">
        <v>11</v>
      </c>
      <c r="C5" s="13" t="s">
        <v>10</v>
      </c>
      <c r="D5" s="13" t="s">
        <v>9</v>
      </c>
      <c r="E5" s="13" t="str">
        <f>"2016"&amp;CHAR(10)&amp;"Marketed Tonnes"&amp;CHAR(10)&amp;TEXT(SUM(E6:E278),"#,##0")&amp;" T"</f>
        <v>2016
Marketed Tonnes
835,856 T</v>
      </c>
      <c r="F5" s="13" t="str">
        <f>"2016 Reported Gross Cost"&amp;CHAR(10)&amp;TEXT(SUM(F6:F248),"$#,##0")</f>
        <v>2016 Reported Gross Cost
$344,197,317</v>
      </c>
      <c r="G5" s="13" t="str">
        <f>"2016 Reported Revenue"&amp;CHAR(10)&amp;TEXT(SUM(G6:G248),"$#,##0")</f>
        <v>2016 Reported Revenue
$96,400,451</v>
      </c>
      <c r="H5" s="13" t="str">
        <f>"2016 Reported Net Cost"&amp;CHAR(10)&amp;TEXT(SUM(H6:H248),"$#,##0")</f>
        <v>2016 Reported Net Cost
$247,796,866</v>
      </c>
      <c r="I5" s="13" t="s">
        <v>8</v>
      </c>
      <c r="J5" s="13" t="s">
        <v>1</v>
      </c>
      <c r="K5" s="13" t="str">
        <f>"Adjusted Net Cost"&amp;CHAR(10)&amp;TEXT(SUM(K6:K248),"$#,##0")</f>
        <v>Adjusted Net Cost
$244,619,802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 s="11">
        <v>1</v>
      </c>
      <c r="C6" s="11">
        <v>1</v>
      </c>
      <c r="D6" s="8" t="s">
        <v>59</v>
      </c>
      <c r="E6" s="162">
        <f>INDEX('2016 Lockdown Update'!H$5:H$245,MATCH(B6,'2016 Lockdown Update'!B$5:B$245,0))</f>
        <v>43970.659999999996</v>
      </c>
      <c r="F6" s="7">
        <f>INDEX('2016 Lockdown Update'!E$5:E$245,MATCH(B6,'2016 Lockdown Update'!B$5:B$245,0))</f>
        <v>9112990.4000000004</v>
      </c>
      <c r="G6" s="7">
        <f>INDEX('2016 Lockdown Update'!F$5:F$245,MATCH(B6,'2016 Lockdown Update'!B$5:B$245,0))</f>
        <v>1406231.25</v>
      </c>
      <c r="H6" s="7">
        <f t="shared" ref="H6:H69" si="0">F6-G6</f>
        <v>7706759.1500000004</v>
      </c>
      <c r="I6" s="6">
        <f t="shared" ref="I6:I69" si="1">H6/E6</f>
        <v>175.27049059531973</v>
      </c>
      <c r="J6" s="6">
        <f>IF(ISERROR(IF($J$2=1,MAX(MIN(I6,R6),Q6),MIN(I6,R6))),R6,IF($J$2=1,MAX(MIN(I6,R6),Q6),MIN(I6,R6)))</f>
        <v>175.27049059531973</v>
      </c>
      <c r="K6" s="5">
        <f t="shared" ref="K6:K69" si="2">J6*E6</f>
        <v>7706759.1500000004</v>
      </c>
      <c r="L6" s="4">
        <f t="shared" ref="L6:L69" si="3">IF(ISERROR(I6),1,0)</f>
        <v>0</v>
      </c>
      <c r="M6" s="2">
        <f t="shared" ref="M6:M69" si="4">SUMPRODUCT(--($L$6:$L$298&lt;&gt;1),--($C$6:$C$298=$C6),$H$6:$H$298)/SUMPRODUCT(--($L$6:$L$298&lt;&gt;1),--($C$6:$C$298=$C6),$E$6:$E$298)</f>
        <v>308.63242622984279</v>
      </c>
      <c r="N6" s="1">
        <f t="shared" ref="N6:N69" si="5">SUMPRODUCT(--($L$6:$L$298&lt;&gt;1),--($C$6:$C$298=$C6),--($L$6:$L$298&lt;&gt;1))</f>
        <v>6</v>
      </c>
      <c r="O6" s="3">
        <f t="shared" ref="O6:O69" si="6">IF(ISERROR((I6-M6)^2),0,(I6-M6)^2)</f>
        <v>17785.405876186673</v>
      </c>
      <c r="P6" s="2">
        <f t="shared" ref="P6:P69" si="7">SQRT(SUMPRODUCT(--($L$6:$L$298&lt;&gt;1),--($C$6:$C$298=$C6),$E$6:$E$298,$O$6:$O$298)/((N6-1)*SUMPRODUCT(--($L$6:$L$298&lt;&gt;1),--($C$6:$C$298=$C6),$E$6:$E$298)/N6))</f>
        <v>88.676248925738207</v>
      </c>
      <c r="Q6" s="2">
        <f t="shared" ref="Q6:R25" si="8">NORMINV(Q$4,$M6,$P6)</f>
        <v>194.9892405924403</v>
      </c>
      <c r="R6" s="2">
        <f t="shared" si="8"/>
        <v>422.27561186724529</v>
      </c>
      <c r="S6" s="2">
        <f t="shared" ref="S6:S69" si="9">IF(ISERROR(MAX(MIN(I6,R6),Q6)),R6,MAX(MIN(I6,R6),Q6))</f>
        <v>194.9892405924403</v>
      </c>
    </row>
    <row r="7" spans="2:19" x14ac:dyDescent="0.25">
      <c r="B7" s="10">
        <v>20</v>
      </c>
      <c r="C7" s="10">
        <v>1</v>
      </c>
      <c r="D7" s="9" t="s">
        <v>60</v>
      </c>
      <c r="E7" s="162">
        <f>INDEX('2016 Lockdown Update'!H$5:H$245,MATCH(B7,'2016 Lockdown Update'!B$5:B$245,0))</f>
        <v>125140.01999999999</v>
      </c>
      <c r="F7" s="7">
        <f>INDEX('2016 Lockdown Update'!E$5:E$245,MATCH(B7,'2016 Lockdown Update'!B$5:B$245,0))</f>
        <v>68990192.879999995</v>
      </c>
      <c r="G7" s="7">
        <f>INDEX('2016 Lockdown Update'!F$5:F$245,MATCH(B7,'2016 Lockdown Update'!B$5:B$245,0))</f>
        <v>17704198.630000003</v>
      </c>
      <c r="H7" s="7">
        <f t="shared" si="0"/>
        <v>51285994.249999993</v>
      </c>
      <c r="I7" s="6">
        <f t="shared" si="1"/>
        <v>409.82888008168766</v>
      </c>
      <c r="J7" s="6">
        <f t="shared" ref="J7:J70" si="10">IF(ISERROR(IF($J$2=1,MAX(MIN(I7,R7),Q7),MIN(I7,R7))),R7,IF($J$2=1,MAX(MIN(I7,R7),Q7),MIN(I7,R7)))</f>
        <v>409.82888008168766</v>
      </c>
      <c r="K7" s="5">
        <f t="shared" si="2"/>
        <v>51285994.249999993</v>
      </c>
      <c r="L7" s="4">
        <f t="shared" si="3"/>
        <v>0</v>
      </c>
      <c r="M7" s="2">
        <f t="shared" si="4"/>
        <v>308.63242622984279</v>
      </c>
      <c r="N7" s="1">
        <f t="shared" si="5"/>
        <v>6</v>
      </c>
      <c r="O7" s="3">
        <f t="shared" si="6"/>
        <v>10240.722272188568</v>
      </c>
      <c r="P7" s="2">
        <f t="shared" si="7"/>
        <v>88.676248925738207</v>
      </c>
      <c r="Q7" s="2">
        <f t="shared" si="8"/>
        <v>194.9892405924403</v>
      </c>
      <c r="R7" s="2">
        <f t="shared" si="8"/>
        <v>422.27561186724529</v>
      </c>
      <c r="S7" s="2">
        <f t="shared" si="9"/>
        <v>409.82888008168766</v>
      </c>
    </row>
    <row r="8" spans="2:19" x14ac:dyDescent="0.25">
      <c r="B8" s="10">
        <v>50</v>
      </c>
      <c r="C8" s="10">
        <v>1</v>
      </c>
      <c r="D8" s="9" t="s">
        <v>61</v>
      </c>
      <c r="E8" s="162">
        <f>INDEX('2016 Lockdown Update'!H$5:H$245,MATCH(B8,'2016 Lockdown Update'!B$5:B$245,0))</f>
        <v>23190.65</v>
      </c>
      <c r="F8" s="7">
        <f>INDEX('2016 Lockdown Update'!E$5:E$245,MATCH(B8,'2016 Lockdown Update'!B$5:B$245,0))</f>
        <v>9617663.75</v>
      </c>
      <c r="G8" s="7">
        <f>INDEX('2016 Lockdown Update'!F$5:F$245,MATCH(B8,'2016 Lockdown Update'!B$5:B$245,0))</f>
        <v>3453614.8900000006</v>
      </c>
      <c r="H8" s="7">
        <f t="shared" si="0"/>
        <v>6164048.8599999994</v>
      </c>
      <c r="I8" s="6">
        <f t="shared" si="1"/>
        <v>265.79888273937985</v>
      </c>
      <c r="J8" s="6">
        <f t="shared" si="10"/>
        <v>265.79888273937985</v>
      </c>
      <c r="K8" s="5">
        <f t="shared" si="2"/>
        <v>6164048.8599999994</v>
      </c>
      <c r="L8" s="4">
        <f t="shared" si="3"/>
        <v>0</v>
      </c>
      <c r="M8" s="2">
        <f t="shared" si="4"/>
        <v>308.63242622984279</v>
      </c>
      <c r="N8" s="1">
        <f t="shared" si="5"/>
        <v>6</v>
      </c>
      <c r="O8" s="3">
        <f t="shared" si="6"/>
        <v>1834.7124479493805</v>
      </c>
      <c r="P8" s="2">
        <f t="shared" si="7"/>
        <v>88.676248925738207</v>
      </c>
      <c r="Q8" s="2">
        <f t="shared" si="8"/>
        <v>194.9892405924403</v>
      </c>
      <c r="R8" s="2">
        <f t="shared" si="8"/>
        <v>422.27561186724529</v>
      </c>
      <c r="S8" s="2">
        <f t="shared" si="9"/>
        <v>265.79888273937985</v>
      </c>
    </row>
    <row r="9" spans="2:19" x14ac:dyDescent="0.25">
      <c r="B9" s="10">
        <v>97</v>
      </c>
      <c r="C9" s="10">
        <v>1</v>
      </c>
      <c r="D9" s="9" t="s">
        <v>62</v>
      </c>
      <c r="E9" s="162">
        <f>INDEX('2016 Lockdown Update'!H$5:H$245,MATCH(B9,'2016 Lockdown Update'!B$5:B$245,0))</f>
        <v>67811.190000000017</v>
      </c>
      <c r="F9" s="7">
        <f>INDEX('2016 Lockdown Update'!E$5:E$245,MATCH(B9,'2016 Lockdown Update'!B$5:B$245,0))</f>
        <v>25009982.5</v>
      </c>
      <c r="G9" s="7">
        <f>INDEX('2016 Lockdown Update'!F$5:F$245,MATCH(B9,'2016 Lockdown Update'!B$5:B$245,0))</f>
        <v>9071705.5600000005</v>
      </c>
      <c r="H9" s="7">
        <f t="shared" si="0"/>
        <v>15938276.939999999</v>
      </c>
      <c r="I9" s="6">
        <f t="shared" si="1"/>
        <v>235.039039132037</v>
      </c>
      <c r="J9" s="6">
        <f t="shared" si="10"/>
        <v>235.039039132037</v>
      </c>
      <c r="K9" s="5">
        <f t="shared" si="2"/>
        <v>15938276.939999999</v>
      </c>
      <c r="L9" s="4">
        <f t="shared" si="3"/>
        <v>0</v>
      </c>
      <c r="M9" s="2">
        <f t="shared" si="4"/>
        <v>308.63242622984279</v>
      </c>
      <c r="N9" s="1">
        <f t="shared" si="5"/>
        <v>6</v>
      </c>
      <c r="O9" s="3">
        <f t="shared" si="6"/>
        <v>5415.986624527487</v>
      </c>
      <c r="P9" s="2">
        <f t="shared" si="7"/>
        <v>88.676248925738207</v>
      </c>
      <c r="Q9" s="2">
        <f t="shared" si="8"/>
        <v>194.9892405924403</v>
      </c>
      <c r="R9" s="2">
        <f t="shared" si="8"/>
        <v>422.27561186724529</v>
      </c>
      <c r="S9" s="2">
        <f t="shared" si="9"/>
        <v>235.039039132037</v>
      </c>
    </row>
    <row r="10" spans="2:19" x14ac:dyDescent="0.25">
      <c r="B10" s="10">
        <v>172</v>
      </c>
      <c r="C10" s="10">
        <v>1</v>
      </c>
      <c r="D10" s="9" t="s">
        <v>63</v>
      </c>
      <c r="E10" s="162">
        <f>INDEX('2016 Lockdown Update'!H$5:H$245,MATCH(B10,'2016 Lockdown Update'!B$5:B$245,0))</f>
        <v>35625.740000000005</v>
      </c>
      <c r="F10" s="7">
        <f>INDEX('2016 Lockdown Update'!E$5:E$245,MATCH(B10,'2016 Lockdown Update'!B$5:B$245,0))</f>
        <v>14136507.07</v>
      </c>
      <c r="G10" s="7">
        <f>INDEX('2016 Lockdown Update'!F$5:F$245,MATCH(B10,'2016 Lockdown Update'!B$5:B$245,0))</f>
        <v>4169394.9099999997</v>
      </c>
      <c r="H10" s="7">
        <f t="shared" si="0"/>
        <v>9967112.1600000001</v>
      </c>
      <c r="I10" s="6">
        <f t="shared" si="1"/>
        <v>279.77277552690833</v>
      </c>
      <c r="J10" s="6">
        <f t="shared" si="10"/>
        <v>279.77277552690833</v>
      </c>
      <c r="K10" s="5">
        <f t="shared" si="2"/>
        <v>9967112.1600000001</v>
      </c>
      <c r="L10" s="4">
        <f t="shared" si="3"/>
        <v>0</v>
      </c>
      <c r="M10" s="2">
        <f t="shared" si="4"/>
        <v>308.63242622984279</v>
      </c>
      <c r="N10" s="1">
        <f t="shared" si="5"/>
        <v>6</v>
      </c>
      <c r="O10" s="3">
        <f t="shared" si="6"/>
        <v>832.87943869538549</v>
      </c>
      <c r="P10" s="2">
        <f t="shared" si="7"/>
        <v>88.676248925738207</v>
      </c>
      <c r="Q10" s="2">
        <f t="shared" si="8"/>
        <v>194.9892405924403</v>
      </c>
      <c r="R10" s="2">
        <f t="shared" si="8"/>
        <v>422.27561186724529</v>
      </c>
      <c r="S10" s="2">
        <f t="shared" si="9"/>
        <v>279.77277552690833</v>
      </c>
    </row>
    <row r="11" spans="2:19" x14ac:dyDescent="0.25">
      <c r="B11" s="10">
        <v>270</v>
      </c>
      <c r="C11" s="10">
        <v>1</v>
      </c>
      <c r="D11" s="9" t="s">
        <v>64</v>
      </c>
      <c r="E11" s="162">
        <f>INDEX('2016 Lockdown Update'!H$5:H$245,MATCH(B11,'2016 Lockdown Update'!B$5:B$245,0))</f>
        <v>86316.640000000029</v>
      </c>
      <c r="F11" s="7">
        <f>INDEX('2016 Lockdown Update'!E$5:E$245,MATCH(B11,'2016 Lockdown Update'!B$5:B$245,0))</f>
        <v>37138695.909999996</v>
      </c>
      <c r="G11" s="7">
        <f>INDEX('2016 Lockdown Update'!F$5:F$245,MATCH(B11,'2016 Lockdown Update'!B$5:B$245,0))</f>
        <v>10286356.529999999</v>
      </c>
      <c r="H11" s="7">
        <f t="shared" si="0"/>
        <v>26852339.379999995</v>
      </c>
      <c r="I11" s="6">
        <f t="shared" si="1"/>
        <v>311.09111035832706</v>
      </c>
      <c r="J11" s="6">
        <f t="shared" si="10"/>
        <v>311.09111035832706</v>
      </c>
      <c r="K11" s="5">
        <f t="shared" si="2"/>
        <v>26852339.379999995</v>
      </c>
      <c r="L11" s="4">
        <f t="shared" si="3"/>
        <v>0</v>
      </c>
      <c r="M11" s="2">
        <f t="shared" si="4"/>
        <v>308.63242622984279</v>
      </c>
      <c r="N11" s="1">
        <f t="shared" si="5"/>
        <v>6</v>
      </c>
      <c r="O11" s="3">
        <f t="shared" si="6"/>
        <v>6.0451276436604289</v>
      </c>
      <c r="P11" s="2">
        <f t="shared" si="7"/>
        <v>88.676248925738207</v>
      </c>
      <c r="Q11" s="2">
        <f t="shared" si="8"/>
        <v>194.9892405924403</v>
      </c>
      <c r="R11" s="2">
        <f t="shared" si="8"/>
        <v>422.27561186724529</v>
      </c>
      <c r="S11" s="2">
        <f t="shared" si="9"/>
        <v>311.09111035832706</v>
      </c>
    </row>
    <row r="12" spans="2:19" x14ac:dyDescent="0.25">
      <c r="B12" s="10">
        <v>6</v>
      </c>
      <c r="C12" s="10">
        <v>2</v>
      </c>
      <c r="D12" s="9" t="s">
        <v>65</v>
      </c>
      <c r="E12" s="162">
        <f>INDEX('2016 Lockdown Update'!H$5:H$245,MATCH(B12,'2016 Lockdown Update'!B$5:B$245,0))</f>
        <v>43706.960000000006</v>
      </c>
      <c r="F12" s="7">
        <f>INDEX('2016 Lockdown Update'!E$5:E$245,MATCH(B12,'2016 Lockdown Update'!B$5:B$245,0))</f>
        <v>17861250.059999999</v>
      </c>
      <c r="G12" s="7">
        <f>INDEX('2016 Lockdown Update'!F$5:F$245,MATCH(B12,'2016 Lockdown Update'!B$5:B$245,0))</f>
        <v>5342280.3</v>
      </c>
      <c r="H12" s="7">
        <f t="shared" si="0"/>
        <v>12518969.759999998</v>
      </c>
      <c r="I12" s="6">
        <f t="shared" si="1"/>
        <v>286.42966154589556</v>
      </c>
      <c r="J12" s="6">
        <f t="shared" si="10"/>
        <v>278.01657705657993</v>
      </c>
      <c r="K12" s="5">
        <f t="shared" si="2"/>
        <v>12151259.412748858</v>
      </c>
      <c r="L12" s="4">
        <f t="shared" si="3"/>
        <v>0</v>
      </c>
      <c r="M12" s="2">
        <f t="shared" si="4"/>
        <v>207.30218910433319</v>
      </c>
      <c r="N12" s="1">
        <f t="shared" si="5"/>
        <v>6</v>
      </c>
      <c r="O12" s="3">
        <f t="shared" si="6"/>
        <v>6261.1568949902112</v>
      </c>
      <c r="P12" s="2">
        <f t="shared" si="7"/>
        <v>55.17873010610883</v>
      </c>
      <c r="Q12" s="2">
        <f t="shared" si="8"/>
        <v>136.58780115208646</v>
      </c>
      <c r="R12" s="2">
        <f t="shared" si="8"/>
        <v>278.01657705657993</v>
      </c>
      <c r="S12" s="2">
        <f t="shared" si="9"/>
        <v>278.01657705657993</v>
      </c>
    </row>
    <row r="13" spans="2:19" x14ac:dyDescent="0.25">
      <c r="B13" s="10">
        <v>18</v>
      </c>
      <c r="C13" s="10">
        <v>2</v>
      </c>
      <c r="D13" s="9" t="s">
        <v>66</v>
      </c>
      <c r="E13" s="162">
        <f>INDEX('2016 Lockdown Update'!H$5:H$245,MATCH(B13,'2016 Lockdown Update'!B$5:B$245,0))</f>
        <v>23044.73</v>
      </c>
      <c r="F13" s="7">
        <f>INDEX('2016 Lockdown Update'!E$5:E$245,MATCH(B13,'2016 Lockdown Update'!B$5:B$245,0))</f>
        <v>7643001.5800000001</v>
      </c>
      <c r="G13" s="7">
        <f>INDEX('2016 Lockdown Update'!F$5:F$245,MATCH(B13,'2016 Lockdown Update'!B$5:B$245,0))</f>
        <v>3443707.5999999996</v>
      </c>
      <c r="H13" s="7">
        <f t="shared" si="0"/>
        <v>4199293.9800000004</v>
      </c>
      <c r="I13" s="6">
        <f t="shared" si="1"/>
        <v>182.22361381539295</v>
      </c>
      <c r="J13" s="6">
        <f t="shared" si="10"/>
        <v>182.22361381539295</v>
      </c>
      <c r="K13" s="5">
        <f t="shared" si="2"/>
        <v>4199293.9800000004</v>
      </c>
      <c r="L13" s="4">
        <f t="shared" si="3"/>
        <v>0</v>
      </c>
      <c r="M13" s="2">
        <f t="shared" si="4"/>
        <v>207.30218910433319</v>
      </c>
      <c r="N13" s="1">
        <f t="shared" si="5"/>
        <v>6</v>
      </c>
      <c r="O13" s="3">
        <f t="shared" si="6"/>
        <v>628.93493852304425</v>
      </c>
      <c r="P13" s="2">
        <f t="shared" si="7"/>
        <v>55.17873010610883</v>
      </c>
      <c r="Q13" s="2">
        <f t="shared" si="8"/>
        <v>136.58780115208646</v>
      </c>
      <c r="R13" s="2">
        <f t="shared" si="8"/>
        <v>278.01657705657993</v>
      </c>
      <c r="S13" s="2">
        <f t="shared" si="9"/>
        <v>182.22361381539295</v>
      </c>
    </row>
    <row r="14" spans="2:19" x14ac:dyDescent="0.25">
      <c r="B14" s="10">
        <v>53</v>
      </c>
      <c r="C14" s="10">
        <v>2</v>
      </c>
      <c r="D14" s="9" t="s">
        <v>67</v>
      </c>
      <c r="E14" s="162">
        <f>INDEX('2016 Lockdown Update'!H$5:H$245,MATCH(B14,'2016 Lockdown Update'!B$5:B$245,0))</f>
        <v>33262.797399999996</v>
      </c>
      <c r="F14" s="7">
        <f>INDEX('2016 Lockdown Update'!E$5:E$245,MATCH(B14,'2016 Lockdown Update'!B$5:B$245,0))</f>
        <v>11890778.710000001</v>
      </c>
      <c r="G14" s="7">
        <f>INDEX('2016 Lockdown Update'!F$5:F$245,MATCH(B14,'2016 Lockdown Update'!B$5:B$245,0))</f>
        <v>4165499.05</v>
      </c>
      <c r="H14" s="7">
        <f t="shared" si="0"/>
        <v>7725279.6600000011</v>
      </c>
      <c r="I14" s="6">
        <f t="shared" si="1"/>
        <v>232.24984859511551</v>
      </c>
      <c r="J14" s="6">
        <f t="shared" si="10"/>
        <v>232.24984859511551</v>
      </c>
      <c r="K14" s="5">
        <f t="shared" si="2"/>
        <v>7725279.6600000011</v>
      </c>
      <c r="L14" s="4">
        <f t="shared" si="3"/>
        <v>0</v>
      </c>
      <c r="M14" s="2">
        <f t="shared" si="4"/>
        <v>207.30218910433319</v>
      </c>
      <c r="N14" s="1">
        <f t="shared" si="5"/>
        <v>6</v>
      </c>
      <c r="O14" s="3">
        <f t="shared" si="6"/>
        <v>622.38571406802089</v>
      </c>
      <c r="P14" s="2">
        <f t="shared" si="7"/>
        <v>55.17873010610883</v>
      </c>
      <c r="Q14" s="2">
        <f t="shared" si="8"/>
        <v>136.58780115208646</v>
      </c>
      <c r="R14" s="2">
        <f t="shared" si="8"/>
        <v>278.01657705657993</v>
      </c>
      <c r="S14" s="2">
        <f t="shared" si="9"/>
        <v>232.24984859511551</v>
      </c>
    </row>
    <row r="15" spans="2:19" x14ac:dyDescent="0.25">
      <c r="B15" s="10">
        <v>335</v>
      </c>
      <c r="C15" s="10">
        <v>2</v>
      </c>
      <c r="D15" s="9" t="s">
        <v>68</v>
      </c>
      <c r="E15" s="162">
        <f>INDEX('2016 Lockdown Update'!H$5:H$245,MATCH(B15,'2016 Lockdown Update'!B$5:B$245,0))</f>
        <v>25734.3982</v>
      </c>
      <c r="F15" s="7">
        <f>INDEX('2016 Lockdown Update'!E$5:E$245,MATCH(B15,'2016 Lockdown Update'!B$5:B$245,0))</f>
        <v>9551725.4100000001</v>
      </c>
      <c r="G15" s="7">
        <f>INDEX('2016 Lockdown Update'!F$5:F$245,MATCH(B15,'2016 Lockdown Update'!B$5:B$245,0))</f>
        <v>3540849.7199999997</v>
      </c>
      <c r="H15" s="7">
        <f t="shared" si="0"/>
        <v>6010875.6900000004</v>
      </c>
      <c r="I15" s="6">
        <f t="shared" si="1"/>
        <v>233.57358673341739</v>
      </c>
      <c r="J15" s="6">
        <f t="shared" si="10"/>
        <v>233.57358673341739</v>
      </c>
      <c r="K15" s="5">
        <f t="shared" si="2"/>
        <v>6010875.6900000004</v>
      </c>
      <c r="L15" s="4">
        <f t="shared" si="3"/>
        <v>0</v>
      </c>
      <c r="M15" s="2">
        <f t="shared" si="4"/>
        <v>207.30218910433319</v>
      </c>
      <c r="N15" s="1">
        <f t="shared" si="5"/>
        <v>6</v>
      </c>
      <c r="O15" s="3">
        <f t="shared" si="6"/>
        <v>690.18633338545044</v>
      </c>
      <c r="P15" s="2">
        <f t="shared" si="7"/>
        <v>55.17873010610883</v>
      </c>
      <c r="Q15" s="2">
        <f t="shared" si="8"/>
        <v>136.58780115208646</v>
      </c>
      <c r="R15" s="2">
        <f t="shared" si="8"/>
        <v>278.01657705657993</v>
      </c>
      <c r="S15" s="2">
        <f t="shared" si="9"/>
        <v>233.57358673341739</v>
      </c>
    </row>
    <row r="16" spans="2:19" x14ac:dyDescent="0.25">
      <c r="B16" s="10">
        <v>357</v>
      </c>
      <c r="C16" s="10">
        <v>2</v>
      </c>
      <c r="D16" s="9" t="s">
        <v>69</v>
      </c>
      <c r="E16" s="162">
        <f>INDEX('2016 Lockdown Update'!H$5:H$245,MATCH(B16,'2016 Lockdown Update'!B$5:B$245,0))</f>
        <v>36939.97</v>
      </c>
      <c r="F16" s="7">
        <f>INDEX('2016 Lockdown Update'!E$5:E$245,MATCH(B16,'2016 Lockdown Update'!B$5:B$245,0))</f>
        <v>11871410.609999999</v>
      </c>
      <c r="G16" s="7">
        <f>INDEX('2016 Lockdown Update'!F$5:F$245,MATCH(B16,'2016 Lockdown Update'!B$5:B$245,0))</f>
        <v>4922014.18</v>
      </c>
      <c r="H16" s="7">
        <f t="shared" si="0"/>
        <v>6949396.4299999997</v>
      </c>
      <c r="I16" s="6">
        <f t="shared" si="1"/>
        <v>188.12674807261618</v>
      </c>
      <c r="J16" s="6">
        <f t="shared" si="10"/>
        <v>188.12674807261618</v>
      </c>
      <c r="K16" s="5">
        <f t="shared" si="2"/>
        <v>6949396.4299999997</v>
      </c>
      <c r="L16" s="4">
        <f t="shared" si="3"/>
        <v>0</v>
      </c>
      <c r="M16" s="2">
        <f t="shared" si="4"/>
        <v>207.30218910433319</v>
      </c>
      <c r="N16" s="1">
        <f t="shared" si="5"/>
        <v>6</v>
      </c>
      <c r="O16" s="3">
        <f t="shared" si="6"/>
        <v>367.69753876085645</v>
      </c>
      <c r="P16" s="2">
        <f t="shared" si="7"/>
        <v>55.17873010610883</v>
      </c>
      <c r="Q16" s="2">
        <f t="shared" si="8"/>
        <v>136.58780115208646</v>
      </c>
      <c r="R16" s="2">
        <f t="shared" si="8"/>
        <v>278.01657705657993</v>
      </c>
      <c r="S16" s="2">
        <f t="shared" si="9"/>
        <v>188.12674807261618</v>
      </c>
    </row>
    <row r="17" spans="2:19" x14ac:dyDescent="0.25">
      <c r="B17" s="10">
        <v>441</v>
      </c>
      <c r="C17" s="10">
        <v>2</v>
      </c>
      <c r="D17" s="9" t="s">
        <v>70</v>
      </c>
      <c r="E17" s="162">
        <f>INDEX('2016 Lockdown Update'!H$5:H$245,MATCH(B17,'2016 Lockdown Update'!B$5:B$245,0))</f>
        <v>60103.23000000001</v>
      </c>
      <c r="F17" s="7">
        <f>INDEX('2016 Lockdown Update'!E$5:E$245,MATCH(B17,'2016 Lockdown Update'!B$5:B$245,0))</f>
        <v>18587579.75</v>
      </c>
      <c r="G17" s="7">
        <f>INDEX('2016 Lockdown Update'!F$5:F$245,MATCH(B17,'2016 Lockdown Update'!B$5:B$245,0))</f>
        <v>9806108.209999999</v>
      </c>
      <c r="H17" s="7">
        <f t="shared" si="0"/>
        <v>8781471.540000001</v>
      </c>
      <c r="I17" s="6">
        <f t="shared" si="1"/>
        <v>146.10648279634887</v>
      </c>
      <c r="J17" s="6">
        <f t="shared" si="10"/>
        <v>146.10648279634887</v>
      </c>
      <c r="K17" s="5">
        <f t="shared" si="2"/>
        <v>8781471.540000001</v>
      </c>
      <c r="L17" s="4">
        <f t="shared" si="3"/>
        <v>0</v>
      </c>
      <c r="M17" s="2">
        <f t="shared" si="4"/>
        <v>207.30218910433319</v>
      </c>
      <c r="N17" s="1">
        <f t="shared" si="5"/>
        <v>6</v>
      </c>
      <c r="O17" s="3">
        <f t="shared" si="6"/>
        <v>3744.9144705330723</v>
      </c>
      <c r="P17" s="2">
        <f t="shared" si="7"/>
        <v>55.17873010610883</v>
      </c>
      <c r="Q17" s="2">
        <f t="shared" si="8"/>
        <v>136.58780115208646</v>
      </c>
      <c r="R17" s="2">
        <f t="shared" si="8"/>
        <v>278.01657705657993</v>
      </c>
      <c r="S17" s="2">
        <f t="shared" si="9"/>
        <v>146.10648279634887</v>
      </c>
    </row>
    <row r="18" spans="2:19" x14ac:dyDescent="0.25">
      <c r="B18" s="10">
        <v>14</v>
      </c>
      <c r="C18" s="10">
        <v>3</v>
      </c>
      <c r="D18" s="9" t="s">
        <v>71</v>
      </c>
      <c r="E18" s="162">
        <f>INDEX('2016 Lockdown Update'!H$5:H$245,MATCH(B18,'2016 Lockdown Update'!B$5:B$245,0))</f>
        <v>11989.330000000002</v>
      </c>
      <c r="F18" s="7">
        <f>INDEX('2016 Lockdown Update'!E$5:E$245,MATCH(B18,'2016 Lockdown Update'!B$5:B$245,0))</f>
        <v>2405193.1800000002</v>
      </c>
      <c r="G18" s="7">
        <f>INDEX('2016 Lockdown Update'!F$5:F$245,MATCH(B18,'2016 Lockdown Update'!B$5:B$245,0))</f>
        <v>326680.98</v>
      </c>
      <c r="H18" s="7">
        <f t="shared" si="0"/>
        <v>2078512.2000000002</v>
      </c>
      <c r="I18" s="6">
        <f t="shared" si="1"/>
        <v>173.36349904456711</v>
      </c>
      <c r="J18" s="6">
        <f t="shared" si="10"/>
        <v>173.36349904456711</v>
      </c>
      <c r="K18" s="5">
        <f t="shared" si="2"/>
        <v>2078512.2</v>
      </c>
      <c r="L18" s="4">
        <f t="shared" si="3"/>
        <v>0</v>
      </c>
      <c r="M18" s="2">
        <f t="shared" si="4"/>
        <v>260.89981165419198</v>
      </c>
      <c r="N18" s="1">
        <f t="shared" si="5"/>
        <v>7</v>
      </c>
      <c r="O18" s="3">
        <f t="shared" si="6"/>
        <v>7662.6060252899706</v>
      </c>
      <c r="P18" s="2">
        <f t="shared" si="7"/>
        <v>180.81805531370108</v>
      </c>
      <c r="Q18" s="2">
        <f t="shared" si="8"/>
        <v>29.172149788188165</v>
      </c>
      <c r="R18" s="2">
        <f t="shared" si="8"/>
        <v>492.62747352019579</v>
      </c>
      <c r="S18" s="2">
        <f t="shared" si="9"/>
        <v>173.36349904456711</v>
      </c>
    </row>
    <row r="19" spans="2:19" x14ac:dyDescent="0.25">
      <c r="B19" s="10">
        <v>36</v>
      </c>
      <c r="C19" s="10">
        <v>3</v>
      </c>
      <c r="D19" s="9" t="s">
        <v>72</v>
      </c>
      <c r="E19" s="162">
        <f>INDEX('2016 Lockdown Update'!H$5:H$245,MATCH(B19,'2016 Lockdown Update'!B$5:B$245,0))</f>
        <v>8208.0600000000013</v>
      </c>
      <c r="F19" s="7">
        <f>INDEX('2016 Lockdown Update'!E$5:E$245,MATCH(B19,'2016 Lockdown Update'!B$5:B$245,0))</f>
        <v>5911614.3099999996</v>
      </c>
      <c r="G19" s="7">
        <f>INDEX('2016 Lockdown Update'!F$5:F$245,MATCH(B19,'2016 Lockdown Update'!B$5:B$245,0))</f>
        <v>775116.69000000018</v>
      </c>
      <c r="H19" s="7">
        <f t="shared" si="0"/>
        <v>5136497.6199999992</v>
      </c>
      <c r="I19" s="6">
        <f t="shared" si="1"/>
        <v>625.78704590366033</v>
      </c>
      <c r="J19" s="6">
        <f t="shared" si="10"/>
        <v>492.62747352019579</v>
      </c>
      <c r="K19" s="5">
        <f t="shared" si="2"/>
        <v>4043515.8603021791</v>
      </c>
      <c r="L19" s="4">
        <f t="shared" si="3"/>
        <v>0</v>
      </c>
      <c r="M19" s="2">
        <f t="shared" si="4"/>
        <v>260.89981165419198</v>
      </c>
      <c r="N19" s="1">
        <f t="shared" si="5"/>
        <v>7</v>
      </c>
      <c r="O19" s="3">
        <f t="shared" si="6"/>
        <v>133142.69371822639</v>
      </c>
      <c r="P19" s="2">
        <f t="shared" si="7"/>
        <v>180.81805531370108</v>
      </c>
      <c r="Q19" s="2">
        <f t="shared" si="8"/>
        <v>29.172149788188165</v>
      </c>
      <c r="R19" s="2">
        <f t="shared" si="8"/>
        <v>492.62747352019579</v>
      </c>
      <c r="S19" s="2">
        <f t="shared" si="9"/>
        <v>492.62747352019579</v>
      </c>
    </row>
    <row r="20" spans="2:19" x14ac:dyDescent="0.25">
      <c r="B20" s="10">
        <v>55</v>
      </c>
      <c r="C20" s="10">
        <v>3</v>
      </c>
      <c r="D20" s="9" t="s">
        <v>73</v>
      </c>
      <c r="E20" s="162">
        <f>INDEX('2016 Lockdown Update'!H$5:H$245,MATCH(B20,'2016 Lockdown Update'!B$5:B$245,0))</f>
        <v>5026.28</v>
      </c>
      <c r="F20" s="7">
        <f>INDEX('2016 Lockdown Update'!E$5:E$245,MATCH(B20,'2016 Lockdown Update'!B$5:B$245,0))</f>
        <v>1540200.2</v>
      </c>
      <c r="G20" s="7">
        <f>INDEX('2016 Lockdown Update'!F$5:F$245,MATCH(B20,'2016 Lockdown Update'!B$5:B$245,0))</f>
        <v>198951.28000000003</v>
      </c>
      <c r="H20" s="7">
        <f t="shared" si="0"/>
        <v>1341248.92</v>
      </c>
      <c r="I20" s="6">
        <f t="shared" si="1"/>
        <v>266.84723493319115</v>
      </c>
      <c r="J20" s="6">
        <f t="shared" si="10"/>
        <v>266.84723493319115</v>
      </c>
      <c r="K20" s="5">
        <f t="shared" si="2"/>
        <v>1341248.92</v>
      </c>
      <c r="L20" s="4">
        <f t="shared" si="3"/>
        <v>0</v>
      </c>
      <c r="M20" s="2">
        <f t="shared" si="4"/>
        <v>260.89981165419198</v>
      </c>
      <c r="N20" s="1">
        <f t="shared" si="5"/>
        <v>7</v>
      </c>
      <c r="O20" s="3">
        <f t="shared" si="6"/>
        <v>35.371843659581209</v>
      </c>
      <c r="P20" s="2">
        <f t="shared" si="7"/>
        <v>180.81805531370108</v>
      </c>
      <c r="Q20" s="2">
        <f t="shared" si="8"/>
        <v>29.172149788188165</v>
      </c>
      <c r="R20" s="2">
        <f t="shared" si="8"/>
        <v>492.62747352019579</v>
      </c>
      <c r="S20" s="2">
        <f t="shared" si="9"/>
        <v>266.84723493319115</v>
      </c>
    </row>
    <row r="21" spans="2:19" x14ac:dyDescent="0.25">
      <c r="B21" s="10">
        <v>103</v>
      </c>
      <c r="C21" s="10">
        <v>3</v>
      </c>
      <c r="D21" s="9" t="s">
        <v>74</v>
      </c>
      <c r="E21" s="162">
        <f>INDEX('2016 Lockdown Update'!H$5:H$245,MATCH(B21,'2016 Lockdown Update'!B$5:B$245,0))</f>
        <v>4416.28</v>
      </c>
      <c r="F21" s="7">
        <f>INDEX('2016 Lockdown Update'!E$5:E$245,MATCH(B21,'2016 Lockdown Update'!B$5:B$245,0))</f>
        <v>1475574.81</v>
      </c>
      <c r="G21" s="7">
        <f>INDEX('2016 Lockdown Update'!F$5:F$245,MATCH(B21,'2016 Lockdown Update'!B$5:B$245,0))</f>
        <v>726198.01</v>
      </c>
      <c r="H21" s="7">
        <f t="shared" si="0"/>
        <v>749376.8</v>
      </c>
      <c r="I21" s="6">
        <f t="shared" si="1"/>
        <v>169.68507431594014</v>
      </c>
      <c r="J21" s="6">
        <f t="shared" si="10"/>
        <v>169.68507431594014</v>
      </c>
      <c r="K21" s="5">
        <f t="shared" si="2"/>
        <v>749376.8</v>
      </c>
      <c r="L21" s="4">
        <f t="shared" si="3"/>
        <v>0</v>
      </c>
      <c r="M21" s="2">
        <f t="shared" si="4"/>
        <v>260.89981165419198</v>
      </c>
      <c r="N21" s="1">
        <f t="shared" si="5"/>
        <v>7</v>
      </c>
      <c r="O21" s="3">
        <f t="shared" si="6"/>
        <v>8320.1283076862746</v>
      </c>
      <c r="P21" s="2">
        <f t="shared" si="7"/>
        <v>180.81805531370108</v>
      </c>
      <c r="Q21" s="2">
        <f t="shared" si="8"/>
        <v>29.172149788188165</v>
      </c>
      <c r="R21" s="2">
        <f t="shared" si="8"/>
        <v>492.62747352019579</v>
      </c>
      <c r="S21" s="2">
        <f t="shared" si="9"/>
        <v>169.68507431594014</v>
      </c>
    </row>
    <row r="22" spans="2:19" x14ac:dyDescent="0.25">
      <c r="B22" s="10">
        <v>123</v>
      </c>
      <c r="C22" s="10">
        <v>3</v>
      </c>
      <c r="D22" s="9" t="s">
        <v>75</v>
      </c>
      <c r="E22" s="162">
        <f>INDEX('2016 Lockdown Update'!H$5:H$245,MATCH(B22,'2016 Lockdown Update'!B$5:B$245,0))</f>
        <v>6092.3600000000006</v>
      </c>
      <c r="F22" s="7">
        <f>INDEX('2016 Lockdown Update'!E$5:E$245,MATCH(B22,'2016 Lockdown Update'!B$5:B$245,0))</f>
        <v>1280784.6000000001</v>
      </c>
      <c r="G22" s="7">
        <f>INDEX('2016 Lockdown Update'!F$5:F$245,MATCH(B22,'2016 Lockdown Update'!B$5:B$245,0))</f>
        <v>0</v>
      </c>
      <c r="H22" s="7">
        <f t="shared" si="0"/>
        <v>1280784.6000000001</v>
      </c>
      <c r="I22" s="6">
        <f t="shared" si="1"/>
        <v>210.22799046674851</v>
      </c>
      <c r="J22" s="6">
        <f t="shared" si="10"/>
        <v>210.22799046674851</v>
      </c>
      <c r="K22" s="5">
        <f t="shared" si="2"/>
        <v>1280784.6000000001</v>
      </c>
      <c r="L22" s="4">
        <f t="shared" si="3"/>
        <v>0</v>
      </c>
      <c r="M22" s="2">
        <f t="shared" si="4"/>
        <v>260.89981165419198</v>
      </c>
      <c r="N22" s="1">
        <f t="shared" si="5"/>
        <v>7</v>
      </c>
      <c r="O22" s="3">
        <f t="shared" si="6"/>
        <v>2567.6334624522451</v>
      </c>
      <c r="P22" s="2">
        <f t="shared" si="7"/>
        <v>180.81805531370108</v>
      </c>
      <c r="Q22" s="2">
        <f t="shared" si="8"/>
        <v>29.172149788188165</v>
      </c>
      <c r="R22" s="2">
        <f t="shared" si="8"/>
        <v>492.62747352019579</v>
      </c>
      <c r="S22" s="2">
        <f t="shared" si="9"/>
        <v>210.22799046674851</v>
      </c>
    </row>
    <row r="23" spans="2:19" x14ac:dyDescent="0.25">
      <c r="B23" s="10">
        <v>179</v>
      </c>
      <c r="C23" s="10">
        <v>3</v>
      </c>
      <c r="D23" s="9" t="s">
        <v>76</v>
      </c>
      <c r="E23" s="162">
        <f>INDEX('2016 Lockdown Update'!H$5:H$245,MATCH(B23,'2016 Lockdown Update'!B$5:B$245,0))</f>
        <v>6393.23</v>
      </c>
      <c r="F23" s="7">
        <f>INDEX('2016 Lockdown Update'!E$5:E$245,MATCH(B23,'2016 Lockdown Update'!B$5:B$245,0))</f>
        <v>2266732.16</v>
      </c>
      <c r="G23" s="7">
        <f>INDEX('2016 Lockdown Update'!F$5:F$245,MATCH(B23,'2016 Lockdown Update'!B$5:B$245,0))</f>
        <v>832595.65</v>
      </c>
      <c r="H23" s="7">
        <f t="shared" si="0"/>
        <v>1434136.5100000002</v>
      </c>
      <c r="I23" s="6">
        <f t="shared" si="1"/>
        <v>224.3211193715853</v>
      </c>
      <c r="J23" s="6">
        <f t="shared" si="10"/>
        <v>224.3211193715853</v>
      </c>
      <c r="K23" s="5">
        <f t="shared" si="2"/>
        <v>1434136.5100000002</v>
      </c>
      <c r="L23" s="4">
        <f t="shared" si="3"/>
        <v>0</v>
      </c>
      <c r="M23" s="2">
        <f t="shared" si="4"/>
        <v>260.89981165419198</v>
      </c>
      <c r="N23" s="1">
        <f t="shared" si="5"/>
        <v>7</v>
      </c>
      <c r="O23" s="3">
        <f t="shared" si="6"/>
        <v>1338.0007291056295</v>
      </c>
      <c r="P23" s="2">
        <f t="shared" si="7"/>
        <v>180.81805531370108</v>
      </c>
      <c r="Q23" s="2">
        <f t="shared" si="8"/>
        <v>29.172149788188165</v>
      </c>
      <c r="R23" s="2">
        <f t="shared" si="8"/>
        <v>492.62747352019579</v>
      </c>
      <c r="S23" s="2">
        <f t="shared" si="9"/>
        <v>224.3211193715853</v>
      </c>
    </row>
    <row r="24" spans="2:19" x14ac:dyDescent="0.25">
      <c r="B24" s="10">
        <v>293</v>
      </c>
      <c r="C24" s="10">
        <v>3</v>
      </c>
      <c r="D24" s="9" t="s">
        <v>77</v>
      </c>
      <c r="E24" s="162">
        <f>INDEX('2016 Lockdown Update'!H$5:H$245,MATCH(B24,'2016 Lockdown Update'!B$5:B$245,0))</f>
        <v>7426.93</v>
      </c>
      <c r="F24" s="7">
        <f>INDEX('2016 Lockdown Update'!E$5:E$245,MATCH(B24,'2016 Lockdown Update'!B$5:B$245,0))</f>
        <v>1946070.4</v>
      </c>
      <c r="G24" s="7">
        <f>INDEX('2016 Lockdown Update'!F$5:F$245,MATCH(B24,'2016 Lockdown Update'!B$5:B$245,0))</f>
        <v>1038396.9600000001</v>
      </c>
      <c r="H24" s="7">
        <f t="shared" si="0"/>
        <v>907673.43999999983</v>
      </c>
      <c r="I24" s="6">
        <f t="shared" si="1"/>
        <v>122.21381378308396</v>
      </c>
      <c r="J24" s="6">
        <f t="shared" si="10"/>
        <v>122.21381378308396</v>
      </c>
      <c r="K24" s="5">
        <f t="shared" si="2"/>
        <v>907673.43999999983</v>
      </c>
      <c r="L24" s="4">
        <f t="shared" si="3"/>
        <v>0</v>
      </c>
      <c r="M24" s="2">
        <f t="shared" si="4"/>
        <v>260.89981165419198</v>
      </c>
      <c r="N24" s="1">
        <f t="shared" si="5"/>
        <v>7</v>
      </c>
      <c r="O24" s="3">
        <f t="shared" si="6"/>
        <v>19233.806005504975</v>
      </c>
      <c r="P24" s="2">
        <f t="shared" si="7"/>
        <v>180.81805531370108</v>
      </c>
      <c r="Q24" s="2">
        <f t="shared" si="8"/>
        <v>29.172149788188165</v>
      </c>
      <c r="R24" s="2">
        <f t="shared" si="8"/>
        <v>492.62747352019579</v>
      </c>
      <c r="S24" s="2">
        <f t="shared" si="9"/>
        <v>122.21381378308396</v>
      </c>
    </row>
    <row r="25" spans="2:19" x14ac:dyDescent="0.25">
      <c r="B25" s="10">
        <v>12</v>
      </c>
      <c r="C25" s="10">
        <v>4</v>
      </c>
      <c r="D25" s="9" t="s">
        <v>78</v>
      </c>
      <c r="E25" s="162">
        <f>INDEX('2016 Lockdown Update'!H$5:H$245,MATCH(B25,'2016 Lockdown Update'!B$5:B$245,0))</f>
        <v>6540.0999999999995</v>
      </c>
      <c r="F25" s="7">
        <f>INDEX('2016 Lockdown Update'!E$5:E$245,MATCH(B25,'2016 Lockdown Update'!B$5:B$245,0))</f>
        <v>2911366.04</v>
      </c>
      <c r="G25" s="7">
        <f>INDEX('2016 Lockdown Update'!F$5:F$245,MATCH(B25,'2016 Lockdown Update'!B$5:B$245,0))</f>
        <v>798066.29</v>
      </c>
      <c r="H25" s="7">
        <f t="shared" si="0"/>
        <v>2113299.75</v>
      </c>
      <c r="I25" s="6">
        <f t="shared" si="1"/>
        <v>323.12957752939559</v>
      </c>
      <c r="J25" s="6">
        <f t="shared" si="10"/>
        <v>323.12957752939559</v>
      </c>
      <c r="K25" s="5">
        <f t="shared" si="2"/>
        <v>2113299.75</v>
      </c>
      <c r="L25" s="4">
        <f t="shared" si="3"/>
        <v>0</v>
      </c>
      <c r="M25" s="2">
        <f t="shared" si="4"/>
        <v>347.34803339460058</v>
      </c>
      <c r="N25" s="1">
        <f t="shared" si="5"/>
        <v>15</v>
      </c>
      <c r="O25" s="3">
        <f t="shared" si="6"/>
        <v>586.53360449488184</v>
      </c>
      <c r="P25" s="2">
        <f t="shared" si="7"/>
        <v>101.50871616280119</v>
      </c>
      <c r="Q25" s="2">
        <f t="shared" si="8"/>
        <v>217.25937927974022</v>
      </c>
      <c r="R25" s="2">
        <f t="shared" si="8"/>
        <v>477.43668750946097</v>
      </c>
      <c r="S25" s="2">
        <f t="shared" si="9"/>
        <v>323.12957752939559</v>
      </c>
    </row>
    <row r="26" spans="2:19" x14ac:dyDescent="0.25">
      <c r="B26" s="10">
        <v>21</v>
      </c>
      <c r="C26" s="10">
        <v>4</v>
      </c>
      <c r="D26" s="9" t="s">
        <v>79</v>
      </c>
      <c r="E26" s="162">
        <f>INDEX('2016 Lockdown Update'!H$5:H$245,MATCH(B26,'2016 Lockdown Update'!B$5:B$245,0))</f>
        <v>5031.6800000000012</v>
      </c>
      <c r="F26" s="7">
        <f>INDEX('2016 Lockdown Update'!E$5:E$245,MATCH(B26,'2016 Lockdown Update'!B$5:B$245,0))</f>
        <v>2542018.17</v>
      </c>
      <c r="G26" s="7">
        <f>INDEX('2016 Lockdown Update'!F$5:F$245,MATCH(B26,'2016 Lockdown Update'!B$5:B$245,0))</f>
        <v>700832.25999999989</v>
      </c>
      <c r="H26" s="7">
        <f t="shared" si="0"/>
        <v>1841185.9100000001</v>
      </c>
      <c r="I26" s="6">
        <f t="shared" si="1"/>
        <v>365.9187209838463</v>
      </c>
      <c r="J26" s="6">
        <f t="shared" si="10"/>
        <v>365.9187209838463</v>
      </c>
      <c r="K26" s="5">
        <f t="shared" si="2"/>
        <v>1841185.9100000001</v>
      </c>
      <c r="L26" s="4">
        <f t="shared" si="3"/>
        <v>0</v>
      </c>
      <c r="M26" s="2">
        <f t="shared" si="4"/>
        <v>347.34803339460058</v>
      </c>
      <c r="N26" s="1">
        <f t="shared" si="5"/>
        <v>15</v>
      </c>
      <c r="O26" s="3">
        <f t="shared" si="6"/>
        <v>344.87043753736509</v>
      </c>
      <c r="P26" s="2">
        <f t="shared" si="7"/>
        <v>101.50871616280119</v>
      </c>
      <c r="Q26" s="2">
        <f t="shared" ref="Q26:R45" si="11">NORMINV(Q$4,$M26,$P26)</f>
        <v>217.25937927974022</v>
      </c>
      <c r="R26" s="2">
        <f t="shared" si="11"/>
        <v>477.43668750946097</v>
      </c>
      <c r="S26" s="2">
        <f t="shared" si="9"/>
        <v>365.9187209838463</v>
      </c>
    </row>
    <row r="27" spans="2:19" x14ac:dyDescent="0.25">
      <c r="B27" s="10">
        <v>34</v>
      </c>
      <c r="C27" s="10">
        <v>4</v>
      </c>
      <c r="D27" s="9" t="s">
        <v>80</v>
      </c>
      <c r="E27" s="162">
        <f>INDEX('2016 Lockdown Update'!H$5:H$245,MATCH(B27,'2016 Lockdown Update'!B$5:B$245,0))</f>
        <v>4383.0280983803068</v>
      </c>
      <c r="F27" s="7">
        <f>INDEX('2016 Lockdown Update'!E$5:E$245,MATCH(B27,'2016 Lockdown Update'!B$5:B$245,0))</f>
        <v>2583604.7400000002</v>
      </c>
      <c r="G27" s="7">
        <f>INDEX('2016 Lockdown Update'!F$5:F$245,MATCH(B27,'2016 Lockdown Update'!B$5:B$245,0))</f>
        <v>577411.25</v>
      </c>
      <c r="H27" s="7">
        <f t="shared" si="0"/>
        <v>2006193.4900000002</v>
      </c>
      <c r="I27" s="6">
        <f t="shared" si="1"/>
        <v>457.71860115187576</v>
      </c>
      <c r="J27" s="6">
        <f t="shared" si="10"/>
        <v>457.71860115187576</v>
      </c>
      <c r="K27" s="5">
        <f t="shared" si="2"/>
        <v>2006193.4900000002</v>
      </c>
      <c r="L27" s="4">
        <f t="shared" si="3"/>
        <v>0</v>
      </c>
      <c r="M27" s="2">
        <f t="shared" si="4"/>
        <v>347.34803339460058</v>
      </c>
      <c r="N27" s="1">
        <f t="shared" si="5"/>
        <v>15</v>
      </c>
      <c r="O27" s="3">
        <f t="shared" si="6"/>
        <v>12181.662227063272</v>
      </c>
      <c r="P27" s="2">
        <f t="shared" si="7"/>
        <v>101.50871616280119</v>
      </c>
      <c r="Q27" s="2">
        <f t="shared" si="11"/>
        <v>217.25937927974022</v>
      </c>
      <c r="R27" s="2">
        <f t="shared" si="11"/>
        <v>477.43668750946097</v>
      </c>
      <c r="S27" s="2">
        <f t="shared" si="9"/>
        <v>457.71860115187576</v>
      </c>
    </row>
    <row r="28" spans="2:19" x14ac:dyDescent="0.25">
      <c r="B28" s="10">
        <v>87</v>
      </c>
      <c r="C28" s="10">
        <v>4</v>
      </c>
      <c r="D28" s="9" t="s">
        <v>81</v>
      </c>
      <c r="E28" s="162">
        <f>INDEX('2016 Lockdown Update'!H$5:H$245,MATCH(B28,'2016 Lockdown Update'!B$5:B$245,0))</f>
        <v>11449.410000000003</v>
      </c>
      <c r="F28" s="7">
        <f>INDEX('2016 Lockdown Update'!E$5:E$245,MATCH(B28,'2016 Lockdown Update'!B$5:B$245,0))</f>
        <v>4930331.6100000003</v>
      </c>
      <c r="G28" s="7">
        <f>INDEX('2016 Lockdown Update'!F$5:F$245,MATCH(B28,'2016 Lockdown Update'!B$5:B$245,0))</f>
        <v>1450844.11</v>
      </c>
      <c r="H28" s="7">
        <f t="shared" si="0"/>
        <v>3479487.5</v>
      </c>
      <c r="I28" s="6">
        <f t="shared" si="1"/>
        <v>303.90103070813245</v>
      </c>
      <c r="J28" s="6">
        <f t="shared" si="10"/>
        <v>303.90103070813245</v>
      </c>
      <c r="K28" s="5">
        <f t="shared" si="2"/>
        <v>3479487.5</v>
      </c>
      <c r="L28" s="4">
        <f t="shared" si="3"/>
        <v>0</v>
      </c>
      <c r="M28" s="2">
        <f t="shared" si="4"/>
        <v>347.34803339460058</v>
      </c>
      <c r="N28" s="1">
        <f t="shared" si="5"/>
        <v>15</v>
      </c>
      <c r="O28" s="3">
        <f t="shared" si="6"/>
        <v>1887.6420424379685</v>
      </c>
      <c r="P28" s="2">
        <f t="shared" si="7"/>
        <v>101.50871616280119</v>
      </c>
      <c r="Q28" s="2">
        <f t="shared" si="11"/>
        <v>217.25937927974022</v>
      </c>
      <c r="R28" s="2">
        <f t="shared" si="11"/>
        <v>477.43668750946097</v>
      </c>
      <c r="S28" s="2">
        <f t="shared" si="9"/>
        <v>303.90103070813245</v>
      </c>
    </row>
    <row r="29" spans="2:19" x14ac:dyDescent="0.25">
      <c r="B29" s="10">
        <v>88</v>
      </c>
      <c r="C29" s="10">
        <v>4</v>
      </c>
      <c r="D29" s="9" t="s">
        <v>82</v>
      </c>
      <c r="E29" s="162">
        <f>INDEX('2016 Lockdown Update'!H$5:H$245,MATCH(B29,'2016 Lockdown Update'!B$5:B$245,0))</f>
        <v>4895.6900000000005</v>
      </c>
      <c r="F29" s="7">
        <f>INDEX('2016 Lockdown Update'!E$5:E$245,MATCH(B29,'2016 Lockdown Update'!B$5:B$245,0))</f>
        <v>2025989.53</v>
      </c>
      <c r="G29" s="7">
        <f>INDEX('2016 Lockdown Update'!F$5:F$245,MATCH(B29,'2016 Lockdown Update'!B$5:B$245,0))</f>
        <v>622194.94999999995</v>
      </c>
      <c r="H29" s="7">
        <f t="shared" si="0"/>
        <v>1403794.58</v>
      </c>
      <c r="I29" s="6">
        <f t="shared" si="1"/>
        <v>286.74090475499878</v>
      </c>
      <c r="J29" s="6">
        <f t="shared" si="10"/>
        <v>286.74090475499878</v>
      </c>
      <c r="K29" s="5">
        <f t="shared" si="2"/>
        <v>1403794.58</v>
      </c>
      <c r="L29" s="4">
        <f t="shared" si="3"/>
        <v>0</v>
      </c>
      <c r="M29" s="2">
        <f t="shared" si="4"/>
        <v>347.34803339460058</v>
      </c>
      <c r="N29" s="1">
        <f t="shared" si="5"/>
        <v>15</v>
      </c>
      <c r="O29" s="3">
        <f t="shared" si="6"/>
        <v>3673.2240419372401</v>
      </c>
      <c r="P29" s="2">
        <f t="shared" si="7"/>
        <v>101.50871616280119</v>
      </c>
      <c r="Q29" s="2">
        <f t="shared" si="11"/>
        <v>217.25937927974022</v>
      </c>
      <c r="R29" s="2">
        <f t="shared" si="11"/>
        <v>477.43668750946097</v>
      </c>
      <c r="S29" s="2">
        <f t="shared" si="9"/>
        <v>286.74090475499878</v>
      </c>
    </row>
    <row r="30" spans="2:19" x14ac:dyDescent="0.25">
      <c r="B30" s="10">
        <v>89</v>
      </c>
      <c r="C30" s="10">
        <v>4</v>
      </c>
      <c r="D30" s="9" t="s">
        <v>83</v>
      </c>
      <c r="E30" s="162">
        <f>INDEX('2016 Lockdown Update'!H$5:H$245,MATCH(B30,'2016 Lockdown Update'!B$5:B$245,0))</f>
        <v>5563.7699999999995</v>
      </c>
      <c r="F30" s="7">
        <f>INDEX('2016 Lockdown Update'!E$5:E$245,MATCH(B30,'2016 Lockdown Update'!B$5:B$245,0))</f>
        <v>3474232.89</v>
      </c>
      <c r="G30" s="7">
        <f>INDEX('2016 Lockdown Update'!F$5:F$245,MATCH(B30,'2016 Lockdown Update'!B$5:B$245,0))</f>
        <v>503791.61</v>
      </c>
      <c r="H30" s="7">
        <f t="shared" si="0"/>
        <v>2970441.2800000003</v>
      </c>
      <c r="I30" s="6">
        <f t="shared" si="1"/>
        <v>533.89002061551798</v>
      </c>
      <c r="J30" s="6">
        <f t="shared" si="10"/>
        <v>477.43668750946097</v>
      </c>
      <c r="K30" s="5">
        <f t="shared" si="2"/>
        <v>2656347.9188645133</v>
      </c>
      <c r="L30" s="4">
        <f t="shared" si="3"/>
        <v>0</v>
      </c>
      <c r="M30" s="2">
        <f t="shared" si="4"/>
        <v>347.34803339460058</v>
      </c>
      <c r="N30" s="1">
        <f t="shared" si="5"/>
        <v>15</v>
      </c>
      <c r="O30" s="3">
        <f t="shared" si="6"/>
        <v>34797.912996328916</v>
      </c>
      <c r="P30" s="2">
        <f t="shared" si="7"/>
        <v>101.50871616280119</v>
      </c>
      <c r="Q30" s="2">
        <f t="shared" si="11"/>
        <v>217.25937927974022</v>
      </c>
      <c r="R30" s="2">
        <f t="shared" si="11"/>
        <v>477.43668750946097</v>
      </c>
      <c r="S30" s="2">
        <f t="shared" si="9"/>
        <v>477.43668750946097</v>
      </c>
    </row>
    <row r="31" spans="2:19" x14ac:dyDescent="0.25">
      <c r="B31" s="10">
        <v>143</v>
      </c>
      <c r="C31" s="10">
        <v>4</v>
      </c>
      <c r="D31" s="9" t="s">
        <v>84</v>
      </c>
      <c r="E31" s="162">
        <f>INDEX('2016 Lockdown Update'!H$5:H$245,MATCH(B31,'2016 Lockdown Update'!B$5:B$245,0))</f>
        <v>2972.26</v>
      </c>
      <c r="F31" s="7">
        <f>INDEX('2016 Lockdown Update'!E$5:E$245,MATCH(B31,'2016 Lockdown Update'!B$5:B$245,0))</f>
        <v>921038.36</v>
      </c>
      <c r="G31" s="7">
        <f>INDEX('2016 Lockdown Update'!F$5:F$245,MATCH(B31,'2016 Lockdown Update'!B$5:B$245,0))</f>
        <v>349016.00999999995</v>
      </c>
      <c r="H31" s="7">
        <f t="shared" si="0"/>
        <v>572022.35000000009</v>
      </c>
      <c r="I31" s="6">
        <f t="shared" si="1"/>
        <v>192.45367161688415</v>
      </c>
      <c r="J31" s="6">
        <f t="shared" si="10"/>
        <v>192.45367161688415</v>
      </c>
      <c r="K31" s="5">
        <f t="shared" si="2"/>
        <v>572022.35000000009</v>
      </c>
      <c r="L31" s="4">
        <f t="shared" si="3"/>
        <v>0</v>
      </c>
      <c r="M31" s="2">
        <f t="shared" si="4"/>
        <v>347.34803339460058</v>
      </c>
      <c r="N31" s="1">
        <f t="shared" si="5"/>
        <v>15</v>
      </c>
      <c r="O31" s="3">
        <f t="shared" si="6"/>
        <v>23992.263310526101</v>
      </c>
      <c r="P31" s="2">
        <f t="shared" si="7"/>
        <v>101.50871616280119</v>
      </c>
      <c r="Q31" s="2">
        <f t="shared" si="11"/>
        <v>217.25937927974022</v>
      </c>
      <c r="R31" s="2">
        <f t="shared" si="11"/>
        <v>477.43668750946097</v>
      </c>
      <c r="S31" s="2">
        <f t="shared" si="9"/>
        <v>217.25937927974022</v>
      </c>
    </row>
    <row r="32" spans="2:19" x14ac:dyDescent="0.25">
      <c r="B32" s="10">
        <v>183</v>
      </c>
      <c r="C32" s="10">
        <v>4</v>
      </c>
      <c r="D32" s="9" t="s">
        <v>85</v>
      </c>
      <c r="E32" s="162">
        <f>INDEX('2016 Lockdown Update'!H$5:H$245,MATCH(B32,'2016 Lockdown Update'!B$5:B$245,0))</f>
        <v>13310.259999999998</v>
      </c>
      <c r="F32" s="7">
        <f>INDEX('2016 Lockdown Update'!E$5:E$245,MATCH(B32,'2016 Lockdown Update'!B$5:B$245,0))</f>
        <v>6404140.3300000001</v>
      </c>
      <c r="G32" s="7">
        <f>INDEX('2016 Lockdown Update'!F$5:F$245,MATCH(B32,'2016 Lockdown Update'!B$5:B$245,0))</f>
        <v>929109.82</v>
      </c>
      <c r="H32" s="7">
        <f t="shared" si="0"/>
        <v>5475030.5099999998</v>
      </c>
      <c r="I32" s="6">
        <f t="shared" si="1"/>
        <v>411.33911058086022</v>
      </c>
      <c r="J32" s="6">
        <f t="shared" si="10"/>
        <v>411.33911058086022</v>
      </c>
      <c r="K32" s="5">
        <f t="shared" si="2"/>
        <v>5475030.5099999998</v>
      </c>
      <c r="L32" s="4">
        <f t="shared" si="3"/>
        <v>0</v>
      </c>
      <c r="M32" s="2">
        <f t="shared" si="4"/>
        <v>347.34803339460058</v>
      </c>
      <c r="N32" s="1">
        <f t="shared" si="5"/>
        <v>15</v>
      </c>
      <c r="O32" s="3">
        <f t="shared" si="6"/>
        <v>4094.8579594578396</v>
      </c>
      <c r="P32" s="2">
        <f t="shared" si="7"/>
        <v>101.50871616280119</v>
      </c>
      <c r="Q32" s="2">
        <f t="shared" si="11"/>
        <v>217.25937927974022</v>
      </c>
      <c r="R32" s="2">
        <f t="shared" si="11"/>
        <v>477.43668750946097</v>
      </c>
      <c r="S32" s="2">
        <f t="shared" si="9"/>
        <v>411.33911058086022</v>
      </c>
    </row>
    <row r="33" spans="2:19" x14ac:dyDescent="0.25">
      <c r="B33" s="10">
        <v>186</v>
      </c>
      <c r="C33" s="10">
        <v>4</v>
      </c>
      <c r="D33" s="9" t="s">
        <v>86</v>
      </c>
      <c r="E33" s="162">
        <f>INDEX('2016 Lockdown Update'!H$5:H$245,MATCH(B33,'2016 Lockdown Update'!B$5:B$245,0))</f>
        <v>11843.06</v>
      </c>
      <c r="F33" s="7">
        <f>INDEX('2016 Lockdown Update'!E$5:E$245,MATCH(B33,'2016 Lockdown Update'!B$5:B$245,0))</f>
        <v>6470725.8099999996</v>
      </c>
      <c r="G33" s="7">
        <f>INDEX('2016 Lockdown Update'!F$5:F$245,MATCH(B33,'2016 Lockdown Update'!B$5:B$245,0))</f>
        <v>1403161.9500000004</v>
      </c>
      <c r="H33" s="7">
        <f t="shared" si="0"/>
        <v>5067563.8599999994</v>
      </c>
      <c r="I33" s="6">
        <f t="shared" si="1"/>
        <v>427.89311715046614</v>
      </c>
      <c r="J33" s="6">
        <f t="shared" si="10"/>
        <v>427.89311715046614</v>
      </c>
      <c r="K33" s="5">
        <f t="shared" si="2"/>
        <v>5067563.8599999994</v>
      </c>
      <c r="L33" s="4">
        <f t="shared" si="3"/>
        <v>0</v>
      </c>
      <c r="M33" s="2">
        <f t="shared" si="4"/>
        <v>347.34803339460058</v>
      </c>
      <c r="N33" s="1">
        <f t="shared" si="5"/>
        <v>15</v>
      </c>
      <c r="O33" s="3">
        <f t="shared" si="6"/>
        <v>6487.5105172393987</v>
      </c>
      <c r="P33" s="2">
        <f t="shared" si="7"/>
        <v>101.50871616280119</v>
      </c>
      <c r="Q33" s="2">
        <f t="shared" si="11"/>
        <v>217.25937927974022</v>
      </c>
      <c r="R33" s="2">
        <f t="shared" si="11"/>
        <v>477.43668750946097</v>
      </c>
      <c r="S33" s="2">
        <f t="shared" si="9"/>
        <v>427.89311715046614</v>
      </c>
    </row>
    <row r="34" spans="2:19" x14ac:dyDescent="0.25">
      <c r="B34" s="10">
        <v>190</v>
      </c>
      <c r="C34" s="10">
        <v>4</v>
      </c>
      <c r="D34" s="9" t="s">
        <v>87</v>
      </c>
      <c r="E34" s="162">
        <f>INDEX('2016 Lockdown Update'!H$5:H$245,MATCH(B34,'2016 Lockdown Update'!B$5:B$245,0))</f>
        <v>3640.8700000000003</v>
      </c>
      <c r="F34" s="7">
        <f>INDEX('2016 Lockdown Update'!E$5:E$245,MATCH(B34,'2016 Lockdown Update'!B$5:B$245,0))</f>
        <v>1980947.67</v>
      </c>
      <c r="G34" s="7">
        <f>INDEX('2016 Lockdown Update'!F$5:F$245,MATCH(B34,'2016 Lockdown Update'!B$5:B$245,0))</f>
        <v>553343.46</v>
      </c>
      <c r="H34" s="7">
        <f t="shared" si="0"/>
        <v>1427604.21</v>
      </c>
      <c r="I34" s="6">
        <f t="shared" si="1"/>
        <v>392.10524132968214</v>
      </c>
      <c r="J34" s="6">
        <f t="shared" si="10"/>
        <v>392.10524132968214</v>
      </c>
      <c r="K34" s="5">
        <f t="shared" si="2"/>
        <v>1427604.21</v>
      </c>
      <c r="L34" s="4">
        <f t="shared" si="3"/>
        <v>0</v>
      </c>
      <c r="M34" s="2">
        <f t="shared" si="4"/>
        <v>347.34803339460058</v>
      </c>
      <c r="N34" s="1">
        <f t="shared" si="5"/>
        <v>15</v>
      </c>
      <c r="O34" s="3">
        <f t="shared" si="6"/>
        <v>2003.2076621441283</v>
      </c>
      <c r="P34" s="2">
        <f t="shared" si="7"/>
        <v>101.50871616280119</v>
      </c>
      <c r="Q34" s="2">
        <f t="shared" si="11"/>
        <v>217.25937927974022</v>
      </c>
      <c r="R34" s="2">
        <f t="shared" si="11"/>
        <v>477.43668750946097</v>
      </c>
      <c r="S34" s="2">
        <f t="shared" si="9"/>
        <v>392.10524132968214</v>
      </c>
    </row>
    <row r="35" spans="2:19" x14ac:dyDescent="0.25">
      <c r="B35" s="10">
        <v>324</v>
      </c>
      <c r="C35" s="10">
        <v>4</v>
      </c>
      <c r="D35" s="9" t="s">
        <v>88</v>
      </c>
      <c r="E35" s="162">
        <f>INDEX('2016 Lockdown Update'!H$5:H$245,MATCH(B35,'2016 Lockdown Update'!B$5:B$245,0))</f>
        <v>8281.93</v>
      </c>
      <c r="F35" s="7">
        <f>INDEX('2016 Lockdown Update'!E$5:E$245,MATCH(B35,'2016 Lockdown Update'!B$5:B$245,0))</f>
        <v>4004161.99</v>
      </c>
      <c r="G35" s="7">
        <f>INDEX('2016 Lockdown Update'!F$5:F$245,MATCH(B35,'2016 Lockdown Update'!B$5:B$245,0))</f>
        <v>1192024.54</v>
      </c>
      <c r="H35" s="7">
        <f t="shared" si="0"/>
        <v>2812137.45</v>
      </c>
      <c r="I35" s="6">
        <f t="shared" si="1"/>
        <v>339.55098026667696</v>
      </c>
      <c r="J35" s="6">
        <f t="shared" si="10"/>
        <v>339.55098026667696</v>
      </c>
      <c r="K35" s="5">
        <f t="shared" si="2"/>
        <v>2812137.45</v>
      </c>
      <c r="L35" s="4">
        <f t="shared" si="3"/>
        <v>0</v>
      </c>
      <c r="M35" s="2">
        <f t="shared" si="4"/>
        <v>347.34803339460058</v>
      </c>
      <c r="N35" s="1">
        <f t="shared" si="5"/>
        <v>15</v>
      </c>
      <c r="O35" s="3">
        <f t="shared" si="6"/>
        <v>60.79403747966348</v>
      </c>
      <c r="P35" s="2">
        <f t="shared" si="7"/>
        <v>101.50871616280119</v>
      </c>
      <c r="Q35" s="2">
        <f t="shared" si="11"/>
        <v>217.25937927974022</v>
      </c>
      <c r="R35" s="2">
        <f t="shared" si="11"/>
        <v>477.43668750946097</v>
      </c>
      <c r="S35" s="2">
        <f t="shared" si="9"/>
        <v>339.55098026667696</v>
      </c>
    </row>
    <row r="36" spans="2:19" x14ac:dyDescent="0.25">
      <c r="B36" s="10">
        <v>429</v>
      </c>
      <c r="C36" s="10">
        <v>4</v>
      </c>
      <c r="D36" s="9" t="s">
        <v>89</v>
      </c>
      <c r="E36" s="162">
        <f>INDEX('2016 Lockdown Update'!H$5:H$245,MATCH(B36,'2016 Lockdown Update'!B$5:B$245,0))</f>
        <v>4077.8840881737674</v>
      </c>
      <c r="F36" s="7">
        <f>INDEX('2016 Lockdown Update'!E$5:E$245,MATCH(B36,'2016 Lockdown Update'!B$5:B$245,0))</f>
        <v>1637997.79</v>
      </c>
      <c r="G36" s="7">
        <f>INDEX('2016 Lockdown Update'!F$5:F$245,MATCH(B36,'2016 Lockdown Update'!B$5:B$245,0))</f>
        <v>453512.56</v>
      </c>
      <c r="H36" s="7">
        <f t="shared" si="0"/>
        <v>1184485.23</v>
      </c>
      <c r="I36" s="6">
        <f t="shared" si="1"/>
        <v>290.46564453244616</v>
      </c>
      <c r="J36" s="6">
        <f t="shared" si="10"/>
        <v>290.46564453244616</v>
      </c>
      <c r="K36" s="5">
        <f t="shared" si="2"/>
        <v>1184485.23</v>
      </c>
      <c r="L36" s="4">
        <f t="shared" si="3"/>
        <v>0</v>
      </c>
      <c r="M36" s="2">
        <f t="shared" si="4"/>
        <v>347.34803339460058</v>
      </c>
      <c r="N36" s="1">
        <f t="shared" si="5"/>
        <v>15</v>
      </c>
      <c r="O36" s="3">
        <f t="shared" si="6"/>
        <v>3235.6061626653486</v>
      </c>
      <c r="P36" s="2">
        <f t="shared" si="7"/>
        <v>101.50871616280119</v>
      </c>
      <c r="Q36" s="2">
        <f t="shared" si="11"/>
        <v>217.25937927974022</v>
      </c>
      <c r="R36" s="2">
        <f t="shared" si="11"/>
        <v>477.43668750946097</v>
      </c>
      <c r="S36" s="2">
        <f t="shared" si="9"/>
        <v>290.46564453244616</v>
      </c>
    </row>
    <row r="37" spans="2:19" x14ac:dyDescent="0.25">
      <c r="B37" s="10">
        <v>601</v>
      </c>
      <c r="C37" s="10">
        <v>4</v>
      </c>
      <c r="D37" s="9" t="s">
        <v>90</v>
      </c>
      <c r="E37" s="162">
        <f>INDEX('2016 Lockdown Update'!H$5:H$245,MATCH(B37,'2016 Lockdown Update'!B$5:B$245,0))</f>
        <v>5604.1200000000008</v>
      </c>
      <c r="F37" s="7">
        <f>INDEX('2016 Lockdown Update'!E$5:E$245,MATCH(B37,'2016 Lockdown Update'!B$5:B$245,0))</f>
        <v>2657811.91</v>
      </c>
      <c r="G37" s="7">
        <f>INDEX('2016 Lockdown Update'!F$5:F$245,MATCH(B37,'2016 Lockdown Update'!B$5:B$245,0))</f>
        <v>370273.27999999991</v>
      </c>
      <c r="H37" s="7">
        <f t="shared" si="0"/>
        <v>2287538.6300000004</v>
      </c>
      <c r="I37" s="6">
        <f t="shared" si="1"/>
        <v>408.1887307909181</v>
      </c>
      <c r="J37" s="6">
        <f t="shared" si="10"/>
        <v>408.1887307909181</v>
      </c>
      <c r="K37" s="5">
        <f t="shared" si="2"/>
        <v>2287538.6300000004</v>
      </c>
      <c r="L37" s="4">
        <f t="shared" si="3"/>
        <v>0</v>
      </c>
      <c r="M37" s="2">
        <f t="shared" si="4"/>
        <v>347.34803339460058</v>
      </c>
      <c r="N37" s="1">
        <f t="shared" si="5"/>
        <v>15</v>
      </c>
      <c r="O37" s="3">
        <f t="shared" si="6"/>
        <v>3701.5904596702781</v>
      </c>
      <c r="P37" s="2">
        <f t="shared" si="7"/>
        <v>101.50871616280119</v>
      </c>
      <c r="Q37" s="2">
        <f t="shared" si="11"/>
        <v>217.25937927974022</v>
      </c>
      <c r="R37" s="2">
        <f t="shared" si="11"/>
        <v>477.43668750946097</v>
      </c>
      <c r="S37" s="2">
        <f t="shared" si="9"/>
        <v>408.1887307909181</v>
      </c>
    </row>
    <row r="38" spans="2:19" x14ac:dyDescent="0.25">
      <c r="B38" s="10">
        <v>760</v>
      </c>
      <c r="C38" s="10">
        <v>4</v>
      </c>
      <c r="D38" s="9" t="s">
        <v>91</v>
      </c>
      <c r="E38" s="162">
        <f>INDEX('2016 Lockdown Update'!H$5:H$245,MATCH(B38,'2016 Lockdown Update'!B$5:B$245,0))</f>
        <v>5116.9599999999991</v>
      </c>
      <c r="F38" s="7">
        <f>INDEX('2016 Lockdown Update'!E$5:E$245,MATCH(B38,'2016 Lockdown Update'!B$5:B$245,0))</f>
        <v>1336097.33</v>
      </c>
      <c r="G38" s="7">
        <f>INDEX('2016 Lockdown Update'!F$5:F$245,MATCH(B38,'2016 Lockdown Update'!B$5:B$245,0))</f>
        <v>814885.58000000007</v>
      </c>
      <c r="H38" s="7">
        <f t="shared" si="0"/>
        <v>521211.75</v>
      </c>
      <c r="I38" s="6">
        <f t="shared" si="1"/>
        <v>101.85964908852132</v>
      </c>
      <c r="J38" s="6">
        <f t="shared" si="10"/>
        <v>101.85964908852132</v>
      </c>
      <c r="K38" s="5">
        <f t="shared" si="2"/>
        <v>521211.75</v>
      </c>
      <c r="L38" s="4">
        <f t="shared" si="3"/>
        <v>0</v>
      </c>
      <c r="M38" s="2">
        <f t="shared" si="4"/>
        <v>347.34803339460058</v>
      </c>
      <c r="N38" s="1">
        <f t="shared" si="5"/>
        <v>15</v>
      </c>
      <c r="O38" s="3">
        <f t="shared" si="6"/>
        <v>60264.546829209256</v>
      </c>
      <c r="P38" s="2">
        <f t="shared" si="7"/>
        <v>101.50871616280119</v>
      </c>
      <c r="Q38" s="2">
        <f t="shared" si="11"/>
        <v>217.25937927974022</v>
      </c>
      <c r="R38" s="2">
        <f t="shared" si="11"/>
        <v>477.43668750946097</v>
      </c>
      <c r="S38" s="2">
        <f t="shared" si="9"/>
        <v>217.25937927974022</v>
      </c>
    </row>
    <row r="39" spans="2:19" x14ac:dyDescent="0.25">
      <c r="B39" s="10">
        <v>878</v>
      </c>
      <c r="C39" s="10">
        <v>4</v>
      </c>
      <c r="D39" s="9" t="s">
        <v>92</v>
      </c>
      <c r="E39" s="162">
        <f>INDEX('2016 Lockdown Update'!H$5:H$245,MATCH(B39,'2016 Lockdown Update'!B$5:B$245,0))</f>
        <v>7648.46</v>
      </c>
      <c r="F39" s="7">
        <f>INDEX('2016 Lockdown Update'!E$5:E$245,MATCH(B39,'2016 Lockdown Update'!B$5:B$245,0))</f>
        <v>2687221.1</v>
      </c>
      <c r="G39" s="7">
        <f>INDEX('2016 Lockdown Update'!F$5:F$245,MATCH(B39,'2016 Lockdown Update'!B$5:B$245,0))</f>
        <v>989548.83000000007</v>
      </c>
      <c r="H39" s="7">
        <f t="shared" si="0"/>
        <v>1697672.27</v>
      </c>
      <c r="I39" s="6">
        <f t="shared" si="1"/>
        <v>221.96262646336649</v>
      </c>
      <c r="J39" s="6">
        <f t="shared" si="10"/>
        <v>221.96262646336649</v>
      </c>
      <c r="K39" s="5">
        <f t="shared" si="2"/>
        <v>1697672.27</v>
      </c>
      <c r="L39" s="4">
        <f t="shared" si="3"/>
        <v>0</v>
      </c>
      <c r="M39" s="2">
        <f t="shared" si="4"/>
        <v>347.34803339460058</v>
      </c>
      <c r="N39" s="1">
        <f t="shared" si="5"/>
        <v>15</v>
      </c>
      <c r="O39" s="3">
        <f t="shared" si="6"/>
        <v>15721.500271311164</v>
      </c>
      <c r="P39" s="2">
        <f t="shared" si="7"/>
        <v>101.50871616280119</v>
      </c>
      <c r="Q39" s="2">
        <f t="shared" si="11"/>
        <v>217.25937927974022</v>
      </c>
      <c r="R39" s="2">
        <f t="shared" si="11"/>
        <v>477.43668750946097</v>
      </c>
      <c r="S39" s="2">
        <f t="shared" si="9"/>
        <v>221.96262646336649</v>
      </c>
    </row>
    <row r="40" spans="2:19" x14ac:dyDescent="0.25">
      <c r="B40" s="10">
        <v>8</v>
      </c>
      <c r="C40" s="10">
        <v>5</v>
      </c>
      <c r="D40" s="9" t="s">
        <v>93</v>
      </c>
      <c r="E40" s="162">
        <f>INDEX('2016 Lockdown Update'!H$5:H$245,MATCH(B40,'2016 Lockdown Update'!B$5:B$245,0))</f>
        <v>2353.7999999999997</v>
      </c>
      <c r="F40" s="7">
        <f>INDEX('2016 Lockdown Update'!E$5:E$245,MATCH(B40,'2016 Lockdown Update'!B$5:B$245,0))</f>
        <v>621227.18999999994</v>
      </c>
      <c r="G40" s="7">
        <f>INDEX('2016 Lockdown Update'!F$5:F$245,MATCH(B40,'2016 Lockdown Update'!B$5:B$245,0))</f>
        <v>68723.27</v>
      </c>
      <c r="H40" s="7">
        <f t="shared" si="0"/>
        <v>552503.91999999993</v>
      </c>
      <c r="I40" s="6">
        <f t="shared" si="1"/>
        <v>234.7284901011131</v>
      </c>
      <c r="J40" s="6">
        <f t="shared" si="10"/>
        <v>234.7284901011131</v>
      </c>
      <c r="K40" s="5">
        <f t="shared" si="2"/>
        <v>552503.91999999993</v>
      </c>
      <c r="L40" s="4">
        <f t="shared" si="3"/>
        <v>0</v>
      </c>
      <c r="M40" s="2">
        <f t="shared" si="4"/>
        <v>266.04217307332851</v>
      </c>
      <c r="N40" s="1">
        <f t="shared" si="5"/>
        <v>21</v>
      </c>
      <c r="O40" s="3">
        <f t="shared" si="6"/>
        <v>980.54674128441377</v>
      </c>
      <c r="P40" s="2">
        <f t="shared" si="7"/>
        <v>121.32528419734969</v>
      </c>
      <c r="Q40" s="2">
        <f t="shared" si="11"/>
        <v>110.55756517007143</v>
      </c>
      <c r="R40" s="2">
        <f t="shared" si="11"/>
        <v>421.5267809765856</v>
      </c>
      <c r="S40" s="2">
        <f t="shared" si="9"/>
        <v>234.7284901011131</v>
      </c>
    </row>
    <row r="41" spans="2:19" x14ac:dyDescent="0.25">
      <c r="B41" s="10">
        <v>41</v>
      </c>
      <c r="C41" s="10">
        <v>5</v>
      </c>
      <c r="D41" s="9" t="s">
        <v>94</v>
      </c>
      <c r="E41" s="162">
        <f>INDEX('2016 Lockdown Update'!H$5:H$245,MATCH(B41,'2016 Lockdown Update'!B$5:B$245,0))</f>
        <v>1790.4700000000003</v>
      </c>
      <c r="F41" s="7">
        <f>INDEX('2016 Lockdown Update'!E$5:E$245,MATCH(B41,'2016 Lockdown Update'!B$5:B$245,0))</f>
        <v>585084.06999999995</v>
      </c>
      <c r="G41" s="7">
        <f>INDEX('2016 Lockdown Update'!F$5:F$245,MATCH(B41,'2016 Lockdown Update'!B$5:B$245,0))</f>
        <v>257171.98999999996</v>
      </c>
      <c r="H41" s="7">
        <f t="shared" si="0"/>
        <v>327912.07999999996</v>
      </c>
      <c r="I41" s="6">
        <f t="shared" si="1"/>
        <v>183.1430183136271</v>
      </c>
      <c r="J41" s="6">
        <f t="shared" si="10"/>
        <v>183.1430183136271</v>
      </c>
      <c r="K41" s="5">
        <f t="shared" si="2"/>
        <v>327912.07999999996</v>
      </c>
      <c r="L41" s="4">
        <f t="shared" si="3"/>
        <v>0</v>
      </c>
      <c r="M41" s="2">
        <f t="shared" si="4"/>
        <v>266.04217307332851</v>
      </c>
      <c r="N41" s="1">
        <f t="shared" si="5"/>
        <v>21</v>
      </c>
      <c r="O41" s="3">
        <f t="shared" si="6"/>
        <v>6872.2698598729266</v>
      </c>
      <c r="P41" s="2">
        <f t="shared" si="7"/>
        <v>121.32528419734969</v>
      </c>
      <c r="Q41" s="2">
        <f t="shared" si="11"/>
        <v>110.55756517007143</v>
      </c>
      <c r="R41" s="2">
        <f t="shared" si="11"/>
        <v>421.5267809765856</v>
      </c>
      <c r="S41" s="2">
        <f t="shared" si="9"/>
        <v>183.1430183136271</v>
      </c>
    </row>
    <row r="42" spans="2:19" x14ac:dyDescent="0.25">
      <c r="B42" s="10">
        <v>56</v>
      </c>
      <c r="C42" s="10">
        <v>5</v>
      </c>
      <c r="D42" s="9" t="s">
        <v>95</v>
      </c>
      <c r="E42" s="162">
        <f>INDEX('2016 Lockdown Update'!H$5:H$245,MATCH(B42,'2016 Lockdown Update'!B$5:B$245,0))</f>
        <v>2908</v>
      </c>
      <c r="F42" s="7">
        <f>INDEX('2016 Lockdown Update'!E$5:E$245,MATCH(B42,'2016 Lockdown Update'!B$5:B$245,0))</f>
        <v>488570.59</v>
      </c>
      <c r="G42" s="7">
        <f>INDEX('2016 Lockdown Update'!F$5:F$245,MATCH(B42,'2016 Lockdown Update'!B$5:B$245,0))</f>
        <v>2013.31</v>
      </c>
      <c r="H42" s="7">
        <f t="shared" si="0"/>
        <v>486557.28</v>
      </c>
      <c r="I42" s="6">
        <f t="shared" si="1"/>
        <v>167.31680880330126</v>
      </c>
      <c r="J42" s="6">
        <f t="shared" si="10"/>
        <v>167.31680880330126</v>
      </c>
      <c r="K42" s="5">
        <f t="shared" si="2"/>
        <v>486557.28</v>
      </c>
      <c r="L42" s="4">
        <f t="shared" si="3"/>
        <v>0</v>
      </c>
      <c r="M42" s="2">
        <f t="shared" si="4"/>
        <v>266.04217307332851</v>
      </c>
      <c r="N42" s="1">
        <f t="shared" si="5"/>
        <v>21</v>
      </c>
      <c r="O42" s="3">
        <f t="shared" si="6"/>
        <v>9746.6975502495752</v>
      </c>
      <c r="P42" s="2">
        <f t="shared" si="7"/>
        <v>121.32528419734969</v>
      </c>
      <c r="Q42" s="2">
        <f t="shared" si="11"/>
        <v>110.55756517007143</v>
      </c>
      <c r="R42" s="2">
        <f t="shared" si="11"/>
        <v>421.5267809765856</v>
      </c>
      <c r="S42" s="2">
        <f t="shared" si="9"/>
        <v>167.31680880330126</v>
      </c>
    </row>
    <row r="43" spans="2:19" x14ac:dyDescent="0.25">
      <c r="B43" s="10">
        <v>67</v>
      </c>
      <c r="C43" s="10">
        <v>5</v>
      </c>
      <c r="D43" s="9" t="s">
        <v>96</v>
      </c>
      <c r="E43" s="162">
        <f>INDEX('2016 Lockdown Update'!H$5:H$245,MATCH(B43,'2016 Lockdown Update'!B$5:B$245,0))</f>
        <v>1429.0501372054057</v>
      </c>
      <c r="F43" s="7">
        <f>INDEX('2016 Lockdown Update'!E$5:E$245,MATCH(B43,'2016 Lockdown Update'!B$5:B$245,0))</f>
        <v>187597.74</v>
      </c>
      <c r="G43" s="7">
        <f>INDEX('2016 Lockdown Update'!F$5:F$245,MATCH(B43,'2016 Lockdown Update'!B$5:B$245,0))</f>
        <v>0</v>
      </c>
      <c r="H43" s="7">
        <f t="shared" si="0"/>
        <v>187597.74</v>
      </c>
      <c r="I43" s="6">
        <f t="shared" si="1"/>
        <v>131.27442845837359</v>
      </c>
      <c r="J43" s="6">
        <f t="shared" si="10"/>
        <v>131.27442845837359</v>
      </c>
      <c r="K43" s="5">
        <f t="shared" si="2"/>
        <v>187597.74</v>
      </c>
      <c r="L43" s="4">
        <f t="shared" si="3"/>
        <v>0</v>
      </c>
      <c r="M43" s="2">
        <f t="shared" si="4"/>
        <v>266.04217307332851</v>
      </c>
      <c r="N43" s="1">
        <f t="shared" si="5"/>
        <v>21</v>
      </c>
      <c r="O43" s="3">
        <f t="shared" si="6"/>
        <v>18162.344988601712</v>
      </c>
      <c r="P43" s="2">
        <f t="shared" si="7"/>
        <v>121.32528419734969</v>
      </c>
      <c r="Q43" s="2">
        <f t="shared" si="11"/>
        <v>110.55756517007143</v>
      </c>
      <c r="R43" s="2">
        <f t="shared" si="11"/>
        <v>421.5267809765856</v>
      </c>
      <c r="S43" s="2">
        <f t="shared" si="9"/>
        <v>131.27442845837359</v>
      </c>
    </row>
    <row r="44" spans="2:19" x14ac:dyDescent="0.25">
      <c r="B44" s="10">
        <v>157</v>
      </c>
      <c r="C44" s="10">
        <v>5</v>
      </c>
      <c r="D44" s="9" t="s">
        <v>97</v>
      </c>
      <c r="E44" s="162">
        <f>INDEX('2016 Lockdown Update'!H$5:H$245,MATCH(B44,'2016 Lockdown Update'!B$5:B$245,0))</f>
        <v>520.1107260807803</v>
      </c>
      <c r="F44" s="7">
        <f>INDEX('2016 Lockdown Update'!E$5:E$245,MATCH(B44,'2016 Lockdown Update'!B$5:B$245,0))</f>
        <v>145208.92000000001</v>
      </c>
      <c r="G44" s="7">
        <f>INDEX('2016 Lockdown Update'!F$5:F$245,MATCH(B44,'2016 Lockdown Update'!B$5:B$245,0))</f>
        <v>170</v>
      </c>
      <c r="H44" s="7">
        <f t="shared" si="0"/>
        <v>145038.92000000001</v>
      </c>
      <c r="I44" s="6">
        <f t="shared" si="1"/>
        <v>278.86162066473798</v>
      </c>
      <c r="J44" s="6">
        <f t="shared" si="10"/>
        <v>278.86162066473798</v>
      </c>
      <c r="K44" s="5">
        <f t="shared" si="2"/>
        <v>145038.92000000001</v>
      </c>
      <c r="L44" s="4">
        <f t="shared" si="3"/>
        <v>0</v>
      </c>
      <c r="M44" s="2">
        <f t="shared" si="4"/>
        <v>266.04217307332851</v>
      </c>
      <c r="N44" s="1">
        <f t="shared" si="5"/>
        <v>21</v>
      </c>
      <c r="O44" s="3">
        <f t="shared" si="6"/>
        <v>164.33823654889409</v>
      </c>
      <c r="P44" s="2">
        <f t="shared" si="7"/>
        <v>121.32528419734969</v>
      </c>
      <c r="Q44" s="2">
        <f t="shared" si="11"/>
        <v>110.55756517007143</v>
      </c>
      <c r="R44" s="2">
        <f t="shared" si="11"/>
        <v>421.5267809765856</v>
      </c>
      <c r="S44" s="2">
        <f t="shared" si="9"/>
        <v>278.86162066473798</v>
      </c>
    </row>
    <row r="45" spans="2:19" x14ac:dyDescent="0.25">
      <c r="B45" s="10">
        <v>214</v>
      </c>
      <c r="C45" s="10">
        <v>5</v>
      </c>
      <c r="D45" s="9" t="s">
        <v>98</v>
      </c>
      <c r="E45" s="162">
        <f>INDEX('2016 Lockdown Update'!H$5:H$245,MATCH(B45,'2016 Lockdown Update'!B$5:B$245,0))</f>
        <v>3129.3300000000004</v>
      </c>
      <c r="F45" s="7">
        <f>INDEX('2016 Lockdown Update'!E$5:E$245,MATCH(B45,'2016 Lockdown Update'!B$5:B$245,0))</f>
        <v>1627157.5</v>
      </c>
      <c r="G45" s="7">
        <f>INDEX('2016 Lockdown Update'!F$5:F$245,MATCH(B45,'2016 Lockdown Update'!B$5:B$245,0))</f>
        <v>310296.28999999998</v>
      </c>
      <c r="H45" s="7">
        <f t="shared" si="0"/>
        <v>1316861.21</v>
      </c>
      <c r="I45" s="6">
        <f t="shared" si="1"/>
        <v>420.81250938699333</v>
      </c>
      <c r="J45" s="6">
        <f t="shared" si="10"/>
        <v>420.81250938699333</v>
      </c>
      <c r="K45" s="5">
        <f t="shared" si="2"/>
        <v>1316861.21</v>
      </c>
      <c r="L45" s="4">
        <f t="shared" si="3"/>
        <v>0</v>
      </c>
      <c r="M45" s="2">
        <f t="shared" si="4"/>
        <v>266.04217307332851</v>
      </c>
      <c r="N45" s="1">
        <f t="shared" si="5"/>
        <v>21</v>
      </c>
      <c r="O45" s="3">
        <f t="shared" si="6"/>
        <v>23953.857002644912</v>
      </c>
      <c r="P45" s="2">
        <f t="shared" si="7"/>
        <v>121.32528419734969</v>
      </c>
      <c r="Q45" s="2">
        <f t="shared" si="11"/>
        <v>110.55756517007143</v>
      </c>
      <c r="R45" s="2">
        <f t="shared" si="11"/>
        <v>421.5267809765856</v>
      </c>
      <c r="S45" s="2">
        <f t="shared" si="9"/>
        <v>420.81250938699333</v>
      </c>
    </row>
    <row r="46" spans="2:19" x14ac:dyDescent="0.25">
      <c r="B46" s="10">
        <v>223</v>
      </c>
      <c r="C46" s="10">
        <v>5</v>
      </c>
      <c r="D46" s="9" t="s">
        <v>99</v>
      </c>
      <c r="E46" s="162">
        <f>INDEX('2016 Lockdown Update'!H$5:H$245,MATCH(B46,'2016 Lockdown Update'!B$5:B$245,0))</f>
        <v>328.04</v>
      </c>
      <c r="F46" s="7">
        <f>INDEX('2016 Lockdown Update'!E$5:E$245,MATCH(B46,'2016 Lockdown Update'!B$5:B$245,0))</f>
        <v>211908.17</v>
      </c>
      <c r="G46" s="7">
        <f>INDEX('2016 Lockdown Update'!F$5:F$245,MATCH(B46,'2016 Lockdown Update'!B$5:B$245,0))</f>
        <v>3369.32</v>
      </c>
      <c r="H46" s="7">
        <f t="shared" si="0"/>
        <v>208538.85</v>
      </c>
      <c r="I46" s="6">
        <f t="shared" si="1"/>
        <v>635.71165101816848</v>
      </c>
      <c r="J46" s="6">
        <f t="shared" si="10"/>
        <v>421.5267809765856</v>
      </c>
      <c r="K46" s="5">
        <f t="shared" si="2"/>
        <v>138277.64523155915</v>
      </c>
      <c r="L46" s="4">
        <f t="shared" si="3"/>
        <v>0</v>
      </c>
      <c r="M46" s="2">
        <f t="shared" si="4"/>
        <v>266.04217307332851</v>
      </c>
      <c r="N46" s="1">
        <f t="shared" si="5"/>
        <v>21</v>
      </c>
      <c r="O46" s="3">
        <f t="shared" si="6"/>
        <v>136655.52292401053</v>
      </c>
      <c r="P46" s="2">
        <f t="shared" si="7"/>
        <v>121.32528419734969</v>
      </c>
      <c r="Q46" s="2">
        <f t="shared" ref="Q46:R65" si="12">NORMINV(Q$4,$M46,$P46)</f>
        <v>110.55756517007143</v>
      </c>
      <c r="R46" s="2">
        <f t="shared" si="12"/>
        <v>421.5267809765856</v>
      </c>
      <c r="S46" s="2">
        <f t="shared" si="9"/>
        <v>421.5267809765856</v>
      </c>
    </row>
    <row r="47" spans="2:19" x14ac:dyDescent="0.25">
      <c r="B47" s="10">
        <v>224</v>
      </c>
      <c r="C47" s="10">
        <v>5</v>
      </c>
      <c r="D47" s="9" t="s">
        <v>100</v>
      </c>
      <c r="E47" s="162">
        <f>INDEX('2016 Lockdown Update'!H$5:H$245,MATCH(B47,'2016 Lockdown Update'!B$5:B$245,0))</f>
        <v>271.91600384295708</v>
      </c>
      <c r="F47" s="7">
        <f>INDEX('2016 Lockdown Update'!E$5:E$245,MATCH(B47,'2016 Lockdown Update'!B$5:B$245,0))</f>
        <v>72126.84</v>
      </c>
      <c r="G47" s="7">
        <f>INDEX('2016 Lockdown Update'!F$5:F$245,MATCH(B47,'2016 Lockdown Update'!B$5:B$245,0))</f>
        <v>190</v>
      </c>
      <c r="H47" s="7">
        <f t="shared" si="0"/>
        <v>71936.84</v>
      </c>
      <c r="I47" s="6">
        <f t="shared" si="1"/>
        <v>264.55537365703032</v>
      </c>
      <c r="J47" s="6">
        <f t="shared" si="10"/>
        <v>264.55537365703032</v>
      </c>
      <c r="K47" s="5">
        <f t="shared" si="2"/>
        <v>71936.84</v>
      </c>
      <c r="L47" s="4">
        <f t="shared" si="3"/>
        <v>0</v>
      </c>
      <c r="M47" s="2">
        <f t="shared" si="4"/>
        <v>266.04217307332851</v>
      </c>
      <c r="N47" s="1">
        <f t="shared" si="5"/>
        <v>21</v>
      </c>
      <c r="O47" s="3">
        <f t="shared" si="6"/>
        <v>2.2105725043046598</v>
      </c>
      <c r="P47" s="2">
        <f t="shared" si="7"/>
        <v>121.32528419734969</v>
      </c>
      <c r="Q47" s="2">
        <f t="shared" si="12"/>
        <v>110.55756517007143</v>
      </c>
      <c r="R47" s="2">
        <f t="shared" si="12"/>
        <v>421.5267809765856</v>
      </c>
      <c r="S47" s="2">
        <f t="shared" si="9"/>
        <v>264.55537365703032</v>
      </c>
    </row>
    <row r="48" spans="2:19" x14ac:dyDescent="0.25">
      <c r="B48" s="10">
        <v>233</v>
      </c>
      <c r="C48" s="10">
        <v>5</v>
      </c>
      <c r="D48" s="9" t="s">
        <v>101</v>
      </c>
      <c r="E48" s="162">
        <f>INDEX('2016 Lockdown Update'!H$5:H$245,MATCH(B48,'2016 Lockdown Update'!B$5:B$245,0))</f>
        <v>2093.62</v>
      </c>
      <c r="F48" s="7">
        <f>INDEX('2016 Lockdown Update'!E$5:E$245,MATCH(B48,'2016 Lockdown Update'!B$5:B$245,0))</f>
        <v>625378.56000000006</v>
      </c>
      <c r="G48" s="7">
        <f>INDEX('2016 Lockdown Update'!F$5:F$245,MATCH(B48,'2016 Lockdown Update'!B$5:B$245,0))</f>
        <v>272048.02</v>
      </c>
      <c r="H48" s="7">
        <f t="shared" si="0"/>
        <v>353330.54000000004</v>
      </c>
      <c r="I48" s="6">
        <f t="shared" si="1"/>
        <v>168.76536334196274</v>
      </c>
      <c r="J48" s="6">
        <f t="shared" si="10"/>
        <v>168.76536334196274</v>
      </c>
      <c r="K48" s="5">
        <f t="shared" si="2"/>
        <v>353330.54000000004</v>
      </c>
      <c r="L48" s="4">
        <f t="shared" si="3"/>
        <v>0</v>
      </c>
      <c r="M48" s="2">
        <f t="shared" si="4"/>
        <v>266.04217307332851</v>
      </c>
      <c r="N48" s="1">
        <f t="shared" si="5"/>
        <v>21</v>
      </c>
      <c r="O48" s="3">
        <f t="shared" si="6"/>
        <v>9462.777711512339</v>
      </c>
      <c r="P48" s="2">
        <f t="shared" si="7"/>
        <v>121.32528419734969</v>
      </c>
      <c r="Q48" s="2">
        <f t="shared" si="12"/>
        <v>110.55756517007143</v>
      </c>
      <c r="R48" s="2">
        <f t="shared" si="12"/>
        <v>421.5267809765856</v>
      </c>
      <c r="S48" s="2">
        <f t="shared" si="9"/>
        <v>168.76536334196274</v>
      </c>
    </row>
    <row r="49" spans="2:19" x14ac:dyDescent="0.25">
      <c r="B49" s="10">
        <v>272</v>
      </c>
      <c r="C49" s="10">
        <v>5</v>
      </c>
      <c r="D49" s="39" t="s">
        <v>102</v>
      </c>
      <c r="E49" s="162">
        <f>INDEX('2016 Lockdown Update'!H$5:H$245,MATCH(B49,'2016 Lockdown Update'!B$5:B$245,0))</f>
        <v>381.39814155448289</v>
      </c>
      <c r="F49" s="7">
        <f>INDEX('2016 Lockdown Update'!E$5:E$245,MATCH(B49,'2016 Lockdown Update'!B$5:B$245,0))</f>
        <v>99371.17</v>
      </c>
      <c r="G49" s="7">
        <f>INDEX('2016 Lockdown Update'!F$5:F$245,MATCH(B49,'2016 Lockdown Update'!B$5:B$245,0))</f>
        <v>0</v>
      </c>
      <c r="H49" s="7">
        <f t="shared" si="0"/>
        <v>99371.17</v>
      </c>
      <c r="I49" s="6">
        <f t="shared" si="1"/>
        <v>260.54445256337146</v>
      </c>
      <c r="J49" s="6">
        <f t="shared" si="10"/>
        <v>260.54445256337146</v>
      </c>
      <c r="K49" s="5">
        <f t="shared" si="2"/>
        <v>99371.17</v>
      </c>
      <c r="L49" s="4">
        <f t="shared" si="3"/>
        <v>0</v>
      </c>
      <c r="M49" s="2">
        <f t="shared" si="4"/>
        <v>266.04217307332851</v>
      </c>
      <c r="N49" s="1">
        <f t="shared" si="5"/>
        <v>21</v>
      </c>
      <c r="O49" s="3">
        <f t="shared" si="6"/>
        <v>30.224930805602387</v>
      </c>
      <c r="P49" s="2">
        <f t="shared" si="7"/>
        <v>121.32528419734969</v>
      </c>
      <c r="Q49" s="2">
        <f t="shared" si="12"/>
        <v>110.55756517007143</v>
      </c>
      <c r="R49" s="2">
        <f t="shared" si="12"/>
        <v>421.5267809765856</v>
      </c>
      <c r="S49" s="2">
        <f t="shared" si="9"/>
        <v>260.54445256337146</v>
      </c>
    </row>
    <row r="50" spans="2:19" x14ac:dyDescent="0.25">
      <c r="B50" s="10">
        <v>427</v>
      </c>
      <c r="C50" s="10">
        <v>5</v>
      </c>
      <c r="D50" s="9" t="s">
        <v>103</v>
      </c>
      <c r="E50" s="162">
        <f>INDEX('2016 Lockdown Update'!H$5:H$245,MATCH(B50,'2016 Lockdown Update'!B$5:B$245,0))</f>
        <v>396.72999999999996</v>
      </c>
      <c r="F50" s="7">
        <f>INDEX('2016 Lockdown Update'!E$5:E$245,MATCH(B50,'2016 Lockdown Update'!B$5:B$245,0))</f>
        <v>187906.75</v>
      </c>
      <c r="G50" s="7">
        <f>INDEX('2016 Lockdown Update'!F$5:F$245,MATCH(B50,'2016 Lockdown Update'!B$5:B$245,0))</f>
        <v>58024.55000000001</v>
      </c>
      <c r="H50" s="7">
        <f t="shared" si="0"/>
        <v>129882.19999999998</v>
      </c>
      <c r="I50" s="6">
        <f t="shared" si="1"/>
        <v>327.38184659592167</v>
      </c>
      <c r="J50" s="6">
        <f t="shared" si="10"/>
        <v>327.38184659592167</v>
      </c>
      <c r="K50" s="5">
        <f t="shared" si="2"/>
        <v>129882.2</v>
      </c>
      <c r="L50" s="4">
        <f t="shared" si="3"/>
        <v>0</v>
      </c>
      <c r="M50" s="2">
        <f t="shared" si="4"/>
        <v>266.04217307332851</v>
      </c>
      <c r="N50" s="1">
        <f t="shared" si="5"/>
        <v>21</v>
      </c>
      <c r="O50" s="3">
        <f t="shared" si="6"/>
        <v>3762.5555478583165</v>
      </c>
      <c r="P50" s="2">
        <f t="shared" si="7"/>
        <v>121.32528419734969</v>
      </c>
      <c r="Q50" s="2">
        <f t="shared" si="12"/>
        <v>110.55756517007143</v>
      </c>
      <c r="R50" s="2">
        <f t="shared" si="12"/>
        <v>421.5267809765856</v>
      </c>
      <c r="S50" s="2">
        <f t="shared" si="9"/>
        <v>327.38184659592167</v>
      </c>
    </row>
    <row r="51" spans="2:19" x14ac:dyDescent="0.25">
      <c r="B51" s="10">
        <v>524</v>
      </c>
      <c r="C51" s="10">
        <v>5</v>
      </c>
      <c r="D51" s="9" t="s">
        <v>104</v>
      </c>
      <c r="E51" s="162">
        <f>INDEX('2016 Lockdown Update'!H$5:H$245,MATCH(B51,'2016 Lockdown Update'!B$5:B$245,0))</f>
        <v>548.16649138804223</v>
      </c>
      <c r="F51" s="7">
        <f>INDEX('2016 Lockdown Update'!E$5:E$245,MATCH(B51,'2016 Lockdown Update'!B$5:B$245,0))</f>
        <v>225099.83</v>
      </c>
      <c r="G51" s="7">
        <f>INDEX('2016 Lockdown Update'!F$5:F$245,MATCH(B51,'2016 Lockdown Update'!B$5:B$245,0))</f>
        <v>301</v>
      </c>
      <c r="H51" s="7">
        <f t="shared" si="0"/>
        <v>224798.83</v>
      </c>
      <c r="I51" s="6">
        <f t="shared" si="1"/>
        <v>410.09225031390486</v>
      </c>
      <c r="J51" s="6">
        <f t="shared" si="10"/>
        <v>410.09225031390486</v>
      </c>
      <c r="K51" s="5">
        <f t="shared" si="2"/>
        <v>224798.83</v>
      </c>
      <c r="L51" s="4">
        <f t="shared" si="3"/>
        <v>0</v>
      </c>
      <c r="M51" s="2">
        <f t="shared" si="4"/>
        <v>266.04217307332851</v>
      </c>
      <c r="N51" s="1">
        <f t="shared" si="5"/>
        <v>21</v>
      </c>
      <c r="O51" s="3">
        <f t="shared" si="6"/>
        <v>20750.42475301601</v>
      </c>
      <c r="P51" s="2">
        <f t="shared" si="7"/>
        <v>121.32528419734969</v>
      </c>
      <c r="Q51" s="2">
        <f t="shared" si="12"/>
        <v>110.55756517007143</v>
      </c>
      <c r="R51" s="2">
        <f t="shared" si="12"/>
        <v>421.5267809765856</v>
      </c>
      <c r="S51" s="2">
        <f t="shared" si="9"/>
        <v>410.09225031390486</v>
      </c>
    </row>
    <row r="52" spans="2:19" x14ac:dyDescent="0.25">
      <c r="B52" s="10">
        <v>565</v>
      </c>
      <c r="C52" s="10">
        <v>5</v>
      </c>
      <c r="D52" s="9" t="s">
        <v>105</v>
      </c>
      <c r="E52" s="162">
        <f>INDEX('2016 Lockdown Update'!H$5:H$245,MATCH(B52,'2016 Lockdown Update'!B$5:B$245,0))</f>
        <v>458.57198478039822</v>
      </c>
      <c r="F52" s="7">
        <f>INDEX('2016 Lockdown Update'!E$5:E$245,MATCH(B52,'2016 Lockdown Update'!B$5:B$245,0))</f>
        <v>216509.8</v>
      </c>
      <c r="G52" s="7">
        <f>INDEX('2016 Lockdown Update'!F$5:F$245,MATCH(B52,'2016 Lockdown Update'!B$5:B$245,0))</f>
        <v>750</v>
      </c>
      <c r="H52" s="7">
        <f t="shared" si="0"/>
        <v>215759.8</v>
      </c>
      <c r="I52" s="6">
        <f t="shared" si="1"/>
        <v>470.50366607834411</v>
      </c>
      <c r="J52" s="6">
        <f t="shared" si="10"/>
        <v>421.5267809765856</v>
      </c>
      <c r="K52" s="5">
        <f t="shared" si="2"/>
        <v>193300.37259052508</v>
      </c>
      <c r="L52" s="4">
        <f t="shared" si="3"/>
        <v>0</v>
      </c>
      <c r="M52" s="2">
        <f t="shared" si="4"/>
        <v>266.04217307332851</v>
      </c>
      <c r="N52" s="1">
        <f t="shared" si="5"/>
        <v>21</v>
      </c>
      <c r="O52" s="3">
        <f t="shared" si="6"/>
        <v>41804.502121840043</v>
      </c>
      <c r="P52" s="2">
        <f t="shared" si="7"/>
        <v>121.32528419734969</v>
      </c>
      <c r="Q52" s="2">
        <f t="shared" si="12"/>
        <v>110.55756517007143</v>
      </c>
      <c r="R52" s="2">
        <f t="shared" si="12"/>
        <v>421.5267809765856</v>
      </c>
      <c r="S52" s="2">
        <f t="shared" si="9"/>
        <v>421.5267809765856</v>
      </c>
    </row>
    <row r="53" spans="2:19" x14ac:dyDescent="0.25">
      <c r="B53" s="10">
        <v>613</v>
      </c>
      <c r="C53" s="10">
        <v>5</v>
      </c>
      <c r="D53" s="9" t="s">
        <v>106</v>
      </c>
      <c r="E53" s="162">
        <f>INDEX('2016 Lockdown Update'!H$5:H$245,MATCH(B53,'2016 Lockdown Update'!B$5:B$245,0))</f>
        <v>85.760856106391941</v>
      </c>
      <c r="F53" s="7">
        <f>INDEX('2016 Lockdown Update'!E$5:E$245,MATCH(B53,'2016 Lockdown Update'!B$5:B$245,0))</f>
        <v>56071.13</v>
      </c>
      <c r="G53" s="7">
        <f>INDEX('2016 Lockdown Update'!F$5:F$245,MATCH(B53,'2016 Lockdown Update'!B$5:B$245,0))</f>
        <v>0</v>
      </c>
      <c r="H53" s="7">
        <f t="shared" si="0"/>
        <v>56071.13</v>
      </c>
      <c r="I53" s="6">
        <f t="shared" si="1"/>
        <v>653.80795558337365</v>
      </c>
      <c r="J53" s="6">
        <f t="shared" si="10"/>
        <v>421.5267809765856</v>
      </c>
      <c r="K53" s="5">
        <f t="shared" si="2"/>
        <v>36150.497608323552</v>
      </c>
      <c r="L53" s="4">
        <f t="shared" si="3"/>
        <v>0</v>
      </c>
      <c r="M53" s="2">
        <f t="shared" si="4"/>
        <v>266.04217307332851</v>
      </c>
      <c r="N53" s="1">
        <f t="shared" si="5"/>
        <v>21</v>
      </c>
      <c r="O53" s="3">
        <f t="shared" si="6"/>
        <v>150362.30208562763</v>
      </c>
      <c r="P53" s="2">
        <f t="shared" si="7"/>
        <v>121.32528419734969</v>
      </c>
      <c r="Q53" s="2">
        <f t="shared" si="12"/>
        <v>110.55756517007143</v>
      </c>
      <c r="R53" s="2">
        <f t="shared" si="12"/>
        <v>421.5267809765856</v>
      </c>
      <c r="S53" s="2">
        <f t="shared" si="9"/>
        <v>421.5267809765856</v>
      </c>
    </row>
    <row r="54" spans="2:19" x14ac:dyDescent="0.25">
      <c r="B54" s="10">
        <v>696</v>
      </c>
      <c r="C54" s="10">
        <v>5</v>
      </c>
      <c r="D54" s="9" t="s">
        <v>107</v>
      </c>
      <c r="E54" s="162">
        <f>INDEX('2016 Lockdown Update'!H$5:H$245,MATCH(B54,'2016 Lockdown Update'!B$5:B$245,0))</f>
        <v>353.67061444512626</v>
      </c>
      <c r="F54" s="7">
        <f>INDEX('2016 Lockdown Update'!E$5:E$245,MATCH(B54,'2016 Lockdown Update'!B$5:B$245,0))</f>
        <v>124905.27</v>
      </c>
      <c r="G54" s="7">
        <f>INDEX('2016 Lockdown Update'!F$5:F$245,MATCH(B54,'2016 Lockdown Update'!B$5:B$245,0))</f>
        <v>97.35</v>
      </c>
      <c r="H54" s="7">
        <f t="shared" si="0"/>
        <v>124807.92</v>
      </c>
      <c r="I54" s="6">
        <f t="shared" si="1"/>
        <v>352.89310138421058</v>
      </c>
      <c r="J54" s="6">
        <f t="shared" si="10"/>
        <v>352.89310138421058</v>
      </c>
      <c r="K54" s="5">
        <f t="shared" si="2"/>
        <v>124807.92</v>
      </c>
      <c r="L54" s="4">
        <f t="shared" si="3"/>
        <v>0</v>
      </c>
      <c r="M54" s="2">
        <f t="shared" si="4"/>
        <v>266.04217307332851</v>
      </c>
      <c r="N54" s="1">
        <f t="shared" si="5"/>
        <v>21</v>
      </c>
      <c r="O54" s="3">
        <f t="shared" si="6"/>
        <v>7543.083748461976</v>
      </c>
      <c r="P54" s="2">
        <f t="shared" si="7"/>
        <v>121.32528419734969</v>
      </c>
      <c r="Q54" s="2">
        <f t="shared" si="12"/>
        <v>110.55756517007143</v>
      </c>
      <c r="R54" s="2">
        <f t="shared" si="12"/>
        <v>421.5267809765856</v>
      </c>
      <c r="S54" s="2">
        <f t="shared" si="9"/>
        <v>352.89310138421058</v>
      </c>
    </row>
    <row r="55" spans="2:19" x14ac:dyDescent="0.25">
      <c r="B55" s="10">
        <v>731</v>
      </c>
      <c r="C55" s="10">
        <v>5</v>
      </c>
      <c r="D55" s="9" t="s">
        <v>108</v>
      </c>
      <c r="E55" s="162">
        <f>INDEX('2016 Lockdown Update'!H$5:H$245,MATCH(B55,'2016 Lockdown Update'!B$5:B$245,0))</f>
        <v>789.18999999999994</v>
      </c>
      <c r="F55" s="7">
        <f>INDEX('2016 Lockdown Update'!E$5:E$245,MATCH(B55,'2016 Lockdown Update'!B$5:B$245,0))</f>
        <v>240978.65</v>
      </c>
      <c r="G55" s="7">
        <f>INDEX('2016 Lockdown Update'!F$5:F$245,MATCH(B55,'2016 Lockdown Update'!B$5:B$245,0))</f>
        <v>0</v>
      </c>
      <c r="H55" s="7">
        <f t="shared" si="0"/>
        <v>240978.65</v>
      </c>
      <c r="I55" s="6">
        <f t="shared" si="1"/>
        <v>305.34934553149435</v>
      </c>
      <c r="J55" s="6">
        <f t="shared" si="10"/>
        <v>305.34934553149435</v>
      </c>
      <c r="K55" s="5">
        <f t="shared" si="2"/>
        <v>240978.65</v>
      </c>
      <c r="L55" s="4">
        <f t="shared" si="3"/>
        <v>0</v>
      </c>
      <c r="M55" s="2">
        <f t="shared" si="4"/>
        <v>266.04217307332851</v>
      </c>
      <c r="N55" s="1">
        <f t="shared" si="5"/>
        <v>21</v>
      </c>
      <c r="O55" s="3">
        <f t="shared" si="6"/>
        <v>1545.0538066559909</v>
      </c>
      <c r="P55" s="2">
        <f t="shared" si="7"/>
        <v>121.32528419734969</v>
      </c>
      <c r="Q55" s="2">
        <f t="shared" si="12"/>
        <v>110.55756517007143</v>
      </c>
      <c r="R55" s="2">
        <f t="shared" si="12"/>
        <v>421.5267809765856</v>
      </c>
      <c r="S55" s="2">
        <f t="shared" si="9"/>
        <v>305.34934553149435</v>
      </c>
    </row>
    <row r="56" spans="2:19" x14ac:dyDescent="0.25">
      <c r="B56" s="10">
        <v>732</v>
      </c>
      <c r="C56" s="10">
        <v>5</v>
      </c>
      <c r="D56" s="9" t="s">
        <v>109</v>
      </c>
      <c r="E56" s="162">
        <f>INDEX('2016 Lockdown Update'!H$5:H$245,MATCH(B56,'2016 Lockdown Update'!B$5:B$245,0))</f>
        <v>225.55436218074209</v>
      </c>
      <c r="F56" s="7">
        <f>INDEX('2016 Lockdown Update'!E$5:E$245,MATCH(B56,'2016 Lockdown Update'!B$5:B$245,0))</f>
        <v>70730.53</v>
      </c>
      <c r="G56" s="7">
        <f>INDEX('2016 Lockdown Update'!F$5:F$245,MATCH(B56,'2016 Lockdown Update'!B$5:B$245,0))</f>
        <v>0</v>
      </c>
      <c r="H56" s="7">
        <f t="shared" si="0"/>
        <v>70730.53</v>
      </c>
      <c r="I56" s="6">
        <f t="shared" si="1"/>
        <v>313.58528966654143</v>
      </c>
      <c r="J56" s="6">
        <f t="shared" si="10"/>
        <v>313.58528966654143</v>
      </c>
      <c r="K56" s="5">
        <f t="shared" si="2"/>
        <v>70730.53</v>
      </c>
      <c r="L56" s="4">
        <f t="shared" si="3"/>
        <v>0</v>
      </c>
      <c r="M56" s="2">
        <f t="shared" si="4"/>
        <v>266.04217307332851</v>
      </c>
      <c r="N56" s="1">
        <f t="shared" si="5"/>
        <v>21</v>
      </c>
      <c r="O56" s="3">
        <f t="shared" si="6"/>
        <v>2260.3479353958373</v>
      </c>
      <c r="P56" s="2">
        <f t="shared" si="7"/>
        <v>121.32528419734969</v>
      </c>
      <c r="Q56" s="2">
        <f t="shared" si="12"/>
        <v>110.55756517007143</v>
      </c>
      <c r="R56" s="2">
        <f t="shared" si="12"/>
        <v>421.5267809765856</v>
      </c>
      <c r="S56" s="2">
        <f t="shared" si="9"/>
        <v>313.58528966654143</v>
      </c>
    </row>
    <row r="57" spans="2:19" x14ac:dyDescent="0.25">
      <c r="B57" s="10">
        <v>754</v>
      </c>
      <c r="C57" s="10">
        <v>5</v>
      </c>
      <c r="D57" s="9" t="s">
        <v>110</v>
      </c>
      <c r="E57" s="162">
        <f>INDEX('2016 Lockdown Update'!H$5:H$245,MATCH(B57,'2016 Lockdown Update'!B$5:B$245,0))</f>
        <v>99.79329178912181</v>
      </c>
      <c r="F57" s="7">
        <f>INDEX('2016 Lockdown Update'!E$5:E$245,MATCH(B57,'2016 Lockdown Update'!B$5:B$245,0))</f>
        <v>28838.67</v>
      </c>
      <c r="G57" s="7">
        <f>INDEX('2016 Lockdown Update'!F$5:F$245,MATCH(B57,'2016 Lockdown Update'!B$5:B$245,0))</f>
        <v>0</v>
      </c>
      <c r="H57" s="7">
        <f t="shared" si="0"/>
        <v>28838.67</v>
      </c>
      <c r="I57" s="6">
        <f t="shared" si="1"/>
        <v>288.98405376726555</v>
      </c>
      <c r="J57" s="6">
        <f t="shared" si="10"/>
        <v>288.98405376726555</v>
      </c>
      <c r="K57" s="5">
        <f t="shared" si="2"/>
        <v>28838.67</v>
      </c>
      <c r="L57" s="4">
        <f t="shared" si="3"/>
        <v>0</v>
      </c>
      <c r="M57" s="2">
        <f t="shared" si="4"/>
        <v>266.04217307332851</v>
      </c>
      <c r="N57" s="1">
        <f t="shared" si="5"/>
        <v>21</v>
      </c>
      <c r="O57" s="3">
        <f t="shared" si="6"/>
        <v>526.32988977484092</v>
      </c>
      <c r="P57" s="2">
        <f t="shared" si="7"/>
        <v>121.32528419734969</v>
      </c>
      <c r="Q57" s="2">
        <f t="shared" si="12"/>
        <v>110.55756517007143</v>
      </c>
      <c r="R57" s="2">
        <f t="shared" si="12"/>
        <v>421.5267809765856</v>
      </c>
      <c r="S57" s="2">
        <f t="shared" si="9"/>
        <v>288.98405376726555</v>
      </c>
    </row>
    <row r="58" spans="2:19" x14ac:dyDescent="0.25">
      <c r="B58" s="10">
        <v>885</v>
      </c>
      <c r="C58" s="10">
        <v>5</v>
      </c>
      <c r="D58" s="9" t="s">
        <v>111</v>
      </c>
      <c r="E58" s="162">
        <f>INDEX('2016 Lockdown Update'!H$5:H$245,MATCH(B58,'2016 Lockdown Update'!B$5:B$245,0))</f>
        <v>400.56999999999994</v>
      </c>
      <c r="F58" s="7">
        <f>INDEX('2016 Lockdown Update'!E$5:E$245,MATCH(B58,'2016 Lockdown Update'!B$5:B$245,0))</f>
        <v>123590.03</v>
      </c>
      <c r="G58" s="7">
        <f>INDEX('2016 Lockdown Update'!F$5:F$245,MATCH(B58,'2016 Lockdown Update'!B$5:B$245,0))</f>
        <v>62748.440000000017</v>
      </c>
      <c r="H58" s="7">
        <f t="shared" si="0"/>
        <v>60841.589999999982</v>
      </c>
      <c r="I58" s="6">
        <f t="shared" si="1"/>
        <v>151.88753526225128</v>
      </c>
      <c r="J58" s="6">
        <f t="shared" si="10"/>
        <v>151.88753526225128</v>
      </c>
      <c r="K58" s="5">
        <f t="shared" si="2"/>
        <v>60841.589999999982</v>
      </c>
      <c r="L58" s="4">
        <f t="shared" si="3"/>
        <v>0</v>
      </c>
      <c r="M58" s="2">
        <f t="shared" si="4"/>
        <v>266.04217307332851</v>
      </c>
      <c r="N58" s="1">
        <f t="shared" si="5"/>
        <v>21</v>
      </c>
      <c r="O58" s="3">
        <f t="shared" si="6"/>
        <v>13031.281333778225</v>
      </c>
      <c r="P58" s="2">
        <f t="shared" si="7"/>
        <v>121.32528419734969</v>
      </c>
      <c r="Q58" s="2">
        <f t="shared" si="12"/>
        <v>110.55756517007143</v>
      </c>
      <c r="R58" s="2">
        <f t="shared" si="12"/>
        <v>421.5267809765856</v>
      </c>
      <c r="S58" s="2">
        <f t="shared" si="9"/>
        <v>151.88753526225128</v>
      </c>
    </row>
    <row r="59" spans="2:19" x14ac:dyDescent="0.25">
      <c r="B59" s="10">
        <v>909</v>
      </c>
      <c r="C59" s="10">
        <v>5</v>
      </c>
      <c r="D59" s="9" t="s">
        <v>112</v>
      </c>
      <c r="E59" s="162">
        <f>INDEX('2016 Lockdown Update'!H$5:H$245,MATCH(B59,'2016 Lockdown Update'!B$5:B$245,0))</f>
        <v>490.37</v>
      </c>
      <c r="F59" s="7">
        <f>INDEX('2016 Lockdown Update'!E$5:E$245,MATCH(B59,'2016 Lockdown Update'!B$5:B$245,0))</f>
        <v>231494.25</v>
      </c>
      <c r="G59" s="7">
        <f>INDEX('2016 Lockdown Update'!F$5:F$245,MATCH(B59,'2016 Lockdown Update'!B$5:B$245,0))</f>
        <v>79965.2</v>
      </c>
      <c r="H59" s="7">
        <f t="shared" si="0"/>
        <v>151529.04999999999</v>
      </c>
      <c r="I59" s="6">
        <f t="shared" si="1"/>
        <v>309.00962538491342</v>
      </c>
      <c r="J59" s="6">
        <f t="shared" si="10"/>
        <v>309.00962538491342</v>
      </c>
      <c r="K59" s="5">
        <f t="shared" si="2"/>
        <v>151529.04999999999</v>
      </c>
      <c r="L59" s="4">
        <f t="shared" si="3"/>
        <v>0</v>
      </c>
      <c r="M59" s="2">
        <f t="shared" si="4"/>
        <v>266.04217307332851</v>
      </c>
      <c r="N59" s="1">
        <f t="shared" si="5"/>
        <v>21</v>
      </c>
      <c r="O59" s="3">
        <f t="shared" si="6"/>
        <v>1846.2019581483232</v>
      </c>
      <c r="P59" s="2">
        <f t="shared" si="7"/>
        <v>121.32528419734969</v>
      </c>
      <c r="Q59" s="2">
        <f t="shared" si="12"/>
        <v>110.55756517007143</v>
      </c>
      <c r="R59" s="2">
        <f t="shared" si="12"/>
        <v>421.5267809765856</v>
      </c>
      <c r="S59" s="2">
        <f t="shared" si="9"/>
        <v>309.00962538491342</v>
      </c>
    </row>
    <row r="60" spans="2:19" x14ac:dyDescent="0.25">
      <c r="B60" s="10">
        <v>923</v>
      </c>
      <c r="C60" s="10">
        <v>5</v>
      </c>
      <c r="D60" s="9" t="s">
        <v>113</v>
      </c>
      <c r="E60" s="162">
        <f>INDEX('2016 Lockdown Update'!H$5:H$245,MATCH(B60,'2016 Lockdown Update'!B$5:B$245,0))</f>
        <v>60.819362702759797</v>
      </c>
      <c r="F60" s="7">
        <f>INDEX('2016 Lockdown Update'!E$5:E$245,MATCH(B60,'2016 Lockdown Update'!B$5:B$245,0))</f>
        <v>31592.22</v>
      </c>
      <c r="G60" s="7">
        <f>INDEX('2016 Lockdown Update'!F$5:F$245,MATCH(B60,'2016 Lockdown Update'!B$5:B$245,0))</f>
        <v>101.1</v>
      </c>
      <c r="H60" s="7">
        <f t="shared" si="0"/>
        <v>31491.120000000003</v>
      </c>
      <c r="I60" s="6">
        <f t="shared" si="1"/>
        <v>517.78115719339871</v>
      </c>
      <c r="J60" s="6">
        <f t="shared" si="10"/>
        <v>421.5267809765856</v>
      </c>
      <c r="K60" s="5">
        <f t="shared" si="2"/>
        <v>25636.990181141748</v>
      </c>
      <c r="L60" s="4">
        <f t="shared" si="3"/>
        <v>0</v>
      </c>
      <c r="M60" s="2">
        <f t="shared" si="4"/>
        <v>266.04217307332851</v>
      </c>
      <c r="N60" s="1">
        <f t="shared" si="5"/>
        <v>21</v>
      </c>
      <c r="O60" s="3">
        <f t="shared" si="6"/>
        <v>63372.516125804956</v>
      </c>
      <c r="P60" s="2">
        <f t="shared" si="7"/>
        <v>121.32528419734969</v>
      </c>
      <c r="Q60" s="2">
        <f t="shared" si="12"/>
        <v>110.55756517007143</v>
      </c>
      <c r="R60" s="2">
        <f t="shared" si="12"/>
        <v>421.5267809765856</v>
      </c>
      <c r="S60" s="2">
        <f t="shared" si="9"/>
        <v>421.5267809765856</v>
      </c>
    </row>
    <row r="61" spans="2:19" x14ac:dyDescent="0.25">
      <c r="B61" s="10">
        <v>394</v>
      </c>
      <c r="C61" s="10">
        <v>6</v>
      </c>
      <c r="D61" s="9" t="s">
        <v>114</v>
      </c>
      <c r="E61" s="162">
        <f>INDEX('2016 Lockdown Update'!H$5:H$245,MATCH(B61,'2016 Lockdown Update'!B$5:B$245,0))</f>
        <v>707.27</v>
      </c>
      <c r="F61" s="7">
        <f>INDEX('2016 Lockdown Update'!E$5:E$245,MATCH(B61,'2016 Lockdown Update'!B$5:B$245,0))</f>
        <v>389692.45</v>
      </c>
      <c r="G61" s="7">
        <f>INDEX('2016 Lockdown Update'!F$5:F$245,MATCH(B61,'2016 Lockdown Update'!B$5:B$245,0))</f>
        <v>54716.480000000003</v>
      </c>
      <c r="H61" s="7">
        <f t="shared" si="0"/>
        <v>334975.97000000003</v>
      </c>
      <c r="I61" s="6">
        <f t="shared" si="1"/>
        <v>473.61823631710666</v>
      </c>
      <c r="J61" s="6">
        <f t="shared" si="10"/>
        <v>473.61823631710666</v>
      </c>
      <c r="K61" s="5">
        <f t="shared" si="2"/>
        <v>334975.97000000003</v>
      </c>
      <c r="L61" s="4">
        <f t="shared" si="3"/>
        <v>0</v>
      </c>
      <c r="M61" s="2">
        <f t="shared" si="4"/>
        <v>597.08305027319</v>
      </c>
      <c r="N61" s="1">
        <f t="shared" si="5"/>
        <v>44</v>
      </c>
      <c r="O61" s="3">
        <f t="shared" si="6"/>
        <v>15243.560285210269</v>
      </c>
      <c r="P61" s="2">
        <f t="shared" si="7"/>
        <v>295.95383861021293</v>
      </c>
      <c r="Q61" s="2">
        <f t="shared" si="12"/>
        <v>217.80294507333758</v>
      </c>
      <c r="R61" s="2">
        <f t="shared" si="12"/>
        <v>976.36315547304241</v>
      </c>
      <c r="S61" s="2">
        <f t="shared" si="9"/>
        <v>473.61823631710666</v>
      </c>
    </row>
    <row r="62" spans="2:19" x14ac:dyDescent="0.25">
      <c r="B62" s="10">
        <v>414</v>
      </c>
      <c r="C62" s="10">
        <v>6</v>
      </c>
      <c r="D62" s="9" t="s">
        <v>115</v>
      </c>
      <c r="E62" s="162">
        <f>INDEX('2016 Lockdown Update'!H$5:H$245,MATCH(B62,'2016 Lockdown Update'!B$5:B$245,0))</f>
        <v>208.97390440093511</v>
      </c>
      <c r="F62" s="7">
        <f>INDEX('2016 Lockdown Update'!E$5:E$245,MATCH(B62,'2016 Lockdown Update'!B$5:B$245,0))</f>
        <v>194284.25</v>
      </c>
      <c r="G62" s="7">
        <f>INDEX('2016 Lockdown Update'!F$5:F$245,MATCH(B62,'2016 Lockdown Update'!B$5:B$245,0))</f>
        <v>28452.02</v>
      </c>
      <c r="H62" s="7">
        <f t="shared" si="0"/>
        <v>165832.23000000001</v>
      </c>
      <c r="I62" s="6">
        <f t="shared" si="1"/>
        <v>793.55472864131423</v>
      </c>
      <c r="J62" s="6">
        <f t="shared" si="10"/>
        <v>793.55472864131423</v>
      </c>
      <c r="K62" s="5">
        <f t="shared" si="2"/>
        <v>165832.23000000001</v>
      </c>
      <c r="L62" s="4">
        <f t="shared" si="3"/>
        <v>0</v>
      </c>
      <c r="M62" s="2">
        <f t="shared" si="4"/>
        <v>597.08305027319</v>
      </c>
      <c r="N62" s="1">
        <f t="shared" si="5"/>
        <v>44</v>
      </c>
      <c r="O62" s="3">
        <f t="shared" si="6"/>
        <v>38601.120400787651</v>
      </c>
      <c r="P62" s="2">
        <f t="shared" si="7"/>
        <v>295.95383861021293</v>
      </c>
      <c r="Q62" s="2">
        <f t="shared" si="12"/>
        <v>217.80294507333758</v>
      </c>
      <c r="R62" s="2">
        <f t="shared" si="12"/>
        <v>976.36315547304241</v>
      </c>
      <c r="S62" s="2">
        <f t="shared" si="9"/>
        <v>793.55472864131423</v>
      </c>
    </row>
    <row r="63" spans="2:19" x14ac:dyDescent="0.25">
      <c r="B63" s="10">
        <v>426</v>
      </c>
      <c r="C63" s="10">
        <v>6</v>
      </c>
      <c r="D63" s="9" t="s">
        <v>116</v>
      </c>
      <c r="E63" s="162">
        <f>INDEX('2016 Lockdown Update'!H$5:H$245,MATCH(B63,'2016 Lockdown Update'!B$5:B$245,0))</f>
        <v>414.6170418598681</v>
      </c>
      <c r="F63" s="7">
        <f>INDEX('2016 Lockdown Update'!E$5:E$245,MATCH(B63,'2016 Lockdown Update'!B$5:B$245,0))</f>
        <v>140290.35</v>
      </c>
      <c r="G63" s="7">
        <f>INDEX('2016 Lockdown Update'!F$5:F$245,MATCH(B63,'2016 Lockdown Update'!B$5:B$245,0))</f>
        <v>0</v>
      </c>
      <c r="H63" s="7">
        <f t="shared" si="0"/>
        <v>140290.35</v>
      </c>
      <c r="I63" s="6">
        <f t="shared" si="1"/>
        <v>338.36127278003977</v>
      </c>
      <c r="J63" s="6">
        <f t="shared" si="10"/>
        <v>338.36127278003977</v>
      </c>
      <c r="K63" s="5">
        <f t="shared" si="2"/>
        <v>140290.35</v>
      </c>
      <c r="L63" s="4">
        <f t="shared" si="3"/>
        <v>0</v>
      </c>
      <c r="M63" s="2">
        <f t="shared" si="4"/>
        <v>597.08305027319</v>
      </c>
      <c r="N63" s="1">
        <f t="shared" si="5"/>
        <v>44</v>
      </c>
      <c r="O63" s="3">
        <f t="shared" si="6"/>
        <v>66936.958149215134</v>
      </c>
      <c r="P63" s="2">
        <f t="shared" si="7"/>
        <v>295.95383861021293</v>
      </c>
      <c r="Q63" s="2">
        <f t="shared" si="12"/>
        <v>217.80294507333758</v>
      </c>
      <c r="R63" s="2">
        <f t="shared" si="12"/>
        <v>976.36315547304241</v>
      </c>
      <c r="S63" s="2">
        <f t="shared" si="9"/>
        <v>338.36127278003977</v>
      </c>
    </row>
    <row r="64" spans="2:19" x14ac:dyDescent="0.25">
      <c r="B64" s="10">
        <v>430</v>
      </c>
      <c r="C64" s="10">
        <v>6</v>
      </c>
      <c r="D64" s="9" t="s">
        <v>117</v>
      </c>
      <c r="E64" s="162">
        <f>INDEX('2016 Lockdown Update'!H$5:H$245,MATCH(B64,'2016 Lockdown Update'!B$5:B$245,0))</f>
        <v>3358.1870187184186</v>
      </c>
      <c r="F64" s="7">
        <f>INDEX('2016 Lockdown Update'!E$5:E$245,MATCH(B64,'2016 Lockdown Update'!B$5:B$245,0))</f>
        <v>1749219.88</v>
      </c>
      <c r="G64" s="7">
        <f>INDEX('2016 Lockdown Update'!F$5:F$245,MATCH(B64,'2016 Lockdown Update'!B$5:B$245,0))</f>
        <v>30</v>
      </c>
      <c r="H64" s="7">
        <f t="shared" si="0"/>
        <v>1749189.88</v>
      </c>
      <c r="I64" s="6">
        <f t="shared" si="1"/>
        <v>520.87327782820785</v>
      </c>
      <c r="J64" s="6">
        <f t="shared" si="10"/>
        <v>520.87327782820785</v>
      </c>
      <c r="K64" s="5">
        <f t="shared" si="2"/>
        <v>1749189.88</v>
      </c>
      <c r="L64" s="4">
        <f t="shared" si="3"/>
        <v>0</v>
      </c>
      <c r="M64" s="2">
        <f t="shared" si="4"/>
        <v>597.08305027319</v>
      </c>
      <c r="N64" s="1">
        <f t="shared" si="5"/>
        <v>44</v>
      </c>
      <c r="O64" s="3">
        <f t="shared" si="6"/>
        <v>5807.9294161159605</v>
      </c>
      <c r="P64" s="2">
        <f t="shared" si="7"/>
        <v>295.95383861021293</v>
      </c>
      <c r="Q64" s="2">
        <f t="shared" si="12"/>
        <v>217.80294507333758</v>
      </c>
      <c r="R64" s="2">
        <f t="shared" si="12"/>
        <v>976.36315547304241</v>
      </c>
      <c r="S64" s="2">
        <f t="shared" si="9"/>
        <v>520.87327782820785</v>
      </c>
    </row>
    <row r="65" spans="2:19" x14ac:dyDescent="0.25">
      <c r="B65" s="10">
        <v>443</v>
      </c>
      <c r="C65" s="10">
        <v>6</v>
      </c>
      <c r="D65" s="9" t="s">
        <v>297</v>
      </c>
      <c r="E65" s="162">
        <f>INDEX('2016 Lockdown Update'!H$5:H$245,MATCH(B65,'2016 Lockdown Update'!B$5:B$245,0))</f>
        <v>11.46</v>
      </c>
      <c r="F65" s="7">
        <f>INDEX('2016 Lockdown Update'!E$5:E$245,MATCH(B65,'2016 Lockdown Update'!B$5:B$245,0))</f>
        <v>16058.33</v>
      </c>
      <c r="G65" s="7">
        <f>INDEX('2016 Lockdown Update'!F$5:F$245,MATCH(B65,'2016 Lockdown Update'!B$5:B$245,0))</f>
        <v>0</v>
      </c>
      <c r="H65" s="7">
        <f t="shared" si="0"/>
        <v>16058.33</v>
      </c>
      <c r="I65" s="6">
        <f t="shared" si="1"/>
        <v>1401.2504363001744</v>
      </c>
      <c r="J65" s="6">
        <f t="shared" si="10"/>
        <v>976.36315547304241</v>
      </c>
      <c r="K65" s="5">
        <f t="shared" si="2"/>
        <v>11189.121761721068</v>
      </c>
      <c r="L65" s="4">
        <f t="shared" si="3"/>
        <v>0</v>
      </c>
      <c r="M65" s="2">
        <f t="shared" si="4"/>
        <v>597.08305027319</v>
      </c>
      <c r="N65" s="1">
        <f t="shared" si="5"/>
        <v>44</v>
      </c>
      <c r="O65" s="3">
        <f t="shared" si="6"/>
        <v>646685.184749473</v>
      </c>
      <c r="P65" s="2">
        <f t="shared" si="7"/>
        <v>295.95383861021293</v>
      </c>
      <c r="Q65" s="2">
        <f t="shared" si="12"/>
        <v>217.80294507333758</v>
      </c>
      <c r="R65" s="2">
        <f t="shared" si="12"/>
        <v>976.36315547304241</v>
      </c>
      <c r="S65" s="2">
        <f t="shared" si="9"/>
        <v>976.36315547304241</v>
      </c>
    </row>
    <row r="66" spans="2:19" x14ac:dyDescent="0.25">
      <c r="B66" s="10">
        <v>562</v>
      </c>
      <c r="C66" s="10">
        <v>6</v>
      </c>
      <c r="D66" s="9" t="s">
        <v>118</v>
      </c>
      <c r="E66" s="162">
        <f>INDEX('2016 Lockdown Update'!H$5:H$245,MATCH(B66,'2016 Lockdown Update'!B$5:B$245,0))</f>
        <v>45.402806173972202</v>
      </c>
      <c r="F66" s="7">
        <f>INDEX('2016 Lockdown Update'!E$5:E$245,MATCH(B66,'2016 Lockdown Update'!B$5:B$245,0))</f>
        <v>45830.02</v>
      </c>
      <c r="G66" s="7">
        <f>INDEX('2016 Lockdown Update'!F$5:F$245,MATCH(B66,'2016 Lockdown Update'!B$5:B$245,0))</f>
        <v>0</v>
      </c>
      <c r="H66" s="7">
        <f t="shared" si="0"/>
        <v>45830.02</v>
      </c>
      <c r="I66" s="6">
        <f t="shared" si="1"/>
        <v>1009.4094145721042</v>
      </c>
      <c r="J66" s="6">
        <f t="shared" si="10"/>
        <v>976.36315547304241</v>
      </c>
      <c r="K66" s="5">
        <f t="shared" si="2"/>
        <v>44329.627103350431</v>
      </c>
      <c r="L66" s="4">
        <f t="shared" si="3"/>
        <v>0</v>
      </c>
      <c r="M66" s="2">
        <f t="shared" si="4"/>
        <v>597.08305027319</v>
      </c>
      <c r="N66" s="1">
        <f t="shared" si="5"/>
        <v>44</v>
      </c>
      <c r="O66" s="3">
        <f t="shared" si="6"/>
        <v>170013.03069596092</v>
      </c>
      <c r="P66" s="2">
        <f t="shared" si="7"/>
        <v>295.95383861021293</v>
      </c>
      <c r="Q66" s="2">
        <f t="shared" ref="Q66:R85" si="13">NORMINV(Q$4,$M66,$P66)</f>
        <v>217.80294507333758</v>
      </c>
      <c r="R66" s="2">
        <f t="shared" si="13"/>
        <v>976.36315547304241</v>
      </c>
      <c r="S66" s="2">
        <f t="shared" si="9"/>
        <v>976.36315547304241</v>
      </c>
    </row>
    <row r="67" spans="2:19" x14ac:dyDescent="0.25">
      <c r="B67" s="10">
        <v>603</v>
      </c>
      <c r="C67" s="10">
        <v>6</v>
      </c>
      <c r="D67" s="9" t="s">
        <v>119</v>
      </c>
      <c r="E67" s="162">
        <f>INDEX('2016 Lockdown Update'!H$5:H$245,MATCH(B67,'2016 Lockdown Update'!B$5:B$245,0))</f>
        <v>98.795473817502725</v>
      </c>
      <c r="F67" s="7">
        <f>INDEX('2016 Lockdown Update'!E$5:E$245,MATCH(B67,'2016 Lockdown Update'!B$5:B$245,0))</f>
        <v>85266.27</v>
      </c>
      <c r="G67" s="7">
        <f>INDEX('2016 Lockdown Update'!F$5:F$245,MATCH(B67,'2016 Lockdown Update'!B$5:B$245,0))</f>
        <v>0</v>
      </c>
      <c r="H67" s="7">
        <f t="shared" si="0"/>
        <v>85266.27</v>
      </c>
      <c r="I67" s="6">
        <f t="shared" si="1"/>
        <v>863.0584651833932</v>
      </c>
      <c r="J67" s="6">
        <f t="shared" si="10"/>
        <v>863.0584651833932</v>
      </c>
      <c r="K67" s="5">
        <f t="shared" si="2"/>
        <v>85266.27</v>
      </c>
      <c r="L67" s="4">
        <f t="shared" si="3"/>
        <v>0</v>
      </c>
      <c r="M67" s="2">
        <f t="shared" si="4"/>
        <v>597.08305027319</v>
      </c>
      <c r="N67" s="1">
        <f t="shared" si="5"/>
        <v>44</v>
      </c>
      <c r="O67" s="3">
        <f t="shared" si="6"/>
        <v>70742.921336654748</v>
      </c>
      <c r="P67" s="2">
        <f t="shared" si="7"/>
        <v>295.95383861021293</v>
      </c>
      <c r="Q67" s="2">
        <f t="shared" si="13"/>
        <v>217.80294507333758</v>
      </c>
      <c r="R67" s="2">
        <f t="shared" si="13"/>
        <v>976.36315547304241</v>
      </c>
      <c r="S67" s="2">
        <f t="shared" si="9"/>
        <v>863.0584651833932</v>
      </c>
    </row>
    <row r="68" spans="2:19" x14ac:dyDescent="0.25">
      <c r="B68" s="10">
        <v>618</v>
      </c>
      <c r="C68" s="10">
        <v>6</v>
      </c>
      <c r="D68" s="9" t="s">
        <v>120</v>
      </c>
      <c r="E68" s="162">
        <f>INDEX('2016 Lockdown Update'!H$5:H$245,MATCH(B68,'2016 Lockdown Update'!B$5:B$245,0))</f>
        <v>17.207594265778951</v>
      </c>
      <c r="F68" s="7">
        <f>INDEX('2016 Lockdown Update'!E$5:E$245,MATCH(B68,'2016 Lockdown Update'!B$5:B$245,0))</f>
        <v>15753.82</v>
      </c>
      <c r="G68" s="7">
        <f>INDEX('2016 Lockdown Update'!F$5:F$245,MATCH(B68,'2016 Lockdown Update'!B$5:B$245,0))</f>
        <v>0</v>
      </c>
      <c r="H68" s="7">
        <f t="shared" si="0"/>
        <v>15753.82</v>
      </c>
      <c r="I68" s="6">
        <f t="shared" si="1"/>
        <v>915.51554253751215</v>
      </c>
      <c r="J68" s="6">
        <f t="shared" si="10"/>
        <v>915.51554253751215</v>
      </c>
      <c r="K68" s="5">
        <f t="shared" si="2"/>
        <v>15753.82</v>
      </c>
      <c r="L68" s="4">
        <f t="shared" si="3"/>
        <v>0</v>
      </c>
      <c r="M68" s="2">
        <f t="shared" si="4"/>
        <v>597.08305027319</v>
      </c>
      <c r="N68" s="1">
        <f t="shared" si="5"/>
        <v>44</v>
      </c>
      <c r="O68" s="3">
        <f t="shared" si="6"/>
        <v>101399.25212966758</v>
      </c>
      <c r="P68" s="2">
        <f t="shared" si="7"/>
        <v>295.95383861021293</v>
      </c>
      <c r="Q68" s="2">
        <f t="shared" si="13"/>
        <v>217.80294507333758</v>
      </c>
      <c r="R68" s="2">
        <f t="shared" si="13"/>
        <v>976.36315547304241</v>
      </c>
      <c r="S68" s="2">
        <f t="shared" si="9"/>
        <v>915.51554253751215</v>
      </c>
    </row>
    <row r="69" spans="2:19" x14ac:dyDescent="0.25">
      <c r="B69" s="10">
        <v>620</v>
      </c>
      <c r="C69" s="10">
        <v>6</v>
      </c>
      <c r="D69" s="9" t="s">
        <v>121</v>
      </c>
      <c r="E69" s="162">
        <f>INDEX('2016 Lockdown Update'!H$5:H$245,MATCH(B69,'2016 Lockdown Update'!B$5:B$245,0))</f>
        <v>233.79804422718337</v>
      </c>
      <c r="F69" s="7">
        <f>INDEX('2016 Lockdown Update'!E$5:E$245,MATCH(B69,'2016 Lockdown Update'!B$5:B$245,0))</f>
        <v>113970.22</v>
      </c>
      <c r="G69" s="7">
        <f>INDEX('2016 Lockdown Update'!F$5:F$245,MATCH(B69,'2016 Lockdown Update'!B$5:B$245,0))</f>
        <v>0</v>
      </c>
      <c r="H69" s="7">
        <f t="shared" si="0"/>
        <v>113970.22</v>
      </c>
      <c r="I69" s="6">
        <f t="shared" si="1"/>
        <v>487.47294006127038</v>
      </c>
      <c r="J69" s="6">
        <f t="shared" si="10"/>
        <v>487.47294006127038</v>
      </c>
      <c r="K69" s="5">
        <f t="shared" si="2"/>
        <v>113970.22</v>
      </c>
      <c r="L69" s="4">
        <f t="shared" si="3"/>
        <v>0</v>
      </c>
      <c r="M69" s="2">
        <f t="shared" si="4"/>
        <v>597.08305027319</v>
      </c>
      <c r="N69" s="1">
        <f t="shared" si="5"/>
        <v>44</v>
      </c>
      <c r="O69" s="3">
        <f t="shared" si="6"/>
        <v>12014.376260669165</v>
      </c>
      <c r="P69" s="2">
        <f t="shared" si="7"/>
        <v>295.95383861021293</v>
      </c>
      <c r="Q69" s="2">
        <f t="shared" si="13"/>
        <v>217.80294507333758</v>
      </c>
      <c r="R69" s="2">
        <f t="shared" si="13"/>
        <v>976.36315547304241</v>
      </c>
      <c r="S69" s="2">
        <f t="shared" si="9"/>
        <v>487.47294006127038</v>
      </c>
    </row>
    <row r="70" spans="2:19" x14ac:dyDescent="0.25">
      <c r="B70" s="10">
        <v>622</v>
      </c>
      <c r="C70" s="10">
        <v>6</v>
      </c>
      <c r="D70" s="9" t="s">
        <v>122</v>
      </c>
      <c r="E70" s="162">
        <f>INDEX('2016 Lockdown Update'!H$5:H$245,MATCH(B70,'2016 Lockdown Update'!B$5:B$245,0))</f>
        <v>124.60730037798545</v>
      </c>
      <c r="F70" s="7">
        <f>INDEX('2016 Lockdown Update'!E$5:E$245,MATCH(B70,'2016 Lockdown Update'!B$5:B$245,0))</f>
        <v>78777.27</v>
      </c>
      <c r="G70" s="7">
        <f>INDEX('2016 Lockdown Update'!F$5:F$245,MATCH(B70,'2016 Lockdown Update'!B$5:B$245,0))</f>
        <v>240</v>
      </c>
      <c r="H70" s="7">
        <f t="shared" ref="H70:H133" si="14">F70-G70</f>
        <v>78537.27</v>
      </c>
      <c r="I70" s="6">
        <f t="shared" ref="I70:I133" si="15">H70/E70</f>
        <v>630.27824021356696</v>
      </c>
      <c r="J70" s="6">
        <f t="shared" si="10"/>
        <v>630.27824021356696</v>
      </c>
      <c r="K70" s="5">
        <f t="shared" ref="K70:K133" si="16">J70*E70</f>
        <v>78537.27</v>
      </c>
      <c r="L70" s="4">
        <f t="shared" ref="L70:L133" si="17">IF(ISERROR(I70),1,0)</f>
        <v>0</v>
      </c>
      <c r="M70" s="2">
        <f t="shared" ref="M70:M133" si="18">SUMPRODUCT(--($L$6:$L$298&lt;&gt;1),--($C$6:$C$298=$C70),$H$6:$H$298)/SUMPRODUCT(--($L$6:$L$298&lt;&gt;1),--($C$6:$C$298=$C70),$E$6:$E$298)</f>
        <v>597.08305027319</v>
      </c>
      <c r="N70" s="1">
        <f t="shared" ref="N70:N133" si="19">SUMPRODUCT(--($L$6:$L$298&lt;&gt;1),--($C$6:$C$298=$C70),--($L$6:$L$298&lt;&gt;1))</f>
        <v>44</v>
      </c>
      <c r="O70" s="3">
        <f t="shared" ref="O70:O133" si="20">IF(ISERROR((I70-M70)^2),0,(I70-M70)^2)</f>
        <v>1101.9206351777038</v>
      </c>
      <c r="P70" s="2">
        <f t="shared" ref="P70:P133" si="21">SQRT(SUMPRODUCT(--($L$6:$L$298&lt;&gt;1),--($C$6:$C$298=$C70),$E$6:$E$298,$O$6:$O$298)/((N70-1)*SUMPRODUCT(--($L$6:$L$298&lt;&gt;1),--($C$6:$C$298=$C70),$E$6:$E$298)/N70))</f>
        <v>295.95383861021293</v>
      </c>
      <c r="Q70" s="2">
        <f t="shared" si="13"/>
        <v>217.80294507333758</v>
      </c>
      <c r="R70" s="2">
        <f t="shared" si="13"/>
        <v>976.36315547304241</v>
      </c>
      <c r="S70" s="2">
        <f t="shared" ref="S70:S133" si="22">IF(ISERROR(MAX(MIN(I70,R70),Q70)),R70,MAX(MIN(I70,R70),Q70))</f>
        <v>630.27824021356696</v>
      </c>
    </row>
    <row r="71" spans="2:19" x14ac:dyDescent="0.25">
      <c r="B71" s="10">
        <v>623</v>
      </c>
      <c r="C71" s="10">
        <v>6</v>
      </c>
      <c r="D71" s="9" t="s">
        <v>123</v>
      </c>
      <c r="E71" s="162">
        <f>INDEX('2016 Lockdown Update'!H$5:H$245,MATCH(B71,'2016 Lockdown Update'!B$5:B$245,0))</f>
        <v>234.6358015813762</v>
      </c>
      <c r="F71" s="7">
        <f>INDEX('2016 Lockdown Update'!E$5:E$245,MATCH(B71,'2016 Lockdown Update'!B$5:B$245,0))</f>
        <v>82925.97</v>
      </c>
      <c r="G71" s="7">
        <f>INDEX('2016 Lockdown Update'!F$5:F$245,MATCH(B71,'2016 Lockdown Update'!B$5:B$245,0))</f>
        <v>0</v>
      </c>
      <c r="H71" s="7">
        <f t="shared" si="14"/>
        <v>82925.97</v>
      </c>
      <c r="I71" s="6">
        <f t="shared" si="15"/>
        <v>353.42419801711156</v>
      </c>
      <c r="J71" s="6">
        <f t="shared" ref="J71:J134" si="23">IF(ISERROR(IF($J$2=1,MAX(MIN(I71,R71),Q71),MIN(I71,R71))),R71,IF($J$2=1,MAX(MIN(I71,R71),Q71),MIN(I71,R71)))</f>
        <v>353.42419801711156</v>
      </c>
      <c r="K71" s="5">
        <f t="shared" si="16"/>
        <v>82925.97</v>
      </c>
      <c r="L71" s="4">
        <f t="shared" si="17"/>
        <v>0</v>
      </c>
      <c r="M71" s="2">
        <f t="shared" si="18"/>
        <v>597.08305027319</v>
      </c>
      <c r="N71" s="1">
        <f t="shared" si="19"/>
        <v>44</v>
      </c>
      <c r="O71" s="3">
        <f t="shared" si="20"/>
        <v>59369.636282749459</v>
      </c>
      <c r="P71" s="2">
        <f t="shared" si="21"/>
        <v>295.95383861021293</v>
      </c>
      <c r="Q71" s="2">
        <f t="shared" si="13"/>
        <v>217.80294507333758</v>
      </c>
      <c r="R71" s="2">
        <f t="shared" si="13"/>
        <v>976.36315547304241</v>
      </c>
      <c r="S71" s="2">
        <f t="shared" si="22"/>
        <v>353.42419801711156</v>
      </c>
    </row>
    <row r="72" spans="2:19" x14ac:dyDescent="0.25">
      <c r="B72" s="10">
        <v>626</v>
      </c>
      <c r="C72" s="10">
        <v>6</v>
      </c>
      <c r="D72" s="9" t="s">
        <v>124</v>
      </c>
      <c r="E72" s="162">
        <f>INDEX('2016 Lockdown Update'!H$5:H$245,MATCH(B72,'2016 Lockdown Update'!B$5:B$245,0))</f>
        <v>21.435660997499109</v>
      </c>
      <c r="F72" s="7">
        <f>INDEX('2016 Lockdown Update'!E$5:E$245,MATCH(B72,'2016 Lockdown Update'!B$5:B$245,0))</f>
        <v>17279.060000000001</v>
      </c>
      <c r="G72" s="7">
        <f>INDEX('2016 Lockdown Update'!F$5:F$245,MATCH(B72,'2016 Lockdown Update'!B$5:B$245,0))</f>
        <v>0</v>
      </c>
      <c r="H72" s="7">
        <f t="shared" si="14"/>
        <v>17279.060000000001</v>
      </c>
      <c r="I72" s="6">
        <f t="shared" si="15"/>
        <v>806.08944142268081</v>
      </c>
      <c r="J72" s="6">
        <f t="shared" si="23"/>
        <v>806.08944142268081</v>
      </c>
      <c r="K72" s="5">
        <f t="shared" si="16"/>
        <v>17279.060000000001</v>
      </c>
      <c r="L72" s="4">
        <f t="shared" si="17"/>
        <v>0</v>
      </c>
      <c r="M72" s="2">
        <f t="shared" si="18"/>
        <v>597.08305027319</v>
      </c>
      <c r="N72" s="1">
        <f t="shared" si="19"/>
        <v>44</v>
      </c>
      <c r="O72" s="3">
        <f t="shared" si="20"/>
        <v>43683.671541333948</v>
      </c>
      <c r="P72" s="2">
        <f t="shared" si="21"/>
        <v>295.95383861021293</v>
      </c>
      <c r="Q72" s="2">
        <f t="shared" si="13"/>
        <v>217.80294507333758</v>
      </c>
      <c r="R72" s="2">
        <f t="shared" si="13"/>
        <v>976.36315547304241</v>
      </c>
      <c r="S72" s="2">
        <f t="shared" si="22"/>
        <v>806.08944142268081</v>
      </c>
    </row>
    <row r="73" spans="2:19" x14ac:dyDescent="0.25">
      <c r="B73" s="10">
        <v>627</v>
      </c>
      <c r="C73" s="10">
        <v>6</v>
      </c>
      <c r="D73" s="9" t="s">
        <v>125</v>
      </c>
      <c r="E73" s="162">
        <f>INDEX('2016 Lockdown Update'!H$5:H$245,MATCH(B73,'2016 Lockdown Update'!B$5:B$245,0))</f>
        <v>172.75103006947984</v>
      </c>
      <c r="F73" s="7">
        <f>INDEX('2016 Lockdown Update'!E$5:E$245,MATCH(B73,'2016 Lockdown Update'!B$5:B$245,0))</f>
        <v>78246.31</v>
      </c>
      <c r="G73" s="7">
        <f>INDEX('2016 Lockdown Update'!F$5:F$245,MATCH(B73,'2016 Lockdown Update'!B$5:B$245,0))</f>
        <v>53.1</v>
      </c>
      <c r="H73" s="7">
        <f t="shared" si="14"/>
        <v>78193.209999999992</v>
      </c>
      <c r="I73" s="6">
        <f t="shared" si="15"/>
        <v>452.63527498823578</v>
      </c>
      <c r="J73" s="6">
        <f t="shared" si="23"/>
        <v>452.63527498823578</v>
      </c>
      <c r="K73" s="5">
        <f t="shared" si="16"/>
        <v>78193.209999999992</v>
      </c>
      <c r="L73" s="4">
        <f t="shared" si="17"/>
        <v>0</v>
      </c>
      <c r="M73" s="2">
        <f t="shared" si="18"/>
        <v>597.08305027319</v>
      </c>
      <c r="N73" s="1">
        <f t="shared" si="19"/>
        <v>44</v>
      </c>
      <c r="O73" s="3">
        <f t="shared" si="20"/>
        <v>20865.15978477263</v>
      </c>
      <c r="P73" s="2">
        <f t="shared" si="21"/>
        <v>295.95383861021293</v>
      </c>
      <c r="Q73" s="2">
        <f t="shared" si="13"/>
        <v>217.80294507333758</v>
      </c>
      <c r="R73" s="2">
        <f t="shared" si="13"/>
        <v>976.36315547304241</v>
      </c>
      <c r="S73" s="2">
        <f t="shared" si="22"/>
        <v>452.63527498823578</v>
      </c>
    </row>
    <row r="74" spans="2:19" x14ac:dyDescent="0.25">
      <c r="B74" s="10">
        <v>634</v>
      </c>
      <c r="C74" s="10">
        <v>6</v>
      </c>
      <c r="D74" s="9" t="s">
        <v>126</v>
      </c>
      <c r="E74" s="162">
        <f>INDEX('2016 Lockdown Update'!H$5:H$245,MATCH(B74,'2016 Lockdown Update'!B$5:B$245,0))</f>
        <v>629.19830455599129</v>
      </c>
      <c r="F74" s="7">
        <f>INDEX('2016 Lockdown Update'!E$5:E$245,MATCH(B74,'2016 Lockdown Update'!B$5:B$245,0))</f>
        <v>532108.69999999995</v>
      </c>
      <c r="G74" s="7">
        <f>INDEX('2016 Lockdown Update'!F$5:F$245,MATCH(B74,'2016 Lockdown Update'!B$5:B$245,0))</f>
        <v>0</v>
      </c>
      <c r="H74" s="7">
        <f t="shared" si="14"/>
        <v>532108.69999999995</v>
      </c>
      <c r="I74" s="6">
        <f t="shared" si="15"/>
        <v>845.69315611156185</v>
      </c>
      <c r="J74" s="6">
        <f t="shared" si="23"/>
        <v>845.69315611156185</v>
      </c>
      <c r="K74" s="5">
        <f t="shared" si="16"/>
        <v>532108.69999999995</v>
      </c>
      <c r="L74" s="4">
        <f t="shared" si="17"/>
        <v>0</v>
      </c>
      <c r="M74" s="2">
        <f t="shared" si="18"/>
        <v>597.08305027319</v>
      </c>
      <c r="N74" s="1">
        <f t="shared" si="19"/>
        <v>44</v>
      </c>
      <c r="O74" s="3">
        <f t="shared" si="20"/>
        <v>61806.984724966453</v>
      </c>
      <c r="P74" s="2">
        <f t="shared" si="21"/>
        <v>295.95383861021293</v>
      </c>
      <c r="Q74" s="2">
        <f t="shared" si="13"/>
        <v>217.80294507333758</v>
      </c>
      <c r="R74" s="2">
        <f t="shared" si="13"/>
        <v>976.36315547304241</v>
      </c>
      <c r="S74" s="2">
        <f t="shared" si="22"/>
        <v>845.69315611156185</v>
      </c>
    </row>
    <row r="75" spans="2:19" x14ac:dyDescent="0.25">
      <c r="B75" s="10">
        <v>694</v>
      </c>
      <c r="C75" s="10">
        <v>6</v>
      </c>
      <c r="D75" s="9" t="s">
        <v>22</v>
      </c>
      <c r="E75" s="162">
        <f>INDEX('2016 Lockdown Update'!H$5:H$245,MATCH(B75,'2016 Lockdown Update'!B$5:B$245,0))</f>
        <v>14.922412001826281</v>
      </c>
      <c r="F75" s="7">
        <f>INDEX('2016 Lockdown Update'!E$5:E$245,MATCH(B75,'2016 Lockdown Update'!B$5:B$245,0))</f>
        <v>41166.160000000003</v>
      </c>
      <c r="G75" s="7">
        <f>INDEX('2016 Lockdown Update'!F$5:F$245,MATCH(B75,'2016 Lockdown Update'!B$5:B$245,0))</f>
        <v>0</v>
      </c>
      <c r="H75" s="7">
        <f t="shared" si="14"/>
        <v>41166.160000000003</v>
      </c>
      <c r="I75" s="6">
        <f t="shared" si="15"/>
        <v>2758.6800307458257</v>
      </c>
      <c r="J75" s="6">
        <f t="shared" si="23"/>
        <v>976.36315547304241</v>
      </c>
      <c r="K75" s="5">
        <f t="shared" si="16"/>
        <v>14569.693269371906</v>
      </c>
      <c r="L75" s="4">
        <f t="shared" si="17"/>
        <v>0</v>
      </c>
      <c r="M75" s="2">
        <f t="shared" si="18"/>
        <v>597.08305027319</v>
      </c>
      <c r="N75" s="1">
        <f t="shared" si="19"/>
        <v>44</v>
      </c>
      <c r="O75" s="3">
        <f t="shared" si="20"/>
        <v>4672501.5059884153</v>
      </c>
      <c r="P75" s="2">
        <f t="shared" si="21"/>
        <v>295.95383861021293</v>
      </c>
      <c r="Q75" s="2">
        <f t="shared" si="13"/>
        <v>217.80294507333758</v>
      </c>
      <c r="R75" s="2">
        <f t="shared" si="13"/>
        <v>976.36315547304241</v>
      </c>
      <c r="S75" s="2">
        <f t="shared" si="22"/>
        <v>976.36315547304241</v>
      </c>
    </row>
    <row r="76" spans="2:19" x14ac:dyDescent="0.25">
      <c r="B76" s="10">
        <v>697</v>
      </c>
      <c r="C76" s="10">
        <v>6</v>
      </c>
      <c r="D76" s="9" t="s">
        <v>127</v>
      </c>
      <c r="E76" s="162">
        <f>INDEX('2016 Lockdown Update'!H$5:H$245,MATCH(B76,'2016 Lockdown Update'!B$5:B$245,0))</f>
        <v>47.902918435338712</v>
      </c>
      <c r="F76" s="7">
        <f>INDEX('2016 Lockdown Update'!E$5:E$245,MATCH(B76,'2016 Lockdown Update'!B$5:B$245,0))</f>
        <v>53116.83</v>
      </c>
      <c r="G76" s="7">
        <f>INDEX('2016 Lockdown Update'!F$5:F$245,MATCH(B76,'2016 Lockdown Update'!B$5:B$245,0))</f>
        <v>0</v>
      </c>
      <c r="H76" s="7">
        <f t="shared" si="14"/>
        <v>53116.83</v>
      </c>
      <c r="I76" s="6">
        <f t="shared" si="15"/>
        <v>1108.8432967126885</v>
      </c>
      <c r="J76" s="6">
        <f t="shared" si="23"/>
        <v>976.36315547304241</v>
      </c>
      <c r="K76" s="5">
        <f t="shared" si="16"/>
        <v>46770.64459989508</v>
      </c>
      <c r="L76" s="4">
        <f t="shared" si="17"/>
        <v>0</v>
      </c>
      <c r="M76" s="2">
        <f t="shared" si="18"/>
        <v>597.08305027319</v>
      </c>
      <c r="N76" s="1">
        <f t="shared" si="19"/>
        <v>44</v>
      </c>
      <c r="O76" s="3">
        <f t="shared" si="20"/>
        <v>261898.5498358162</v>
      </c>
      <c r="P76" s="2">
        <f t="shared" si="21"/>
        <v>295.95383861021293</v>
      </c>
      <c r="Q76" s="2">
        <f t="shared" si="13"/>
        <v>217.80294507333758</v>
      </c>
      <c r="R76" s="2">
        <f t="shared" si="13"/>
        <v>976.36315547304241</v>
      </c>
      <c r="S76" s="2">
        <f t="shared" si="22"/>
        <v>976.36315547304241</v>
      </c>
    </row>
    <row r="77" spans="2:19" x14ac:dyDescent="0.25">
      <c r="B77" s="10">
        <v>710</v>
      </c>
      <c r="C77" s="10">
        <v>6</v>
      </c>
      <c r="D77" s="9" t="s">
        <v>128</v>
      </c>
      <c r="E77" s="162">
        <f>INDEX('2016 Lockdown Update'!H$5:H$245,MATCH(B77,'2016 Lockdown Update'!B$5:B$245,0))</f>
        <v>69.019377099984084</v>
      </c>
      <c r="F77" s="7">
        <f>INDEX('2016 Lockdown Update'!E$5:E$245,MATCH(B77,'2016 Lockdown Update'!B$5:B$245,0))</f>
        <v>74539.039999999994</v>
      </c>
      <c r="G77" s="7">
        <f>INDEX('2016 Lockdown Update'!F$5:F$245,MATCH(B77,'2016 Lockdown Update'!B$5:B$245,0))</f>
        <v>0</v>
      </c>
      <c r="H77" s="7">
        <f t="shared" si="14"/>
        <v>74539.039999999994</v>
      </c>
      <c r="I77" s="6">
        <f t="shared" si="15"/>
        <v>1079.972655969061</v>
      </c>
      <c r="J77" s="6">
        <f t="shared" si="23"/>
        <v>976.36315547304241</v>
      </c>
      <c r="K77" s="5">
        <f t="shared" si="16"/>
        <v>67387.976814124297</v>
      </c>
      <c r="L77" s="4">
        <f t="shared" si="17"/>
        <v>0</v>
      </c>
      <c r="M77" s="2">
        <f t="shared" si="18"/>
        <v>597.08305027319</v>
      </c>
      <c r="N77" s="1">
        <f t="shared" si="19"/>
        <v>44</v>
      </c>
      <c r="O77" s="3">
        <f t="shared" si="20"/>
        <v>233182.37128911374</v>
      </c>
      <c r="P77" s="2">
        <f t="shared" si="21"/>
        <v>295.95383861021293</v>
      </c>
      <c r="Q77" s="2">
        <f t="shared" si="13"/>
        <v>217.80294507333758</v>
      </c>
      <c r="R77" s="2">
        <f t="shared" si="13"/>
        <v>976.36315547304241</v>
      </c>
      <c r="S77" s="2">
        <f t="shared" si="22"/>
        <v>976.36315547304241</v>
      </c>
    </row>
    <row r="78" spans="2:19" x14ac:dyDescent="0.25">
      <c r="B78" s="10">
        <v>743</v>
      </c>
      <c r="C78" s="10">
        <v>6</v>
      </c>
      <c r="D78" s="9" t="s">
        <v>129</v>
      </c>
      <c r="E78" s="162">
        <f>INDEX('2016 Lockdown Update'!H$5:H$245,MATCH(B78,'2016 Lockdown Update'!B$5:B$245,0))</f>
        <v>88.658199112750268</v>
      </c>
      <c r="F78" s="7">
        <f>INDEX('2016 Lockdown Update'!E$5:E$245,MATCH(B78,'2016 Lockdown Update'!B$5:B$245,0))</f>
        <v>129452.08</v>
      </c>
      <c r="G78" s="7">
        <f>INDEX('2016 Lockdown Update'!F$5:F$245,MATCH(B78,'2016 Lockdown Update'!B$5:B$245,0))</f>
        <v>0</v>
      </c>
      <c r="H78" s="7">
        <f t="shared" si="14"/>
        <v>129452.08</v>
      </c>
      <c r="I78" s="6">
        <f t="shared" si="15"/>
        <v>1460.1253047715359</v>
      </c>
      <c r="J78" s="6">
        <f t="shared" si="23"/>
        <v>976.36315547304241</v>
      </c>
      <c r="K78" s="5">
        <f t="shared" si="16"/>
        <v>86562.599044282135</v>
      </c>
      <c r="L78" s="4">
        <f t="shared" si="17"/>
        <v>0</v>
      </c>
      <c r="M78" s="2">
        <f t="shared" si="18"/>
        <v>597.08305027319</v>
      </c>
      <c r="N78" s="1">
        <f t="shared" si="19"/>
        <v>44</v>
      </c>
      <c r="O78" s="3">
        <f t="shared" si="20"/>
        <v>744841.93304958765</v>
      </c>
      <c r="P78" s="2">
        <f t="shared" si="21"/>
        <v>295.95383861021293</v>
      </c>
      <c r="Q78" s="2">
        <f t="shared" si="13"/>
        <v>217.80294507333758</v>
      </c>
      <c r="R78" s="2">
        <f t="shared" si="13"/>
        <v>976.36315547304241</v>
      </c>
      <c r="S78" s="2">
        <f t="shared" si="22"/>
        <v>976.36315547304241</v>
      </c>
    </row>
    <row r="79" spans="2:19" x14ac:dyDescent="0.25">
      <c r="B79" s="10">
        <v>747</v>
      </c>
      <c r="C79" s="10">
        <v>6</v>
      </c>
      <c r="D79" s="9" t="s">
        <v>130</v>
      </c>
      <c r="E79" s="162">
        <f>INDEX('2016 Lockdown Update'!H$5:H$245,MATCH(B79,'2016 Lockdown Update'!B$5:B$245,0))</f>
        <v>34.58</v>
      </c>
      <c r="F79" s="7">
        <f>INDEX('2016 Lockdown Update'!E$5:E$245,MATCH(B79,'2016 Lockdown Update'!B$5:B$245,0))</f>
        <v>57416.36</v>
      </c>
      <c r="G79" s="7">
        <f>INDEX('2016 Lockdown Update'!F$5:F$245,MATCH(B79,'2016 Lockdown Update'!B$5:B$245,0))</f>
        <v>0</v>
      </c>
      <c r="H79" s="7">
        <f t="shared" si="14"/>
        <v>57416.36</v>
      </c>
      <c r="I79" s="6">
        <f t="shared" si="15"/>
        <v>1660.3921341816081</v>
      </c>
      <c r="J79" s="6">
        <f t="shared" si="23"/>
        <v>976.36315547304241</v>
      </c>
      <c r="K79" s="5">
        <f t="shared" si="16"/>
        <v>33762.637916257801</v>
      </c>
      <c r="L79" s="4">
        <f t="shared" si="17"/>
        <v>0</v>
      </c>
      <c r="M79" s="2">
        <f t="shared" si="18"/>
        <v>597.08305027319</v>
      </c>
      <c r="N79" s="1">
        <f t="shared" si="19"/>
        <v>44</v>
      </c>
      <c r="O79" s="3">
        <f t="shared" si="20"/>
        <v>1130626.207922159</v>
      </c>
      <c r="P79" s="2">
        <f t="shared" si="21"/>
        <v>295.95383861021293</v>
      </c>
      <c r="Q79" s="2">
        <f t="shared" si="13"/>
        <v>217.80294507333758</v>
      </c>
      <c r="R79" s="2">
        <f t="shared" si="13"/>
        <v>976.36315547304241</v>
      </c>
      <c r="S79" s="2">
        <f t="shared" si="22"/>
        <v>976.36315547304241</v>
      </c>
    </row>
    <row r="80" spans="2:19" x14ac:dyDescent="0.25">
      <c r="B80" s="10">
        <v>758</v>
      </c>
      <c r="C80" s="10">
        <v>6</v>
      </c>
      <c r="D80" s="9" t="s">
        <v>131</v>
      </c>
      <c r="E80" s="162">
        <f>INDEX('2016 Lockdown Update'!H$5:H$245,MATCH(B80,'2016 Lockdown Update'!B$5:B$245,0))</f>
        <v>298.94651286099651</v>
      </c>
      <c r="F80" s="7">
        <f>INDEX('2016 Lockdown Update'!E$5:E$245,MATCH(B80,'2016 Lockdown Update'!B$5:B$245,0))</f>
        <v>308609.02</v>
      </c>
      <c r="G80" s="7">
        <f>INDEX('2016 Lockdown Update'!F$5:F$245,MATCH(B80,'2016 Lockdown Update'!B$5:B$245,0))</f>
        <v>766.22</v>
      </c>
      <c r="H80" s="7">
        <f t="shared" si="14"/>
        <v>307842.80000000005</v>
      </c>
      <c r="I80" s="6">
        <f t="shared" si="15"/>
        <v>1029.7587921460054</v>
      </c>
      <c r="J80" s="6">
        <f t="shared" si="23"/>
        <v>976.36315547304241</v>
      </c>
      <c r="K80" s="5">
        <f t="shared" si="16"/>
        <v>291880.36061462498</v>
      </c>
      <c r="L80" s="4">
        <f t="shared" si="17"/>
        <v>0</v>
      </c>
      <c r="M80" s="2">
        <f t="shared" si="18"/>
        <v>597.08305027319</v>
      </c>
      <c r="N80" s="1">
        <f t="shared" si="19"/>
        <v>44</v>
      </c>
      <c r="O80" s="3">
        <f t="shared" si="20"/>
        <v>187208.29760519115</v>
      </c>
      <c r="P80" s="2">
        <f t="shared" si="21"/>
        <v>295.95383861021293</v>
      </c>
      <c r="Q80" s="2">
        <f t="shared" si="13"/>
        <v>217.80294507333758</v>
      </c>
      <c r="R80" s="2">
        <f t="shared" si="13"/>
        <v>976.36315547304241</v>
      </c>
      <c r="S80" s="2">
        <f t="shared" si="22"/>
        <v>976.36315547304241</v>
      </c>
    </row>
    <row r="81" spans="2:19" x14ac:dyDescent="0.25">
      <c r="B81" s="10">
        <v>765</v>
      </c>
      <c r="C81" s="10">
        <v>6</v>
      </c>
      <c r="D81" s="9" t="s">
        <v>132</v>
      </c>
      <c r="E81" s="162">
        <f>INDEX('2016 Lockdown Update'!H$5:H$245,MATCH(B81,'2016 Lockdown Update'!B$5:B$245,0))</f>
        <v>80.350199999999987</v>
      </c>
      <c r="F81" s="7">
        <f>INDEX('2016 Lockdown Update'!E$5:E$245,MATCH(B81,'2016 Lockdown Update'!B$5:B$245,0))</f>
        <v>86841.69</v>
      </c>
      <c r="G81" s="7">
        <f>INDEX('2016 Lockdown Update'!F$5:F$245,MATCH(B81,'2016 Lockdown Update'!B$5:B$245,0))</f>
        <v>0</v>
      </c>
      <c r="H81" s="7">
        <f t="shared" si="14"/>
        <v>86841.69</v>
      </c>
      <c r="I81" s="6">
        <f t="shared" si="15"/>
        <v>1080.7899669198086</v>
      </c>
      <c r="J81" s="6">
        <f t="shared" si="23"/>
        <v>976.36315547304241</v>
      </c>
      <c r="K81" s="5">
        <f t="shared" si="16"/>
        <v>78450.97481489004</v>
      </c>
      <c r="L81" s="4">
        <f t="shared" si="17"/>
        <v>0</v>
      </c>
      <c r="M81" s="2">
        <f t="shared" si="18"/>
        <v>597.08305027319</v>
      </c>
      <c r="N81" s="1">
        <f t="shared" si="19"/>
        <v>44</v>
      </c>
      <c r="O81" s="3">
        <f t="shared" si="20"/>
        <v>233972.38121177888</v>
      </c>
      <c r="P81" s="2">
        <f t="shared" si="21"/>
        <v>295.95383861021293</v>
      </c>
      <c r="Q81" s="2">
        <f t="shared" si="13"/>
        <v>217.80294507333758</v>
      </c>
      <c r="R81" s="2">
        <f t="shared" si="13"/>
        <v>976.36315547304241</v>
      </c>
      <c r="S81" s="2">
        <f t="shared" si="22"/>
        <v>976.36315547304241</v>
      </c>
    </row>
    <row r="82" spans="2:19" x14ac:dyDescent="0.25">
      <c r="B82" s="10">
        <v>770</v>
      </c>
      <c r="C82" s="10">
        <v>6</v>
      </c>
      <c r="D82" s="9" t="s">
        <v>133</v>
      </c>
      <c r="E82" s="162">
        <f>INDEX('2016 Lockdown Update'!H$5:H$245,MATCH(B82,'2016 Lockdown Update'!B$5:B$245,0))</f>
        <v>31.38</v>
      </c>
      <c r="F82" s="7">
        <f>INDEX('2016 Lockdown Update'!E$5:E$245,MATCH(B82,'2016 Lockdown Update'!B$5:B$245,0))</f>
        <v>24226.400000000001</v>
      </c>
      <c r="G82" s="7">
        <f>INDEX('2016 Lockdown Update'!F$5:F$245,MATCH(B82,'2016 Lockdown Update'!B$5:B$245,0))</f>
        <v>0</v>
      </c>
      <c r="H82" s="7">
        <f t="shared" si="14"/>
        <v>24226.400000000001</v>
      </c>
      <c r="I82" s="6">
        <f t="shared" si="15"/>
        <v>772.03314212874454</v>
      </c>
      <c r="J82" s="6">
        <f t="shared" si="23"/>
        <v>772.03314212874454</v>
      </c>
      <c r="K82" s="5">
        <f t="shared" si="16"/>
        <v>24226.400000000001</v>
      </c>
      <c r="L82" s="4">
        <f t="shared" si="17"/>
        <v>0</v>
      </c>
      <c r="M82" s="2">
        <f t="shared" si="18"/>
        <v>597.08305027319</v>
      </c>
      <c r="N82" s="1">
        <f t="shared" si="19"/>
        <v>44</v>
      </c>
      <c r="O82" s="3">
        <f t="shared" si="20"/>
        <v>30607.534640266975</v>
      </c>
      <c r="P82" s="2">
        <f t="shared" si="21"/>
        <v>295.95383861021293</v>
      </c>
      <c r="Q82" s="2">
        <f t="shared" si="13"/>
        <v>217.80294507333758</v>
      </c>
      <c r="R82" s="2">
        <f t="shared" si="13"/>
        <v>976.36315547304241</v>
      </c>
      <c r="S82" s="2">
        <f t="shared" si="22"/>
        <v>772.03314212874454</v>
      </c>
    </row>
    <row r="83" spans="2:19" x14ac:dyDescent="0.25">
      <c r="B83" s="10">
        <v>774</v>
      </c>
      <c r="C83" s="10">
        <v>6</v>
      </c>
      <c r="D83" s="9" t="s">
        <v>134</v>
      </c>
      <c r="E83" s="162">
        <f>INDEX('2016 Lockdown Update'!H$5:H$245,MATCH(B83,'2016 Lockdown Update'!B$5:B$245,0))</f>
        <v>449.72089621218714</v>
      </c>
      <c r="F83" s="7">
        <f>INDEX('2016 Lockdown Update'!E$5:E$245,MATCH(B83,'2016 Lockdown Update'!B$5:B$245,0))</f>
        <v>288515.28999999998</v>
      </c>
      <c r="G83" s="7">
        <f>INDEX('2016 Lockdown Update'!F$5:F$245,MATCH(B83,'2016 Lockdown Update'!B$5:B$245,0))</f>
        <v>0</v>
      </c>
      <c r="H83" s="7">
        <f t="shared" si="14"/>
        <v>288515.28999999998</v>
      </c>
      <c r="I83" s="6">
        <f t="shared" si="15"/>
        <v>641.54299351007433</v>
      </c>
      <c r="J83" s="6">
        <f t="shared" si="23"/>
        <v>641.54299351007433</v>
      </c>
      <c r="K83" s="5">
        <f t="shared" si="16"/>
        <v>288515.28999999998</v>
      </c>
      <c r="L83" s="4">
        <f t="shared" si="17"/>
        <v>0</v>
      </c>
      <c r="M83" s="2">
        <f t="shared" si="18"/>
        <v>597.08305027319</v>
      </c>
      <c r="N83" s="1">
        <f t="shared" si="19"/>
        <v>44</v>
      </c>
      <c r="O83" s="3">
        <f t="shared" si="20"/>
        <v>1976.6865526269764</v>
      </c>
      <c r="P83" s="2">
        <f t="shared" si="21"/>
        <v>295.95383861021293</v>
      </c>
      <c r="Q83" s="2">
        <f t="shared" si="13"/>
        <v>217.80294507333758</v>
      </c>
      <c r="R83" s="2">
        <f t="shared" si="13"/>
        <v>976.36315547304241</v>
      </c>
      <c r="S83" s="2">
        <f t="shared" si="22"/>
        <v>641.54299351007433</v>
      </c>
    </row>
    <row r="84" spans="2:19" x14ac:dyDescent="0.25">
      <c r="B84" s="10">
        <v>794</v>
      </c>
      <c r="C84" s="10">
        <v>6</v>
      </c>
      <c r="D84" s="9" t="s">
        <v>135</v>
      </c>
      <c r="E84" s="162">
        <f>INDEX('2016 Lockdown Update'!H$5:H$245,MATCH(B84,'2016 Lockdown Update'!B$5:B$245,0))</f>
        <v>33.43744570213115</v>
      </c>
      <c r="F84" s="7">
        <f>INDEX('2016 Lockdown Update'!E$5:E$245,MATCH(B84,'2016 Lockdown Update'!B$5:B$245,0))</f>
        <v>42748.36</v>
      </c>
      <c r="G84" s="7">
        <f>INDEX('2016 Lockdown Update'!F$5:F$245,MATCH(B84,'2016 Lockdown Update'!B$5:B$245,0))</f>
        <v>0</v>
      </c>
      <c r="H84" s="7">
        <f t="shared" si="14"/>
        <v>42748.36</v>
      </c>
      <c r="I84" s="6">
        <f t="shared" si="15"/>
        <v>1278.4577022064641</v>
      </c>
      <c r="J84" s="6">
        <f t="shared" si="23"/>
        <v>976.36315547304241</v>
      </c>
      <c r="K84" s="5">
        <f t="shared" si="16"/>
        <v>32647.089996691291</v>
      </c>
      <c r="L84" s="4">
        <f t="shared" si="17"/>
        <v>0</v>
      </c>
      <c r="M84" s="2">
        <f t="shared" si="18"/>
        <v>597.08305027319</v>
      </c>
      <c r="N84" s="1">
        <f t="shared" si="19"/>
        <v>44</v>
      </c>
      <c r="O84" s="3">
        <f t="shared" si="20"/>
        <v>464271.41629719042</v>
      </c>
      <c r="P84" s="2">
        <f t="shared" si="21"/>
        <v>295.95383861021293</v>
      </c>
      <c r="Q84" s="2">
        <f t="shared" si="13"/>
        <v>217.80294507333758</v>
      </c>
      <c r="R84" s="2">
        <f t="shared" si="13"/>
        <v>976.36315547304241</v>
      </c>
      <c r="S84" s="2">
        <f t="shared" si="22"/>
        <v>976.36315547304241</v>
      </c>
    </row>
    <row r="85" spans="2:19" x14ac:dyDescent="0.25">
      <c r="B85" s="10">
        <v>806</v>
      </c>
      <c r="C85" s="10">
        <v>6</v>
      </c>
      <c r="D85" s="9" t="s">
        <v>136</v>
      </c>
      <c r="E85" s="162">
        <f>INDEX('2016 Lockdown Update'!H$5:H$245,MATCH(B85,'2016 Lockdown Update'!B$5:B$245,0))</f>
        <v>27</v>
      </c>
      <c r="F85" s="7">
        <f>INDEX('2016 Lockdown Update'!E$5:E$245,MATCH(B85,'2016 Lockdown Update'!B$5:B$245,0))</f>
        <v>40480.629999999997</v>
      </c>
      <c r="G85" s="7">
        <f>INDEX('2016 Lockdown Update'!F$5:F$245,MATCH(B85,'2016 Lockdown Update'!B$5:B$245,0))</f>
        <v>0</v>
      </c>
      <c r="H85" s="7">
        <f t="shared" si="14"/>
        <v>40480.629999999997</v>
      </c>
      <c r="I85" s="6">
        <f t="shared" si="15"/>
        <v>1499.2825925925924</v>
      </c>
      <c r="J85" s="6">
        <f t="shared" si="23"/>
        <v>976.36315547304241</v>
      </c>
      <c r="K85" s="5">
        <f t="shared" si="16"/>
        <v>26361.805197772144</v>
      </c>
      <c r="L85" s="4">
        <f t="shared" si="17"/>
        <v>0</v>
      </c>
      <c r="M85" s="2">
        <f t="shared" si="18"/>
        <v>597.08305027319</v>
      </c>
      <c r="N85" s="1">
        <f t="shared" si="19"/>
        <v>44</v>
      </c>
      <c r="O85" s="3">
        <f t="shared" si="20"/>
        <v>813964.01416133926</v>
      </c>
      <c r="P85" s="2">
        <f t="shared" si="21"/>
        <v>295.95383861021293</v>
      </c>
      <c r="Q85" s="2">
        <f t="shared" si="13"/>
        <v>217.80294507333758</v>
      </c>
      <c r="R85" s="2">
        <f t="shared" si="13"/>
        <v>976.36315547304241</v>
      </c>
      <c r="S85" s="2">
        <f t="shared" si="22"/>
        <v>976.36315547304241</v>
      </c>
    </row>
    <row r="86" spans="2:19" x14ac:dyDescent="0.25">
      <c r="B86" s="10">
        <v>811</v>
      </c>
      <c r="C86" s="10">
        <v>6</v>
      </c>
      <c r="D86" s="9" t="s">
        <v>137</v>
      </c>
      <c r="E86" s="162">
        <f>INDEX('2016 Lockdown Update'!H$5:H$245,MATCH(B86,'2016 Lockdown Update'!B$5:B$245,0))</f>
        <v>848.27512001861191</v>
      </c>
      <c r="F86" s="7">
        <f>INDEX('2016 Lockdown Update'!E$5:E$245,MATCH(B86,'2016 Lockdown Update'!B$5:B$245,0))</f>
        <v>513458.35</v>
      </c>
      <c r="G86" s="7">
        <f>INDEX('2016 Lockdown Update'!F$5:F$245,MATCH(B86,'2016 Lockdown Update'!B$5:B$245,0))</f>
        <v>1000</v>
      </c>
      <c r="H86" s="7">
        <f t="shared" si="14"/>
        <v>512458.35</v>
      </c>
      <c r="I86" s="6">
        <f t="shared" si="15"/>
        <v>604.11809554046124</v>
      </c>
      <c r="J86" s="6">
        <f t="shared" si="23"/>
        <v>604.11809554046124</v>
      </c>
      <c r="K86" s="5">
        <f t="shared" si="16"/>
        <v>512458.35000000003</v>
      </c>
      <c r="L86" s="4">
        <f t="shared" si="17"/>
        <v>0</v>
      </c>
      <c r="M86" s="2">
        <f t="shared" si="18"/>
        <v>597.08305027319</v>
      </c>
      <c r="N86" s="1">
        <f t="shared" si="19"/>
        <v>44</v>
      </c>
      <c r="O86" s="3">
        <f t="shared" si="20"/>
        <v>49.491861912555521</v>
      </c>
      <c r="P86" s="2">
        <f t="shared" si="21"/>
        <v>295.95383861021293</v>
      </c>
      <c r="Q86" s="2">
        <f t="shared" ref="Q86:R105" si="24">NORMINV(Q$4,$M86,$P86)</f>
        <v>217.80294507333758</v>
      </c>
      <c r="R86" s="2">
        <f t="shared" si="24"/>
        <v>976.36315547304241</v>
      </c>
      <c r="S86" s="2">
        <f t="shared" si="22"/>
        <v>604.11809554046124</v>
      </c>
    </row>
    <row r="87" spans="2:19" x14ac:dyDescent="0.25">
      <c r="B87" s="10">
        <v>824</v>
      </c>
      <c r="C87" s="10">
        <v>6</v>
      </c>
      <c r="D87" s="9" t="s">
        <v>138</v>
      </c>
      <c r="E87" s="162">
        <f>INDEX('2016 Lockdown Update'!H$5:H$245,MATCH(B87,'2016 Lockdown Update'!B$5:B$245,0))</f>
        <v>31.52</v>
      </c>
      <c r="F87" s="7">
        <f>INDEX('2016 Lockdown Update'!E$5:E$245,MATCH(B87,'2016 Lockdown Update'!B$5:B$245,0))</f>
        <v>60319.76</v>
      </c>
      <c r="G87" s="7">
        <f>INDEX('2016 Lockdown Update'!F$5:F$245,MATCH(B87,'2016 Lockdown Update'!B$5:B$245,0))</f>
        <v>0</v>
      </c>
      <c r="H87" s="7">
        <f t="shared" si="14"/>
        <v>60319.76</v>
      </c>
      <c r="I87" s="6">
        <f t="shared" si="15"/>
        <v>1913.6979695431473</v>
      </c>
      <c r="J87" s="6">
        <f t="shared" si="23"/>
        <v>976.36315547304241</v>
      </c>
      <c r="K87" s="5">
        <f t="shared" si="16"/>
        <v>30774.966660510298</v>
      </c>
      <c r="L87" s="4">
        <f t="shared" si="17"/>
        <v>0</v>
      </c>
      <c r="M87" s="2">
        <f t="shared" si="18"/>
        <v>597.08305027319</v>
      </c>
      <c r="N87" s="1">
        <f t="shared" si="19"/>
        <v>44</v>
      </c>
      <c r="O87" s="3">
        <f t="shared" si="20"/>
        <v>1733474.8456442361</v>
      </c>
      <c r="P87" s="2">
        <f t="shared" si="21"/>
        <v>295.95383861021293</v>
      </c>
      <c r="Q87" s="2">
        <f t="shared" si="24"/>
        <v>217.80294507333758</v>
      </c>
      <c r="R87" s="2">
        <f t="shared" si="24"/>
        <v>976.36315547304241</v>
      </c>
      <c r="S87" s="2">
        <f t="shared" si="22"/>
        <v>976.36315547304241</v>
      </c>
    </row>
    <row r="88" spans="2:19" x14ac:dyDescent="0.25">
      <c r="B88" s="10">
        <v>826</v>
      </c>
      <c r="C88" s="10">
        <v>6</v>
      </c>
      <c r="D88" s="9" t="s">
        <v>139</v>
      </c>
      <c r="E88" s="162">
        <f>INDEX('2016 Lockdown Update'!H$5:H$245,MATCH(B88,'2016 Lockdown Update'!B$5:B$245,0))</f>
        <v>32.878999999999998</v>
      </c>
      <c r="F88" s="7">
        <f>INDEX('2016 Lockdown Update'!E$5:E$245,MATCH(B88,'2016 Lockdown Update'!B$5:B$245,0))</f>
        <v>48770.93</v>
      </c>
      <c r="G88" s="7">
        <f>INDEX('2016 Lockdown Update'!F$5:F$245,MATCH(B88,'2016 Lockdown Update'!B$5:B$245,0))</f>
        <v>0</v>
      </c>
      <c r="H88" s="7">
        <f t="shared" si="14"/>
        <v>48770.93</v>
      </c>
      <c r="I88" s="6">
        <f t="shared" si="15"/>
        <v>1483.3459046807993</v>
      </c>
      <c r="J88" s="6">
        <f t="shared" si="23"/>
        <v>976.36315547304241</v>
      </c>
      <c r="K88" s="5">
        <f t="shared" si="16"/>
        <v>32101.844188798161</v>
      </c>
      <c r="L88" s="4">
        <f t="shared" si="17"/>
        <v>0</v>
      </c>
      <c r="M88" s="2">
        <f t="shared" si="18"/>
        <v>597.08305027319</v>
      </c>
      <c r="N88" s="1">
        <f t="shared" si="19"/>
        <v>44</v>
      </c>
      <c r="O88" s="3">
        <f t="shared" si="20"/>
        <v>785461.84710272332</v>
      </c>
      <c r="P88" s="2">
        <f t="shared" si="21"/>
        <v>295.95383861021293</v>
      </c>
      <c r="Q88" s="2">
        <f t="shared" si="24"/>
        <v>217.80294507333758</v>
      </c>
      <c r="R88" s="2">
        <f t="shared" si="24"/>
        <v>976.36315547304241</v>
      </c>
      <c r="S88" s="2">
        <f t="shared" si="22"/>
        <v>976.36315547304241</v>
      </c>
    </row>
    <row r="89" spans="2:19" x14ac:dyDescent="0.25">
      <c r="B89" s="10">
        <v>840</v>
      </c>
      <c r="C89" s="10">
        <v>6</v>
      </c>
      <c r="D89" s="9" t="s">
        <v>140</v>
      </c>
      <c r="E89" s="162">
        <f>INDEX('2016 Lockdown Update'!H$5:H$245,MATCH(B89,'2016 Lockdown Update'!B$5:B$245,0))</f>
        <v>111.61000000000001</v>
      </c>
      <c r="F89" s="7">
        <f>INDEX('2016 Lockdown Update'!E$5:E$245,MATCH(B89,'2016 Lockdown Update'!B$5:B$245,0))</f>
        <v>81219.53</v>
      </c>
      <c r="G89" s="7">
        <f>INDEX('2016 Lockdown Update'!F$5:F$245,MATCH(B89,'2016 Lockdown Update'!B$5:B$245,0))</f>
        <v>0</v>
      </c>
      <c r="H89" s="7">
        <f t="shared" si="14"/>
        <v>81219.53</v>
      </c>
      <c r="I89" s="6">
        <f t="shared" si="15"/>
        <v>727.70835946599755</v>
      </c>
      <c r="J89" s="6">
        <f t="shared" si="23"/>
        <v>727.70835946599755</v>
      </c>
      <c r="K89" s="5">
        <f t="shared" si="16"/>
        <v>81219.53</v>
      </c>
      <c r="L89" s="4">
        <f t="shared" si="17"/>
        <v>0</v>
      </c>
      <c r="M89" s="2">
        <f t="shared" si="18"/>
        <v>597.08305027319</v>
      </c>
      <c r="N89" s="1">
        <f t="shared" si="19"/>
        <v>44</v>
      </c>
      <c r="O89" s="3">
        <f t="shared" si="20"/>
        <v>17062.971401716572</v>
      </c>
      <c r="P89" s="2">
        <f t="shared" si="21"/>
        <v>295.95383861021293</v>
      </c>
      <c r="Q89" s="2">
        <f t="shared" si="24"/>
        <v>217.80294507333758</v>
      </c>
      <c r="R89" s="2">
        <f t="shared" si="24"/>
        <v>976.36315547304241</v>
      </c>
      <c r="S89" s="2">
        <f t="shared" si="22"/>
        <v>727.70835946599755</v>
      </c>
    </row>
    <row r="90" spans="2:19" x14ac:dyDescent="0.25">
      <c r="B90" s="10">
        <v>843</v>
      </c>
      <c r="C90" s="10">
        <v>6</v>
      </c>
      <c r="D90" s="9" t="s">
        <v>141</v>
      </c>
      <c r="E90" s="162">
        <f>INDEX('2016 Lockdown Update'!H$5:H$245,MATCH(B90,'2016 Lockdown Update'!B$5:B$245,0))</f>
        <v>24</v>
      </c>
      <c r="F90" s="7">
        <f>INDEX('2016 Lockdown Update'!E$5:E$245,MATCH(B90,'2016 Lockdown Update'!B$5:B$245,0))</f>
        <v>35021.31</v>
      </c>
      <c r="G90" s="7">
        <f>INDEX('2016 Lockdown Update'!F$5:F$245,MATCH(B90,'2016 Lockdown Update'!B$5:B$245,0))</f>
        <v>0</v>
      </c>
      <c r="H90" s="7">
        <f t="shared" si="14"/>
        <v>35021.31</v>
      </c>
      <c r="I90" s="6">
        <f t="shared" si="15"/>
        <v>1459.2212499999998</v>
      </c>
      <c r="J90" s="6">
        <f t="shared" si="23"/>
        <v>976.36315547304241</v>
      </c>
      <c r="K90" s="5">
        <f t="shared" si="16"/>
        <v>23432.715731353019</v>
      </c>
      <c r="L90" s="4">
        <f t="shared" si="17"/>
        <v>0</v>
      </c>
      <c r="M90" s="2">
        <f t="shared" si="18"/>
        <v>597.08305027319</v>
      </c>
      <c r="N90" s="1">
        <f t="shared" si="19"/>
        <v>44</v>
      </c>
      <c r="O90" s="3">
        <f t="shared" si="20"/>
        <v>743282.27542818466</v>
      </c>
      <c r="P90" s="2">
        <f t="shared" si="21"/>
        <v>295.95383861021293</v>
      </c>
      <c r="Q90" s="2">
        <f t="shared" si="24"/>
        <v>217.80294507333758</v>
      </c>
      <c r="R90" s="2">
        <f t="shared" si="24"/>
        <v>976.36315547304241</v>
      </c>
      <c r="S90" s="2">
        <f t="shared" si="22"/>
        <v>976.36315547304241</v>
      </c>
    </row>
    <row r="91" spans="2:19" x14ac:dyDescent="0.25">
      <c r="B91" s="10">
        <v>846</v>
      </c>
      <c r="C91" s="10">
        <v>6</v>
      </c>
      <c r="D91" s="9" t="s">
        <v>142</v>
      </c>
      <c r="E91" s="162">
        <f>INDEX('2016 Lockdown Update'!H$5:H$245,MATCH(B91,'2016 Lockdown Update'!B$5:B$245,0))</f>
        <v>24.91</v>
      </c>
      <c r="F91" s="7">
        <f>INDEX('2016 Lockdown Update'!E$5:E$245,MATCH(B91,'2016 Lockdown Update'!B$5:B$245,0))</f>
        <v>39845.980000000003</v>
      </c>
      <c r="G91" s="7">
        <f>INDEX('2016 Lockdown Update'!F$5:F$245,MATCH(B91,'2016 Lockdown Update'!B$5:B$245,0))</f>
        <v>0</v>
      </c>
      <c r="H91" s="7">
        <f t="shared" si="14"/>
        <v>39845.980000000003</v>
      </c>
      <c r="I91" s="6">
        <f t="shared" si="15"/>
        <v>1599.5977519068649</v>
      </c>
      <c r="J91" s="6">
        <f t="shared" si="23"/>
        <v>976.36315547304241</v>
      </c>
      <c r="K91" s="5">
        <f t="shared" si="16"/>
        <v>24321.206202833488</v>
      </c>
      <c r="L91" s="4">
        <f t="shared" si="17"/>
        <v>0</v>
      </c>
      <c r="M91" s="2">
        <f t="shared" si="18"/>
        <v>597.08305027319</v>
      </c>
      <c r="N91" s="1">
        <f t="shared" si="19"/>
        <v>44</v>
      </c>
      <c r="O91" s="3">
        <f t="shared" si="20"/>
        <v>1005035.7269916562</v>
      </c>
      <c r="P91" s="2">
        <f t="shared" si="21"/>
        <v>295.95383861021293</v>
      </c>
      <c r="Q91" s="2">
        <f t="shared" si="24"/>
        <v>217.80294507333758</v>
      </c>
      <c r="R91" s="2">
        <f t="shared" si="24"/>
        <v>976.36315547304241</v>
      </c>
      <c r="S91" s="2">
        <f t="shared" si="22"/>
        <v>976.36315547304241</v>
      </c>
    </row>
    <row r="92" spans="2:19" x14ac:dyDescent="0.25">
      <c r="B92" s="10">
        <v>888</v>
      </c>
      <c r="C92" s="10">
        <v>6</v>
      </c>
      <c r="D92" s="9" t="s">
        <v>143</v>
      </c>
      <c r="E92" s="162">
        <f>INDEX('2016 Lockdown Update'!H$5:H$245,MATCH(B92,'2016 Lockdown Update'!B$5:B$245,0))</f>
        <v>91.579627294752981</v>
      </c>
      <c r="F92" s="7">
        <f>INDEX('2016 Lockdown Update'!E$5:E$245,MATCH(B92,'2016 Lockdown Update'!B$5:B$245,0))</f>
        <v>45817.61</v>
      </c>
      <c r="G92" s="7">
        <f>INDEX('2016 Lockdown Update'!F$5:F$245,MATCH(B92,'2016 Lockdown Update'!B$5:B$245,0))</f>
        <v>0</v>
      </c>
      <c r="H92" s="7">
        <f t="shared" si="14"/>
        <v>45817.61</v>
      </c>
      <c r="I92" s="6">
        <f t="shared" si="15"/>
        <v>500.30352113722898</v>
      </c>
      <c r="J92" s="6">
        <f t="shared" si="23"/>
        <v>500.30352113722898</v>
      </c>
      <c r="K92" s="5">
        <f t="shared" si="16"/>
        <v>45817.61</v>
      </c>
      <c r="L92" s="4">
        <f t="shared" si="17"/>
        <v>0</v>
      </c>
      <c r="M92" s="2">
        <f t="shared" si="18"/>
        <v>597.08305027319</v>
      </c>
      <c r="N92" s="1">
        <f t="shared" si="19"/>
        <v>44</v>
      </c>
      <c r="O92" s="3">
        <f t="shared" si="20"/>
        <v>9366.277259778326</v>
      </c>
      <c r="P92" s="2">
        <f t="shared" si="21"/>
        <v>295.95383861021293</v>
      </c>
      <c r="Q92" s="2">
        <f t="shared" si="24"/>
        <v>217.80294507333758</v>
      </c>
      <c r="R92" s="2">
        <f t="shared" si="24"/>
        <v>976.36315547304241</v>
      </c>
      <c r="S92" s="2">
        <f t="shared" si="22"/>
        <v>500.30352113722898</v>
      </c>
    </row>
    <row r="93" spans="2:19" x14ac:dyDescent="0.25">
      <c r="B93" s="10">
        <v>889</v>
      </c>
      <c r="C93" s="10">
        <v>6</v>
      </c>
      <c r="D93" s="9" t="s">
        <v>144</v>
      </c>
      <c r="E93" s="162">
        <f>INDEX('2016 Lockdown Update'!H$5:H$245,MATCH(B93,'2016 Lockdown Update'!B$5:B$245,0))</f>
        <v>25.841459586352013</v>
      </c>
      <c r="F93" s="7">
        <f>INDEX('2016 Lockdown Update'!E$5:E$245,MATCH(B93,'2016 Lockdown Update'!B$5:B$245,0))</f>
        <v>47314.239999999998</v>
      </c>
      <c r="G93" s="7">
        <f>INDEX('2016 Lockdown Update'!F$5:F$245,MATCH(B93,'2016 Lockdown Update'!B$5:B$245,0))</f>
        <v>0</v>
      </c>
      <c r="H93" s="7">
        <f t="shared" si="14"/>
        <v>47314.239999999998</v>
      </c>
      <c r="I93" s="6">
        <f t="shared" si="15"/>
        <v>1830.9430178235243</v>
      </c>
      <c r="J93" s="6">
        <f t="shared" si="23"/>
        <v>976.36315547304241</v>
      </c>
      <c r="K93" s="5">
        <f t="shared" si="16"/>
        <v>25230.649023759754</v>
      </c>
      <c r="L93" s="4">
        <f t="shared" si="17"/>
        <v>0</v>
      </c>
      <c r="M93" s="2">
        <f t="shared" si="18"/>
        <v>597.08305027319</v>
      </c>
      <c r="N93" s="1">
        <f t="shared" si="19"/>
        <v>44</v>
      </c>
      <c r="O93" s="3">
        <f t="shared" si="20"/>
        <v>1522410.4195233118</v>
      </c>
      <c r="P93" s="2">
        <f t="shared" si="21"/>
        <v>295.95383861021293</v>
      </c>
      <c r="Q93" s="2">
        <f t="shared" si="24"/>
        <v>217.80294507333758</v>
      </c>
      <c r="R93" s="2">
        <f t="shared" si="24"/>
        <v>976.36315547304241</v>
      </c>
      <c r="S93" s="2">
        <f t="shared" si="22"/>
        <v>976.36315547304241</v>
      </c>
    </row>
    <row r="94" spans="2:19" x14ac:dyDescent="0.25">
      <c r="B94" s="10">
        <v>891</v>
      </c>
      <c r="C94" s="10">
        <v>6</v>
      </c>
      <c r="D94" s="9" t="s">
        <v>145</v>
      </c>
      <c r="E94" s="162">
        <f>INDEX('2016 Lockdown Update'!H$5:H$245,MATCH(B94,'2016 Lockdown Update'!B$5:B$245,0))</f>
        <v>409.28817074899689</v>
      </c>
      <c r="F94" s="7">
        <f>INDEX('2016 Lockdown Update'!E$5:E$245,MATCH(B94,'2016 Lockdown Update'!B$5:B$245,0))</f>
        <v>94656.66</v>
      </c>
      <c r="G94" s="7">
        <f>INDEX('2016 Lockdown Update'!F$5:F$245,MATCH(B94,'2016 Lockdown Update'!B$5:B$245,0))</f>
        <v>0</v>
      </c>
      <c r="H94" s="7">
        <f t="shared" si="14"/>
        <v>94656.66</v>
      </c>
      <c r="I94" s="6">
        <f t="shared" si="15"/>
        <v>231.27142870212549</v>
      </c>
      <c r="J94" s="6">
        <f t="shared" si="23"/>
        <v>231.27142870212549</v>
      </c>
      <c r="K94" s="5">
        <f t="shared" si="16"/>
        <v>94656.66</v>
      </c>
      <c r="L94" s="4">
        <f t="shared" si="17"/>
        <v>0</v>
      </c>
      <c r="M94" s="2">
        <f t="shared" si="18"/>
        <v>597.08305027319</v>
      </c>
      <c r="N94" s="1">
        <f t="shared" si="19"/>
        <v>44</v>
      </c>
      <c r="O94" s="3">
        <f t="shared" si="20"/>
        <v>133818.1424764517</v>
      </c>
      <c r="P94" s="2">
        <f t="shared" si="21"/>
        <v>295.95383861021293</v>
      </c>
      <c r="Q94" s="2">
        <f t="shared" si="24"/>
        <v>217.80294507333758</v>
      </c>
      <c r="R94" s="2">
        <f t="shared" si="24"/>
        <v>976.36315547304241</v>
      </c>
      <c r="S94" s="2">
        <f t="shared" si="22"/>
        <v>231.27142870212549</v>
      </c>
    </row>
    <row r="95" spans="2:19" x14ac:dyDescent="0.25">
      <c r="B95" s="10">
        <v>904</v>
      </c>
      <c r="C95" s="10">
        <v>6</v>
      </c>
      <c r="D95" s="9" t="s">
        <v>146</v>
      </c>
      <c r="E95" s="162">
        <f>INDEX('2016 Lockdown Update'!H$5:H$245,MATCH(B95,'2016 Lockdown Update'!B$5:B$245,0))</f>
        <v>27.241778041330534</v>
      </c>
      <c r="F95" s="7">
        <f>INDEX('2016 Lockdown Update'!E$5:E$245,MATCH(B95,'2016 Lockdown Update'!B$5:B$245,0))</f>
        <v>12497.58</v>
      </c>
      <c r="G95" s="7">
        <f>INDEX('2016 Lockdown Update'!F$5:F$245,MATCH(B95,'2016 Lockdown Update'!B$5:B$245,0))</f>
        <v>0</v>
      </c>
      <c r="H95" s="7">
        <f t="shared" si="14"/>
        <v>12497.58</v>
      </c>
      <c r="I95" s="6">
        <f t="shared" si="15"/>
        <v>458.76520912250987</v>
      </c>
      <c r="J95" s="6">
        <f t="shared" si="23"/>
        <v>458.76520912250987</v>
      </c>
      <c r="K95" s="5">
        <f t="shared" si="16"/>
        <v>12497.58</v>
      </c>
      <c r="L95" s="4">
        <f t="shared" si="17"/>
        <v>0</v>
      </c>
      <c r="M95" s="2">
        <f t="shared" si="18"/>
        <v>597.08305027319</v>
      </c>
      <c r="N95" s="1">
        <f t="shared" si="19"/>
        <v>44</v>
      </c>
      <c r="O95" s="3">
        <f t="shared" si="20"/>
        <v>19131.825180584779</v>
      </c>
      <c r="P95" s="2">
        <f t="shared" si="21"/>
        <v>295.95383861021293</v>
      </c>
      <c r="Q95" s="2">
        <f t="shared" si="24"/>
        <v>217.80294507333758</v>
      </c>
      <c r="R95" s="2">
        <f t="shared" si="24"/>
        <v>976.36315547304241</v>
      </c>
      <c r="S95" s="2">
        <f t="shared" si="22"/>
        <v>458.76520912250987</v>
      </c>
    </row>
    <row r="96" spans="2:19" x14ac:dyDescent="0.25">
      <c r="B96" s="10">
        <v>906</v>
      </c>
      <c r="C96" s="10">
        <v>6</v>
      </c>
      <c r="D96" s="9" t="s">
        <v>147</v>
      </c>
      <c r="E96" s="162">
        <f>INDEX('2016 Lockdown Update'!H$5:H$245,MATCH(B96,'2016 Lockdown Update'!B$5:B$245,0))</f>
        <v>222.35</v>
      </c>
      <c r="F96" s="7">
        <f>INDEX('2016 Lockdown Update'!E$5:E$245,MATCH(B96,'2016 Lockdown Update'!B$5:B$245,0))</f>
        <v>128309.25</v>
      </c>
      <c r="G96" s="7">
        <f>INDEX('2016 Lockdown Update'!F$5:F$245,MATCH(B96,'2016 Lockdown Update'!B$5:B$245,0))</f>
        <v>156</v>
      </c>
      <c r="H96" s="7">
        <f t="shared" si="14"/>
        <v>128153.25</v>
      </c>
      <c r="I96" s="6">
        <f t="shared" si="15"/>
        <v>576.35821902406121</v>
      </c>
      <c r="J96" s="6">
        <f t="shared" si="23"/>
        <v>576.35821902406121</v>
      </c>
      <c r="K96" s="5">
        <f t="shared" si="16"/>
        <v>128153.25000000001</v>
      </c>
      <c r="L96" s="4">
        <f t="shared" si="17"/>
        <v>0</v>
      </c>
      <c r="M96" s="2">
        <f t="shared" si="18"/>
        <v>597.08305027319</v>
      </c>
      <c r="N96" s="1">
        <f t="shared" si="19"/>
        <v>44</v>
      </c>
      <c r="O96" s="3">
        <f t="shared" si="20"/>
        <v>429.51863030486493</v>
      </c>
      <c r="P96" s="2">
        <f t="shared" si="21"/>
        <v>295.95383861021293</v>
      </c>
      <c r="Q96" s="2">
        <f t="shared" si="24"/>
        <v>217.80294507333758</v>
      </c>
      <c r="R96" s="2">
        <f t="shared" si="24"/>
        <v>976.36315547304241</v>
      </c>
      <c r="S96" s="2">
        <f t="shared" si="22"/>
        <v>576.35821902406121</v>
      </c>
    </row>
    <row r="97" spans="2:19" x14ac:dyDescent="0.25">
      <c r="B97" s="10">
        <v>917</v>
      </c>
      <c r="C97" s="10">
        <v>6</v>
      </c>
      <c r="D97" s="9" t="s">
        <v>148</v>
      </c>
      <c r="E97" s="162">
        <f>INDEX('2016 Lockdown Update'!H$5:H$245,MATCH(B97,'2016 Lockdown Update'!B$5:B$245,0))</f>
        <v>75.771832962641213</v>
      </c>
      <c r="F97" s="7">
        <f>INDEX('2016 Lockdown Update'!E$5:E$245,MATCH(B97,'2016 Lockdown Update'!B$5:B$245,0))</f>
        <v>57436.9</v>
      </c>
      <c r="G97" s="7">
        <f>INDEX('2016 Lockdown Update'!F$5:F$245,MATCH(B97,'2016 Lockdown Update'!B$5:B$245,0))</f>
        <v>0</v>
      </c>
      <c r="H97" s="7">
        <f t="shared" si="14"/>
        <v>57436.9</v>
      </c>
      <c r="I97" s="6">
        <f t="shared" si="15"/>
        <v>758.02442351261152</v>
      </c>
      <c r="J97" s="6">
        <f t="shared" si="23"/>
        <v>758.02442351261152</v>
      </c>
      <c r="K97" s="5">
        <f t="shared" si="16"/>
        <v>57436.9</v>
      </c>
      <c r="L97" s="4">
        <f t="shared" si="17"/>
        <v>0</v>
      </c>
      <c r="M97" s="2">
        <f t="shared" si="18"/>
        <v>597.08305027319</v>
      </c>
      <c r="N97" s="1">
        <f t="shared" si="19"/>
        <v>44</v>
      </c>
      <c r="O97" s="3">
        <f t="shared" si="20"/>
        <v>25902.125620190785</v>
      </c>
      <c r="P97" s="2">
        <f t="shared" si="21"/>
        <v>295.95383861021293</v>
      </c>
      <c r="Q97" s="2">
        <f t="shared" si="24"/>
        <v>217.80294507333758</v>
      </c>
      <c r="R97" s="2">
        <f t="shared" si="24"/>
        <v>976.36315547304241</v>
      </c>
      <c r="S97" s="2">
        <f t="shared" si="22"/>
        <v>758.02442351261152</v>
      </c>
    </row>
    <row r="98" spans="2:19" x14ac:dyDescent="0.25">
      <c r="B98" s="10">
        <v>957</v>
      </c>
      <c r="C98" s="10">
        <v>6</v>
      </c>
      <c r="D98" s="9" t="s">
        <v>149</v>
      </c>
      <c r="E98" s="162">
        <f>INDEX('2016 Lockdown Update'!H$5:H$245,MATCH(B98,'2016 Lockdown Update'!B$5:B$245,0))</f>
        <v>99.183185889872689</v>
      </c>
      <c r="F98" s="7">
        <f>INDEX('2016 Lockdown Update'!E$5:E$245,MATCH(B98,'2016 Lockdown Update'!B$5:B$245,0))</f>
        <v>35255.53</v>
      </c>
      <c r="G98" s="7">
        <f>INDEX('2016 Lockdown Update'!F$5:F$245,MATCH(B98,'2016 Lockdown Update'!B$5:B$245,0))</f>
        <v>0</v>
      </c>
      <c r="H98" s="7">
        <f t="shared" si="14"/>
        <v>35255.53</v>
      </c>
      <c r="I98" s="6">
        <f t="shared" si="15"/>
        <v>355.45873712048041</v>
      </c>
      <c r="J98" s="6">
        <f t="shared" si="23"/>
        <v>355.45873712048041</v>
      </c>
      <c r="K98" s="5">
        <f t="shared" si="16"/>
        <v>35255.53</v>
      </c>
      <c r="L98" s="4">
        <f t="shared" si="17"/>
        <v>0</v>
      </c>
      <c r="M98" s="2">
        <f t="shared" si="18"/>
        <v>597.08305027319</v>
      </c>
      <c r="N98" s="1">
        <f t="shared" si="19"/>
        <v>44</v>
      </c>
      <c r="O98" s="3">
        <f t="shared" si="20"/>
        <v>58382.30870651867</v>
      </c>
      <c r="P98" s="2">
        <f t="shared" si="21"/>
        <v>295.95383861021293</v>
      </c>
      <c r="Q98" s="2">
        <f t="shared" si="24"/>
        <v>217.80294507333758</v>
      </c>
      <c r="R98" s="2">
        <f t="shared" si="24"/>
        <v>976.36315547304241</v>
      </c>
      <c r="S98" s="2">
        <f t="shared" si="22"/>
        <v>355.45873712048041</v>
      </c>
    </row>
    <row r="99" spans="2:19" x14ac:dyDescent="0.25">
      <c r="B99" s="10">
        <v>959</v>
      </c>
      <c r="C99" s="10">
        <v>6</v>
      </c>
      <c r="D99" s="9" t="s">
        <v>150</v>
      </c>
      <c r="E99" s="162">
        <f>INDEX('2016 Lockdown Update'!H$5:H$245,MATCH(B99,'2016 Lockdown Update'!B$5:B$245,0))</f>
        <v>377.15816448139168</v>
      </c>
      <c r="F99" s="7">
        <f>INDEX('2016 Lockdown Update'!E$5:E$245,MATCH(B99,'2016 Lockdown Update'!B$5:B$245,0))</f>
        <v>111040.06</v>
      </c>
      <c r="G99" s="7">
        <f>INDEX('2016 Lockdown Update'!F$5:F$245,MATCH(B99,'2016 Lockdown Update'!B$5:B$245,0))</f>
        <v>309.64999999999998</v>
      </c>
      <c r="H99" s="7">
        <f t="shared" si="14"/>
        <v>110730.41</v>
      </c>
      <c r="I99" s="6">
        <f t="shared" si="15"/>
        <v>293.59144366464653</v>
      </c>
      <c r="J99" s="6">
        <f t="shared" si="23"/>
        <v>293.59144366464653</v>
      </c>
      <c r="K99" s="5">
        <f t="shared" si="16"/>
        <v>110730.41</v>
      </c>
      <c r="L99" s="4">
        <f t="shared" si="17"/>
        <v>0</v>
      </c>
      <c r="M99" s="2">
        <f t="shared" si="18"/>
        <v>597.08305027319</v>
      </c>
      <c r="N99" s="1">
        <f t="shared" si="19"/>
        <v>44</v>
      </c>
      <c r="O99" s="3">
        <f t="shared" si="20"/>
        <v>92107.155281834901</v>
      </c>
      <c r="P99" s="2">
        <f t="shared" si="21"/>
        <v>295.95383861021293</v>
      </c>
      <c r="Q99" s="2">
        <f t="shared" si="24"/>
        <v>217.80294507333758</v>
      </c>
      <c r="R99" s="2">
        <f t="shared" si="24"/>
        <v>976.36315547304241</v>
      </c>
      <c r="S99" s="2">
        <f t="shared" si="22"/>
        <v>293.59144366464653</v>
      </c>
    </row>
    <row r="100" spans="2:19" x14ac:dyDescent="0.25">
      <c r="B100" s="10">
        <v>969</v>
      </c>
      <c r="C100" s="10">
        <v>6</v>
      </c>
      <c r="D100" s="9" t="s">
        <v>151</v>
      </c>
      <c r="E100" s="162">
        <f>INDEX('2016 Lockdown Update'!H$5:H$245,MATCH(B100,'2016 Lockdown Update'!B$5:B$245,0))</f>
        <v>19.84500387116794</v>
      </c>
      <c r="F100" s="7">
        <f>INDEX('2016 Lockdown Update'!E$5:E$245,MATCH(B100,'2016 Lockdown Update'!B$5:B$245,0))</f>
        <v>34813.97</v>
      </c>
      <c r="G100" s="7">
        <f>INDEX('2016 Lockdown Update'!F$5:F$245,MATCH(B100,'2016 Lockdown Update'!B$5:B$245,0))</f>
        <v>0</v>
      </c>
      <c r="H100" s="7">
        <f t="shared" si="14"/>
        <v>34813.97</v>
      </c>
      <c r="I100" s="6">
        <f t="shared" si="15"/>
        <v>1754.2939384647796</v>
      </c>
      <c r="J100" s="6">
        <f t="shared" si="23"/>
        <v>976.36315547304241</v>
      </c>
      <c r="K100" s="5">
        <f t="shared" si="16"/>
        <v>19375.93060002827</v>
      </c>
      <c r="L100" s="4">
        <f t="shared" si="17"/>
        <v>0</v>
      </c>
      <c r="M100" s="2">
        <f t="shared" si="18"/>
        <v>597.08305027319</v>
      </c>
      <c r="N100" s="1">
        <f t="shared" si="19"/>
        <v>44</v>
      </c>
      <c r="O100" s="3">
        <f t="shared" si="20"/>
        <v>1339137.0397491679</v>
      </c>
      <c r="P100" s="2">
        <f t="shared" si="21"/>
        <v>295.95383861021293</v>
      </c>
      <c r="Q100" s="2">
        <f t="shared" si="24"/>
        <v>217.80294507333758</v>
      </c>
      <c r="R100" s="2">
        <f t="shared" si="24"/>
        <v>976.36315547304241</v>
      </c>
      <c r="S100" s="2">
        <f t="shared" si="22"/>
        <v>976.36315547304241</v>
      </c>
    </row>
    <row r="101" spans="2:19" x14ac:dyDescent="0.25">
      <c r="B101" s="10">
        <v>970</v>
      </c>
      <c r="C101" s="10">
        <v>6</v>
      </c>
      <c r="D101" s="9" t="s">
        <v>152</v>
      </c>
      <c r="E101" s="162">
        <f>INDEX('2016 Lockdown Update'!H$5:H$245,MATCH(B101,'2016 Lockdown Update'!B$5:B$245,0))</f>
        <v>195.82981092782387</v>
      </c>
      <c r="F101" s="7">
        <f>INDEX('2016 Lockdown Update'!E$5:E$245,MATCH(B101,'2016 Lockdown Update'!B$5:B$245,0))</f>
        <v>48368.87</v>
      </c>
      <c r="G101" s="7">
        <f>INDEX('2016 Lockdown Update'!F$5:F$245,MATCH(B101,'2016 Lockdown Update'!B$5:B$245,0))</f>
        <v>126</v>
      </c>
      <c r="H101" s="7">
        <f t="shared" si="14"/>
        <v>48242.87</v>
      </c>
      <c r="I101" s="6">
        <f t="shared" si="15"/>
        <v>246.35100126701681</v>
      </c>
      <c r="J101" s="6">
        <f t="shared" si="23"/>
        <v>246.35100126701681</v>
      </c>
      <c r="K101" s="5">
        <f t="shared" si="16"/>
        <v>48242.87</v>
      </c>
      <c r="L101" s="4">
        <f t="shared" si="17"/>
        <v>0</v>
      </c>
      <c r="M101" s="2">
        <f t="shared" si="18"/>
        <v>597.08305027319</v>
      </c>
      <c r="N101" s="1">
        <f t="shared" si="19"/>
        <v>44</v>
      </c>
      <c r="O101" s="3">
        <f t="shared" si="20"/>
        <v>123012.97020006865</v>
      </c>
      <c r="P101" s="2">
        <f t="shared" si="21"/>
        <v>295.95383861021293</v>
      </c>
      <c r="Q101" s="2">
        <f t="shared" si="24"/>
        <v>217.80294507333758</v>
      </c>
      <c r="R101" s="2">
        <f t="shared" si="24"/>
        <v>976.36315547304241</v>
      </c>
      <c r="S101" s="2">
        <f t="shared" si="22"/>
        <v>246.35100126701681</v>
      </c>
    </row>
    <row r="102" spans="2:19" x14ac:dyDescent="0.25">
      <c r="B102" s="47">
        <v>986</v>
      </c>
      <c r="C102" s="47">
        <v>6</v>
      </c>
      <c r="D102" s="48" t="s">
        <v>153</v>
      </c>
      <c r="E102" s="162">
        <f>INDEX('2016 Lockdown Update'!H$5:H$245,MATCH(B102,'2016 Lockdown Update'!B$5:B$245,0))</f>
        <v>8.6854107851734987</v>
      </c>
      <c r="F102" s="7">
        <f>INDEX('2016 Lockdown Update'!E$5:E$245,MATCH(B102,'2016 Lockdown Update'!B$5:B$245,0))</f>
        <v>38730.36</v>
      </c>
      <c r="G102" s="7">
        <f>INDEX('2016 Lockdown Update'!F$5:F$245,MATCH(B102,'2016 Lockdown Update'!B$5:B$245,0))</f>
        <v>0</v>
      </c>
      <c r="H102" s="7">
        <f t="shared" si="14"/>
        <v>38730.36</v>
      </c>
      <c r="I102" s="6">
        <f t="shared" si="15"/>
        <v>4459.2433170938766</v>
      </c>
      <c r="J102" s="6">
        <f t="shared" si="23"/>
        <v>976.36315547304241</v>
      </c>
      <c r="K102" s="5">
        <f t="shared" si="16"/>
        <v>8480.1150807915928</v>
      </c>
      <c r="L102" s="4">
        <f t="shared" si="17"/>
        <v>0</v>
      </c>
      <c r="M102" s="2">
        <f t="shared" si="18"/>
        <v>597.08305027319</v>
      </c>
      <c r="N102" s="1">
        <f t="shared" si="19"/>
        <v>44</v>
      </c>
      <c r="O102" s="3">
        <f t="shared" si="20"/>
        <v>14916281.926608436</v>
      </c>
      <c r="P102" s="2">
        <f t="shared" si="21"/>
        <v>295.95383861021293</v>
      </c>
      <c r="Q102" s="2">
        <f t="shared" si="24"/>
        <v>217.80294507333758</v>
      </c>
      <c r="R102" s="2">
        <f t="shared" si="24"/>
        <v>976.36315547304241</v>
      </c>
      <c r="S102" s="2">
        <f t="shared" si="22"/>
        <v>976.36315547304241</v>
      </c>
    </row>
    <row r="103" spans="2:19" x14ac:dyDescent="0.25">
      <c r="B103" s="47">
        <v>988</v>
      </c>
      <c r="C103" s="47">
        <v>6</v>
      </c>
      <c r="D103" s="48" t="s">
        <v>154</v>
      </c>
      <c r="E103" s="162">
        <f>INDEX('2016 Lockdown Update'!H$5:H$245,MATCH(B103,'2016 Lockdown Update'!B$5:B$245,0))</f>
        <v>115.7015754605878</v>
      </c>
      <c r="F103" s="7">
        <f>INDEX('2016 Lockdown Update'!E$5:E$245,MATCH(B103,'2016 Lockdown Update'!B$5:B$245,0))</f>
        <v>58127.41</v>
      </c>
      <c r="G103" s="7">
        <f>INDEX('2016 Lockdown Update'!F$5:F$245,MATCH(B103,'2016 Lockdown Update'!B$5:B$245,0))</f>
        <v>0</v>
      </c>
      <c r="H103" s="7">
        <f t="shared" si="14"/>
        <v>58127.41</v>
      </c>
      <c r="I103" s="6">
        <f t="shared" si="15"/>
        <v>502.39082543694775</v>
      </c>
      <c r="J103" s="6">
        <f t="shared" si="23"/>
        <v>502.39082543694775</v>
      </c>
      <c r="K103" s="5">
        <f t="shared" si="16"/>
        <v>58127.41</v>
      </c>
      <c r="L103" s="4">
        <f t="shared" si="17"/>
        <v>0</v>
      </c>
      <c r="M103" s="2">
        <f t="shared" si="18"/>
        <v>597.08305027319</v>
      </c>
      <c r="N103" s="1">
        <f t="shared" si="19"/>
        <v>44</v>
      </c>
      <c r="O103" s="3">
        <f t="shared" si="20"/>
        <v>8966.6174444374537</v>
      </c>
      <c r="P103" s="2">
        <f t="shared" si="21"/>
        <v>295.95383861021293</v>
      </c>
      <c r="Q103" s="2">
        <f t="shared" si="24"/>
        <v>217.80294507333758</v>
      </c>
      <c r="R103" s="2">
        <f t="shared" si="24"/>
        <v>976.36315547304241</v>
      </c>
      <c r="S103" s="2">
        <f t="shared" si="22"/>
        <v>502.39082543694775</v>
      </c>
    </row>
    <row r="104" spans="2:19" x14ac:dyDescent="0.25">
      <c r="B104" s="47">
        <v>989</v>
      </c>
      <c r="C104" s="47">
        <v>6</v>
      </c>
      <c r="D104" s="48" t="s">
        <v>155</v>
      </c>
      <c r="E104" s="162">
        <f>INDEX('2016 Lockdown Update'!H$5:H$245,MATCH(B104,'2016 Lockdown Update'!B$5:B$245,0))</f>
        <v>464.89713614210081</v>
      </c>
      <c r="F104" s="7">
        <f>INDEX('2016 Lockdown Update'!E$5:E$245,MATCH(B104,'2016 Lockdown Update'!B$5:B$245,0))</f>
        <v>282417.95</v>
      </c>
      <c r="G104" s="7">
        <f>INDEX('2016 Lockdown Update'!F$5:F$245,MATCH(B104,'2016 Lockdown Update'!B$5:B$245,0))</f>
        <v>8989.5</v>
      </c>
      <c r="H104" s="7">
        <f t="shared" si="14"/>
        <v>273428.45</v>
      </c>
      <c r="I104" s="6">
        <f t="shared" si="15"/>
        <v>588.14827785134742</v>
      </c>
      <c r="J104" s="6">
        <f t="shared" si="23"/>
        <v>588.14827785134742</v>
      </c>
      <c r="K104" s="5">
        <f t="shared" si="16"/>
        <v>273428.45</v>
      </c>
      <c r="L104" s="4">
        <f t="shared" si="17"/>
        <v>0</v>
      </c>
      <c r="M104" s="2">
        <f t="shared" si="18"/>
        <v>597.08305027319</v>
      </c>
      <c r="N104" s="1">
        <f t="shared" si="19"/>
        <v>44</v>
      </c>
      <c r="O104" s="3">
        <f t="shared" si="20"/>
        <v>79.830158230118741</v>
      </c>
      <c r="P104" s="2">
        <f t="shared" si="21"/>
        <v>295.95383861021293</v>
      </c>
      <c r="Q104" s="2">
        <f t="shared" si="24"/>
        <v>217.80294507333758</v>
      </c>
      <c r="R104" s="2">
        <f t="shared" si="24"/>
        <v>976.36315547304241</v>
      </c>
      <c r="S104" s="2">
        <f t="shared" si="22"/>
        <v>588.14827785134742</v>
      </c>
    </row>
    <row r="105" spans="2:19" x14ac:dyDescent="0.25">
      <c r="B105" s="47">
        <v>39</v>
      </c>
      <c r="C105" s="47">
        <v>7</v>
      </c>
      <c r="D105" s="48" t="s">
        <v>156</v>
      </c>
      <c r="E105" s="162">
        <f>INDEX('2016 Lockdown Update'!H$5:H$245,MATCH(B105,'2016 Lockdown Update'!B$5:B$245,0))</f>
        <v>444.08000000000004</v>
      </c>
      <c r="F105" s="7">
        <f>INDEX('2016 Lockdown Update'!E$5:E$245,MATCH(B105,'2016 Lockdown Update'!B$5:B$245,0))</f>
        <v>126241.81</v>
      </c>
      <c r="G105" s="7">
        <f>INDEX('2016 Lockdown Update'!F$5:F$245,MATCH(B105,'2016 Lockdown Update'!B$5:B$245,0))</f>
        <v>2367.3000000000002</v>
      </c>
      <c r="H105" s="7">
        <f t="shared" si="14"/>
        <v>123874.51</v>
      </c>
      <c r="I105" s="6">
        <f t="shared" si="15"/>
        <v>278.94638353449824</v>
      </c>
      <c r="J105" s="6">
        <f t="shared" si="23"/>
        <v>278.94638353449824</v>
      </c>
      <c r="K105" s="5">
        <f t="shared" si="16"/>
        <v>123874.51</v>
      </c>
      <c r="L105" s="4">
        <f t="shared" si="17"/>
        <v>0</v>
      </c>
      <c r="M105" s="2">
        <f t="shared" si="18"/>
        <v>432.75783663707733</v>
      </c>
      <c r="N105" s="1">
        <f t="shared" si="19"/>
        <v>60</v>
      </c>
      <c r="O105" s="3">
        <f t="shared" si="20"/>
        <v>23657.963105526887</v>
      </c>
      <c r="P105" s="2">
        <f t="shared" si="21"/>
        <v>121.666315553236</v>
      </c>
      <c r="Q105" s="2">
        <f t="shared" si="24"/>
        <v>276.83617946578431</v>
      </c>
      <c r="R105" s="2">
        <f t="shared" si="24"/>
        <v>588.67949380837035</v>
      </c>
      <c r="S105" s="2">
        <f t="shared" si="22"/>
        <v>278.94638353449824</v>
      </c>
    </row>
    <row r="106" spans="2:19" x14ac:dyDescent="0.25">
      <c r="B106" s="10">
        <v>59</v>
      </c>
      <c r="C106" s="10">
        <v>7</v>
      </c>
      <c r="D106" s="9" t="s">
        <v>157</v>
      </c>
      <c r="E106" s="162">
        <f>INDEX('2016 Lockdown Update'!H$5:H$245,MATCH(B106,'2016 Lockdown Update'!B$5:B$245,0))</f>
        <v>253.3851754105396</v>
      </c>
      <c r="F106" s="7">
        <f>INDEX('2016 Lockdown Update'!E$5:E$245,MATCH(B106,'2016 Lockdown Update'!B$5:B$245,0))</f>
        <v>157113.5</v>
      </c>
      <c r="G106" s="7">
        <f>INDEX('2016 Lockdown Update'!F$5:F$245,MATCH(B106,'2016 Lockdown Update'!B$5:B$245,0))</f>
        <v>0</v>
      </c>
      <c r="H106" s="7">
        <f t="shared" si="14"/>
        <v>157113.5</v>
      </c>
      <c r="I106" s="6">
        <f t="shared" si="15"/>
        <v>620.05797989342364</v>
      </c>
      <c r="J106" s="6">
        <f t="shared" si="23"/>
        <v>588.67949380837035</v>
      </c>
      <c r="K106" s="5">
        <f t="shared" si="16"/>
        <v>149162.65679922159</v>
      </c>
      <c r="L106" s="4">
        <f t="shared" si="17"/>
        <v>0</v>
      </c>
      <c r="M106" s="2">
        <f t="shared" si="18"/>
        <v>432.75783663707733</v>
      </c>
      <c r="N106" s="1">
        <f t="shared" si="19"/>
        <v>60</v>
      </c>
      <c r="O106" s="3">
        <f t="shared" si="20"/>
        <v>35081.343663847845</v>
      </c>
      <c r="P106" s="2">
        <f t="shared" si="21"/>
        <v>121.666315553236</v>
      </c>
      <c r="Q106" s="2">
        <f t="shared" ref="Q106:R125" si="25">NORMINV(Q$4,$M106,$P106)</f>
        <v>276.83617946578431</v>
      </c>
      <c r="R106" s="2">
        <f t="shared" si="25"/>
        <v>588.67949380837035</v>
      </c>
      <c r="S106" s="2">
        <f t="shared" si="22"/>
        <v>588.67949380837035</v>
      </c>
    </row>
    <row r="107" spans="2:19" x14ac:dyDescent="0.25">
      <c r="B107" s="10">
        <v>128</v>
      </c>
      <c r="C107" s="10">
        <v>7</v>
      </c>
      <c r="D107" s="9" t="s">
        <v>158</v>
      </c>
      <c r="E107" s="162">
        <f>INDEX('2016 Lockdown Update'!H$5:H$245,MATCH(B107,'2016 Lockdown Update'!B$5:B$245,0))</f>
        <v>163.06407726347993</v>
      </c>
      <c r="F107" s="7">
        <f>INDEX('2016 Lockdown Update'!E$5:E$245,MATCH(B107,'2016 Lockdown Update'!B$5:B$245,0))</f>
        <v>91116.62</v>
      </c>
      <c r="G107" s="7">
        <f>INDEX('2016 Lockdown Update'!F$5:F$245,MATCH(B107,'2016 Lockdown Update'!B$5:B$245,0))</f>
        <v>253.05</v>
      </c>
      <c r="H107" s="7">
        <f t="shared" si="14"/>
        <v>90863.569999999992</v>
      </c>
      <c r="I107" s="6">
        <f t="shared" si="15"/>
        <v>557.22616240719947</v>
      </c>
      <c r="J107" s="6">
        <f t="shared" si="23"/>
        <v>557.22616240719947</v>
      </c>
      <c r="K107" s="5">
        <f t="shared" si="16"/>
        <v>90863.569999999992</v>
      </c>
      <c r="L107" s="4">
        <f t="shared" si="17"/>
        <v>0</v>
      </c>
      <c r="M107" s="2">
        <f t="shared" si="18"/>
        <v>432.75783663707733</v>
      </c>
      <c r="N107" s="1">
        <f t="shared" si="19"/>
        <v>60</v>
      </c>
      <c r="O107" s="3">
        <f t="shared" si="20"/>
        <v>15492.36412001725</v>
      </c>
      <c r="P107" s="2">
        <f t="shared" si="21"/>
        <v>121.666315553236</v>
      </c>
      <c r="Q107" s="2">
        <f t="shared" si="25"/>
        <v>276.83617946578431</v>
      </c>
      <c r="R107" s="2">
        <f t="shared" si="25"/>
        <v>588.67949380837035</v>
      </c>
      <c r="S107" s="2">
        <f t="shared" si="22"/>
        <v>557.22616240719947</v>
      </c>
    </row>
    <row r="108" spans="2:19" x14ac:dyDescent="0.25">
      <c r="B108" s="10">
        <v>152</v>
      </c>
      <c r="C108" s="10">
        <v>7</v>
      </c>
      <c r="D108" s="9" t="s">
        <v>159</v>
      </c>
      <c r="E108" s="162">
        <f>INDEX('2016 Lockdown Update'!H$5:H$245,MATCH(B108,'2016 Lockdown Update'!B$5:B$245,0))</f>
        <v>348.84252259421874</v>
      </c>
      <c r="F108" s="7">
        <f>INDEX('2016 Lockdown Update'!E$5:E$245,MATCH(B108,'2016 Lockdown Update'!B$5:B$245,0))</f>
        <v>146146.53</v>
      </c>
      <c r="G108" s="7">
        <f>INDEX('2016 Lockdown Update'!F$5:F$245,MATCH(B108,'2016 Lockdown Update'!B$5:B$245,0))</f>
        <v>10338.32</v>
      </c>
      <c r="H108" s="7">
        <f t="shared" si="14"/>
        <v>135808.21</v>
      </c>
      <c r="I108" s="6">
        <f t="shared" si="15"/>
        <v>389.31093890172065</v>
      </c>
      <c r="J108" s="6">
        <f t="shared" si="23"/>
        <v>389.31093890172065</v>
      </c>
      <c r="K108" s="5">
        <f t="shared" si="16"/>
        <v>135808.21</v>
      </c>
      <c r="L108" s="4">
        <f t="shared" si="17"/>
        <v>0</v>
      </c>
      <c r="M108" s="2">
        <f t="shared" si="18"/>
        <v>432.75783663707733</v>
      </c>
      <c r="N108" s="1">
        <f t="shared" si="19"/>
        <v>60</v>
      </c>
      <c r="O108" s="3">
        <f t="shared" si="20"/>
        <v>1887.632922826542</v>
      </c>
      <c r="P108" s="2">
        <f t="shared" si="21"/>
        <v>121.666315553236</v>
      </c>
      <c r="Q108" s="2">
        <f t="shared" si="25"/>
        <v>276.83617946578431</v>
      </c>
      <c r="R108" s="2">
        <f t="shared" si="25"/>
        <v>588.67949380837035</v>
      </c>
      <c r="S108" s="2">
        <f t="shared" si="22"/>
        <v>389.31093890172065</v>
      </c>
    </row>
    <row r="109" spans="2:19" x14ac:dyDescent="0.25">
      <c r="B109" s="10">
        <v>162</v>
      </c>
      <c r="C109" s="10">
        <v>7</v>
      </c>
      <c r="D109" s="9" t="s">
        <v>160</v>
      </c>
      <c r="E109" s="162">
        <f>INDEX('2016 Lockdown Update'!H$5:H$245,MATCH(B109,'2016 Lockdown Update'!B$5:B$245,0))</f>
        <v>850.15000000000009</v>
      </c>
      <c r="F109" s="7">
        <f>INDEX('2016 Lockdown Update'!E$5:E$245,MATCH(B109,'2016 Lockdown Update'!B$5:B$245,0))</f>
        <v>357818.4</v>
      </c>
      <c r="G109" s="7">
        <f>INDEX('2016 Lockdown Update'!F$5:F$245,MATCH(B109,'2016 Lockdown Update'!B$5:B$245,0))</f>
        <v>28615.620000000003</v>
      </c>
      <c r="H109" s="7">
        <f t="shared" si="14"/>
        <v>329202.78000000003</v>
      </c>
      <c r="I109" s="6">
        <f t="shared" si="15"/>
        <v>387.22905369640648</v>
      </c>
      <c r="J109" s="6">
        <f t="shared" si="23"/>
        <v>387.22905369640648</v>
      </c>
      <c r="K109" s="5">
        <f t="shared" si="16"/>
        <v>329202.78000000003</v>
      </c>
      <c r="L109" s="4">
        <f t="shared" si="17"/>
        <v>0</v>
      </c>
      <c r="M109" s="2">
        <f t="shared" si="18"/>
        <v>432.75783663707733</v>
      </c>
      <c r="N109" s="1">
        <f t="shared" si="19"/>
        <v>60</v>
      </c>
      <c r="O109" s="3">
        <f t="shared" si="20"/>
        <v>2072.8700760587212</v>
      </c>
      <c r="P109" s="2">
        <f t="shared" si="21"/>
        <v>121.666315553236</v>
      </c>
      <c r="Q109" s="2">
        <f t="shared" si="25"/>
        <v>276.83617946578431</v>
      </c>
      <c r="R109" s="2">
        <f t="shared" si="25"/>
        <v>588.67949380837035</v>
      </c>
      <c r="S109" s="2">
        <f t="shared" si="22"/>
        <v>387.22905369640648</v>
      </c>
    </row>
    <row r="110" spans="2:19" x14ac:dyDescent="0.25">
      <c r="B110" s="10">
        <v>166</v>
      </c>
      <c r="C110" s="10">
        <v>7</v>
      </c>
      <c r="D110" s="9" t="s">
        <v>161</v>
      </c>
      <c r="E110" s="162">
        <f>INDEX('2016 Lockdown Update'!H$5:H$245,MATCH(B110,'2016 Lockdown Update'!B$5:B$245,0))</f>
        <v>833.2299999999999</v>
      </c>
      <c r="F110" s="7">
        <f>INDEX('2016 Lockdown Update'!E$5:E$245,MATCH(B110,'2016 Lockdown Update'!B$5:B$245,0))</f>
        <v>406931.89</v>
      </c>
      <c r="G110" s="7">
        <f>INDEX('2016 Lockdown Update'!F$5:F$245,MATCH(B110,'2016 Lockdown Update'!B$5:B$245,0))</f>
        <v>124222.53</v>
      </c>
      <c r="H110" s="7">
        <f t="shared" si="14"/>
        <v>282709.36</v>
      </c>
      <c r="I110" s="6">
        <f t="shared" si="15"/>
        <v>339.29330436974186</v>
      </c>
      <c r="J110" s="6">
        <f t="shared" si="23"/>
        <v>339.29330436974186</v>
      </c>
      <c r="K110" s="5">
        <f t="shared" si="16"/>
        <v>282709.36</v>
      </c>
      <c r="L110" s="4">
        <f t="shared" si="17"/>
        <v>0</v>
      </c>
      <c r="M110" s="2">
        <f t="shared" si="18"/>
        <v>432.75783663707733</v>
      </c>
      <c r="N110" s="1">
        <f t="shared" si="19"/>
        <v>60</v>
      </c>
      <c r="O110" s="3">
        <f t="shared" si="20"/>
        <v>8735.6187919517943</v>
      </c>
      <c r="P110" s="2">
        <f t="shared" si="21"/>
        <v>121.666315553236</v>
      </c>
      <c r="Q110" s="2">
        <f t="shared" si="25"/>
        <v>276.83617946578431</v>
      </c>
      <c r="R110" s="2">
        <f t="shared" si="25"/>
        <v>588.67949380837035</v>
      </c>
      <c r="S110" s="2">
        <f t="shared" si="22"/>
        <v>339.29330436974186</v>
      </c>
    </row>
    <row r="111" spans="2:19" x14ac:dyDescent="0.25">
      <c r="B111" s="10">
        <v>192</v>
      </c>
      <c r="C111" s="10">
        <v>7</v>
      </c>
      <c r="D111" s="9" t="s">
        <v>162</v>
      </c>
      <c r="E111" s="162">
        <f>INDEX('2016 Lockdown Update'!H$5:H$245,MATCH(B111,'2016 Lockdown Update'!B$5:B$245,0))</f>
        <v>174.28000000000003</v>
      </c>
      <c r="F111" s="7">
        <f>INDEX('2016 Lockdown Update'!E$5:E$245,MATCH(B111,'2016 Lockdown Update'!B$5:B$245,0))</f>
        <v>96956.74</v>
      </c>
      <c r="G111" s="7">
        <f>INDEX('2016 Lockdown Update'!F$5:F$245,MATCH(B111,'2016 Lockdown Update'!B$5:B$245,0))</f>
        <v>44093.279999999999</v>
      </c>
      <c r="H111" s="7">
        <f t="shared" si="14"/>
        <v>52863.460000000006</v>
      </c>
      <c r="I111" s="6">
        <f t="shared" si="15"/>
        <v>303.32487950424604</v>
      </c>
      <c r="J111" s="6">
        <f t="shared" si="23"/>
        <v>303.32487950424604</v>
      </c>
      <c r="K111" s="5">
        <f t="shared" si="16"/>
        <v>52863.460000000006</v>
      </c>
      <c r="L111" s="4">
        <f t="shared" si="17"/>
        <v>0</v>
      </c>
      <c r="M111" s="2">
        <f t="shared" si="18"/>
        <v>432.75783663707733</v>
      </c>
      <c r="N111" s="1">
        <f t="shared" si="19"/>
        <v>60</v>
      </c>
      <c r="O111" s="3">
        <f t="shared" si="20"/>
        <v>16752.890392149344</v>
      </c>
      <c r="P111" s="2">
        <f t="shared" si="21"/>
        <v>121.666315553236</v>
      </c>
      <c r="Q111" s="2">
        <f t="shared" si="25"/>
        <v>276.83617946578431</v>
      </c>
      <c r="R111" s="2">
        <f t="shared" si="25"/>
        <v>588.67949380837035</v>
      </c>
      <c r="S111" s="2">
        <f t="shared" si="22"/>
        <v>303.32487950424604</v>
      </c>
    </row>
    <row r="112" spans="2:19" x14ac:dyDescent="0.25">
      <c r="B112" s="10">
        <v>205</v>
      </c>
      <c r="C112" s="10">
        <v>7</v>
      </c>
      <c r="D112" s="9" t="s">
        <v>163</v>
      </c>
      <c r="E112" s="162">
        <f>INDEX('2016 Lockdown Update'!H$5:H$245,MATCH(B112,'2016 Lockdown Update'!B$5:B$245,0))</f>
        <v>654.37044814837861</v>
      </c>
      <c r="F112" s="7">
        <f>INDEX('2016 Lockdown Update'!E$5:E$245,MATCH(B112,'2016 Lockdown Update'!B$5:B$245,0))</f>
        <v>369597.27</v>
      </c>
      <c r="G112" s="7">
        <f>INDEX('2016 Lockdown Update'!F$5:F$245,MATCH(B112,'2016 Lockdown Update'!B$5:B$245,0))</f>
        <v>17283.330000000002</v>
      </c>
      <c r="H112" s="7">
        <f t="shared" si="14"/>
        <v>352313.94</v>
      </c>
      <c r="I112" s="6">
        <f t="shared" si="15"/>
        <v>538.40136118144619</v>
      </c>
      <c r="J112" s="6">
        <f t="shared" si="23"/>
        <v>538.40136118144619</v>
      </c>
      <c r="K112" s="5">
        <f t="shared" si="16"/>
        <v>352313.94</v>
      </c>
      <c r="L112" s="4">
        <f t="shared" si="17"/>
        <v>0</v>
      </c>
      <c r="M112" s="2">
        <f t="shared" si="18"/>
        <v>432.75783663707733</v>
      </c>
      <c r="N112" s="1">
        <f t="shared" si="19"/>
        <v>60</v>
      </c>
      <c r="O112" s="3">
        <f t="shared" si="20"/>
        <v>11160.554278156666</v>
      </c>
      <c r="P112" s="2">
        <f t="shared" si="21"/>
        <v>121.666315553236</v>
      </c>
      <c r="Q112" s="2">
        <f t="shared" si="25"/>
        <v>276.83617946578431</v>
      </c>
      <c r="R112" s="2">
        <f t="shared" si="25"/>
        <v>588.67949380837035</v>
      </c>
      <c r="S112" s="2">
        <f t="shared" si="22"/>
        <v>538.40136118144619</v>
      </c>
    </row>
    <row r="113" spans="2:19" x14ac:dyDescent="0.25">
      <c r="B113" s="10">
        <v>212</v>
      </c>
      <c r="C113" s="10">
        <v>7</v>
      </c>
      <c r="D113" s="9" t="s">
        <v>164</v>
      </c>
      <c r="E113" s="162">
        <f>INDEX('2016 Lockdown Update'!H$5:H$245,MATCH(B113,'2016 Lockdown Update'!B$5:B$245,0))</f>
        <v>527.85992115153363</v>
      </c>
      <c r="F113" s="7">
        <f>INDEX('2016 Lockdown Update'!E$5:E$245,MATCH(B113,'2016 Lockdown Update'!B$5:B$245,0))</f>
        <v>233128.4</v>
      </c>
      <c r="G113" s="7">
        <f>INDEX('2016 Lockdown Update'!F$5:F$245,MATCH(B113,'2016 Lockdown Update'!B$5:B$245,0))</f>
        <v>855</v>
      </c>
      <c r="H113" s="7">
        <f t="shared" si="14"/>
        <v>232273.4</v>
      </c>
      <c r="I113" s="6">
        <f t="shared" si="15"/>
        <v>440.02848235435721</v>
      </c>
      <c r="J113" s="6">
        <f t="shared" si="23"/>
        <v>440.02848235435721</v>
      </c>
      <c r="K113" s="5">
        <f t="shared" si="16"/>
        <v>232273.4</v>
      </c>
      <c r="L113" s="4">
        <f t="shared" si="17"/>
        <v>0</v>
      </c>
      <c r="M113" s="2">
        <f t="shared" si="18"/>
        <v>432.75783663707733</v>
      </c>
      <c r="N113" s="1">
        <f t="shared" si="19"/>
        <v>60</v>
      </c>
      <c r="O113" s="3">
        <f t="shared" si="20"/>
        <v>52.862289146200212</v>
      </c>
      <c r="P113" s="2">
        <f t="shared" si="21"/>
        <v>121.666315553236</v>
      </c>
      <c r="Q113" s="2">
        <f t="shared" si="25"/>
        <v>276.83617946578431</v>
      </c>
      <c r="R113" s="2">
        <f t="shared" si="25"/>
        <v>588.67949380837035</v>
      </c>
      <c r="S113" s="2">
        <f t="shared" si="22"/>
        <v>440.02848235435721</v>
      </c>
    </row>
    <row r="114" spans="2:19" x14ac:dyDescent="0.25">
      <c r="B114" s="10">
        <v>216</v>
      </c>
      <c r="C114" s="10">
        <v>7</v>
      </c>
      <c r="D114" s="9" t="s">
        <v>165</v>
      </c>
      <c r="E114" s="162">
        <f>INDEX('2016 Lockdown Update'!H$5:H$245,MATCH(B114,'2016 Lockdown Update'!B$5:B$245,0))</f>
        <v>863.69140794001498</v>
      </c>
      <c r="F114" s="7">
        <f>INDEX('2016 Lockdown Update'!E$5:E$245,MATCH(B114,'2016 Lockdown Update'!B$5:B$245,0))</f>
        <v>371837.25</v>
      </c>
      <c r="G114" s="7">
        <f>INDEX('2016 Lockdown Update'!F$5:F$245,MATCH(B114,'2016 Lockdown Update'!B$5:B$245,0))</f>
        <v>480</v>
      </c>
      <c r="H114" s="7">
        <f t="shared" si="14"/>
        <v>371357.25</v>
      </c>
      <c r="I114" s="6">
        <f t="shared" si="15"/>
        <v>429.96520121199524</v>
      </c>
      <c r="J114" s="6">
        <f t="shared" si="23"/>
        <v>429.96520121199524</v>
      </c>
      <c r="K114" s="5">
        <f t="shared" si="16"/>
        <v>371357.25</v>
      </c>
      <c r="L114" s="4">
        <f t="shared" si="17"/>
        <v>0</v>
      </c>
      <c r="M114" s="2">
        <f t="shared" si="18"/>
        <v>432.75783663707733</v>
      </c>
      <c r="N114" s="1">
        <f t="shared" si="19"/>
        <v>60</v>
      </c>
      <c r="O114" s="3">
        <f t="shared" si="20"/>
        <v>7.7988126174234615</v>
      </c>
      <c r="P114" s="2">
        <f t="shared" si="21"/>
        <v>121.666315553236</v>
      </c>
      <c r="Q114" s="2">
        <f t="shared" si="25"/>
        <v>276.83617946578431</v>
      </c>
      <c r="R114" s="2">
        <f t="shared" si="25"/>
        <v>588.67949380837035</v>
      </c>
      <c r="S114" s="2">
        <f t="shared" si="22"/>
        <v>429.96520121199524</v>
      </c>
    </row>
    <row r="115" spans="2:19" x14ac:dyDescent="0.25">
      <c r="B115" s="10">
        <v>229</v>
      </c>
      <c r="C115" s="10">
        <v>7</v>
      </c>
      <c r="D115" s="9" t="s">
        <v>166</v>
      </c>
      <c r="E115" s="162">
        <f>INDEX('2016 Lockdown Update'!H$5:H$245,MATCH(B115,'2016 Lockdown Update'!B$5:B$245,0))</f>
        <v>848.5</v>
      </c>
      <c r="F115" s="7">
        <f>INDEX('2016 Lockdown Update'!E$5:E$245,MATCH(B115,'2016 Lockdown Update'!B$5:B$245,0))</f>
        <v>406764.58</v>
      </c>
      <c r="G115" s="7">
        <f>INDEX('2016 Lockdown Update'!F$5:F$245,MATCH(B115,'2016 Lockdown Update'!B$5:B$245,0))</f>
        <v>111682.77000000002</v>
      </c>
      <c r="H115" s="7">
        <f t="shared" si="14"/>
        <v>295081.81</v>
      </c>
      <c r="I115" s="6">
        <f t="shared" si="15"/>
        <v>347.76878020035355</v>
      </c>
      <c r="J115" s="6">
        <f t="shared" si="23"/>
        <v>347.76878020035355</v>
      </c>
      <c r="K115" s="5">
        <f t="shared" si="16"/>
        <v>295081.81</v>
      </c>
      <c r="L115" s="4">
        <f t="shared" si="17"/>
        <v>0</v>
      </c>
      <c r="M115" s="2">
        <f t="shared" si="18"/>
        <v>432.75783663707733</v>
      </c>
      <c r="N115" s="1">
        <f t="shared" si="19"/>
        <v>60</v>
      </c>
      <c r="O115" s="3">
        <f t="shared" si="20"/>
        <v>7223.1397140046211</v>
      </c>
      <c r="P115" s="2">
        <f t="shared" si="21"/>
        <v>121.666315553236</v>
      </c>
      <c r="Q115" s="2">
        <f t="shared" si="25"/>
        <v>276.83617946578431</v>
      </c>
      <c r="R115" s="2">
        <f t="shared" si="25"/>
        <v>588.67949380837035</v>
      </c>
      <c r="S115" s="2">
        <f t="shared" si="22"/>
        <v>347.76878020035355</v>
      </c>
    </row>
    <row r="116" spans="2:19" x14ac:dyDescent="0.25">
      <c r="B116" s="10">
        <v>236</v>
      </c>
      <c r="C116" s="10">
        <v>7</v>
      </c>
      <c r="D116" s="9" t="s">
        <v>167</v>
      </c>
      <c r="E116" s="162">
        <f>INDEX('2016 Lockdown Update'!H$5:H$245,MATCH(B116,'2016 Lockdown Update'!B$5:B$245,0))</f>
        <v>998.67961466343343</v>
      </c>
      <c r="F116" s="7">
        <f>INDEX('2016 Lockdown Update'!E$5:E$245,MATCH(B116,'2016 Lockdown Update'!B$5:B$245,0))</f>
        <v>601141.41</v>
      </c>
      <c r="G116" s="7">
        <f>INDEX('2016 Lockdown Update'!F$5:F$245,MATCH(B116,'2016 Lockdown Update'!B$5:B$245,0))</f>
        <v>147397.06000000003</v>
      </c>
      <c r="H116" s="7">
        <f t="shared" si="14"/>
        <v>453744.35</v>
      </c>
      <c r="I116" s="6">
        <f t="shared" si="15"/>
        <v>454.3442594979943</v>
      </c>
      <c r="J116" s="6">
        <f t="shared" si="23"/>
        <v>454.3442594979943</v>
      </c>
      <c r="K116" s="5">
        <f t="shared" si="16"/>
        <v>453744.35</v>
      </c>
      <c r="L116" s="4">
        <f t="shared" si="17"/>
        <v>0</v>
      </c>
      <c r="M116" s="2">
        <f t="shared" si="18"/>
        <v>432.75783663707733</v>
      </c>
      <c r="N116" s="1">
        <f t="shared" si="19"/>
        <v>60</v>
      </c>
      <c r="O116" s="3">
        <f t="shared" si="20"/>
        <v>465.97365193031874</v>
      </c>
      <c r="P116" s="2">
        <f t="shared" si="21"/>
        <v>121.666315553236</v>
      </c>
      <c r="Q116" s="2">
        <f t="shared" si="25"/>
        <v>276.83617946578431</v>
      </c>
      <c r="R116" s="2">
        <f t="shared" si="25"/>
        <v>588.67949380837035</v>
      </c>
      <c r="S116" s="2">
        <f t="shared" si="22"/>
        <v>454.3442594979943</v>
      </c>
    </row>
    <row r="117" spans="2:19" x14ac:dyDescent="0.25">
      <c r="B117" s="10">
        <v>239</v>
      </c>
      <c r="C117" s="10">
        <v>7</v>
      </c>
      <c r="D117" s="9" t="s">
        <v>168</v>
      </c>
      <c r="E117" s="162">
        <f>INDEX('2016 Lockdown Update'!H$5:H$245,MATCH(B117,'2016 Lockdown Update'!B$5:B$245,0))</f>
        <v>3112.44</v>
      </c>
      <c r="F117" s="7">
        <f>INDEX('2016 Lockdown Update'!E$5:E$245,MATCH(B117,'2016 Lockdown Update'!B$5:B$245,0))</f>
        <v>1694543.39</v>
      </c>
      <c r="G117" s="7">
        <f>INDEX('2016 Lockdown Update'!F$5:F$245,MATCH(B117,'2016 Lockdown Update'!B$5:B$245,0))</f>
        <v>408372.34</v>
      </c>
      <c r="H117" s="7">
        <f t="shared" si="14"/>
        <v>1286171.0499999998</v>
      </c>
      <c r="I117" s="6">
        <f t="shared" si="15"/>
        <v>413.2356125740576</v>
      </c>
      <c r="J117" s="6">
        <f t="shared" si="23"/>
        <v>413.2356125740576</v>
      </c>
      <c r="K117" s="5">
        <f t="shared" si="16"/>
        <v>1286171.0499999998</v>
      </c>
      <c r="L117" s="4">
        <f t="shared" si="17"/>
        <v>0</v>
      </c>
      <c r="M117" s="2">
        <f t="shared" si="18"/>
        <v>432.75783663707733</v>
      </c>
      <c r="N117" s="1">
        <f t="shared" si="19"/>
        <v>60</v>
      </c>
      <c r="O117" s="3">
        <f t="shared" si="20"/>
        <v>381.11723236674675</v>
      </c>
      <c r="P117" s="2">
        <f t="shared" si="21"/>
        <v>121.666315553236</v>
      </c>
      <c r="Q117" s="2">
        <f t="shared" si="25"/>
        <v>276.83617946578431</v>
      </c>
      <c r="R117" s="2">
        <f t="shared" si="25"/>
        <v>588.67949380837035</v>
      </c>
      <c r="S117" s="2">
        <f t="shared" si="22"/>
        <v>413.2356125740576</v>
      </c>
    </row>
    <row r="118" spans="2:19" x14ac:dyDescent="0.25">
      <c r="B118" s="10">
        <v>249</v>
      </c>
      <c r="C118" s="10">
        <v>7</v>
      </c>
      <c r="D118" s="9" t="s">
        <v>169</v>
      </c>
      <c r="E118" s="162">
        <f>INDEX('2016 Lockdown Update'!H$5:H$245,MATCH(B118,'2016 Lockdown Update'!B$5:B$245,0))</f>
        <v>1404.2530921096834</v>
      </c>
      <c r="F118" s="7">
        <f>INDEX('2016 Lockdown Update'!E$5:E$245,MATCH(B118,'2016 Lockdown Update'!B$5:B$245,0))</f>
        <v>550202.99</v>
      </c>
      <c r="G118" s="7">
        <f>INDEX('2016 Lockdown Update'!F$5:F$245,MATCH(B118,'2016 Lockdown Update'!B$5:B$245,0))</f>
        <v>0</v>
      </c>
      <c r="H118" s="7">
        <f t="shared" si="14"/>
        <v>550202.99</v>
      </c>
      <c r="I118" s="6">
        <f t="shared" si="15"/>
        <v>391.8118415344922</v>
      </c>
      <c r="J118" s="6">
        <f t="shared" si="23"/>
        <v>391.8118415344922</v>
      </c>
      <c r="K118" s="5">
        <f t="shared" si="16"/>
        <v>550202.99</v>
      </c>
      <c r="L118" s="4">
        <f t="shared" si="17"/>
        <v>0</v>
      </c>
      <c r="M118" s="2">
        <f t="shared" si="18"/>
        <v>432.75783663707733</v>
      </c>
      <c r="N118" s="1">
        <f t="shared" si="19"/>
        <v>60</v>
      </c>
      <c r="O118" s="3">
        <f t="shared" si="20"/>
        <v>1676.5745149409254</v>
      </c>
      <c r="P118" s="2">
        <f t="shared" si="21"/>
        <v>121.666315553236</v>
      </c>
      <c r="Q118" s="2">
        <f t="shared" si="25"/>
        <v>276.83617946578431</v>
      </c>
      <c r="R118" s="2">
        <f t="shared" si="25"/>
        <v>588.67949380837035</v>
      </c>
      <c r="S118" s="2">
        <f t="shared" si="22"/>
        <v>391.8118415344922</v>
      </c>
    </row>
    <row r="119" spans="2:19" x14ac:dyDescent="0.25">
      <c r="B119" s="10">
        <v>271</v>
      </c>
      <c r="C119" s="10">
        <v>7</v>
      </c>
      <c r="D119" s="9" t="s">
        <v>170</v>
      </c>
      <c r="E119" s="162">
        <f>INDEX('2016 Lockdown Update'!H$5:H$245,MATCH(B119,'2016 Lockdown Update'!B$5:B$245,0))</f>
        <v>875.04199999999992</v>
      </c>
      <c r="F119" s="7">
        <f>INDEX('2016 Lockdown Update'!E$5:E$245,MATCH(B119,'2016 Lockdown Update'!B$5:B$245,0))</f>
        <v>589241.13</v>
      </c>
      <c r="G119" s="7">
        <f>INDEX('2016 Lockdown Update'!F$5:F$245,MATCH(B119,'2016 Lockdown Update'!B$5:B$245,0))</f>
        <v>146366.99000000002</v>
      </c>
      <c r="H119" s="7">
        <f t="shared" si="14"/>
        <v>442874.14</v>
      </c>
      <c r="I119" s="6">
        <f t="shared" si="15"/>
        <v>506.11758064184352</v>
      </c>
      <c r="J119" s="6">
        <f t="shared" si="23"/>
        <v>506.11758064184352</v>
      </c>
      <c r="K119" s="5">
        <f t="shared" si="16"/>
        <v>442874.14</v>
      </c>
      <c r="L119" s="4">
        <f t="shared" si="17"/>
        <v>0</v>
      </c>
      <c r="M119" s="2">
        <f t="shared" si="18"/>
        <v>432.75783663707733</v>
      </c>
      <c r="N119" s="1">
        <f t="shared" si="19"/>
        <v>60</v>
      </c>
      <c r="O119" s="3">
        <f t="shared" si="20"/>
        <v>5381.6520404448283</v>
      </c>
      <c r="P119" s="2">
        <f t="shared" si="21"/>
        <v>121.666315553236</v>
      </c>
      <c r="Q119" s="2">
        <f t="shared" si="25"/>
        <v>276.83617946578431</v>
      </c>
      <c r="R119" s="2">
        <f t="shared" si="25"/>
        <v>588.67949380837035</v>
      </c>
      <c r="S119" s="2">
        <f t="shared" si="22"/>
        <v>506.11758064184352</v>
      </c>
    </row>
    <row r="120" spans="2:19" x14ac:dyDescent="0.25">
      <c r="B120" s="10">
        <v>275</v>
      </c>
      <c r="C120" s="10">
        <v>7</v>
      </c>
      <c r="D120" s="9" t="s">
        <v>171</v>
      </c>
      <c r="E120" s="162">
        <f>INDEX('2016 Lockdown Update'!H$5:H$245,MATCH(B120,'2016 Lockdown Update'!B$5:B$245,0))</f>
        <v>699.2</v>
      </c>
      <c r="F120" s="7">
        <f>INDEX('2016 Lockdown Update'!E$5:E$245,MATCH(B120,'2016 Lockdown Update'!B$5:B$245,0))</f>
        <v>301197.03999999998</v>
      </c>
      <c r="G120" s="7">
        <f>INDEX('2016 Lockdown Update'!F$5:F$245,MATCH(B120,'2016 Lockdown Update'!B$5:B$245,0))</f>
        <v>116118.27</v>
      </c>
      <c r="H120" s="7">
        <f t="shared" si="14"/>
        <v>185078.76999999996</v>
      </c>
      <c r="I120" s="6">
        <f t="shared" si="15"/>
        <v>264.70075800915322</v>
      </c>
      <c r="J120" s="6">
        <f t="shared" si="23"/>
        <v>264.70075800915322</v>
      </c>
      <c r="K120" s="5">
        <f t="shared" si="16"/>
        <v>185078.76999999993</v>
      </c>
      <c r="L120" s="4">
        <f t="shared" si="17"/>
        <v>0</v>
      </c>
      <c r="M120" s="2">
        <f t="shared" si="18"/>
        <v>432.75783663707733</v>
      </c>
      <c r="N120" s="1">
        <f t="shared" si="19"/>
        <v>60</v>
      </c>
      <c r="O120" s="3">
        <f t="shared" si="20"/>
        <v>28243.181676952267</v>
      </c>
      <c r="P120" s="2">
        <f t="shared" si="21"/>
        <v>121.666315553236</v>
      </c>
      <c r="Q120" s="2">
        <f t="shared" si="25"/>
        <v>276.83617946578431</v>
      </c>
      <c r="R120" s="2">
        <f t="shared" si="25"/>
        <v>588.67949380837035</v>
      </c>
      <c r="S120" s="2">
        <f t="shared" si="22"/>
        <v>276.83617946578431</v>
      </c>
    </row>
    <row r="121" spans="2:19" x14ac:dyDescent="0.25">
      <c r="B121" s="10">
        <v>282</v>
      </c>
      <c r="C121" s="10">
        <v>7</v>
      </c>
      <c r="D121" s="9" t="s">
        <v>172</v>
      </c>
      <c r="E121" s="162">
        <f>INDEX('2016 Lockdown Update'!H$5:H$245,MATCH(B121,'2016 Lockdown Update'!B$5:B$245,0))</f>
        <v>169.86807859073753</v>
      </c>
      <c r="F121" s="7">
        <f>INDEX('2016 Lockdown Update'!E$5:E$245,MATCH(B121,'2016 Lockdown Update'!B$5:B$245,0))</f>
        <v>49704.43</v>
      </c>
      <c r="G121" s="7">
        <f>INDEX('2016 Lockdown Update'!F$5:F$245,MATCH(B121,'2016 Lockdown Update'!B$5:B$245,0))</f>
        <v>0</v>
      </c>
      <c r="H121" s="7">
        <f t="shared" si="14"/>
        <v>49704.43</v>
      </c>
      <c r="I121" s="6">
        <f t="shared" si="15"/>
        <v>292.60606473187164</v>
      </c>
      <c r="J121" s="6">
        <f t="shared" si="23"/>
        <v>292.60606473187164</v>
      </c>
      <c r="K121" s="5">
        <f t="shared" si="16"/>
        <v>49704.43</v>
      </c>
      <c r="L121" s="4">
        <f t="shared" si="17"/>
        <v>0</v>
      </c>
      <c r="M121" s="2">
        <f t="shared" si="18"/>
        <v>432.75783663707733</v>
      </c>
      <c r="N121" s="1">
        <f t="shared" si="19"/>
        <v>60</v>
      </c>
      <c r="O121" s="3">
        <f t="shared" si="20"/>
        <v>19642.519168168805</v>
      </c>
      <c r="P121" s="2">
        <f t="shared" si="21"/>
        <v>121.666315553236</v>
      </c>
      <c r="Q121" s="2">
        <f t="shared" si="25"/>
        <v>276.83617946578431</v>
      </c>
      <c r="R121" s="2">
        <f t="shared" si="25"/>
        <v>588.67949380837035</v>
      </c>
      <c r="S121" s="2">
        <f t="shared" si="22"/>
        <v>292.60606473187164</v>
      </c>
    </row>
    <row r="122" spans="2:19" x14ac:dyDescent="0.25">
      <c r="B122" s="10">
        <v>287</v>
      </c>
      <c r="C122" s="10">
        <v>7</v>
      </c>
      <c r="D122" s="9" t="s">
        <v>173</v>
      </c>
      <c r="E122" s="162">
        <f>INDEX('2016 Lockdown Update'!H$5:H$245,MATCH(B122,'2016 Lockdown Update'!B$5:B$245,0))</f>
        <v>203.09241598437666</v>
      </c>
      <c r="F122" s="7">
        <f>INDEX('2016 Lockdown Update'!E$5:E$245,MATCH(B122,'2016 Lockdown Update'!B$5:B$245,0))</f>
        <v>65897.53</v>
      </c>
      <c r="G122" s="7">
        <f>INDEX('2016 Lockdown Update'!F$5:F$245,MATCH(B122,'2016 Lockdown Update'!B$5:B$245,0))</f>
        <v>0</v>
      </c>
      <c r="H122" s="7">
        <f t="shared" si="14"/>
        <v>65897.53</v>
      </c>
      <c r="I122" s="6">
        <f t="shared" si="15"/>
        <v>324.47065874222164</v>
      </c>
      <c r="J122" s="6">
        <f t="shared" si="23"/>
        <v>324.47065874222164</v>
      </c>
      <c r="K122" s="5">
        <f t="shared" si="16"/>
        <v>65897.53</v>
      </c>
      <c r="L122" s="4">
        <f t="shared" si="17"/>
        <v>0</v>
      </c>
      <c r="M122" s="2">
        <f t="shared" si="18"/>
        <v>432.75783663707733</v>
      </c>
      <c r="N122" s="1">
        <f t="shared" si="19"/>
        <v>60</v>
      </c>
      <c r="O122" s="3">
        <f t="shared" si="20"/>
        <v>11726.112896432121</v>
      </c>
      <c r="P122" s="2">
        <f t="shared" si="21"/>
        <v>121.666315553236</v>
      </c>
      <c r="Q122" s="2">
        <f t="shared" si="25"/>
        <v>276.83617946578431</v>
      </c>
      <c r="R122" s="2">
        <f t="shared" si="25"/>
        <v>588.67949380837035</v>
      </c>
      <c r="S122" s="2">
        <f t="shared" si="22"/>
        <v>324.47065874222164</v>
      </c>
    </row>
    <row r="123" spans="2:19" x14ac:dyDescent="0.25">
      <c r="B123" s="10">
        <v>290</v>
      </c>
      <c r="C123" s="10">
        <v>7</v>
      </c>
      <c r="D123" s="9" t="s">
        <v>174</v>
      </c>
      <c r="E123" s="162">
        <f>INDEX('2016 Lockdown Update'!H$5:H$245,MATCH(B123,'2016 Lockdown Update'!B$5:B$245,0))</f>
        <v>387.04630277390868</v>
      </c>
      <c r="F123" s="7">
        <f>INDEX('2016 Lockdown Update'!E$5:E$245,MATCH(B123,'2016 Lockdown Update'!B$5:B$245,0))</f>
        <v>162319.17000000001</v>
      </c>
      <c r="G123" s="7">
        <f>INDEX('2016 Lockdown Update'!F$5:F$245,MATCH(B123,'2016 Lockdown Update'!B$5:B$245,0))</f>
        <v>0</v>
      </c>
      <c r="H123" s="7">
        <f t="shared" si="14"/>
        <v>162319.17000000001</v>
      </c>
      <c r="I123" s="6">
        <f t="shared" si="15"/>
        <v>419.37920304800849</v>
      </c>
      <c r="J123" s="6">
        <f t="shared" si="23"/>
        <v>419.37920304800849</v>
      </c>
      <c r="K123" s="5">
        <f t="shared" si="16"/>
        <v>162319.17000000001</v>
      </c>
      <c r="L123" s="4">
        <f t="shared" si="17"/>
        <v>0</v>
      </c>
      <c r="M123" s="2">
        <f t="shared" si="18"/>
        <v>432.75783663707733</v>
      </c>
      <c r="N123" s="1">
        <f t="shared" si="19"/>
        <v>60</v>
      </c>
      <c r="O123" s="3">
        <f t="shared" si="20"/>
        <v>178.987836710561</v>
      </c>
      <c r="P123" s="2">
        <f t="shared" si="21"/>
        <v>121.666315553236</v>
      </c>
      <c r="Q123" s="2">
        <f t="shared" si="25"/>
        <v>276.83617946578431</v>
      </c>
      <c r="R123" s="2">
        <f t="shared" si="25"/>
        <v>588.67949380837035</v>
      </c>
      <c r="S123" s="2">
        <f t="shared" si="22"/>
        <v>419.37920304800849</v>
      </c>
    </row>
    <row r="124" spans="2:19" x14ac:dyDescent="0.25">
      <c r="B124" s="10">
        <v>294</v>
      </c>
      <c r="C124" s="10">
        <v>7</v>
      </c>
      <c r="D124" s="9" t="s">
        <v>175</v>
      </c>
      <c r="E124" s="162">
        <f>INDEX('2016 Lockdown Update'!H$5:H$245,MATCH(B124,'2016 Lockdown Update'!B$5:B$245,0))</f>
        <v>1303.7823906926667</v>
      </c>
      <c r="F124" s="7">
        <f>INDEX('2016 Lockdown Update'!E$5:E$245,MATCH(B124,'2016 Lockdown Update'!B$5:B$245,0))</f>
        <v>593671.34</v>
      </c>
      <c r="G124" s="7">
        <f>INDEX('2016 Lockdown Update'!F$5:F$245,MATCH(B124,'2016 Lockdown Update'!B$5:B$245,0))</f>
        <v>1688.46</v>
      </c>
      <c r="H124" s="7">
        <f t="shared" si="14"/>
        <v>591982.88</v>
      </c>
      <c r="I124" s="6">
        <f t="shared" si="15"/>
        <v>454.05037238269068</v>
      </c>
      <c r="J124" s="6">
        <f t="shared" si="23"/>
        <v>454.05037238269068</v>
      </c>
      <c r="K124" s="5">
        <f t="shared" si="16"/>
        <v>591982.88</v>
      </c>
      <c r="L124" s="4">
        <f t="shared" si="17"/>
        <v>0</v>
      </c>
      <c r="M124" s="2">
        <f t="shared" si="18"/>
        <v>432.75783663707733</v>
      </c>
      <c r="N124" s="1">
        <f t="shared" si="19"/>
        <v>60</v>
      </c>
      <c r="O124" s="3">
        <f t="shared" si="20"/>
        <v>453.37207847822225</v>
      </c>
      <c r="P124" s="2">
        <f t="shared" si="21"/>
        <v>121.666315553236</v>
      </c>
      <c r="Q124" s="2">
        <f t="shared" si="25"/>
        <v>276.83617946578431</v>
      </c>
      <c r="R124" s="2">
        <f t="shared" si="25"/>
        <v>588.67949380837035</v>
      </c>
      <c r="S124" s="2">
        <f t="shared" si="22"/>
        <v>454.05037238269068</v>
      </c>
    </row>
    <row r="125" spans="2:19" x14ac:dyDescent="0.25">
      <c r="B125" s="10">
        <v>296</v>
      </c>
      <c r="C125" s="10">
        <v>7</v>
      </c>
      <c r="D125" s="9" t="s">
        <v>176</v>
      </c>
      <c r="E125" s="162">
        <f>INDEX('2016 Lockdown Update'!H$5:H$245,MATCH(B125,'2016 Lockdown Update'!B$5:B$245,0))</f>
        <v>914.83999999999992</v>
      </c>
      <c r="F125" s="7">
        <f>INDEX('2016 Lockdown Update'!E$5:E$245,MATCH(B125,'2016 Lockdown Update'!B$5:B$245,0))</f>
        <v>798338.58</v>
      </c>
      <c r="G125" s="7">
        <f>INDEX('2016 Lockdown Update'!F$5:F$245,MATCH(B125,'2016 Lockdown Update'!B$5:B$245,0))</f>
        <v>171079.48000000004</v>
      </c>
      <c r="H125" s="7">
        <f t="shared" si="14"/>
        <v>627259.09999999986</v>
      </c>
      <c r="I125" s="6">
        <f t="shared" si="15"/>
        <v>685.6489659393992</v>
      </c>
      <c r="J125" s="6">
        <f t="shared" si="23"/>
        <v>588.67949380837035</v>
      </c>
      <c r="K125" s="5">
        <f t="shared" si="16"/>
        <v>538547.54811564949</v>
      </c>
      <c r="L125" s="4">
        <f t="shared" si="17"/>
        <v>0</v>
      </c>
      <c r="M125" s="2">
        <f t="shared" si="18"/>
        <v>432.75783663707733</v>
      </c>
      <c r="N125" s="1">
        <f t="shared" si="19"/>
        <v>60</v>
      </c>
      <c r="O125" s="3">
        <f t="shared" si="20"/>
        <v>63953.923279803683</v>
      </c>
      <c r="P125" s="2">
        <f t="shared" si="21"/>
        <v>121.666315553236</v>
      </c>
      <c r="Q125" s="2">
        <f t="shared" si="25"/>
        <v>276.83617946578431</v>
      </c>
      <c r="R125" s="2">
        <f t="shared" si="25"/>
        <v>588.67949380837035</v>
      </c>
      <c r="S125" s="2">
        <f t="shared" si="22"/>
        <v>588.67949380837035</v>
      </c>
    </row>
    <row r="126" spans="2:19" x14ac:dyDescent="0.25">
      <c r="B126" s="10">
        <v>301</v>
      </c>
      <c r="C126" s="10">
        <v>7</v>
      </c>
      <c r="D126" s="9" t="s">
        <v>177</v>
      </c>
      <c r="E126" s="162">
        <f>INDEX('2016 Lockdown Update'!H$5:H$245,MATCH(B126,'2016 Lockdown Update'!B$5:B$245,0))</f>
        <v>641.50907968472882</v>
      </c>
      <c r="F126" s="7">
        <f>INDEX('2016 Lockdown Update'!E$5:E$245,MATCH(B126,'2016 Lockdown Update'!B$5:B$245,0))</f>
        <v>239958.39</v>
      </c>
      <c r="G126" s="7">
        <f>INDEX('2016 Lockdown Update'!F$5:F$245,MATCH(B126,'2016 Lockdown Update'!B$5:B$245,0))</f>
        <v>1452.49</v>
      </c>
      <c r="H126" s="7">
        <f t="shared" si="14"/>
        <v>238505.90000000002</v>
      </c>
      <c r="I126" s="6">
        <f t="shared" si="15"/>
        <v>371.78881414619156</v>
      </c>
      <c r="J126" s="6">
        <f t="shared" si="23"/>
        <v>371.78881414619156</v>
      </c>
      <c r="K126" s="5">
        <f t="shared" si="16"/>
        <v>238505.90000000002</v>
      </c>
      <c r="L126" s="4">
        <f t="shared" si="17"/>
        <v>0</v>
      </c>
      <c r="M126" s="2">
        <f t="shared" si="18"/>
        <v>432.75783663707733</v>
      </c>
      <c r="N126" s="1">
        <f t="shared" si="19"/>
        <v>60</v>
      </c>
      <c r="O126" s="3">
        <f t="shared" si="20"/>
        <v>3717.2217034941359</v>
      </c>
      <c r="P126" s="2">
        <f t="shared" si="21"/>
        <v>121.666315553236</v>
      </c>
      <c r="Q126" s="2">
        <f t="shared" ref="Q126:R145" si="26">NORMINV(Q$4,$M126,$P126)</f>
        <v>276.83617946578431</v>
      </c>
      <c r="R126" s="2">
        <f t="shared" si="26"/>
        <v>588.67949380837035</v>
      </c>
      <c r="S126" s="2">
        <f t="shared" si="22"/>
        <v>371.78881414619156</v>
      </c>
    </row>
    <row r="127" spans="2:19" x14ac:dyDescent="0.25">
      <c r="B127" s="10">
        <v>321</v>
      </c>
      <c r="C127" s="10">
        <v>7</v>
      </c>
      <c r="D127" s="9" t="s">
        <v>178</v>
      </c>
      <c r="E127" s="162">
        <f>INDEX('2016 Lockdown Update'!H$5:H$245,MATCH(B127,'2016 Lockdown Update'!B$5:B$245,0))</f>
        <v>471.72999999999996</v>
      </c>
      <c r="F127" s="7">
        <f>INDEX('2016 Lockdown Update'!E$5:E$245,MATCH(B127,'2016 Lockdown Update'!B$5:B$245,0))</f>
        <v>427548.87</v>
      </c>
      <c r="G127" s="7">
        <f>INDEX('2016 Lockdown Update'!F$5:F$245,MATCH(B127,'2016 Lockdown Update'!B$5:B$245,0))</f>
        <v>44460.180000000008</v>
      </c>
      <c r="H127" s="7">
        <f t="shared" si="14"/>
        <v>383088.69</v>
      </c>
      <c r="I127" s="6">
        <f t="shared" si="15"/>
        <v>812.09312530472948</v>
      </c>
      <c r="J127" s="6">
        <f t="shared" si="23"/>
        <v>588.67949380837035</v>
      </c>
      <c r="K127" s="5">
        <f t="shared" si="16"/>
        <v>277697.77761422255</v>
      </c>
      <c r="L127" s="4">
        <f t="shared" si="17"/>
        <v>0</v>
      </c>
      <c r="M127" s="2">
        <f t="shared" si="18"/>
        <v>432.75783663707733</v>
      </c>
      <c r="N127" s="1">
        <f t="shared" si="19"/>
        <v>60</v>
      </c>
      <c r="O127" s="3">
        <f t="shared" si="20"/>
        <v>143895.26122857098</v>
      </c>
      <c r="P127" s="2">
        <f t="shared" si="21"/>
        <v>121.666315553236</v>
      </c>
      <c r="Q127" s="2">
        <f t="shared" si="26"/>
        <v>276.83617946578431</v>
      </c>
      <c r="R127" s="2">
        <f t="shared" si="26"/>
        <v>588.67949380837035</v>
      </c>
      <c r="S127" s="2">
        <f t="shared" si="22"/>
        <v>588.67949380837035</v>
      </c>
    </row>
    <row r="128" spans="2:19" x14ac:dyDescent="0.25">
      <c r="B128" s="10">
        <v>325</v>
      </c>
      <c r="C128" s="10">
        <v>7</v>
      </c>
      <c r="D128" s="9" t="s">
        <v>179</v>
      </c>
      <c r="E128" s="162">
        <f>INDEX('2016 Lockdown Update'!H$5:H$245,MATCH(B128,'2016 Lockdown Update'!B$5:B$245,0))</f>
        <v>407.25024077788987</v>
      </c>
      <c r="F128" s="7">
        <f>INDEX('2016 Lockdown Update'!E$5:E$245,MATCH(B128,'2016 Lockdown Update'!B$5:B$245,0))</f>
        <v>192451.15</v>
      </c>
      <c r="G128" s="7">
        <f>INDEX('2016 Lockdown Update'!F$5:F$245,MATCH(B128,'2016 Lockdown Update'!B$5:B$245,0))</f>
        <v>1208</v>
      </c>
      <c r="H128" s="7">
        <f t="shared" si="14"/>
        <v>191243.15</v>
      </c>
      <c r="I128" s="6">
        <f t="shared" si="15"/>
        <v>469.5961618947257</v>
      </c>
      <c r="J128" s="6">
        <f t="shared" si="23"/>
        <v>469.5961618947257</v>
      </c>
      <c r="K128" s="5">
        <f t="shared" si="16"/>
        <v>191243.15</v>
      </c>
      <c r="L128" s="4">
        <f t="shared" si="17"/>
        <v>0</v>
      </c>
      <c r="M128" s="2">
        <f t="shared" si="18"/>
        <v>432.75783663707733</v>
      </c>
      <c r="N128" s="1">
        <f t="shared" si="19"/>
        <v>60</v>
      </c>
      <c r="O128" s="3">
        <f t="shared" si="20"/>
        <v>1357.0622077882933</v>
      </c>
      <c r="P128" s="2">
        <f t="shared" si="21"/>
        <v>121.666315553236</v>
      </c>
      <c r="Q128" s="2">
        <f t="shared" si="26"/>
        <v>276.83617946578431</v>
      </c>
      <c r="R128" s="2">
        <f t="shared" si="26"/>
        <v>588.67949380837035</v>
      </c>
      <c r="S128" s="2">
        <f t="shared" si="22"/>
        <v>469.5961618947257</v>
      </c>
    </row>
    <row r="129" spans="2:19" x14ac:dyDescent="0.25">
      <c r="B129" s="10">
        <v>346</v>
      </c>
      <c r="C129" s="10">
        <v>7</v>
      </c>
      <c r="D129" s="9" t="s">
        <v>180</v>
      </c>
      <c r="E129" s="162">
        <f>INDEX('2016 Lockdown Update'!H$5:H$245,MATCH(B129,'2016 Lockdown Update'!B$5:B$245,0))</f>
        <v>204.1760369099087</v>
      </c>
      <c r="F129" s="7">
        <f>INDEX('2016 Lockdown Update'!E$5:E$245,MATCH(B129,'2016 Lockdown Update'!B$5:B$245,0))</f>
        <v>79325.77</v>
      </c>
      <c r="G129" s="7">
        <f>INDEX('2016 Lockdown Update'!F$5:F$245,MATCH(B129,'2016 Lockdown Update'!B$5:B$245,0))</f>
        <v>0</v>
      </c>
      <c r="H129" s="7">
        <f t="shared" si="14"/>
        <v>79325.77</v>
      </c>
      <c r="I129" s="6">
        <f t="shared" si="15"/>
        <v>388.51655267949963</v>
      </c>
      <c r="J129" s="6">
        <f t="shared" si="23"/>
        <v>388.51655267949963</v>
      </c>
      <c r="K129" s="5">
        <f t="shared" si="16"/>
        <v>79325.77</v>
      </c>
      <c r="L129" s="4">
        <f t="shared" si="17"/>
        <v>0</v>
      </c>
      <c r="M129" s="2">
        <f t="shared" si="18"/>
        <v>432.75783663707733</v>
      </c>
      <c r="N129" s="1">
        <f t="shared" si="19"/>
        <v>60</v>
      </c>
      <c r="O129" s="3">
        <f t="shared" si="20"/>
        <v>1957.2912062150226</v>
      </c>
      <c r="P129" s="2">
        <f t="shared" si="21"/>
        <v>121.666315553236</v>
      </c>
      <c r="Q129" s="2">
        <f t="shared" si="26"/>
        <v>276.83617946578431</v>
      </c>
      <c r="R129" s="2">
        <f t="shared" si="26"/>
        <v>588.67949380837035</v>
      </c>
      <c r="S129" s="2">
        <f t="shared" si="22"/>
        <v>388.51655267949963</v>
      </c>
    </row>
    <row r="130" spans="2:19" x14ac:dyDescent="0.25">
      <c r="B130" s="10">
        <v>358</v>
      </c>
      <c r="C130" s="10">
        <v>7</v>
      </c>
      <c r="D130" s="9" t="s">
        <v>181</v>
      </c>
      <c r="E130" s="162">
        <f>INDEX('2016 Lockdown Update'!H$5:H$245,MATCH(B130,'2016 Lockdown Update'!B$5:B$245,0))</f>
        <v>411.25000000000006</v>
      </c>
      <c r="F130" s="7">
        <f>INDEX('2016 Lockdown Update'!E$5:E$245,MATCH(B130,'2016 Lockdown Update'!B$5:B$245,0))</f>
        <v>224962</v>
      </c>
      <c r="G130" s="7">
        <f>INDEX('2016 Lockdown Update'!F$5:F$245,MATCH(B130,'2016 Lockdown Update'!B$5:B$245,0))</f>
        <v>54447.16</v>
      </c>
      <c r="H130" s="7">
        <f t="shared" si="14"/>
        <v>170514.84</v>
      </c>
      <c r="I130" s="6">
        <f t="shared" si="15"/>
        <v>414.62575075987837</v>
      </c>
      <c r="J130" s="6">
        <f t="shared" si="23"/>
        <v>414.62575075987837</v>
      </c>
      <c r="K130" s="5">
        <f t="shared" si="16"/>
        <v>170514.84</v>
      </c>
      <c r="L130" s="4">
        <f t="shared" si="17"/>
        <v>0</v>
      </c>
      <c r="M130" s="2">
        <f t="shared" si="18"/>
        <v>432.75783663707733</v>
      </c>
      <c r="N130" s="1">
        <f t="shared" si="19"/>
        <v>60</v>
      </c>
      <c r="O130" s="3">
        <f t="shared" si="20"/>
        <v>328.772538258118</v>
      </c>
      <c r="P130" s="2">
        <f t="shared" si="21"/>
        <v>121.666315553236</v>
      </c>
      <c r="Q130" s="2">
        <f t="shared" si="26"/>
        <v>276.83617946578431</v>
      </c>
      <c r="R130" s="2">
        <f t="shared" si="26"/>
        <v>588.67949380837035</v>
      </c>
      <c r="S130" s="2">
        <f t="shared" si="22"/>
        <v>414.62575075987837</v>
      </c>
    </row>
    <row r="131" spans="2:19" x14ac:dyDescent="0.25">
      <c r="B131" s="10">
        <v>361</v>
      </c>
      <c r="C131" s="10">
        <v>7</v>
      </c>
      <c r="D131" s="9" t="s">
        <v>182</v>
      </c>
      <c r="E131" s="162">
        <f>INDEX('2016 Lockdown Update'!H$5:H$245,MATCH(B131,'2016 Lockdown Update'!B$5:B$245,0))</f>
        <v>1452.1613129112907</v>
      </c>
      <c r="F131" s="7">
        <f>INDEX('2016 Lockdown Update'!E$5:E$245,MATCH(B131,'2016 Lockdown Update'!B$5:B$245,0))</f>
        <v>751691.05</v>
      </c>
      <c r="G131" s="7">
        <f>INDEX('2016 Lockdown Update'!F$5:F$245,MATCH(B131,'2016 Lockdown Update'!B$5:B$245,0))</f>
        <v>10291</v>
      </c>
      <c r="H131" s="7">
        <f t="shared" si="14"/>
        <v>741400.05</v>
      </c>
      <c r="I131" s="6">
        <f t="shared" si="15"/>
        <v>510.54937451380135</v>
      </c>
      <c r="J131" s="6">
        <f t="shared" si="23"/>
        <v>510.54937451380135</v>
      </c>
      <c r="K131" s="5">
        <f t="shared" si="16"/>
        <v>741400.05</v>
      </c>
      <c r="L131" s="4">
        <f t="shared" si="17"/>
        <v>0</v>
      </c>
      <c r="M131" s="2">
        <f t="shared" si="18"/>
        <v>432.75783663707733</v>
      </c>
      <c r="N131" s="1">
        <f t="shared" si="19"/>
        <v>60</v>
      </c>
      <c r="O131" s="3">
        <f t="shared" si="20"/>
        <v>6051.5233652257884</v>
      </c>
      <c r="P131" s="2">
        <f t="shared" si="21"/>
        <v>121.666315553236</v>
      </c>
      <c r="Q131" s="2">
        <f t="shared" si="26"/>
        <v>276.83617946578431</v>
      </c>
      <c r="R131" s="2">
        <f t="shared" si="26"/>
        <v>588.67949380837035</v>
      </c>
      <c r="S131" s="2">
        <f t="shared" si="22"/>
        <v>510.54937451380135</v>
      </c>
    </row>
    <row r="132" spans="2:19" x14ac:dyDescent="0.25">
      <c r="B132" s="10">
        <v>376</v>
      </c>
      <c r="C132" s="10">
        <v>7</v>
      </c>
      <c r="D132" s="9" t="s">
        <v>183</v>
      </c>
      <c r="E132" s="162">
        <f>INDEX('2016 Lockdown Update'!H$5:H$245,MATCH(B132,'2016 Lockdown Update'!B$5:B$245,0))</f>
        <v>819.17770525166554</v>
      </c>
      <c r="F132" s="7">
        <f>INDEX('2016 Lockdown Update'!E$5:E$245,MATCH(B132,'2016 Lockdown Update'!B$5:B$245,0))</f>
        <v>268362.34000000003</v>
      </c>
      <c r="G132" s="7">
        <f>INDEX('2016 Lockdown Update'!F$5:F$245,MATCH(B132,'2016 Lockdown Update'!B$5:B$245,0))</f>
        <v>158</v>
      </c>
      <c r="H132" s="7">
        <f t="shared" si="14"/>
        <v>268204.34000000003</v>
      </c>
      <c r="I132" s="6">
        <f t="shared" si="15"/>
        <v>327.40678644031578</v>
      </c>
      <c r="J132" s="6">
        <f t="shared" si="23"/>
        <v>327.40678644031578</v>
      </c>
      <c r="K132" s="5">
        <f t="shared" si="16"/>
        <v>268204.34000000003</v>
      </c>
      <c r="L132" s="4">
        <f t="shared" si="17"/>
        <v>0</v>
      </c>
      <c r="M132" s="2">
        <f t="shared" si="18"/>
        <v>432.75783663707733</v>
      </c>
      <c r="N132" s="1">
        <f t="shared" si="19"/>
        <v>60</v>
      </c>
      <c r="O132" s="3">
        <f t="shared" si="20"/>
        <v>11098.843777560571</v>
      </c>
      <c r="P132" s="2">
        <f t="shared" si="21"/>
        <v>121.666315553236</v>
      </c>
      <c r="Q132" s="2">
        <f t="shared" si="26"/>
        <v>276.83617946578431</v>
      </c>
      <c r="R132" s="2">
        <f t="shared" si="26"/>
        <v>588.67949380837035</v>
      </c>
      <c r="S132" s="2">
        <f t="shared" si="22"/>
        <v>327.40678644031578</v>
      </c>
    </row>
    <row r="133" spans="2:19" x14ac:dyDescent="0.25">
      <c r="B133" s="10">
        <v>382</v>
      </c>
      <c r="C133" s="10">
        <v>7</v>
      </c>
      <c r="D133" s="9" t="s">
        <v>184</v>
      </c>
      <c r="E133" s="162">
        <f>INDEX('2016 Lockdown Update'!H$5:H$245,MATCH(B133,'2016 Lockdown Update'!B$5:B$245,0))</f>
        <v>187.95999999999998</v>
      </c>
      <c r="F133" s="7">
        <f>INDEX('2016 Lockdown Update'!E$5:E$245,MATCH(B133,'2016 Lockdown Update'!B$5:B$245,0))</f>
        <v>88443.07</v>
      </c>
      <c r="G133" s="7">
        <f>INDEX('2016 Lockdown Update'!F$5:F$245,MATCH(B133,'2016 Lockdown Update'!B$5:B$245,0))</f>
        <v>24646.219999999998</v>
      </c>
      <c r="H133" s="7">
        <f t="shared" si="14"/>
        <v>63796.850000000006</v>
      </c>
      <c r="I133" s="6">
        <f t="shared" si="15"/>
        <v>339.41716322621841</v>
      </c>
      <c r="J133" s="6">
        <f t="shared" si="23"/>
        <v>339.41716322621841</v>
      </c>
      <c r="K133" s="5">
        <f t="shared" si="16"/>
        <v>63796.850000000006</v>
      </c>
      <c r="L133" s="4">
        <f t="shared" si="17"/>
        <v>0</v>
      </c>
      <c r="M133" s="2">
        <f t="shared" si="18"/>
        <v>432.75783663707733</v>
      </c>
      <c r="N133" s="1">
        <f t="shared" si="19"/>
        <v>60</v>
      </c>
      <c r="O133" s="3">
        <f t="shared" si="20"/>
        <v>8712.4813127926263</v>
      </c>
      <c r="P133" s="2">
        <f t="shared" si="21"/>
        <v>121.666315553236</v>
      </c>
      <c r="Q133" s="2">
        <f t="shared" si="26"/>
        <v>276.83617946578431</v>
      </c>
      <c r="R133" s="2">
        <f t="shared" si="26"/>
        <v>588.67949380837035</v>
      </c>
      <c r="S133" s="2">
        <f t="shared" si="22"/>
        <v>339.41716322621841</v>
      </c>
    </row>
    <row r="134" spans="2:19" x14ac:dyDescent="0.25">
      <c r="B134" s="10">
        <v>389</v>
      </c>
      <c r="C134" s="10">
        <v>7</v>
      </c>
      <c r="D134" s="9" t="s">
        <v>185</v>
      </c>
      <c r="E134" s="162">
        <f>INDEX('2016 Lockdown Update'!H$5:H$245,MATCH(B134,'2016 Lockdown Update'!B$5:B$245,0))</f>
        <v>938.91655471161232</v>
      </c>
      <c r="F134" s="7">
        <f>INDEX('2016 Lockdown Update'!E$5:E$245,MATCH(B134,'2016 Lockdown Update'!B$5:B$245,0))</f>
        <v>142421.04999999999</v>
      </c>
      <c r="G134" s="7">
        <f>INDEX('2016 Lockdown Update'!F$5:F$245,MATCH(B134,'2016 Lockdown Update'!B$5:B$245,0))</f>
        <v>791</v>
      </c>
      <c r="H134" s="7">
        <f t="shared" ref="H134:H197" si="27">F134-G134</f>
        <v>141630.04999999999</v>
      </c>
      <c r="I134" s="6">
        <f t="shared" ref="I134:I197" si="28">H134/E134</f>
        <v>150.84412910740676</v>
      </c>
      <c r="J134" s="6">
        <f t="shared" si="23"/>
        <v>150.84412910740676</v>
      </c>
      <c r="K134" s="5">
        <f t="shared" ref="K134:K197" si="29">J134*E134</f>
        <v>141630.04999999999</v>
      </c>
      <c r="L134" s="4">
        <f t="shared" ref="L134:L197" si="30">IF(ISERROR(I134),1,0)</f>
        <v>0</v>
      </c>
      <c r="M134" s="2">
        <f t="shared" ref="M134:M197" si="31">SUMPRODUCT(--($L$6:$L$298&lt;&gt;1),--($C$6:$C$298=$C134),$H$6:$H$298)/SUMPRODUCT(--($L$6:$L$298&lt;&gt;1),--($C$6:$C$298=$C134),$E$6:$E$298)</f>
        <v>432.75783663707733</v>
      </c>
      <c r="N134" s="1">
        <f t="shared" ref="N134:N197" si="32">SUMPRODUCT(--($L$6:$L$298&lt;&gt;1),--($C$6:$C$298=$C134),--($L$6:$L$298&lt;&gt;1))</f>
        <v>60</v>
      </c>
      <c r="O134" s="3">
        <f t="shared" ref="O134:O197" si="33">IF(ISERROR((I134-M134)^2),0,(I134-M134)^2)</f>
        <v>79475.338493124626</v>
      </c>
      <c r="P134" s="2">
        <f t="shared" ref="P134:P197" si="34">SQRT(SUMPRODUCT(--($L$6:$L$298&lt;&gt;1),--($C$6:$C$298=$C134),$E$6:$E$298,$O$6:$O$298)/((N134-1)*SUMPRODUCT(--($L$6:$L$298&lt;&gt;1),--($C$6:$C$298=$C134),$E$6:$E$298)/N134))</f>
        <v>121.666315553236</v>
      </c>
      <c r="Q134" s="2">
        <f t="shared" si="26"/>
        <v>276.83617946578431</v>
      </c>
      <c r="R134" s="2">
        <f t="shared" si="26"/>
        <v>588.67949380837035</v>
      </c>
      <c r="S134" s="2">
        <f t="shared" ref="S134:S197" si="35">IF(ISERROR(MAX(MIN(I134,R134),Q134)),R134,MAX(MIN(I134,R134),Q134))</f>
        <v>276.83617946578431</v>
      </c>
    </row>
    <row r="135" spans="2:19" x14ac:dyDescent="0.25">
      <c r="B135" s="10">
        <v>434</v>
      </c>
      <c r="C135" s="10">
        <v>7</v>
      </c>
      <c r="D135" s="9" t="s">
        <v>186</v>
      </c>
      <c r="E135" s="162">
        <f>INDEX('2016 Lockdown Update'!H$5:H$245,MATCH(B135,'2016 Lockdown Update'!B$5:B$245,0))</f>
        <v>683.56158788791799</v>
      </c>
      <c r="F135" s="7">
        <f>INDEX('2016 Lockdown Update'!E$5:E$245,MATCH(B135,'2016 Lockdown Update'!B$5:B$245,0))</f>
        <v>152668.29999999999</v>
      </c>
      <c r="G135" s="7">
        <f>INDEX('2016 Lockdown Update'!F$5:F$245,MATCH(B135,'2016 Lockdown Update'!B$5:B$245,0))</f>
        <v>0</v>
      </c>
      <c r="H135" s="7">
        <f t="shared" si="27"/>
        <v>152668.29999999999</v>
      </c>
      <c r="I135" s="6">
        <f t="shared" si="28"/>
        <v>223.34242108559303</v>
      </c>
      <c r="J135" s="6">
        <f t="shared" ref="J135:J198" si="36">IF(ISERROR(IF($J$2=1,MAX(MIN(I135,R135),Q135),MIN(I135,R135))),R135,IF($J$2=1,MAX(MIN(I135,R135),Q135),MIN(I135,R135)))</f>
        <v>223.34242108559303</v>
      </c>
      <c r="K135" s="5">
        <f t="shared" si="29"/>
        <v>152668.29999999999</v>
      </c>
      <c r="L135" s="4">
        <f t="shared" si="30"/>
        <v>0</v>
      </c>
      <c r="M135" s="2">
        <f t="shared" si="31"/>
        <v>432.75783663707733</v>
      </c>
      <c r="N135" s="1">
        <f t="shared" si="32"/>
        <v>60</v>
      </c>
      <c r="O135" s="3">
        <f t="shared" si="33"/>
        <v>43854.816270600852</v>
      </c>
      <c r="P135" s="2">
        <f t="shared" si="34"/>
        <v>121.666315553236</v>
      </c>
      <c r="Q135" s="2">
        <f t="shared" si="26"/>
        <v>276.83617946578431</v>
      </c>
      <c r="R135" s="2">
        <f t="shared" si="26"/>
        <v>588.67949380837035</v>
      </c>
      <c r="S135" s="2">
        <f t="shared" si="35"/>
        <v>276.83617946578431</v>
      </c>
    </row>
    <row r="136" spans="2:19" x14ac:dyDescent="0.25">
      <c r="B136" s="10">
        <v>437</v>
      </c>
      <c r="C136" s="10">
        <v>7</v>
      </c>
      <c r="D136" s="9" t="s">
        <v>187</v>
      </c>
      <c r="E136" s="162">
        <f>INDEX('2016 Lockdown Update'!H$5:H$245,MATCH(B136,'2016 Lockdown Update'!B$5:B$245,0))</f>
        <v>339.1949298031704</v>
      </c>
      <c r="F136" s="7">
        <f>INDEX('2016 Lockdown Update'!E$5:E$245,MATCH(B136,'2016 Lockdown Update'!B$5:B$245,0))</f>
        <v>223027.27</v>
      </c>
      <c r="G136" s="7">
        <f>INDEX('2016 Lockdown Update'!F$5:F$245,MATCH(B136,'2016 Lockdown Update'!B$5:B$245,0))</f>
        <v>0</v>
      </c>
      <c r="H136" s="7">
        <f t="shared" si="27"/>
        <v>223027.27</v>
      </c>
      <c r="I136" s="6">
        <f t="shared" si="28"/>
        <v>657.51946861180761</v>
      </c>
      <c r="J136" s="6">
        <f t="shared" si="36"/>
        <v>588.67949380837035</v>
      </c>
      <c r="K136" s="5">
        <f t="shared" si="29"/>
        <v>199677.09957889607</v>
      </c>
      <c r="L136" s="4">
        <f t="shared" si="30"/>
        <v>0</v>
      </c>
      <c r="M136" s="2">
        <f t="shared" si="31"/>
        <v>432.75783663707733</v>
      </c>
      <c r="N136" s="1">
        <f t="shared" si="32"/>
        <v>60</v>
      </c>
      <c r="O136" s="3">
        <f t="shared" si="33"/>
        <v>50517.791207944094</v>
      </c>
      <c r="P136" s="2">
        <f t="shared" si="34"/>
        <v>121.666315553236</v>
      </c>
      <c r="Q136" s="2">
        <f t="shared" si="26"/>
        <v>276.83617946578431</v>
      </c>
      <c r="R136" s="2">
        <f t="shared" si="26"/>
        <v>588.67949380837035</v>
      </c>
      <c r="S136" s="2">
        <f t="shared" si="35"/>
        <v>588.67949380837035</v>
      </c>
    </row>
    <row r="137" spans="2:19" x14ac:dyDescent="0.25">
      <c r="B137" s="10">
        <v>502</v>
      </c>
      <c r="C137" s="10">
        <v>7</v>
      </c>
      <c r="D137" s="9" t="s">
        <v>188</v>
      </c>
      <c r="E137" s="162">
        <f>INDEX('2016 Lockdown Update'!H$5:H$245,MATCH(B137,'2016 Lockdown Update'!B$5:B$245,0))</f>
        <v>656.20812800661986</v>
      </c>
      <c r="F137" s="7">
        <f>INDEX('2016 Lockdown Update'!E$5:E$245,MATCH(B137,'2016 Lockdown Update'!B$5:B$245,0))</f>
        <v>295377.21999999997</v>
      </c>
      <c r="G137" s="7">
        <f>INDEX('2016 Lockdown Update'!F$5:F$245,MATCH(B137,'2016 Lockdown Update'!B$5:B$245,0))</f>
        <v>0</v>
      </c>
      <c r="H137" s="7">
        <f t="shared" si="27"/>
        <v>295377.21999999997</v>
      </c>
      <c r="I137" s="6">
        <f t="shared" si="28"/>
        <v>450.1273413014174</v>
      </c>
      <c r="J137" s="6">
        <f t="shared" si="36"/>
        <v>450.1273413014174</v>
      </c>
      <c r="K137" s="5">
        <f t="shared" si="29"/>
        <v>295377.21999999997</v>
      </c>
      <c r="L137" s="4">
        <f t="shared" si="30"/>
        <v>0</v>
      </c>
      <c r="M137" s="2">
        <f t="shared" si="31"/>
        <v>432.75783663707733</v>
      </c>
      <c r="N137" s="1">
        <f t="shared" si="32"/>
        <v>60</v>
      </c>
      <c r="O137" s="3">
        <f t="shared" si="33"/>
        <v>301.69969228453147</v>
      </c>
      <c r="P137" s="2">
        <f t="shared" si="34"/>
        <v>121.666315553236</v>
      </c>
      <c r="Q137" s="2">
        <f t="shared" si="26"/>
        <v>276.83617946578431</v>
      </c>
      <c r="R137" s="2">
        <f t="shared" si="26"/>
        <v>588.67949380837035</v>
      </c>
      <c r="S137" s="2">
        <f t="shared" si="35"/>
        <v>450.1273413014174</v>
      </c>
    </row>
    <row r="138" spans="2:19" x14ac:dyDescent="0.25">
      <c r="B138" s="10">
        <v>503</v>
      </c>
      <c r="C138" s="10">
        <v>7</v>
      </c>
      <c r="D138" s="9" t="s">
        <v>189</v>
      </c>
      <c r="E138" s="162">
        <f>INDEX('2016 Lockdown Update'!H$5:H$245,MATCH(B138,'2016 Lockdown Update'!B$5:B$245,0))</f>
        <v>399.3599999999999</v>
      </c>
      <c r="F138" s="7">
        <f>INDEX('2016 Lockdown Update'!E$5:E$245,MATCH(B138,'2016 Lockdown Update'!B$5:B$245,0))</f>
        <v>188923.85</v>
      </c>
      <c r="G138" s="7">
        <f>INDEX('2016 Lockdown Update'!F$5:F$245,MATCH(B138,'2016 Lockdown Update'!B$5:B$245,0))</f>
        <v>52644.45</v>
      </c>
      <c r="H138" s="7">
        <f t="shared" si="27"/>
        <v>136279.40000000002</v>
      </c>
      <c r="I138" s="6">
        <f t="shared" si="28"/>
        <v>341.24449118589757</v>
      </c>
      <c r="J138" s="6">
        <f t="shared" si="36"/>
        <v>341.24449118589757</v>
      </c>
      <c r="K138" s="5">
        <f t="shared" si="29"/>
        <v>136279.40000000002</v>
      </c>
      <c r="L138" s="4">
        <f t="shared" si="30"/>
        <v>0</v>
      </c>
      <c r="M138" s="2">
        <f t="shared" si="31"/>
        <v>432.75783663707733</v>
      </c>
      <c r="N138" s="1">
        <f t="shared" si="32"/>
        <v>60</v>
      </c>
      <c r="O138" s="3">
        <f t="shared" si="33"/>
        <v>8374.6923956669634</v>
      </c>
      <c r="P138" s="2">
        <f t="shared" si="34"/>
        <v>121.666315553236</v>
      </c>
      <c r="Q138" s="2">
        <f t="shared" si="26"/>
        <v>276.83617946578431</v>
      </c>
      <c r="R138" s="2">
        <f t="shared" si="26"/>
        <v>588.67949380837035</v>
      </c>
      <c r="S138" s="2">
        <f t="shared" si="35"/>
        <v>341.24449118589757</v>
      </c>
    </row>
    <row r="139" spans="2:19" x14ac:dyDescent="0.25">
      <c r="B139" s="10">
        <v>510</v>
      </c>
      <c r="C139" s="10">
        <v>7</v>
      </c>
      <c r="D139" s="9" t="s">
        <v>190</v>
      </c>
      <c r="E139" s="162">
        <f>INDEX('2016 Lockdown Update'!H$5:H$245,MATCH(B139,'2016 Lockdown Update'!B$5:B$245,0))</f>
        <v>491.84552143497001</v>
      </c>
      <c r="F139" s="7">
        <f>INDEX('2016 Lockdown Update'!E$5:E$245,MATCH(B139,'2016 Lockdown Update'!B$5:B$245,0))</f>
        <v>216786.91</v>
      </c>
      <c r="G139" s="7">
        <f>INDEX('2016 Lockdown Update'!F$5:F$245,MATCH(B139,'2016 Lockdown Update'!B$5:B$245,0))</f>
        <v>385</v>
      </c>
      <c r="H139" s="7">
        <f t="shared" si="27"/>
        <v>216401.91</v>
      </c>
      <c r="I139" s="6">
        <f t="shared" si="28"/>
        <v>439.97942559005668</v>
      </c>
      <c r="J139" s="6">
        <f t="shared" si="36"/>
        <v>439.97942559005668</v>
      </c>
      <c r="K139" s="5">
        <f t="shared" si="29"/>
        <v>216401.91</v>
      </c>
      <c r="L139" s="4">
        <f t="shared" si="30"/>
        <v>0</v>
      </c>
      <c r="M139" s="2">
        <f t="shared" si="31"/>
        <v>432.75783663707733</v>
      </c>
      <c r="N139" s="1">
        <f t="shared" si="32"/>
        <v>60</v>
      </c>
      <c r="O139" s="3">
        <f t="shared" si="33"/>
        <v>52.151347005793326</v>
      </c>
      <c r="P139" s="2">
        <f t="shared" si="34"/>
        <v>121.666315553236</v>
      </c>
      <c r="Q139" s="2">
        <f t="shared" si="26"/>
        <v>276.83617946578431</v>
      </c>
      <c r="R139" s="2">
        <f t="shared" si="26"/>
        <v>588.67949380837035</v>
      </c>
      <c r="S139" s="2">
        <f t="shared" si="35"/>
        <v>439.97942559005668</v>
      </c>
    </row>
    <row r="140" spans="2:19" x14ac:dyDescent="0.25">
      <c r="B140" s="10">
        <v>531</v>
      </c>
      <c r="C140" s="10">
        <v>7</v>
      </c>
      <c r="D140" s="9" t="s">
        <v>191</v>
      </c>
      <c r="E140" s="162">
        <f>INDEX('2016 Lockdown Update'!H$5:H$245,MATCH(B140,'2016 Lockdown Update'!B$5:B$245,0))</f>
        <v>2036.75</v>
      </c>
      <c r="F140" s="7">
        <f>INDEX('2016 Lockdown Update'!E$5:E$245,MATCH(B140,'2016 Lockdown Update'!B$5:B$245,0))</f>
        <v>890544.46</v>
      </c>
      <c r="G140" s="7">
        <f>INDEX('2016 Lockdown Update'!F$5:F$245,MATCH(B140,'2016 Lockdown Update'!B$5:B$245,0))</f>
        <v>3682.9</v>
      </c>
      <c r="H140" s="7">
        <f t="shared" si="27"/>
        <v>886861.55999999994</v>
      </c>
      <c r="I140" s="6">
        <f t="shared" si="28"/>
        <v>435.42975819319992</v>
      </c>
      <c r="J140" s="6">
        <f t="shared" si="36"/>
        <v>435.42975819319992</v>
      </c>
      <c r="K140" s="5">
        <f t="shared" si="29"/>
        <v>886861.55999999994</v>
      </c>
      <c r="L140" s="4">
        <f t="shared" si="30"/>
        <v>0</v>
      </c>
      <c r="M140" s="2">
        <f t="shared" si="31"/>
        <v>432.75783663707733</v>
      </c>
      <c r="N140" s="1">
        <f t="shared" si="32"/>
        <v>60</v>
      </c>
      <c r="O140" s="3">
        <f t="shared" si="33"/>
        <v>7.1391648020725293</v>
      </c>
      <c r="P140" s="2">
        <f t="shared" si="34"/>
        <v>121.666315553236</v>
      </c>
      <c r="Q140" s="2">
        <f t="shared" si="26"/>
        <v>276.83617946578431</v>
      </c>
      <c r="R140" s="2">
        <f t="shared" si="26"/>
        <v>588.67949380837035</v>
      </c>
      <c r="S140" s="2">
        <f t="shared" si="35"/>
        <v>435.42975819319992</v>
      </c>
    </row>
    <row r="141" spans="2:19" x14ac:dyDescent="0.25">
      <c r="B141" s="10">
        <v>550</v>
      </c>
      <c r="C141" s="10">
        <v>7</v>
      </c>
      <c r="D141" s="9" t="s">
        <v>192</v>
      </c>
      <c r="E141" s="162">
        <f>INDEX('2016 Lockdown Update'!H$5:H$245,MATCH(B141,'2016 Lockdown Update'!B$5:B$245,0))</f>
        <v>355.66</v>
      </c>
      <c r="F141" s="7">
        <f>INDEX('2016 Lockdown Update'!E$5:E$245,MATCH(B141,'2016 Lockdown Update'!B$5:B$245,0))</f>
        <v>167639.38</v>
      </c>
      <c r="G141" s="7">
        <f>INDEX('2016 Lockdown Update'!F$5:F$245,MATCH(B141,'2016 Lockdown Update'!B$5:B$245,0))</f>
        <v>0</v>
      </c>
      <c r="H141" s="7">
        <f t="shared" si="27"/>
        <v>167639.38</v>
      </c>
      <c r="I141" s="6">
        <f t="shared" si="28"/>
        <v>471.34729798121799</v>
      </c>
      <c r="J141" s="6">
        <f t="shared" si="36"/>
        <v>471.34729798121799</v>
      </c>
      <c r="K141" s="5">
        <f t="shared" si="29"/>
        <v>167639.38</v>
      </c>
      <c r="L141" s="4">
        <f t="shared" si="30"/>
        <v>0</v>
      </c>
      <c r="M141" s="2">
        <f t="shared" si="31"/>
        <v>432.75783663707733</v>
      </c>
      <c r="N141" s="1">
        <f t="shared" si="32"/>
        <v>60</v>
      </c>
      <c r="O141" s="3">
        <f t="shared" si="33"/>
        <v>1489.1465268309262</v>
      </c>
      <c r="P141" s="2">
        <f t="shared" si="34"/>
        <v>121.666315553236</v>
      </c>
      <c r="Q141" s="2">
        <f t="shared" si="26"/>
        <v>276.83617946578431</v>
      </c>
      <c r="R141" s="2">
        <f t="shared" si="26"/>
        <v>588.67949380837035</v>
      </c>
      <c r="S141" s="2">
        <f t="shared" si="35"/>
        <v>471.34729798121799</v>
      </c>
    </row>
    <row r="142" spans="2:19" x14ac:dyDescent="0.25">
      <c r="B142" s="10">
        <v>551</v>
      </c>
      <c r="C142" s="10">
        <v>7</v>
      </c>
      <c r="D142" s="9" t="s">
        <v>193</v>
      </c>
      <c r="E142" s="162">
        <f>INDEX('2016 Lockdown Update'!H$5:H$245,MATCH(B142,'2016 Lockdown Update'!B$5:B$245,0))</f>
        <v>175.91979999999998</v>
      </c>
      <c r="F142" s="7">
        <f>INDEX('2016 Lockdown Update'!E$5:E$245,MATCH(B142,'2016 Lockdown Update'!B$5:B$245,0))</f>
        <v>93612.82</v>
      </c>
      <c r="G142" s="7">
        <f>INDEX('2016 Lockdown Update'!F$5:F$245,MATCH(B142,'2016 Lockdown Update'!B$5:B$245,0))</f>
        <v>492</v>
      </c>
      <c r="H142" s="7">
        <f t="shared" si="27"/>
        <v>93120.82</v>
      </c>
      <c r="I142" s="6">
        <f t="shared" si="28"/>
        <v>529.33677732694116</v>
      </c>
      <c r="J142" s="6">
        <f t="shared" si="36"/>
        <v>529.33677732694116</v>
      </c>
      <c r="K142" s="5">
        <f t="shared" si="29"/>
        <v>93120.82</v>
      </c>
      <c r="L142" s="4">
        <f t="shared" si="30"/>
        <v>0</v>
      </c>
      <c r="M142" s="2">
        <f t="shared" si="31"/>
        <v>432.75783663707733</v>
      </c>
      <c r="N142" s="1">
        <f t="shared" si="32"/>
        <v>60</v>
      </c>
      <c r="O142" s="3">
        <f t="shared" si="33"/>
        <v>9327.4917847762354</v>
      </c>
      <c r="P142" s="2">
        <f t="shared" si="34"/>
        <v>121.666315553236</v>
      </c>
      <c r="Q142" s="2">
        <f t="shared" si="26"/>
        <v>276.83617946578431</v>
      </c>
      <c r="R142" s="2">
        <f t="shared" si="26"/>
        <v>588.67949380837035</v>
      </c>
      <c r="S142" s="2">
        <f t="shared" si="35"/>
        <v>529.33677732694116</v>
      </c>
    </row>
    <row r="143" spans="2:19" x14ac:dyDescent="0.25">
      <c r="B143" s="10">
        <v>555</v>
      </c>
      <c r="C143" s="10">
        <v>7</v>
      </c>
      <c r="D143" s="9" t="s">
        <v>194</v>
      </c>
      <c r="E143" s="162">
        <f>INDEX('2016 Lockdown Update'!H$5:H$245,MATCH(B143,'2016 Lockdown Update'!B$5:B$245,0))</f>
        <v>734.95</v>
      </c>
      <c r="F143" s="7">
        <f>INDEX('2016 Lockdown Update'!E$5:E$245,MATCH(B143,'2016 Lockdown Update'!B$5:B$245,0))</f>
        <v>447734.39</v>
      </c>
      <c r="G143" s="7">
        <f>INDEX('2016 Lockdown Update'!F$5:F$245,MATCH(B143,'2016 Lockdown Update'!B$5:B$245,0))</f>
        <v>527.70000000000005</v>
      </c>
      <c r="H143" s="7">
        <f t="shared" si="27"/>
        <v>447206.69</v>
      </c>
      <c r="I143" s="6">
        <f t="shared" si="28"/>
        <v>608.48586978706032</v>
      </c>
      <c r="J143" s="6">
        <f t="shared" si="36"/>
        <v>588.67949380837035</v>
      </c>
      <c r="K143" s="5">
        <f t="shared" si="29"/>
        <v>432649.9939744618</v>
      </c>
      <c r="L143" s="4">
        <f t="shared" si="30"/>
        <v>0</v>
      </c>
      <c r="M143" s="2">
        <f t="shared" si="31"/>
        <v>432.75783663707733</v>
      </c>
      <c r="N143" s="1">
        <f t="shared" si="32"/>
        <v>60</v>
      </c>
      <c r="O143" s="3">
        <f t="shared" si="33"/>
        <v>30880.34163476152</v>
      </c>
      <c r="P143" s="2">
        <f t="shared" si="34"/>
        <v>121.666315553236</v>
      </c>
      <c r="Q143" s="2">
        <f t="shared" si="26"/>
        <v>276.83617946578431</v>
      </c>
      <c r="R143" s="2">
        <f t="shared" si="26"/>
        <v>588.67949380837035</v>
      </c>
      <c r="S143" s="2">
        <f t="shared" si="35"/>
        <v>588.67949380837035</v>
      </c>
    </row>
    <row r="144" spans="2:19" x14ac:dyDescent="0.25">
      <c r="B144" s="10">
        <v>556</v>
      </c>
      <c r="C144" s="10">
        <v>7</v>
      </c>
      <c r="D144" s="9" t="s">
        <v>195</v>
      </c>
      <c r="E144" s="162">
        <f>INDEX('2016 Lockdown Update'!H$5:H$245,MATCH(B144,'2016 Lockdown Update'!B$5:B$245,0))</f>
        <v>406.52175612206997</v>
      </c>
      <c r="F144" s="7">
        <f>INDEX('2016 Lockdown Update'!E$5:E$245,MATCH(B144,'2016 Lockdown Update'!B$5:B$245,0))</f>
        <v>162407.85999999999</v>
      </c>
      <c r="G144" s="7">
        <f>INDEX('2016 Lockdown Update'!F$5:F$245,MATCH(B144,'2016 Lockdown Update'!B$5:B$245,0))</f>
        <v>511</v>
      </c>
      <c r="H144" s="7">
        <f t="shared" si="27"/>
        <v>161896.85999999999</v>
      </c>
      <c r="I144" s="6">
        <f t="shared" si="28"/>
        <v>398.24894378195529</v>
      </c>
      <c r="J144" s="6">
        <f t="shared" si="36"/>
        <v>398.24894378195529</v>
      </c>
      <c r="K144" s="5">
        <f t="shared" si="29"/>
        <v>161896.85999999999</v>
      </c>
      <c r="L144" s="4">
        <f t="shared" si="30"/>
        <v>0</v>
      </c>
      <c r="M144" s="2">
        <f t="shared" si="31"/>
        <v>432.75783663707733</v>
      </c>
      <c r="N144" s="1">
        <f t="shared" si="32"/>
        <v>60</v>
      </c>
      <c r="O144" s="3">
        <f t="shared" si="33"/>
        <v>1190.8636860862932</v>
      </c>
      <c r="P144" s="2">
        <f t="shared" si="34"/>
        <v>121.666315553236</v>
      </c>
      <c r="Q144" s="2">
        <f t="shared" si="26"/>
        <v>276.83617946578431</v>
      </c>
      <c r="R144" s="2">
        <f t="shared" si="26"/>
        <v>588.67949380837035</v>
      </c>
      <c r="S144" s="2">
        <f t="shared" si="35"/>
        <v>398.24894378195529</v>
      </c>
    </row>
    <row r="145" spans="2:19" x14ac:dyDescent="0.25">
      <c r="B145" s="10">
        <v>558</v>
      </c>
      <c r="C145" s="10">
        <v>7</v>
      </c>
      <c r="D145" s="9" t="s">
        <v>196</v>
      </c>
      <c r="E145" s="162">
        <f>INDEX('2016 Lockdown Update'!H$5:H$245,MATCH(B145,'2016 Lockdown Update'!B$5:B$245,0))</f>
        <v>293.56860272101767</v>
      </c>
      <c r="F145" s="7">
        <f>INDEX('2016 Lockdown Update'!E$5:E$245,MATCH(B145,'2016 Lockdown Update'!B$5:B$245,0))</f>
        <v>159786.4</v>
      </c>
      <c r="G145" s="7">
        <f>INDEX('2016 Lockdown Update'!F$5:F$245,MATCH(B145,'2016 Lockdown Update'!B$5:B$245,0))</f>
        <v>21493.200000000001</v>
      </c>
      <c r="H145" s="7">
        <f t="shared" si="27"/>
        <v>138293.19999999998</v>
      </c>
      <c r="I145" s="6">
        <f t="shared" si="28"/>
        <v>471.07626196464184</v>
      </c>
      <c r="J145" s="6">
        <f t="shared" si="36"/>
        <v>471.07626196464184</v>
      </c>
      <c r="K145" s="5">
        <f t="shared" si="29"/>
        <v>138293.19999999998</v>
      </c>
      <c r="L145" s="4">
        <f t="shared" si="30"/>
        <v>0</v>
      </c>
      <c r="M145" s="2">
        <f t="shared" si="31"/>
        <v>432.75783663707733</v>
      </c>
      <c r="N145" s="1">
        <f t="shared" si="32"/>
        <v>60</v>
      </c>
      <c r="O145" s="3">
        <f t="shared" si="33"/>
        <v>1468.3017195841376</v>
      </c>
      <c r="P145" s="2">
        <f t="shared" si="34"/>
        <v>121.666315553236</v>
      </c>
      <c r="Q145" s="2">
        <f t="shared" si="26"/>
        <v>276.83617946578431</v>
      </c>
      <c r="R145" s="2">
        <f t="shared" si="26"/>
        <v>588.67949380837035</v>
      </c>
      <c r="S145" s="2">
        <f t="shared" si="35"/>
        <v>471.07626196464184</v>
      </c>
    </row>
    <row r="146" spans="2:19" x14ac:dyDescent="0.25">
      <c r="B146" s="10">
        <v>600</v>
      </c>
      <c r="C146" s="10">
        <v>7</v>
      </c>
      <c r="D146" s="9" t="s">
        <v>197</v>
      </c>
      <c r="E146" s="162">
        <f>INDEX('2016 Lockdown Update'!H$5:H$245,MATCH(B146,'2016 Lockdown Update'!B$5:B$245,0))</f>
        <v>791.53215440429835</v>
      </c>
      <c r="F146" s="7">
        <f>INDEX('2016 Lockdown Update'!E$5:E$245,MATCH(B146,'2016 Lockdown Update'!B$5:B$245,0))</f>
        <v>251168.79</v>
      </c>
      <c r="G146" s="7">
        <f>INDEX('2016 Lockdown Update'!F$5:F$245,MATCH(B146,'2016 Lockdown Update'!B$5:B$245,0))</f>
        <v>110</v>
      </c>
      <c r="H146" s="7">
        <f t="shared" si="27"/>
        <v>251058.79</v>
      </c>
      <c r="I146" s="6">
        <f t="shared" si="28"/>
        <v>317.18078489046997</v>
      </c>
      <c r="J146" s="6">
        <f t="shared" si="36"/>
        <v>317.18078489046997</v>
      </c>
      <c r="K146" s="5">
        <f t="shared" si="29"/>
        <v>251058.79</v>
      </c>
      <c r="L146" s="4">
        <f t="shared" si="30"/>
        <v>0</v>
      </c>
      <c r="M146" s="2">
        <f t="shared" si="31"/>
        <v>432.75783663707733</v>
      </c>
      <c r="N146" s="1">
        <f t="shared" si="32"/>
        <v>60</v>
      </c>
      <c r="O146" s="3">
        <f t="shared" si="33"/>
        <v>13358.054890437958</v>
      </c>
      <c r="P146" s="2">
        <f t="shared" si="34"/>
        <v>121.666315553236</v>
      </c>
      <c r="Q146" s="2">
        <f t="shared" ref="Q146:R165" si="37">NORMINV(Q$4,$M146,$P146)</f>
        <v>276.83617946578431</v>
      </c>
      <c r="R146" s="2">
        <f t="shared" si="37"/>
        <v>588.67949380837035</v>
      </c>
      <c r="S146" s="2">
        <f t="shared" si="35"/>
        <v>317.18078489046997</v>
      </c>
    </row>
    <row r="147" spans="2:19" x14ac:dyDescent="0.25">
      <c r="B147" s="10">
        <v>604</v>
      </c>
      <c r="C147" s="10">
        <v>7</v>
      </c>
      <c r="D147" s="9" t="s">
        <v>198</v>
      </c>
      <c r="E147" s="162">
        <f>INDEX('2016 Lockdown Update'!H$5:H$245,MATCH(B147,'2016 Lockdown Update'!B$5:B$245,0))</f>
        <v>799.49592868506568</v>
      </c>
      <c r="F147" s="7">
        <f>INDEX('2016 Lockdown Update'!E$5:E$245,MATCH(B147,'2016 Lockdown Update'!B$5:B$245,0))</f>
        <v>253895.84</v>
      </c>
      <c r="G147" s="7">
        <f>INDEX('2016 Lockdown Update'!F$5:F$245,MATCH(B147,'2016 Lockdown Update'!B$5:B$245,0))</f>
        <v>22377.5</v>
      </c>
      <c r="H147" s="7">
        <f t="shared" si="27"/>
        <v>231518.34</v>
      </c>
      <c r="I147" s="6">
        <f t="shared" si="28"/>
        <v>289.58038645772615</v>
      </c>
      <c r="J147" s="6">
        <f t="shared" si="36"/>
        <v>289.58038645772615</v>
      </c>
      <c r="K147" s="5">
        <f t="shared" si="29"/>
        <v>231518.34</v>
      </c>
      <c r="L147" s="4">
        <f t="shared" si="30"/>
        <v>0</v>
      </c>
      <c r="M147" s="2">
        <f t="shared" si="31"/>
        <v>432.75783663707733</v>
      </c>
      <c r="N147" s="1">
        <f t="shared" si="32"/>
        <v>60</v>
      </c>
      <c r="O147" s="3">
        <f t="shared" si="33"/>
        <v>20499.782239860589</v>
      </c>
      <c r="P147" s="2">
        <f t="shared" si="34"/>
        <v>121.666315553236</v>
      </c>
      <c r="Q147" s="2">
        <f t="shared" si="37"/>
        <v>276.83617946578431</v>
      </c>
      <c r="R147" s="2">
        <f t="shared" si="37"/>
        <v>588.67949380837035</v>
      </c>
      <c r="S147" s="2">
        <f t="shared" si="35"/>
        <v>289.58038645772615</v>
      </c>
    </row>
    <row r="148" spans="2:19" x14ac:dyDescent="0.25">
      <c r="B148" s="10">
        <v>612</v>
      </c>
      <c r="C148" s="10">
        <v>7</v>
      </c>
      <c r="D148" s="9" t="s">
        <v>199</v>
      </c>
      <c r="E148" s="162">
        <f>INDEX('2016 Lockdown Update'!H$5:H$245,MATCH(B148,'2016 Lockdown Update'!B$5:B$245,0))</f>
        <v>527.85133024076686</v>
      </c>
      <c r="F148" s="7">
        <f>INDEX('2016 Lockdown Update'!E$5:E$245,MATCH(B148,'2016 Lockdown Update'!B$5:B$245,0))</f>
        <v>179350.51</v>
      </c>
      <c r="G148" s="7">
        <f>INDEX('2016 Lockdown Update'!F$5:F$245,MATCH(B148,'2016 Lockdown Update'!B$5:B$245,0))</f>
        <v>294.38</v>
      </c>
      <c r="H148" s="7">
        <f t="shared" si="27"/>
        <v>179056.13</v>
      </c>
      <c r="I148" s="6">
        <f t="shared" si="28"/>
        <v>339.21697216965958</v>
      </c>
      <c r="J148" s="6">
        <f t="shared" si="36"/>
        <v>339.21697216965958</v>
      </c>
      <c r="K148" s="5">
        <f t="shared" si="29"/>
        <v>179056.13</v>
      </c>
      <c r="L148" s="4">
        <f t="shared" si="30"/>
        <v>0</v>
      </c>
      <c r="M148" s="2">
        <f t="shared" si="31"/>
        <v>432.75783663707733</v>
      </c>
      <c r="N148" s="1">
        <f t="shared" si="32"/>
        <v>60</v>
      </c>
      <c r="O148" s="3">
        <f t="shared" si="33"/>
        <v>8749.8933253118157</v>
      </c>
      <c r="P148" s="2">
        <f t="shared" si="34"/>
        <v>121.666315553236</v>
      </c>
      <c r="Q148" s="2">
        <f t="shared" si="37"/>
        <v>276.83617946578431</v>
      </c>
      <c r="R148" s="2">
        <f t="shared" si="37"/>
        <v>588.67949380837035</v>
      </c>
      <c r="S148" s="2">
        <f t="shared" si="35"/>
        <v>339.21697216965958</v>
      </c>
    </row>
    <row r="149" spans="2:19" x14ac:dyDescent="0.25">
      <c r="B149" s="10">
        <v>711</v>
      </c>
      <c r="C149" s="10">
        <v>7</v>
      </c>
      <c r="D149" s="9" t="s">
        <v>200</v>
      </c>
      <c r="E149" s="162">
        <f>INDEX('2016 Lockdown Update'!H$5:H$245,MATCH(B149,'2016 Lockdown Update'!B$5:B$245,0))</f>
        <v>366.54838968446853</v>
      </c>
      <c r="F149" s="7">
        <f>INDEX('2016 Lockdown Update'!E$5:E$245,MATCH(B149,'2016 Lockdown Update'!B$5:B$245,0))</f>
        <v>195130.52</v>
      </c>
      <c r="G149" s="7">
        <f>INDEX('2016 Lockdown Update'!F$5:F$245,MATCH(B149,'2016 Lockdown Update'!B$5:B$245,0))</f>
        <v>7704.2400000000007</v>
      </c>
      <c r="H149" s="7">
        <f t="shared" si="27"/>
        <v>187426.28</v>
      </c>
      <c r="I149" s="6">
        <f t="shared" si="28"/>
        <v>511.32752257168534</v>
      </c>
      <c r="J149" s="6">
        <f t="shared" si="36"/>
        <v>511.32752257168534</v>
      </c>
      <c r="K149" s="5">
        <f t="shared" si="29"/>
        <v>187426.28</v>
      </c>
      <c r="L149" s="4">
        <f t="shared" si="30"/>
        <v>0</v>
      </c>
      <c r="M149" s="2">
        <f t="shared" si="31"/>
        <v>432.75783663707733</v>
      </c>
      <c r="N149" s="1">
        <f t="shared" si="32"/>
        <v>60</v>
      </c>
      <c r="O149" s="3">
        <f t="shared" si="33"/>
        <v>6173.1955478629388</v>
      </c>
      <c r="P149" s="2">
        <f t="shared" si="34"/>
        <v>121.666315553236</v>
      </c>
      <c r="Q149" s="2">
        <f t="shared" si="37"/>
        <v>276.83617946578431</v>
      </c>
      <c r="R149" s="2">
        <f t="shared" si="37"/>
        <v>588.67949380837035</v>
      </c>
      <c r="S149" s="2">
        <f t="shared" si="35"/>
        <v>511.32752257168534</v>
      </c>
    </row>
    <row r="150" spans="2:19" x14ac:dyDescent="0.25">
      <c r="B150" s="10">
        <v>712</v>
      </c>
      <c r="C150" s="10">
        <v>7</v>
      </c>
      <c r="D150" s="9" t="s">
        <v>201</v>
      </c>
      <c r="E150" s="162">
        <f>INDEX('2016 Lockdown Update'!H$5:H$245,MATCH(B150,'2016 Lockdown Update'!B$5:B$245,0))</f>
        <v>572.25774799404269</v>
      </c>
      <c r="F150" s="7">
        <f>INDEX('2016 Lockdown Update'!E$5:E$245,MATCH(B150,'2016 Lockdown Update'!B$5:B$245,0))</f>
        <v>268020.83</v>
      </c>
      <c r="G150" s="7">
        <f>INDEX('2016 Lockdown Update'!F$5:F$245,MATCH(B150,'2016 Lockdown Update'!B$5:B$245,0))</f>
        <v>0</v>
      </c>
      <c r="H150" s="7">
        <f t="shared" si="27"/>
        <v>268020.83</v>
      </c>
      <c r="I150" s="6">
        <f t="shared" si="28"/>
        <v>468.35683909829766</v>
      </c>
      <c r="J150" s="6">
        <f t="shared" si="36"/>
        <v>468.35683909829766</v>
      </c>
      <c r="K150" s="5">
        <f t="shared" si="29"/>
        <v>268020.83</v>
      </c>
      <c r="L150" s="4">
        <f t="shared" si="30"/>
        <v>0</v>
      </c>
      <c r="M150" s="2">
        <f t="shared" si="31"/>
        <v>432.75783663707733</v>
      </c>
      <c r="N150" s="1">
        <f t="shared" si="32"/>
        <v>60</v>
      </c>
      <c r="O150" s="3">
        <f t="shared" si="33"/>
        <v>1267.2889762339705</v>
      </c>
      <c r="P150" s="2">
        <f t="shared" si="34"/>
        <v>121.666315553236</v>
      </c>
      <c r="Q150" s="2">
        <f t="shared" si="37"/>
        <v>276.83617946578431</v>
      </c>
      <c r="R150" s="2">
        <f t="shared" si="37"/>
        <v>588.67949380837035</v>
      </c>
      <c r="S150" s="2">
        <f t="shared" si="35"/>
        <v>468.35683909829766</v>
      </c>
    </row>
    <row r="151" spans="2:19" x14ac:dyDescent="0.25">
      <c r="B151" s="10">
        <v>718</v>
      </c>
      <c r="C151" s="10">
        <v>7</v>
      </c>
      <c r="D151" s="9" t="s">
        <v>202</v>
      </c>
      <c r="E151" s="162">
        <f>INDEX('2016 Lockdown Update'!H$5:H$245,MATCH(B151,'2016 Lockdown Update'!B$5:B$245,0))</f>
        <v>39.392807763458428</v>
      </c>
      <c r="F151" s="7">
        <f>INDEX('2016 Lockdown Update'!E$5:E$245,MATCH(B151,'2016 Lockdown Update'!B$5:B$245,0))</f>
        <v>27137.86</v>
      </c>
      <c r="G151" s="7">
        <f>INDEX('2016 Lockdown Update'!F$5:F$245,MATCH(B151,'2016 Lockdown Update'!B$5:B$245,0))</f>
        <v>0</v>
      </c>
      <c r="H151" s="7">
        <f t="shared" si="27"/>
        <v>27137.86</v>
      </c>
      <c r="I151" s="6">
        <f t="shared" si="28"/>
        <v>688.90392791888348</v>
      </c>
      <c r="J151" s="6">
        <f t="shared" si="36"/>
        <v>588.67949380837035</v>
      </c>
      <c r="K151" s="5">
        <f t="shared" si="29"/>
        <v>23189.738133883151</v>
      </c>
      <c r="L151" s="4">
        <f t="shared" si="30"/>
        <v>0</v>
      </c>
      <c r="M151" s="2">
        <f t="shared" si="31"/>
        <v>432.75783663707733</v>
      </c>
      <c r="N151" s="1">
        <f t="shared" si="32"/>
        <v>60</v>
      </c>
      <c r="O151" s="3">
        <f t="shared" si="33"/>
        <v>65610.820078947363</v>
      </c>
      <c r="P151" s="2">
        <f t="shared" si="34"/>
        <v>121.666315553236</v>
      </c>
      <c r="Q151" s="2">
        <f t="shared" si="37"/>
        <v>276.83617946578431</v>
      </c>
      <c r="R151" s="2">
        <f t="shared" si="37"/>
        <v>588.67949380837035</v>
      </c>
      <c r="S151" s="2">
        <f t="shared" si="35"/>
        <v>588.67949380837035</v>
      </c>
    </row>
    <row r="152" spans="2:19" x14ac:dyDescent="0.25">
      <c r="B152" s="10">
        <v>736</v>
      </c>
      <c r="C152" s="10">
        <v>7</v>
      </c>
      <c r="D152" s="9" t="s">
        <v>203</v>
      </c>
      <c r="E152" s="162">
        <f>INDEX('2016 Lockdown Update'!H$5:H$245,MATCH(B152,'2016 Lockdown Update'!B$5:B$245,0))</f>
        <v>125.18098204444361</v>
      </c>
      <c r="F152" s="7">
        <f>INDEX('2016 Lockdown Update'!E$5:E$245,MATCH(B152,'2016 Lockdown Update'!B$5:B$245,0))</f>
        <v>50572.31</v>
      </c>
      <c r="G152" s="7">
        <f>INDEX('2016 Lockdown Update'!F$5:F$245,MATCH(B152,'2016 Lockdown Update'!B$5:B$245,0))</f>
        <v>0</v>
      </c>
      <c r="H152" s="7">
        <f t="shared" si="27"/>
        <v>50572.31</v>
      </c>
      <c r="I152" s="6">
        <f t="shared" si="28"/>
        <v>403.99355536326647</v>
      </c>
      <c r="J152" s="6">
        <f t="shared" si="36"/>
        <v>403.99355536326647</v>
      </c>
      <c r="K152" s="5">
        <f t="shared" si="29"/>
        <v>50572.31</v>
      </c>
      <c r="L152" s="4">
        <f t="shared" si="30"/>
        <v>0</v>
      </c>
      <c r="M152" s="2">
        <f t="shared" si="31"/>
        <v>432.75783663707733</v>
      </c>
      <c r="N152" s="1">
        <f t="shared" si="32"/>
        <v>60</v>
      </c>
      <c r="O152" s="3">
        <f t="shared" si="33"/>
        <v>827.38387719890648</v>
      </c>
      <c r="P152" s="2">
        <f t="shared" si="34"/>
        <v>121.666315553236</v>
      </c>
      <c r="Q152" s="2">
        <f t="shared" si="37"/>
        <v>276.83617946578431</v>
      </c>
      <c r="R152" s="2">
        <f t="shared" si="37"/>
        <v>588.67949380837035</v>
      </c>
      <c r="S152" s="2">
        <f t="shared" si="35"/>
        <v>403.99355536326647</v>
      </c>
    </row>
    <row r="153" spans="2:19" x14ac:dyDescent="0.25">
      <c r="B153" s="10">
        <v>757</v>
      </c>
      <c r="C153" s="10">
        <v>7</v>
      </c>
      <c r="D153" s="9" t="s">
        <v>204</v>
      </c>
      <c r="E153" s="162">
        <f>INDEX('2016 Lockdown Update'!H$5:H$245,MATCH(B153,'2016 Lockdown Update'!B$5:B$245,0))</f>
        <v>442.07000000000005</v>
      </c>
      <c r="F153" s="7">
        <f>INDEX('2016 Lockdown Update'!E$5:E$245,MATCH(B153,'2016 Lockdown Update'!B$5:B$245,0))</f>
        <v>302772.49</v>
      </c>
      <c r="G153" s="7">
        <f>INDEX('2016 Lockdown Update'!F$5:F$245,MATCH(B153,'2016 Lockdown Update'!B$5:B$245,0))</f>
        <v>32550.520000000004</v>
      </c>
      <c r="H153" s="7">
        <f t="shared" si="27"/>
        <v>270221.96999999997</v>
      </c>
      <c r="I153" s="6">
        <f t="shared" si="28"/>
        <v>611.26511638428292</v>
      </c>
      <c r="J153" s="6">
        <f t="shared" si="36"/>
        <v>588.67949380837035</v>
      </c>
      <c r="K153" s="5">
        <f t="shared" si="29"/>
        <v>260237.54382786632</v>
      </c>
      <c r="L153" s="4">
        <f t="shared" si="30"/>
        <v>0</v>
      </c>
      <c r="M153" s="2">
        <f t="shared" si="31"/>
        <v>432.75783663707733</v>
      </c>
      <c r="N153" s="1">
        <f t="shared" si="32"/>
        <v>60</v>
      </c>
      <c r="O153" s="3">
        <f t="shared" si="33"/>
        <v>31864.848922747115</v>
      </c>
      <c r="P153" s="2">
        <f t="shared" si="34"/>
        <v>121.666315553236</v>
      </c>
      <c r="Q153" s="2">
        <f t="shared" si="37"/>
        <v>276.83617946578431</v>
      </c>
      <c r="R153" s="2">
        <f t="shared" si="37"/>
        <v>588.67949380837035</v>
      </c>
      <c r="S153" s="2">
        <f t="shared" si="35"/>
        <v>588.67949380837035</v>
      </c>
    </row>
    <row r="154" spans="2:19" x14ac:dyDescent="0.25">
      <c r="B154" s="10">
        <v>786</v>
      </c>
      <c r="C154" s="10">
        <v>7</v>
      </c>
      <c r="D154" s="9" t="s">
        <v>205</v>
      </c>
      <c r="E154" s="162">
        <f>INDEX('2016 Lockdown Update'!H$5:H$245,MATCH(B154,'2016 Lockdown Update'!B$5:B$245,0))</f>
        <v>2943.9</v>
      </c>
      <c r="F154" s="7">
        <f>INDEX('2016 Lockdown Update'!E$5:E$245,MATCH(B154,'2016 Lockdown Update'!B$5:B$245,0))</f>
        <v>1892576.87</v>
      </c>
      <c r="G154" s="7">
        <f>INDEX('2016 Lockdown Update'!F$5:F$245,MATCH(B154,'2016 Lockdown Update'!B$5:B$245,0))</f>
        <v>283456.15000000002</v>
      </c>
      <c r="H154" s="7">
        <f t="shared" si="27"/>
        <v>1609120.7200000002</v>
      </c>
      <c r="I154" s="6">
        <f t="shared" si="28"/>
        <v>546.594897924522</v>
      </c>
      <c r="J154" s="6">
        <f t="shared" si="36"/>
        <v>546.594897924522</v>
      </c>
      <c r="K154" s="5">
        <f t="shared" si="29"/>
        <v>1609120.7200000004</v>
      </c>
      <c r="L154" s="4">
        <f t="shared" si="30"/>
        <v>0</v>
      </c>
      <c r="M154" s="2">
        <f t="shared" si="31"/>
        <v>432.75783663707733</v>
      </c>
      <c r="N154" s="1">
        <f t="shared" si="32"/>
        <v>60</v>
      </c>
      <c r="O154" s="3">
        <f t="shared" si="33"/>
        <v>12958.876522561433</v>
      </c>
      <c r="P154" s="2">
        <f t="shared" si="34"/>
        <v>121.666315553236</v>
      </c>
      <c r="Q154" s="2">
        <f t="shared" si="37"/>
        <v>276.83617946578431</v>
      </c>
      <c r="R154" s="2">
        <f t="shared" si="37"/>
        <v>588.67949380837035</v>
      </c>
      <c r="S154" s="2">
        <f t="shared" si="35"/>
        <v>546.594897924522</v>
      </c>
    </row>
    <row r="155" spans="2:19" x14ac:dyDescent="0.25">
      <c r="B155" s="10">
        <v>854</v>
      </c>
      <c r="C155" s="10">
        <v>7</v>
      </c>
      <c r="D155" s="9" t="s">
        <v>206</v>
      </c>
      <c r="E155" s="162">
        <f>INDEX('2016 Lockdown Update'!H$5:H$245,MATCH(B155,'2016 Lockdown Update'!B$5:B$245,0))</f>
        <v>791.64</v>
      </c>
      <c r="F155" s="7">
        <f>INDEX('2016 Lockdown Update'!E$5:E$245,MATCH(B155,'2016 Lockdown Update'!B$5:B$245,0))</f>
        <v>471437.34</v>
      </c>
      <c r="G155" s="7">
        <f>INDEX('2016 Lockdown Update'!F$5:F$245,MATCH(B155,'2016 Lockdown Update'!B$5:B$245,0))</f>
        <v>32277.73</v>
      </c>
      <c r="H155" s="7">
        <f t="shared" si="27"/>
        <v>439159.61000000004</v>
      </c>
      <c r="I155" s="6">
        <f t="shared" si="28"/>
        <v>554.74661462280847</v>
      </c>
      <c r="J155" s="6">
        <f t="shared" si="36"/>
        <v>554.74661462280847</v>
      </c>
      <c r="K155" s="5">
        <f t="shared" si="29"/>
        <v>439159.6100000001</v>
      </c>
      <c r="L155" s="4">
        <f t="shared" si="30"/>
        <v>0</v>
      </c>
      <c r="M155" s="2">
        <f t="shared" si="31"/>
        <v>432.75783663707733</v>
      </c>
      <c r="N155" s="1">
        <f t="shared" si="32"/>
        <v>60</v>
      </c>
      <c r="O155" s="3">
        <f t="shared" si="33"/>
        <v>14881.261954452</v>
      </c>
      <c r="P155" s="2">
        <f t="shared" si="34"/>
        <v>121.666315553236</v>
      </c>
      <c r="Q155" s="2">
        <f t="shared" si="37"/>
        <v>276.83617946578431</v>
      </c>
      <c r="R155" s="2">
        <f t="shared" si="37"/>
        <v>588.67949380837035</v>
      </c>
      <c r="S155" s="2">
        <f t="shared" si="35"/>
        <v>554.74661462280847</v>
      </c>
    </row>
    <row r="156" spans="2:19" x14ac:dyDescent="0.25">
      <c r="B156" s="10">
        <v>855</v>
      </c>
      <c r="C156" s="10">
        <v>7</v>
      </c>
      <c r="D156" s="9" t="s">
        <v>207</v>
      </c>
      <c r="E156" s="162">
        <f>INDEX('2016 Lockdown Update'!H$5:H$245,MATCH(B156,'2016 Lockdown Update'!B$5:B$245,0))</f>
        <v>193.09000000000003</v>
      </c>
      <c r="F156" s="7">
        <f>INDEX('2016 Lockdown Update'!E$5:E$245,MATCH(B156,'2016 Lockdown Update'!B$5:B$245,0))</f>
        <v>127853.57</v>
      </c>
      <c r="G156" s="7">
        <f>INDEX('2016 Lockdown Update'!F$5:F$245,MATCH(B156,'2016 Lockdown Update'!B$5:B$245,0))</f>
        <v>9807.15</v>
      </c>
      <c r="H156" s="7">
        <f t="shared" si="27"/>
        <v>118046.42000000001</v>
      </c>
      <c r="I156" s="6">
        <f t="shared" si="28"/>
        <v>611.35439432389035</v>
      </c>
      <c r="J156" s="6">
        <f t="shared" si="36"/>
        <v>588.67949380837035</v>
      </c>
      <c r="K156" s="5">
        <f t="shared" si="29"/>
        <v>113668.12345945825</v>
      </c>
      <c r="L156" s="4">
        <f t="shared" si="30"/>
        <v>0</v>
      </c>
      <c r="M156" s="2">
        <f t="shared" si="31"/>
        <v>432.75783663707733</v>
      </c>
      <c r="N156" s="1">
        <f t="shared" si="32"/>
        <v>60</v>
      </c>
      <c r="O156" s="3">
        <f t="shared" si="33"/>
        <v>31896.730417579129</v>
      </c>
      <c r="P156" s="2">
        <f t="shared" si="34"/>
        <v>121.666315553236</v>
      </c>
      <c r="Q156" s="2">
        <f t="shared" si="37"/>
        <v>276.83617946578431</v>
      </c>
      <c r="R156" s="2">
        <f t="shared" si="37"/>
        <v>588.67949380837035</v>
      </c>
      <c r="S156" s="2">
        <f t="shared" si="35"/>
        <v>588.67949380837035</v>
      </c>
    </row>
    <row r="157" spans="2:19" x14ac:dyDescent="0.25">
      <c r="B157" s="10">
        <v>862</v>
      </c>
      <c r="C157" s="10">
        <v>7</v>
      </c>
      <c r="D157" s="9" t="s">
        <v>208</v>
      </c>
      <c r="E157" s="162">
        <f>INDEX('2016 Lockdown Update'!H$5:H$245,MATCH(B157,'2016 Lockdown Update'!B$5:B$245,0))</f>
        <v>13.923162984356898</v>
      </c>
      <c r="F157" s="7">
        <f>INDEX('2016 Lockdown Update'!E$5:E$245,MATCH(B157,'2016 Lockdown Update'!B$5:B$245,0))</f>
        <v>9941.26</v>
      </c>
      <c r="G157" s="7">
        <f>INDEX('2016 Lockdown Update'!F$5:F$245,MATCH(B157,'2016 Lockdown Update'!B$5:B$245,0))</f>
        <v>7583.34</v>
      </c>
      <c r="H157" s="7">
        <f t="shared" si="27"/>
        <v>2357.92</v>
      </c>
      <c r="I157" s="6">
        <f t="shared" si="28"/>
        <v>169.35232336568893</v>
      </c>
      <c r="J157" s="6">
        <f t="shared" si="36"/>
        <v>169.35232336568893</v>
      </c>
      <c r="K157" s="5">
        <f t="shared" si="29"/>
        <v>2357.92</v>
      </c>
      <c r="L157" s="4">
        <f t="shared" si="30"/>
        <v>0</v>
      </c>
      <c r="M157" s="2">
        <f t="shared" si="31"/>
        <v>432.75783663707733</v>
      </c>
      <c r="N157" s="1">
        <f t="shared" si="32"/>
        <v>60</v>
      </c>
      <c r="O157" s="3">
        <f t="shared" si="33"/>
        <v>69382.46442176355</v>
      </c>
      <c r="P157" s="2">
        <f t="shared" si="34"/>
        <v>121.666315553236</v>
      </c>
      <c r="Q157" s="2">
        <f t="shared" si="37"/>
        <v>276.83617946578431</v>
      </c>
      <c r="R157" s="2">
        <f t="shared" si="37"/>
        <v>588.67949380837035</v>
      </c>
      <c r="S157" s="2">
        <f t="shared" si="35"/>
        <v>276.83617946578431</v>
      </c>
    </row>
    <row r="158" spans="2:19" x14ac:dyDescent="0.25">
      <c r="B158" s="10">
        <v>958</v>
      </c>
      <c r="C158" s="10">
        <v>7</v>
      </c>
      <c r="D158" s="9" t="s">
        <v>209</v>
      </c>
      <c r="E158" s="162">
        <f>INDEX('2016 Lockdown Update'!H$5:H$245,MATCH(B158,'2016 Lockdown Update'!B$5:B$245,0))</f>
        <v>655.95490227478683</v>
      </c>
      <c r="F158" s="7">
        <f>INDEX('2016 Lockdown Update'!E$5:E$245,MATCH(B158,'2016 Lockdown Update'!B$5:B$245,0))</f>
        <v>137185.5</v>
      </c>
      <c r="G158" s="7">
        <f>INDEX('2016 Lockdown Update'!F$5:F$245,MATCH(B158,'2016 Lockdown Update'!B$5:B$245,0))</f>
        <v>270.88</v>
      </c>
      <c r="H158" s="7">
        <f t="shared" si="27"/>
        <v>136914.62</v>
      </c>
      <c r="I158" s="6">
        <f t="shared" si="28"/>
        <v>208.72566014095423</v>
      </c>
      <c r="J158" s="6">
        <f t="shared" si="36"/>
        <v>208.72566014095423</v>
      </c>
      <c r="K158" s="5">
        <f t="shared" si="29"/>
        <v>136914.62</v>
      </c>
      <c r="L158" s="4">
        <f t="shared" si="30"/>
        <v>0</v>
      </c>
      <c r="M158" s="2">
        <f t="shared" si="31"/>
        <v>432.75783663707733</v>
      </c>
      <c r="N158" s="1">
        <f t="shared" si="32"/>
        <v>60</v>
      </c>
      <c r="O158" s="3">
        <f t="shared" si="33"/>
        <v>50190.416105590055</v>
      </c>
      <c r="P158" s="2">
        <f t="shared" si="34"/>
        <v>121.666315553236</v>
      </c>
      <c r="Q158" s="2">
        <f t="shared" si="37"/>
        <v>276.83617946578431</v>
      </c>
      <c r="R158" s="2">
        <f t="shared" si="37"/>
        <v>588.67949380837035</v>
      </c>
      <c r="S158" s="2">
        <f t="shared" si="35"/>
        <v>276.83617946578431</v>
      </c>
    </row>
    <row r="159" spans="2:19" x14ac:dyDescent="0.25">
      <c r="B159" s="10">
        <v>967</v>
      </c>
      <c r="C159" s="10">
        <v>7</v>
      </c>
      <c r="D159" s="9" t="s">
        <v>210</v>
      </c>
      <c r="E159" s="162">
        <f>INDEX('2016 Lockdown Update'!H$5:H$245,MATCH(B159,'2016 Lockdown Update'!B$5:B$245,0))</f>
        <v>157.53480682104274</v>
      </c>
      <c r="F159" s="7">
        <f>INDEX('2016 Lockdown Update'!E$5:E$245,MATCH(B159,'2016 Lockdown Update'!B$5:B$245,0))</f>
        <v>82042.509999999995</v>
      </c>
      <c r="G159" s="7">
        <f>INDEX('2016 Lockdown Update'!F$5:F$245,MATCH(B159,'2016 Lockdown Update'!B$5:B$245,0))</f>
        <v>0</v>
      </c>
      <c r="H159" s="7">
        <f t="shared" si="27"/>
        <v>82042.509999999995</v>
      </c>
      <c r="I159" s="6">
        <f t="shared" si="28"/>
        <v>520.78973311084894</v>
      </c>
      <c r="J159" s="6">
        <f t="shared" si="36"/>
        <v>520.78973311084894</v>
      </c>
      <c r="K159" s="5">
        <f t="shared" si="29"/>
        <v>82042.509999999995</v>
      </c>
      <c r="L159" s="4">
        <f t="shared" si="30"/>
        <v>0</v>
      </c>
      <c r="M159" s="2">
        <f t="shared" si="31"/>
        <v>432.75783663707733</v>
      </c>
      <c r="N159" s="1">
        <f t="shared" si="32"/>
        <v>60</v>
      </c>
      <c r="O159" s="3">
        <f t="shared" si="33"/>
        <v>7749.6147967688421</v>
      </c>
      <c r="P159" s="2">
        <f t="shared" si="34"/>
        <v>121.666315553236</v>
      </c>
      <c r="Q159" s="2">
        <f t="shared" si="37"/>
        <v>276.83617946578431</v>
      </c>
      <c r="R159" s="2">
        <f t="shared" si="37"/>
        <v>588.67949380837035</v>
      </c>
      <c r="S159" s="2">
        <f t="shared" si="35"/>
        <v>520.78973311084894</v>
      </c>
    </row>
    <row r="160" spans="2:19" x14ac:dyDescent="0.25">
      <c r="B160" s="10">
        <v>971</v>
      </c>
      <c r="C160" s="10">
        <v>7</v>
      </c>
      <c r="D160" s="9" t="s">
        <v>211</v>
      </c>
      <c r="E160" s="162">
        <f>INDEX('2016 Lockdown Update'!H$5:H$245,MATCH(B160,'2016 Lockdown Update'!B$5:B$245,0))</f>
        <v>1007.65</v>
      </c>
      <c r="F160" s="7">
        <f>INDEX('2016 Lockdown Update'!E$5:E$245,MATCH(B160,'2016 Lockdown Update'!B$5:B$245,0))</f>
        <v>499085.03</v>
      </c>
      <c r="G160" s="7">
        <f>INDEX('2016 Lockdown Update'!F$5:F$245,MATCH(B160,'2016 Lockdown Update'!B$5:B$245,0))</f>
        <v>150177.47</v>
      </c>
      <c r="H160" s="7">
        <f t="shared" si="27"/>
        <v>348907.56000000006</v>
      </c>
      <c r="I160" s="6">
        <f t="shared" si="28"/>
        <v>346.25868108966415</v>
      </c>
      <c r="J160" s="6">
        <f t="shared" si="36"/>
        <v>346.25868108966415</v>
      </c>
      <c r="K160" s="5">
        <f t="shared" si="29"/>
        <v>348907.56000000006</v>
      </c>
      <c r="L160" s="4">
        <f t="shared" si="30"/>
        <v>0</v>
      </c>
      <c r="M160" s="2">
        <f t="shared" si="31"/>
        <v>432.75783663707733</v>
      </c>
      <c r="N160" s="1">
        <f t="shared" si="32"/>
        <v>60</v>
      </c>
      <c r="O160" s="3">
        <f t="shared" si="33"/>
        <v>7482.1039104155807</v>
      </c>
      <c r="P160" s="2">
        <f t="shared" si="34"/>
        <v>121.666315553236</v>
      </c>
      <c r="Q160" s="2">
        <f t="shared" si="37"/>
        <v>276.83617946578431</v>
      </c>
      <c r="R160" s="2">
        <f t="shared" si="37"/>
        <v>588.67949380837035</v>
      </c>
      <c r="S160" s="2">
        <f t="shared" si="35"/>
        <v>346.25868108966415</v>
      </c>
    </row>
    <row r="161" spans="2:19" x14ac:dyDescent="0.25">
      <c r="B161" s="10">
        <v>975</v>
      </c>
      <c r="C161" s="10">
        <v>7</v>
      </c>
      <c r="D161" s="9" t="s">
        <v>212</v>
      </c>
      <c r="E161" s="162">
        <f>INDEX('2016 Lockdown Update'!H$5:H$245,MATCH(B161,'2016 Lockdown Update'!B$5:B$245,0))</f>
        <v>28.638553031917883</v>
      </c>
      <c r="F161" s="7">
        <f>INDEX('2016 Lockdown Update'!E$5:E$245,MATCH(B161,'2016 Lockdown Update'!B$5:B$245,0))</f>
        <v>30459.23</v>
      </c>
      <c r="G161" s="7">
        <f>INDEX('2016 Lockdown Update'!F$5:F$245,MATCH(B161,'2016 Lockdown Update'!B$5:B$245,0))</f>
        <v>0</v>
      </c>
      <c r="H161" s="7">
        <f t="shared" si="27"/>
        <v>30459.23</v>
      </c>
      <c r="I161" s="6">
        <f t="shared" si="28"/>
        <v>1063.5743351297449</v>
      </c>
      <c r="J161" s="6">
        <f t="shared" si="36"/>
        <v>588.67949380837035</v>
      </c>
      <c r="K161" s="5">
        <f t="shared" si="29"/>
        <v>16858.928902233591</v>
      </c>
      <c r="L161" s="4">
        <f t="shared" si="30"/>
        <v>0</v>
      </c>
      <c r="M161" s="2">
        <f t="shared" si="31"/>
        <v>432.75783663707733</v>
      </c>
      <c r="N161" s="1">
        <f t="shared" si="32"/>
        <v>60</v>
      </c>
      <c r="O161" s="3">
        <f t="shared" si="33"/>
        <v>397929.45477054961</v>
      </c>
      <c r="P161" s="2">
        <f t="shared" si="34"/>
        <v>121.666315553236</v>
      </c>
      <c r="Q161" s="2">
        <f t="shared" si="37"/>
        <v>276.83617946578431</v>
      </c>
      <c r="R161" s="2">
        <f t="shared" si="37"/>
        <v>588.67949380837035</v>
      </c>
      <c r="S161" s="2">
        <f t="shared" si="35"/>
        <v>588.67949380837035</v>
      </c>
    </row>
    <row r="162" spans="2:19" x14ac:dyDescent="0.25">
      <c r="B162" s="10">
        <v>976</v>
      </c>
      <c r="C162" s="10">
        <v>7</v>
      </c>
      <c r="D162" s="9" t="s">
        <v>213</v>
      </c>
      <c r="E162" s="162">
        <f>INDEX('2016 Lockdown Update'!H$5:H$245,MATCH(B162,'2016 Lockdown Update'!B$5:B$245,0))</f>
        <v>24.209186540671535</v>
      </c>
      <c r="F162" s="7">
        <f>INDEX('2016 Lockdown Update'!E$5:E$245,MATCH(B162,'2016 Lockdown Update'!B$5:B$245,0))</f>
        <v>18851.71</v>
      </c>
      <c r="G162" s="7">
        <f>INDEX('2016 Lockdown Update'!F$5:F$245,MATCH(B162,'2016 Lockdown Update'!B$5:B$245,0))</f>
        <v>0</v>
      </c>
      <c r="H162" s="7">
        <f t="shared" si="27"/>
        <v>18851.71</v>
      </c>
      <c r="I162" s="6">
        <f t="shared" si="28"/>
        <v>778.70067911323861</v>
      </c>
      <c r="J162" s="6">
        <f t="shared" si="36"/>
        <v>588.67949380837035</v>
      </c>
      <c r="K162" s="5">
        <f t="shared" si="29"/>
        <v>14251.451678274932</v>
      </c>
      <c r="L162" s="4">
        <f t="shared" si="30"/>
        <v>0</v>
      </c>
      <c r="M162" s="2">
        <f t="shared" si="31"/>
        <v>432.75783663707733</v>
      </c>
      <c r="N162" s="1">
        <f t="shared" si="32"/>
        <v>60</v>
      </c>
      <c r="O162" s="3">
        <f t="shared" si="33"/>
        <v>119676.45026048613</v>
      </c>
      <c r="P162" s="2">
        <f t="shared" si="34"/>
        <v>121.666315553236</v>
      </c>
      <c r="Q162" s="2">
        <f t="shared" si="37"/>
        <v>276.83617946578431</v>
      </c>
      <c r="R162" s="2">
        <f t="shared" si="37"/>
        <v>588.67949380837035</v>
      </c>
      <c r="S162" s="2">
        <f t="shared" si="35"/>
        <v>588.67949380837035</v>
      </c>
    </row>
    <row r="163" spans="2:19" x14ac:dyDescent="0.25">
      <c r="B163" s="10">
        <v>977</v>
      </c>
      <c r="C163" s="10">
        <v>7</v>
      </c>
      <c r="D163" s="39" t="s">
        <v>23</v>
      </c>
      <c r="E163" s="162">
        <f>INDEX('2016 Lockdown Update'!H$5:H$245,MATCH(B163,'2016 Lockdown Update'!B$5:B$245,0))</f>
        <v>39.801689582303489</v>
      </c>
      <c r="F163" s="7">
        <f>INDEX('2016 Lockdown Update'!E$5:E$245,MATCH(B163,'2016 Lockdown Update'!B$5:B$245,0))</f>
        <v>21035.19</v>
      </c>
      <c r="G163" s="7">
        <f>INDEX('2016 Lockdown Update'!F$5:F$245,MATCH(B163,'2016 Lockdown Update'!B$5:B$245,0))</f>
        <v>0</v>
      </c>
      <c r="H163" s="7">
        <f t="shared" si="27"/>
        <v>21035.19</v>
      </c>
      <c r="I163" s="6">
        <f t="shared" si="28"/>
        <v>528.49992602707505</v>
      </c>
      <c r="J163" s="6">
        <f t="shared" si="36"/>
        <v>528.49992602707505</v>
      </c>
      <c r="K163" s="5">
        <f t="shared" si="29"/>
        <v>21035.19</v>
      </c>
      <c r="L163" s="4">
        <f t="shared" si="30"/>
        <v>0</v>
      </c>
      <c r="M163" s="2">
        <f t="shared" si="31"/>
        <v>432.75783663707733</v>
      </c>
      <c r="N163" s="1">
        <f t="shared" si="32"/>
        <v>60</v>
      </c>
      <c r="O163" s="3">
        <f t="shared" si="33"/>
        <v>9166.5476807623127</v>
      </c>
      <c r="P163" s="2">
        <f t="shared" si="34"/>
        <v>121.666315553236</v>
      </c>
      <c r="Q163" s="2">
        <f t="shared" si="37"/>
        <v>276.83617946578431</v>
      </c>
      <c r="R163" s="2">
        <f t="shared" si="37"/>
        <v>588.67949380837035</v>
      </c>
      <c r="S163" s="2">
        <f t="shared" si="35"/>
        <v>528.49992602707505</v>
      </c>
    </row>
    <row r="164" spans="2:19" x14ac:dyDescent="0.25">
      <c r="B164" s="10">
        <v>983</v>
      </c>
      <c r="C164" s="10">
        <v>7</v>
      </c>
      <c r="D164" s="9" t="s">
        <v>214</v>
      </c>
      <c r="E164" s="162">
        <f>INDEX('2016 Lockdown Update'!H$5:H$245,MATCH(B164,'2016 Lockdown Update'!B$5:B$245,0))</f>
        <v>82.232197859229217</v>
      </c>
      <c r="F164" s="7">
        <f>INDEX('2016 Lockdown Update'!E$5:E$245,MATCH(B164,'2016 Lockdown Update'!B$5:B$245,0))</f>
        <v>25312.25</v>
      </c>
      <c r="G164" s="7">
        <f>INDEX('2016 Lockdown Update'!F$5:F$245,MATCH(B164,'2016 Lockdown Update'!B$5:B$245,0))</f>
        <v>0</v>
      </c>
      <c r="H164" s="7">
        <f t="shared" si="27"/>
        <v>25312.25</v>
      </c>
      <c r="I164" s="6">
        <f t="shared" si="28"/>
        <v>307.81434351701586</v>
      </c>
      <c r="J164" s="6">
        <f t="shared" si="36"/>
        <v>307.81434351701586</v>
      </c>
      <c r="K164" s="5">
        <f t="shared" si="29"/>
        <v>25312.249999999996</v>
      </c>
      <c r="L164" s="4">
        <f t="shared" si="30"/>
        <v>0</v>
      </c>
      <c r="M164" s="2">
        <f t="shared" si="31"/>
        <v>432.75783663707733</v>
      </c>
      <c r="N164" s="1">
        <f t="shared" si="32"/>
        <v>60</v>
      </c>
      <c r="O164" s="3">
        <f t="shared" si="33"/>
        <v>15610.876473042848</v>
      </c>
      <c r="P164" s="2">
        <f t="shared" si="34"/>
        <v>121.666315553236</v>
      </c>
      <c r="Q164" s="2">
        <f t="shared" si="37"/>
        <v>276.83617946578431</v>
      </c>
      <c r="R164" s="2">
        <f t="shared" si="37"/>
        <v>588.67949380837035</v>
      </c>
      <c r="S164" s="2">
        <f t="shared" si="35"/>
        <v>307.81434351701586</v>
      </c>
    </row>
    <row r="165" spans="2:19" x14ac:dyDescent="0.25">
      <c r="B165" s="47">
        <v>188</v>
      </c>
      <c r="C165" s="47">
        <v>8</v>
      </c>
      <c r="D165" s="48" t="s">
        <v>215</v>
      </c>
      <c r="E165" s="162">
        <f>INDEX('2016 Lockdown Update'!H$5:H$245,MATCH(B165,'2016 Lockdown Update'!B$5:B$245,0))</f>
        <v>272.38</v>
      </c>
      <c r="F165" s="7">
        <f>INDEX('2016 Lockdown Update'!E$5:E$245,MATCH(B165,'2016 Lockdown Update'!B$5:B$245,0))</f>
        <v>222885.73</v>
      </c>
      <c r="G165" s="7">
        <f>INDEX('2016 Lockdown Update'!F$5:F$245,MATCH(B165,'2016 Lockdown Update'!B$5:B$245,0))</f>
        <v>20234.97</v>
      </c>
      <c r="H165" s="7">
        <f t="shared" si="27"/>
        <v>202650.76</v>
      </c>
      <c r="I165" s="6">
        <f t="shared" si="28"/>
        <v>744.00014685366034</v>
      </c>
      <c r="J165" s="6">
        <f t="shared" si="36"/>
        <v>744.00014685366034</v>
      </c>
      <c r="K165" s="5">
        <f t="shared" si="29"/>
        <v>202650.76</v>
      </c>
      <c r="L165" s="4">
        <f t="shared" si="30"/>
        <v>0</v>
      </c>
      <c r="M165" s="2">
        <f t="shared" si="31"/>
        <v>765.45823276111946</v>
      </c>
      <c r="N165" s="1">
        <f t="shared" si="32"/>
        <v>49</v>
      </c>
      <c r="O165" s="3">
        <f t="shared" si="33"/>
        <v>460.44945081189576</v>
      </c>
      <c r="P165" s="2">
        <f t="shared" si="34"/>
        <v>650.47387760263371</v>
      </c>
      <c r="Q165" s="2">
        <f t="shared" si="37"/>
        <v>-68.157583426402653</v>
      </c>
      <c r="R165" s="2">
        <f t="shared" si="37"/>
        <v>1599.0740489486416</v>
      </c>
      <c r="S165" s="2">
        <f t="shared" si="35"/>
        <v>744.00014685366034</v>
      </c>
    </row>
    <row r="166" spans="2:19" x14ac:dyDescent="0.25">
      <c r="B166" s="47">
        <v>232</v>
      </c>
      <c r="C166" s="47">
        <v>8</v>
      </c>
      <c r="D166" s="48" t="s">
        <v>216</v>
      </c>
      <c r="E166" s="162">
        <f>INDEX('2016 Lockdown Update'!H$5:H$245,MATCH(B166,'2016 Lockdown Update'!B$5:B$245,0))</f>
        <v>88.565522031298372</v>
      </c>
      <c r="F166" s="7">
        <f>INDEX('2016 Lockdown Update'!E$5:E$245,MATCH(B166,'2016 Lockdown Update'!B$5:B$245,0))</f>
        <v>85070.85</v>
      </c>
      <c r="G166" s="7">
        <f>INDEX('2016 Lockdown Update'!F$5:F$245,MATCH(B166,'2016 Lockdown Update'!B$5:B$245,0))</f>
        <v>0</v>
      </c>
      <c r="H166" s="7">
        <f t="shared" si="27"/>
        <v>85070.85</v>
      </c>
      <c r="I166" s="6">
        <f t="shared" si="28"/>
        <v>960.54139408715537</v>
      </c>
      <c r="J166" s="6">
        <f t="shared" si="36"/>
        <v>960.54139408715537</v>
      </c>
      <c r="K166" s="5">
        <f t="shared" si="29"/>
        <v>85070.85</v>
      </c>
      <c r="L166" s="4">
        <f t="shared" si="30"/>
        <v>0</v>
      </c>
      <c r="M166" s="2">
        <f t="shared" si="31"/>
        <v>765.45823276111946</v>
      </c>
      <c r="N166" s="1">
        <f t="shared" si="32"/>
        <v>49</v>
      </c>
      <c r="O166" s="3">
        <f t="shared" si="33"/>
        <v>38057.439832960154</v>
      </c>
      <c r="P166" s="2">
        <f t="shared" si="34"/>
        <v>650.47387760263371</v>
      </c>
      <c r="Q166" s="2">
        <f t="shared" ref="Q166:R185" si="38">NORMINV(Q$4,$M166,$P166)</f>
        <v>-68.157583426402653</v>
      </c>
      <c r="R166" s="2">
        <f t="shared" si="38"/>
        <v>1599.0740489486416</v>
      </c>
      <c r="S166" s="2">
        <f t="shared" si="35"/>
        <v>960.54139408715537</v>
      </c>
    </row>
    <row r="167" spans="2:19" x14ac:dyDescent="0.25">
      <c r="B167" s="47">
        <v>245</v>
      </c>
      <c r="C167" s="47">
        <v>8</v>
      </c>
      <c r="D167" s="48" t="s">
        <v>217</v>
      </c>
      <c r="E167" s="162">
        <f>INDEX('2016 Lockdown Update'!H$5:H$245,MATCH(B167,'2016 Lockdown Update'!B$5:B$245,0))</f>
        <v>189.79040065880613</v>
      </c>
      <c r="F167" s="7">
        <f>INDEX('2016 Lockdown Update'!E$5:E$245,MATCH(B167,'2016 Lockdown Update'!B$5:B$245,0))</f>
        <v>611225.21</v>
      </c>
      <c r="G167" s="7">
        <f>INDEX('2016 Lockdown Update'!F$5:F$245,MATCH(B167,'2016 Lockdown Update'!B$5:B$245,0))</f>
        <v>0</v>
      </c>
      <c r="H167" s="7">
        <f t="shared" si="27"/>
        <v>611225.21</v>
      </c>
      <c r="I167" s="6">
        <f t="shared" si="28"/>
        <v>3220.5275286752999</v>
      </c>
      <c r="J167" s="6">
        <f t="shared" si="36"/>
        <v>1599.0740489486416</v>
      </c>
      <c r="K167" s="5">
        <f t="shared" si="29"/>
        <v>303488.90443306207</v>
      </c>
      <c r="L167" s="4">
        <f t="shared" si="30"/>
        <v>0</v>
      </c>
      <c r="M167" s="2">
        <f t="shared" si="31"/>
        <v>765.45823276111946</v>
      </c>
      <c r="N167" s="1">
        <f t="shared" si="32"/>
        <v>49</v>
      </c>
      <c r="O167" s="3">
        <f t="shared" si="33"/>
        <v>6027365.2477405509</v>
      </c>
      <c r="P167" s="2">
        <f t="shared" si="34"/>
        <v>650.47387760263371</v>
      </c>
      <c r="Q167" s="2">
        <f t="shared" si="38"/>
        <v>-68.157583426402653</v>
      </c>
      <c r="R167" s="2">
        <f t="shared" si="38"/>
        <v>1599.0740489486416</v>
      </c>
      <c r="S167" s="2">
        <f t="shared" si="35"/>
        <v>1599.0740489486416</v>
      </c>
    </row>
    <row r="168" spans="2:19" x14ac:dyDescent="0.25">
      <c r="B168" s="10">
        <v>372</v>
      </c>
      <c r="C168" s="10">
        <v>8</v>
      </c>
      <c r="D168" s="9" t="s">
        <v>218</v>
      </c>
      <c r="E168" s="162">
        <f>INDEX('2016 Lockdown Update'!H$5:H$245,MATCH(B168,'2016 Lockdown Update'!B$5:B$245,0))</f>
        <v>107.32400191865953</v>
      </c>
      <c r="F168" s="7">
        <f>INDEX('2016 Lockdown Update'!E$5:E$245,MATCH(B168,'2016 Lockdown Update'!B$5:B$245,0))</f>
        <v>107618.51</v>
      </c>
      <c r="G168" s="7">
        <f>INDEX('2016 Lockdown Update'!F$5:F$245,MATCH(B168,'2016 Lockdown Update'!B$5:B$245,0))</f>
        <v>0</v>
      </c>
      <c r="H168" s="7">
        <f t="shared" si="27"/>
        <v>107618.51</v>
      </c>
      <c r="I168" s="6">
        <f t="shared" si="28"/>
        <v>1002.7441026804393</v>
      </c>
      <c r="J168" s="6">
        <f t="shared" si="36"/>
        <v>1002.7441026804393</v>
      </c>
      <c r="K168" s="5">
        <f t="shared" si="29"/>
        <v>107618.51</v>
      </c>
      <c r="L168" s="4">
        <f t="shared" si="30"/>
        <v>0</v>
      </c>
      <c r="M168" s="2">
        <f t="shared" si="31"/>
        <v>765.45823276111946</v>
      </c>
      <c r="N168" s="1">
        <f t="shared" si="32"/>
        <v>49</v>
      </c>
      <c r="O168" s="3">
        <f t="shared" si="33"/>
        <v>56304.584063368355</v>
      </c>
      <c r="P168" s="2">
        <f t="shared" si="34"/>
        <v>650.47387760263371</v>
      </c>
      <c r="Q168" s="2">
        <f t="shared" si="38"/>
        <v>-68.157583426402653</v>
      </c>
      <c r="R168" s="2">
        <f t="shared" si="38"/>
        <v>1599.0740489486416</v>
      </c>
      <c r="S168" s="2">
        <f t="shared" si="35"/>
        <v>1002.7441026804393</v>
      </c>
    </row>
    <row r="169" spans="2:19" x14ac:dyDescent="0.25">
      <c r="B169" s="10">
        <v>375</v>
      </c>
      <c r="C169" s="10">
        <v>8</v>
      </c>
      <c r="D169" s="9" t="s">
        <v>219</v>
      </c>
      <c r="E169" s="162">
        <f>INDEX('2016 Lockdown Update'!H$5:H$245,MATCH(B169,'2016 Lockdown Update'!B$5:B$245,0))</f>
        <v>176.10000000000002</v>
      </c>
      <c r="F169" s="7">
        <f>INDEX('2016 Lockdown Update'!E$5:E$245,MATCH(B169,'2016 Lockdown Update'!B$5:B$245,0))</f>
        <v>245023.28</v>
      </c>
      <c r="G169" s="7">
        <f>INDEX('2016 Lockdown Update'!F$5:F$245,MATCH(B169,'2016 Lockdown Update'!B$5:B$245,0))</f>
        <v>0</v>
      </c>
      <c r="H169" s="7">
        <f t="shared" si="27"/>
        <v>245023.28</v>
      </c>
      <c r="I169" s="6">
        <f t="shared" si="28"/>
        <v>1391.387166382737</v>
      </c>
      <c r="J169" s="6">
        <f t="shared" si="36"/>
        <v>1391.387166382737</v>
      </c>
      <c r="K169" s="5">
        <f t="shared" si="29"/>
        <v>245023.28</v>
      </c>
      <c r="L169" s="4">
        <f t="shared" si="30"/>
        <v>0</v>
      </c>
      <c r="M169" s="2">
        <f t="shared" si="31"/>
        <v>765.45823276111946</v>
      </c>
      <c r="N169" s="1">
        <f t="shared" si="32"/>
        <v>49</v>
      </c>
      <c r="O169" s="3">
        <f t="shared" si="33"/>
        <v>391787.02994469524</v>
      </c>
      <c r="P169" s="2">
        <f t="shared" si="34"/>
        <v>650.47387760263371</v>
      </c>
      <c r="Q169" s="2">
        <f t="shared" si="38"/>
        <v>-68.157583426402653</v>
      </c>
      <c r="R169" s="2">
        <f t="shared" si="38"/>
        <v>1599.0740489486416</v>
      </c>
      <c r="S169" s="2">
        <f t="shared" si="35"/>
        <v>1391.387166382737</v>
      </c>
    </row>
    <row r="170" spans="2:19" x14ac:dyDescent="0.25">
      <c r="B170" s="10">
        <v>404</v>
      </c>
      <c r="C170" s="10">
        <v>8</v>
      </c>
      <c r="D170" s="9" t="s">
        <v>220</v>
      </c>
      <c r="E170" s="162">
        <f>INDEX('2016 Lockdown Update'!H$5:H$245,MATCH(B170,'2016 Lockdown Update'!B$5:B$245,0))</f>
        <v>469.85439088740827</v>
      </c>
      <c r="F170" s="7">
        <f>INDEX('2016 Lockdown Update'!E$5:E$245,MATCH(B170,'2016 Lockdown Update'!B$5:B$245,0))</f>
        <v>225949.6</v>
      </c>
      <c r="G170" s="7">
        <f>INDEX('2016 Lockdown Update'!F$5:F$245,MATCH(B170,'2016 Lockdown Update'!B$5:B$245,0))</f>
        <v>0</v>
      </c>
      <c r="H170" s="7">
        <f t="shared" si="27"/>
        <v>225949.6</v>
      </c>
      <c r="I170" s="6">
        <f t="shared" si="28"/>
        <v>480.89281356560645</v>
      </c>
      <c r="J170" s="6">
        <f t="shared" si="36"/>
        <v>480.89281356560645</v>
      </c>
      <c r="K170" s="5">
        <f t="shared" si="29"/>
        <v>225949.6</v>
      </c>
      <c r="L170" s="4">
        <f t="shared" si="30"/>
        <v>0</v>
      </c>
      <c r="M170" s="2">
        <f t="shared" si="31"/>
        <v>765.45823276111946</v>
      </c>
      <c r="N170" s="1">
        <f t="shared" si="32"/>
        <v>49</v>
      </c>
      <c r="O170" s="3">
        <f t="shared" si="33"/>
        <v>80977.477801918052</v>
      </c>
      <c r="P170" s="2">
        <f t="shared" si="34"/>
        <v>650.47387760263371</v>
      </c>
      <c r="Q170" s="2">
        <f t="shared" si="38"/>
        <v>-68.157583426402653</v>
      </c>
      <c r="R170" s="2">
        <f t="shared" si="38"/>
        <v>1599.0740489486416</v>
      </c>
      <c r="S170" s="2">
        <f t="shared" si="35"/>
        <v>480.89281356560645</v>
      </c>
    </row>
    <row r="171" spans="2:19" x14ac:dyDescent="0.25">
      <c r="B171" s="10">
        <v>413</v>
      </c>
      <c r="C171" s="10">
        <v>8</v>
      </c>
      <c r="D171" s="9" t="s">
        <v>221</v>
      </c>
      <c r="E171" s="162">
        <f>INDEX('2016 Lockdown Update'!H$5:H$245,MATCH(B171,'2016 Lockdown Update'!B$5:B$245,0))</f>
        <v>88.53</v>
      </c>
      <c r="F171" s="7">
        <f>INDEX('2016 Lockdown Update'!E$5:E$245,MATCH(B171,'2016 Lockdown Update'!B$5:B$245,0))</f>
        <v>45053.65</v>
      </c>
      <c r="G171" s="7">
        <f>INDEX('2016 Lockdown Update'!F$5:F$245,MATCH(B171,'2016 Lockdown Update'!B$5:B$245,0))</f>
        <v>90</v>
      </c>
      <c r="H171" s="7">
        <f t="shared" si="27"/>
        <v>44963.65</v>
      </c>
      <c r="I171" s="6">
        <f t="shared" si="28"/>
        <v>507.89167513837117</v>
      </c>
      <c r="J171" s="6">
        <f t="shared" si="36"/>
        <v>507.89167513837117</v>
      </c>
      <c r="K171" s="5">
        <f t="shared" si="29"/>
        <v>44963.65</v>
      </c>
      <c r="L171" s="4">
        <f t="shared" si="30"/>
        <v>0</v>
      </c>
      <c r="M171" s="2">
        <f t="shared" si="31"/>
        <v>765.45823276111946</v>
      </c>
      <c r="N171" s="1">
        <f t="shared" si="32"/>
        <v>49</v>
      </c>
      <c r="O171" s="3">
        <f t="shared" si="33"/>
        <v>66340.53160563251</v>
      </c>
      <c r="P171" s="2">
        <f t="shared" si="34"/>
        <v>650.47387760263371</v>
      </c>
      <c r="Q171" s="2">
        <f t="shared" si="38"/>
        <v>-68.157583426402653</v>
      </c>
      <c r="R171" s="2">
        <f t="shared" si="38"/>
        <v>1599.0740489486416</v>
      </c>
      <c r="S171" s="2">
        <f t="shared" si="35"/>
        <v>507.89167513837117</v>
      </c>
    </row>
    <row r="172" spans="2:19" x14ac:dyDescent="0.25">
      <c r="B172" s="10">
        <v>537</v>
      </c>
      <c r="C172" s="10">
        <v>8</v>
      </c>
      <c r="D172" s="9" t="s">
        <v>222</v>
      </c>
      <c r="E172" s="162">
        <f>INDEX('2016 Lockdown Update'!H$5:H$245,MATCH(B172,'2016 Lockdown Update'!B$5:B$245,0))</f>
        <v>20.22300394490447</v>
      </c>
      <c r="F172" s="7">
        <f>INDEX('2016 Lockdown Update'!E$5:E$245,MATCH(B172,'2016 Lockdown Update'!B$5:B$245,0))</f>
        <v>10523.48</v>
      </c>
      <c r="G172" s="7">
        <f>INDEX('2016 Lockdown Update'!F$5:F$245,MATCH(B172,'2016 Lockdown Update'!B$5:B$245,0))</f>
        <v>0</v>
      </c>
      <c r="H172" s="7">
        <f t="shared" si="27"/>
        <v>10523.48</v>
      </c>
      <c r="I172" s="6">
        <f t="shared" si="28"/>
        <v>520.37175232078073</v>
      </c>
      <c r="J172" s="6">
        <f t="shared" si="36"/>
        <v>520.37175232078073</v>
      </c>
      <c r="K172" s="5">
        <f t="shared" si="29"/>
        <v>10523.48</v>
      </c>
      <c r="L172" s="4">
        <f t="shared" si="30"/>
        <v>0</v>
      </c>
      <c r="M172" s="2">
        <f t="shared" si="31"/>
        <v>765.45823276111946</v>
      </c>
      <c r="N172" s="1">
        <f t="shared" si="32"/>
        <v>49</v>
      </c>
      <c r="O172" s="3">
        <f t="shared" si="33"/>
        <v>60067.382894632538</v>
      </c>
      <c r="P172" s="2">
        <f t="shared" si="34"/>
        <v>650.47387760263371</v>
      </c>
      <c r="Q172" s="2">
        <f t="shared" si="38"/>
        <v>-68.157583426402653</v>
      </c>
      <c r="R172" s="2">
        <f t="shared" si="38"/>
        <v>1599.0740489486416</v>
      </c>
      <c r="S172" s="2">
        <f t="shared" si="35"/>
        <v>520.37175232078073</v>
      </c>
    </row>
    <row r="173" spans="2:19" x14ac:dyDescent="0.25">
      <c r="B173" s="10">
        <v>545</v>
      </c>
      <c r="C173" s="10">
        <v>8</v>
      </c>
      <c r="D173" s="9" t="s">
        <v>223</v>
      </c>
      <c r="E173" s="162">
        <f>INDEX('2016 Lockdown Update'!H$5:H$245,MATCH(B173,'2016 Lockdown Update'!B$5:B$245,0))</f>
        <v>16.135935126409695</v>
      </c>
      <c r="F173" s="7">
        <f>INDEX('2016 Lockdown Update'!E$5:E$245,MATCH(B173,'2016 Lockdown Update'!B$5:B$245,0))</f>
        <v>4948.3599999999997</v>
      </c>
      <c r="G173" s="7">
        <f>INDEX('2016 Lockdown Update'!F$5:F$245,MATCH(B173,'2016 Lockdown Update'!B$5:B$245,0))</f>
        <v>0</v>
      </c>
      <c r="H173" s="7">
        <f t="shared" si="27"/>
        <v>4948.3599999999997</v>
      </c>
      <c r="I173" s="6">
        <f t="shared" si="28"/>
        <v>306.66707328917158</v>
      </c>
      <c r="J173" s="6">
        <f t="shared" si="36"/>
        <v>306.66707328917158</v>
      </c>
      <c r="K173" s="5">
        <f t="shared" si="29"/>
        <v>4948.3599999999997</v>
      </c>
      <c r="L173" s="4">
        <f t="shared" si="30"/>
        <v>0</v>
      </c>
      <c r="M173" s="2">
        <f t="shared" si="31"/>
        <v>765.45823276111946</v>
      </c>
      <c r="N173" s="1">
        <f t="shared" si="32"/>
        <v>49</v>
      </c>
      <c r="O173" s="3">
        <f t="shared" si="33"/>
        <v>210489.32800961431</v>
      </c>
      <c r="P173" s="2">
        <f t="shared" si="34"/>
        <v>650.47387760263371</v>
      </c>
      <c r="Q173" s="2">
        <f t="shared" si="38"/>
        <v>-68.157583426402653</v>
      </c>
      <c r="R173" s="2">
        <f t="shared" si="38"/>
        <v>1599.0740489486416</v>
      </c>
      <c r="S173" s="2">
        <f t="shared" si="35"/>
        <v>306.66707328917158</v>
      </c>
    </row>
    <row r="174" spans="2:19" x14ac:dyDescent="0.25">
      <c r="B174" s="10">
        <v>605</v>
      </c>
      <c r="C174" s="10">
        <v>8</v>
      </c>
      <c r="D174" s="9" t="s">
        <v>224</v>
      </c>
      <c r="E174" s="162">
        <f>INDEX('2016 Lockdown Update'!H$5:H$245,MATCH(B174,'2016 Lockdown Update'!B$5:B$245,0))</f>
        <v>13.041002543910359</v>
      </c>
      <c r="F174" s="7">
        <f>INDEX('2016 Lockdown Update'!E$5:E$245,MATCH(B174,'2016 Lockdown Update'!B$5:B$245,0))</f>
        <v>6999.31</v>
      </c>
      <c r="G174" s="7">
        <f>INDEX('2016 Lockdown Update'!F$5:F$245,MATCH(B174,'2016 Lockdown Update'!B$5:B$245,0))</f>
        <v>0</v>
      </c>
      <c r="H174" s="7">
        <f t="shared" si="27"/>
        <v>6999.31</v>
      </c>
      <c r="I174" s="6">
        <f t="shared" si="28"/>
        <v>536.71563796054977</v>
      </c>
      <c r="J174" s="6">
        <f t="shared" si="36"/>
        <v>536.71563796054977</v>
      </c>
      <c r="K174" s="5">
        <f t="shared" si="29"/>
        <v>6999.3100000000013</v>
      </c>
      <c r="L174" s="4">
        <f t="shared" si="30"/>
        <v>0</v>
      </c>
      <c r="M174" s="2">
        <f t="shared" si="31"/>
        <v>765.45823276111946</v>
      </c>
      <c r="N174" s="1">
        <f t="shared" si="32"/>
        <v>49</v>
      </c>
      <c r="O174" s="3">
        <f t="shared" si="33"/>
        <v>52323.174676097609</v>
      </c>
      <c r="P174" s="2">
        <f t="shared" si="34"/>
        <v>650.47387760263371</v>
      </c>
      <c r="Q174" s="2">
        <f t="shared" si="38"/>
        <v>-68.157583426402653</v>
      </c>
      <c r="R174" s="2">
        <f t="shared" si="38"/>
        <v>1599.0740489486416</v>
      </c>
      <c r="S174" s="2">
        <f t="shared" si="35"/>
        <v>536.71563796054977</v>
      </c>
    </row>
    <row r="175" spans="2:19" x14ac:dyDescent="0.25">
      <c r="B175" s="10">
        <v>607</v>
      </c>
      <c r="C175" s="10">
        <v>8</v>
      </c>
      <c r="D175" s="9" t="s">
        <v>225</v>
      </c>
      <c r="E175" s="162">
        <f>INDEX('2016 Lockdown Update'!H$5:H$245,MATCH(B175,'2016 Lockdown Update'!B$5:B$245,0))</f>
        <v>19.561503815865539</v>
      </c>
      <c r="F175" s="7">
        <f>INDEX('2016 Lockdown Update'!E$5:E$245,MATCH(B175,'2016 Lockdown Update'!B$5:B$245,0))</f>
        <v>10598.19</v>
      </c>
      <c r="G175" s="7">
        <f>INDEX('2016 Lockdown Update'!F$5:F$245,MATCH(B175,'2016 Lockdown Update'!B$5:B$245,0))</f>
        <v>0</v>
      </c>
      <c r="H175" s="7">
        <f t="shared" si="27"/>
        <v>10598.19</v>
      </c>
      <c r="I175" s="6">
        <f t="shared" si="28"/>
        <v>541.78810073917941</v>
      </c>
      <c r="J175" s="6">
        <f t="shared" si="36"/>
        <v>541.78810073917941</v>
      </c>
      <c r="K175" s="5">
        <f t="shared" si="29"/>
        <v>10598.19</v>
      </c>
      <c r="L175" s="4">
        <f t="shared" si="30"/>
        <v>0</v>
      </c>
      <c r="M175" s="2">
        <f t="shared" si="31"/>
        <v>765.45823276111946</v>
      </c>
      <c r="N175" s="1">
        <f t="shared" si="32"/>
        <v>49</v>
      </c>
      <c r="O175" s="3">
        <f t="shared" si="33"/>
        <v>50028.327958712092</v>
      </c>
      <c r="P175" s="2">
        <f t="shared" si="34"/>
        <v>650.47387760263371</v>
      </c>
      <c r="Q175" s="2">
        <f t="shared" si="38"/>
        <v>-68.157583426402653</v>
      </c>
      <c r="R175" s="2">
        <f t="shared" si="38"/>
        <v>1599.0740489486416</v>
      </c>
      <c r="S175" s="2">
        <f t="shared" si="35"/>
        <v>541.78810073917941</v>
      </c>
    </row>
    <row r="176" spans="2:19" x14ac:dyDescent="0.25">
      <c r="B176" s="10">
        <v>610</v>
      </c>
      <c r="C176" s="10">
        <v>8</v>
      </c>
      <c r="D176" s="9" t="s">
        <v>226</v>
      </c>
      <c r="E176" s="162">
        <f>INDEX('2016 Lockdown Update'!H$5:H$245,MATCH(B176,'2016 Lockdown Update'!B$5:B$245,0))</f>
        <v>75.807934496253225</v>
      </c>
      <c r="F176" s="7">
        <f>INDEX('2016 Lockdown Update'!E$5:E$245,MATCH(B176,'2016 Lockdown Update'!B$5:B$245,0))</f>
        <v>28825.57</v>
      </c>
      <c r="G176" s="7">
        <f>INDEX('2016 Lockdown Update'!F$5:F$245,MATCH(B176,'2016 Lockdown Update'!B$5:B$245,0))</f>
        <v>0</v>
      </c>
      <c r="H176" s="7">
        <f t="shared" si="27"/>
        <v>28825.57</v>
      </c>
      <c r="I176" s="6">
        <f t="shared" si="28"/>
        <v>380.24476186492973</v>
      </c>
      <c r="J176" s="6">
        <f t="shared" si="36"/>
        <v>380.24476186492973</v>
      </c>
      <c r="K176" s="5">
        <f t="shared" si="29"/>
        <v>28825.57</v>
      </c>
      <c r="L176" s="4">
        <f t="shared" si="30"/>
        <v>0</v>
      </c>
      <c r="M176" s="2">
        <f t="shared" si="31"/>
        <v>765.45823276111946</v>
      </c>
      <c r="N176" s="1">
        <f t="shared" si="32"/>
        <v>49</v>
      </c>
      <c r="O176" s="3">
        <f t="shared" si="33"/>
        <v>148389.41815988961</v>
      </c>
      <c r="P176" s="2">
        <f t="shared" si="34"/>
        <v>650.47387760263371</v>
      </c>
      <c r="Q176" s="2">
        <f t="shared" si="38"/>
        <v>-68.157583426402653</v>
      </c>
      <c r="R176" s="2">
        <f t="shared" si="38"/>
        <v>1599.0740489486416</v>
      </c>
      <c r="S176" s="2">
        <f t="shared" si="35"/>
        <v>380.24476186492973</v>
      </c>
    </row>
    <row r="177" spans="2:19" x14ac:dyDescent="0.25">
      <c r="B177" s="10">
        <v>611</v>
      </c>
      <c r="C177" s="10">
        <v>8</v>
      </c>
      <c r="D177" s="9" t="s">
        <v>227</v>
      </c>
      <c r="E177" s="162">
        <f>INDEX('2016 Lockdown Update'!H$5:H$245,MATCH(B177,'2016 Lockdown Update'!B$5:B$245,0))</f>
        <v>18.139267929914286</v>
      </c>
      <c r="F177" s="7">
        <f>INDEX('2016 Lockdown Update'!E$5:E$245,MATCH(B177,'2016 Lockdown Update'!B$5:B$245,0))</f>
        <v>24010.02</v>
      </c>
      <c r="G177" s="7">
        <f>INDEX('2016 Lockdown Update'!F$5:F$245,MATCH(B177,'2016 Lockdown Update'!B$5:B$245,0))</f>
        <v>0</v>
      </c>
      <c r="H177" s="7">
        <f t="shared" si="27"/>
        <v>24010.02</v>
      </c>
      <c r="I177" s="6">
        <f t="shared" si="28"/>
        <v>1323.6487874135203</v>
      </c>
      <c r="J177" s="6">
        <f t="shared" si="36"/>
        <v>1323.6487874135203</v>
      </c>
      <c r="K177" s="5">
        <f t="shared" si="29"/>
        <v>24010.02</v>
      </c>
      <c r="L177" s="4">
        <f t="shared" si="30"/>
        <v>0</v>
      </c>
      <c r="M177" s="2">
        <f t="shared" si="31"/>
        <v>765.45823276111946</v>
      </c>
      <c r="N177" s="1">
        <f t="shared" si="32"/>
        <v>49</v>
      </c>
      <c r="O177" s="3">
        <f t="shared" si="33"/>
        <v>311576.69530315488</v>
      </c>
      <c r="P177" s="2">
        <f t="shared" si="34"/>
        <v>650.47387760263371</v>
      </c>
      <c r="Q177" s="2">
        <f t="shared" si="38"/>
        <v>-68.157583426402653</v>
      </c>
      <c r="R177" s="2">
        <f t="shared" si="38"/>
        <v>1599.0740489486416</v>
      </c>
      <c r="S177" s="2">
        <f t="shared" si="35"/>
        <v>1323.6487874135203</v>
      </c>
    </row>
    <row r="178" spans="2:19" x14ac:dyDescent="0.25">
      <c r="B178" s="10">
        <v>616</v>
      </c>
      <c r="C178" s="10">
        <v>8</v>
      </c>
      <c r="D178" s="9" t="s">
        <v>228</v>
      </c>
      <c r="E178" s="162">
        <f>INDEX('2016 Lockdown Update'!H$5:H$245,MATCH(B178,'2016 Lockdown Update'!B$5:B$245,0))</f>
        <v>175.33</v>
      </c>
      <c r="F178" s="7">
        <f>INDEX('2016 Lockdown Update'!E$5:E$245,MATCH(B178,'2016 Lockdown Update'!B$5:B$245,0))</f>
        <v>201479.84</v>
      </c>
      <c r="G178" s="7">
        <f>INDEX('2016 Lockdown Update'!F$5:F$245,MATCH(B178,'2016 Lockdown Update'!B$5:B$245,0))</f>
        <v>0</v>
      </c>
      <c r="H178" s="7">
        <f t="shared" si="27"/>
        <v>201479.84</v>
      </c>
      <c r="I178" s="6">
        <f t="shared" si="28"/>
        <v>1149.1464096275593</v>
      </c>
      <c r="J178" s="6">
        <f t="shared" si="36"/>
        <v>1149.1464096275593</v>
      </c>
      <c r="K178" s="5">
        <f t="shared" si="29"/>
        <v>201479.83999999997</v>
      </c>
      <c r="L178" s="4">
        <f t="shared" si="30"/>
        <v>0</v>
      </c>
      <c r="M178" s="2">
        <f t="shared" si="31"/>
        <v>765.45823276111946</v>
      </c>
      <c r="N178" s="1">
        <f t="shared" si="32"/>
        <v>49</v>
      </c>
      <c r="O178" s="3">
        <f t="shared" si="33"/>
        <v>147216.61706709239</v>
      </c>
      <c r="P178" s="2">
        <f t="shared" si="34"/>
        <v>650.47387760263371</v>
      </c>
      <c r="Q178" s="2">
        <f t="shared" si="38"/>
        <v>-68.157583426402653</v>
      </c>
      <c r="R178" s="2">
        <f t="shared" si="38"/>
        <v>1599.0740489486416</v>
      </c>
      <c r="S178" s="2">
        <f t="shared" si="35"/>
        <v>1149.1464096275593</v>
      </c>
    </row>
    <row r="179" spans="2:19" x14ac:dyDescent="0.25">
      <c r="B179" s="10">
        <v>692</v>
      </c>
      <c r="C179" s="10">
        <v>8</v>
      </c>
      <c r="D179" s="9" t="s">
        <v>229</v>
      </c>
      <c r="E179" s="162">
        <f>INDEX('2016 Lockdown Update'!H$5:H$245,MATCH(B179,'2016 Lockdown Update'!B$5:B$245,0))</f>
        <v>393.61</v>
      </c>
      <c r="F179" s="7">
        <f>INDEX('2016 Lockdown Update'!E$5:E$245,MATCH(B179,'2016 Lockdown Update'!B$5:B$245,0))</f>
        <v>241522.31</v>
      </c>
      <c r="G179" s="7">
        <f>INDEX('2016 Lockdown Update'!F$5:F$245,MATCH(B179,'2016 Lockdown Update'!B$5:B$245,0))</f>
        <v>43276.229999999996</v>
      </c>
      <c r="H179" s="7">
        <f t="shared" si="27"/>
        <v>198246.08000000002</v>
      </c>
      <c r="I179" s="6">
        <f t="shared" si="28"/>
        <v>503.66118746983057</v>
      </c>
      <c r="J179" s="6">
        <f t="shared" si="36"/>
        <v>503.66118746983057</v>
      </c>
      <c r="K179" s="5">
        <f t="shared" si="29"/>
        <v>198246.08000000002</v>
      </c>
      <c r="L179" s="4">
        <f t="shared" si="30"/>
        <v>0</v>
      </c>
      <c r="M179" s="2">
        <f t="shared" si="31"/>
        <v>765.45823276111946</v>
      </c>
      <c r="N179" s="1">
        <f t="shared" si="32"/>
        <v>49</v>
      </c>
      <c r="O179" s="3">
        <f t="shared" si="33"/>
        <v>68537.692923249168</v>
      </c>
      <c r="P179" s="2">
        <f t="shared" si="34"/>
        <v>650.47387760263371</v>
      </c>
      <c r="Q179" s="2">
        <f t="shared" si="38"/>
        <v>-68.157583426402653</v>
      </c>
      <c r="R179" s="2">
        <f t="shared" si="38"/>
        <v>1599.0740489486416</v>
      </c>
      <c r="S179" s="2">
        <f t="shared" si="35"/>
        <v>503.66118746983057</v>
      </c>
    </row>
    <row r="180" spans="2:19" x14ac:dyDescent="0.25">
      <c r="B180" s="10">
        <v>706</v>
      </c>
      <c r="C180" s="10">
        <v>8</v>
      </c>
      <c r="D180" s="9" t="s">
        <v>230</v>
      </c>
      <c r="E180" s="162">
        <f>INDEX('2016 Lockdown Update'!H$5:H$245,MATCH(B180,'2016 Lockdown Update'!B$5:B$245,0))</f>
        <v>70.445468287262813</v>
      </c>
      <c r="F180" s="7">
        <f>INDEX('2016 Lockdown Update'!E$5:E$245,MATCH(B180,'2016 Lockdown Update'!B$5:B$245,0))</f>
        <v>67043.899999999994</v>
      </c>
      <c r="G180" s="7">
        <f>INDEX('2016 Lockdown Update'!F$5:F$245,MATCH(B180,'2016 Lockdown Update'!B$5:B$245,0))</f>
        <v>43777</v>
      </c>
      <c r="H180" s="7">
        <f t="shared" si="27"/>
        <v>23266.899999999994</v>
      </c>
      <c r="I180" s="6">
        <f t="shared" si="28"/>
        <v>330.28242363472037</v>
      </c>
      <c r="J180" s="6">
        <f t="shared" si="36"/>
        <v>330.28242363472037</v>
      </c>
      <c r="K180" s="5">
        <f t="shared" si="29"/>
        <v>23266.899999999994</v>
      </c>
      <c r="L180" s="4">
        <f t="shared" si="30"/>
        <v>0</v>
      </c>
      <c r="M180" s="2">
        <f t="shared" si="31"/>
        <v>765.45823276111946</v>
      </c>
      <c r="N180" s="1">
        <f t="shared" si="32"/>
        <v>49</v>
      </c>
      <c r="O180" s="3">
        <f t="shared" si="33"/>
        <v>189377.98484881612</v>
      </c>
      <c r="P180" s="2">
        <f t="shared" si="34"/>
        <v>650.47387760263371</v>
      </c>
      <c r="Q180" s="2">
        <f t="shared" si="38"/>
        <v>-68.157583426402653</v>
      </c>
      <c r="R180" s="2">
        <f t="shared" si="38"/>
        <v>1599.0740489486416</v>
      </c>
      <c r="S180" s="2">
        <f t="shared" si="35"/>
        <v>330.28242363472037</v>
      </c>
    </row>
    <row r="181" spans="2:19" x14ac:dyDescent="0.25">
      <c r="B181" s="10">
        <v>709</v>
      </c>
      <c r="C181" s="10">
        <v>8</v>
      </c>
      <c r="D181" s="9" t="s">
        <v>231</v>
      </c>
      <c r="E181" s="162">
        <f>INDEX('2016 Lockdown Update'!H$5:H$245,MATCH(B181,'2016 Lockdown Update'!B$5:B$245,0))</f>
        <v>78.057130871097016</v>
      </c>
      <c r="F181" s="7">
        <f>INDEX('2016 Lockdown Update'!E$5:E$245,MATCH(B181,'2016 Lockdown Update'!B$5:B$245,0))</f>
        <v>44609.25</v>
      </c>
      <c r="G181" s="7">
        <f>INDEX('2016 Lockdown Update'!F$5:F$245,MATCH(B181,'2016 Lockdown Update'!B$5:B$245,0))</f>
        <v>0</v>
      </c>
      <c r="H181" s="7">
        <f t="shared" si="27"/>
        <v>44609.25</v>
      </c>
      <c r="I181" s="6">
        <f t="shared" si="28"/>
        <v>571.4948717967535</v>
      </c>
      <c r="J181" s="6">
        <f t="shared" si="36"/>
        <v>571.4948717967535</v>
      </c>
      <c r="K181" s="5">
        <f t="shared" si="29"/>
        <v>44609.25</v>
      </c>
      <c r="L181" s="4">
        <f t="shared" si="30"/>
        <v>0</v>
      </c>
      <c r="M181" s="2">
        <f t="shared" si="31"/>
        <v>765.45823276111946</v>
      </c>
      <c r="N181" s="1">
        <f t="shared" si="32"/>
        <v>49</v>
      </c>
      <c r="O181" s="3">
        <f t="shared" si="33"/>
        <v>37621.785396592924</v>
      </c>
      <c r="P181" s="2">
        <f t="shared" si="34"/>
        <v>650.47387760263371</v>
      </c>
      <c r="Q181" s="2">
        <f t="shared" si="38"/>
        <v>-68.157583426402653</v>
      </c>
      <c r="R181" s="2">
        <f t="shared" si="38"/>
        <v>1599.0740489486416</v>
      </c>
      <c r="S181" s="2">
        <f t="shared" si="35"/>
        <v>571.4948717967535</v>
      </c>
    </row>
    <row r="182" spans="2:19" x14ac:dyDescent="0.25">
      <c r="B182" s="10">
        <v>714</v>
      </c>
      <c r="C182" s="10">
        <v>8</v>
      </c>
      <c r="D182" s="9" t="s">
        <v>232</v>
      </c>
      <c r="E182" s="162">
        <f>INDEX('2016 Lockdown Update'!H$5:H$245,MATCH(B182,'2016 Lockdown Update'!B$5:B$245,0))</f>
        <v>53.206698049442352</v>
      </c>
      <c r="F182" s="7">
        <f>INDEX('2016 Lockdown Update'!E$5:E$245,MATCH(B182,'2016 Lockdown Update'!B$5:B$245,0))</f>
        <v>34143.47</v>
      </c>
      <c r="G182" s="7">
        <f>INDEX('2016 Lockdown Update'!F$5:F$245,MATCH(B182,'2016 Lockdown Update'!B$5:B$245,0))</f>
        <v>0</v>
      </c>
      <c r="H182" s="7">
        <f t="shared" si="27"/>
        <v>34143.47</v>
      </c>
      <c r="I182" s="6">
        <f t="shared" si="28"/>
        <v>641.713755066555</v>
      </c>
      <c r="J182" s="6">
        <f t="shared" si="36"/>
        <v>641.713755066555</v>
      </c>
      <c r="K182" s="5">
        <f t="shared" si="29"/>
        <v>34143.47</v>
      </c>
      <c r="L182" s="4">
        <f t="shared" si="30"/>
        <v>0</v>
      </c>
      <c r="M182" s="2">
        <f t="shared" si="31"/>
        <v>765.45823276111946</v>
      </c>
      <c r="N182" s="1">
        <f t="shared" si="32"/>
        <v>49</v>
      </c>
      <c r="O182" s="3">
        <f t="shared" si="33"/>
        <v>15312.695759900562</v>
      </c>
      <c r="P182" s="2">
        <f t="shared" si="34"/>
        <v>650.47387760263371</v>
      </c>
      <c r="Q182" s="2">
        <f t="shared" si="38"/>
        <v>-68.157583426402653</v>
      </c>
      <c r="R182" s="2">
        <f t="shared" si="38"/>
        <v>1599.0740489486416</v>
      </c>
      <c r="S182" s="2">
        <f t="shared" si="35"/>
        <v>641.713755066555</v>
      </c>
    </row>
    <row r="183" spans="2:19" x14ac:dyDescent="0.25">
      <c r="B183" s="10">
        <v>749</v>
      </c>
      <c r="C183" s="10">
        <v>8</v>
      </c>
      <c r="D183" s="9" t="s">
        <v>233</v>
      </c>
      <c r="E183" s="162">
        <f>INDEX('2016 Lockdown Update'!H$5:H$245,MATCH(B183,'2016 Lockdown Update'!B$5:B$245,0))</f>
        <v>11.40013858746314</v>
      </c>
      <c r="F183" s="7">
        <f>INDEX('2016 Lockdown Update'!E$5:E$245,MATCH(B183,'2016 Lockdown Update'!B$5:B$245,0))</f>
        <v>3648.79</v>
      </c>
      <c r="G183" s="7">
        <f>INDEX('2016 Lockdown Update'!F$5:F$245,MATCH(B183,'2016 Lockdown Update'!B$5:B$245,0))</f>
        <v>0</v>
      </c>
      <c r="H183" s="7">
        <f t="shared" si="27"/>
        <v>3648.79</v>
      </c>
      <c r="I183" s="6">
        <f t="shared" si="28"/>
        <v>320.06540727606728</v>
      </c>
      <c r="J183" s="6">
        <f t="shared" si="36"/>
        <v>320.06540727606728</v>
      </c>
      <c r="K183" s="5">
        <f t="shared" si="29"/>
        <v>3648.79</v>
      </c>
      <c r="L183" s="4">
        <f t="shared" si="30"/>
        <v>0</v>
      </c>
      <c r="M183" s="2">
        <f t="shared" si="31"/>
        <v>765.45823276111946</v>
      </c>
      <c r="N183" s="1">
        <f t="shared" si="32"/>
        <v>49</v>
      </c>
      <c r="O183" s="3">
        <f t="shared" si="33"/>
        <v>198374.76899355816</v>
      </c>
      <c r="P183" s="2">
        <f t="shared" si="34"/>
        <v>650.47387760263371</v>
      </c>
      <c r="Q183" s="2">
        <f t="shared" si="38"/>
        <v>-68.157583426402653</v>
      </c>
      <c r="R183" s="2">
        <f t="shared" si="38"/>
        <v>1599.0740489486416</v>
      </c>
      <c r="S183" s="2">
        <f t="shared" si="35"/>
        <v>320.06540727606728</v>
      </c>
    </row>
    <row r="184" spans="2:19" x14ac:dyDescent="0.25">
      <c r="B184" s="10">
        <v>764</v>
      </c>
      <c r="C184" s="10">
        <v>8</v>
      </c>
      <c r="D184" s="9" t="s">
        <v>234</v>
      </c>
      <c r="E184" s="162">
        <f>INDEX('2016 Lockdown Update'!H$5:H$245,MATCH(B184,'2016 Lockdown Update'!B$5:B$245,0))</f>
        <v>47.765463863070885</v>
      </c>
      <c r="F184" s="7">
        <f>INDEX('2016 Lockdown Update'!E$5:E$245,MATCH(B184,'2016 Lockdown Update'!B$5:B$245,0))</f>
        <v>14931.6</v>
      </c>
      <c r="G184" s="7">
        <f>INDEX('2016 Lockdown Update'!F$5:F$245,MATCH(B184,'2016 Lockdown Update'!B$5:B$245,0))</f>
        <v>0</v>
      </c>
      <c r="H184" s="7">
        <f t="shared" si="27"/>
        <v>14931.6</v>
      </c>
      <c r="I184" s="6">
        <f t="shared" si="28"/>
        <v>312.60242845760638</v>
      </c>
      <c r="J184" s="6">
        <f t="shared" si="36"/>
        <v>312.60242845760638</v>
      </c>
      <c r="K184" s="5">
        <f t="shared" si="29"/>
        <v>14931.599999999999</v>
      </c>
      <c r="L184" s="4">
        <f t="shared" si="30"/>
        <v>0</v>
      </c>
      <c r="M184" s="2">
        <f t="shared" si="31"/>
        <v>765.45823276111946</v>
      </c>
      <c r="N184" s="1">
        <f t="shared" si="32"/>
        <v>49</v>
      </c>
      <c r="O184" s="3">
        <f t="shared" si="33"/>
        <v>205078.37949138173</v>
      </c>
      <c r="P184" s="2">
        <f t="shared" si="34"/>
        <v>650.47387760263371</v>
      </c>
      <c r="Q184" s="2">
        <f t="shared" si="38"/>
        <v>-68.157583426402653</v>
      </c>
      <c r="R184" s="2">
        <f t="shared" si="38"/>
        <v>1599.0740489486416</v>
      </c>
      <c r="S184" s="2">
        <f t="shared" si="35"/>
        <v>312.60242845760638</v>
      </c>
    </row>
    <row r="185" spans="2:19" x14ac:dyDescent="0.25">
      <c r="B185" s="10">
        <v>775</v>
      </c>
      <c r="C185" s="10">
        <v>8</v>
      </c>
      <c r="D185" s="9" t="s">
        <v>235</v>
      </c>
      <c r="E185" s="162">
        <f>INDEX('2016 Lockdown Update'!H$5:H$245,MATCH(B185,'2016 Lockdown Update'!B$5:B$245,0))</f>
        <v>199.86753898819137</v>
      </c>
      <c r="F185" s="7">
        <f>INDEX('2016 Lockdown Update'!E$5:E$245,MATCH(B185,'2016 Lockdown Update'!B$5:B$245,0))</f>
        <v>102177.37</v>
      </c>
      <c r="G185" s="7">
        <f>INDEX('2016 Lockdown Update'!F$5:F$245,MATCH(B185,'2016 Lockdown Update'!B$5:B$245,0))</f>
        <v>0</v>
      </c>
      <c r="H185" s="7">
        <f t="shared" si="27"/>
        <v>102177.37</v>
      </c>
      <c r="I185" s="6">
        <f t="shared" si="28"/>
        <v>511.22543719336471</v>
      </c>
      <c r="J185" s="6">
        <f t="shared" si="36"/>
        <v>511.22543719336471</v>
      </c>
      <c r="K185" s="5">
        <f t="shared" si="29"/>
        <v>102177.37</v>
      </c>
      <c r="L185" s="4">
        <f t="shared" si="30"/>
        <v>0</v>
      </c>
      <c r="M185" s="2">
        <f t="shared" si="31"/>
        <v>765.45823276111946</v>
      </c>
      <c r="N185" s="1">
        <f t="shared" si="32"/>
        <v>49</v>
      </c>
      <c r="O185" s="3">
        <f t="shared" si="33"/>
        <v>64634.314342195779</v>
      </c>
      <c r="P185" s="2">
        <f t="shared" si="34"/>
        <v>650.47387760263371</v>
      </c>
      <c r="Q185" s="2">
        <f t="shared" si="38"/>
        <v>-68.157583426402653</v>
      </c>
      <c r="R185" s="2">
        <f t="shared" si="38"/>
        <v>1599.0740489486416</v>
      </c>
      <c r="S185" s="2">
        <f t="shared" si="35"/>
        <v>511.22543719336471</v>
      </c>
    </row>
    <row r="186" spans="2:19" x14ac:dyDescent="0.25">
      <c r="B186" s="10">
        <v>790</v>
      </c>
      <c r="C186" s="10">
        <v>8</v>
      </c>
      <c r="D186" s="9" t="s">
        <v>236</v>
      </c>
      <c r="E186" s="162">
        <f>INDEX('2016 Lockdown Update'!H$5:H$245,MATCH(B186,'2016 Lockdown Update'!B$5:B$245,0))</f>
        <v>20.22300394490447</v>
      </c>
      <c r="F186" s="7">
        <f>INDEX('2016 Lockdown Update'!E$5:E$245,MATCH(B186,'2016 Lockdown Update'!B$5:B$245,0))</f>
        <v>10651.9</v>
      </c>
      <c r="G186" s="7">
        <f>INDEX('2016 Lockdown Update'!F$5:F$245,MATCH(B186,'2016 Lockdown Update'!B$5:B$245,0))</f>
        <v>0</v>
      </c>
      <c r="H186" s="7">
        <f t="shared" si="27"/>
        <v>10651.9</v>
      </c>
      <c r="I186" s="6">
        <f t="shared" si="28"/>
        <v>526.72194640420503</v>
      </c>
      <c r="J186" s="6">
        <f t="shared" si="36"/>
        <v>526.72194640420503</v>
      </c>
      <c r="K186" s="5">
        <f t="shared" si="29"/>
        <v>10651.9</v>
      </c>
      <c r="L186" s="4">
        <f t="shared" si="30"/>
        <v>0</v>
      </c>
      <c r="M186" s="2">
        <f t="shared" si="31"/>
        <v>765.45823276111946</v>
      </c>
      <c r="N186" s="1">
        <f t="shared" si="32"/>
        <v>49</v>
      </c>
      <c r="O186" s="3">
        <f t="shared" si="33"/>
        <v>56995.014423490647</v>
      </c>
      <c r="P186" s="2">
        <f t="shared" si="34"/>
        <v>650.47387760263371</v>
      </c>
      <c r="Q186" s="2">
        <f t="shared" ref="Q186:R205" si="39">NORMINV(Q$4,$M186,$P186)</f>
        <v>-68.157583426402653</v>
      </c>
      <c r="R186" s="2">
        <f t="shared" si="39"/>
        <v>1599.0740489486416</v>
      </c>
      <c r="S186" s="2">
        <f t="shared" si="35"/>
        <v>526.72194640420503</v>
      </c>
    </row>
    <row r="187" spans="2:19" x14ac:dyDescent="0.25">
      <c r="B187" s="10">
        <v>796</v>
      </c>
      <c r="C187" s="10">
        <v>8</v>
      </c>
      <c r="D187" s="9" t="s">
        <v>237</v>
      </c>
      <c r="E187" s="162">
        <f>INDEX('2016 Lockdown Update'!H$5:H$245,MATCH(B187,'2016 Lockdown Update'!B$5:B$245,0))</f>
        <v>3.2130006267605236</v>
      </c>
      <c r="F187" s="7">
        <f>INDEX('2016 Lockdown Update'!E$5:E$245,MATCH(B187,'2016 Lockdown Update'!B$5:B$245,0))</f>
        <v>16075.64</v>
      </c>
      <c r="G187" s="7">
        <f>INDEX('2016 Lockdown Update'!F$5:F$245,MATCH(B187,'2016 Lockdown Update'!B$5:B$245,0))</f>
        <v>0</v>
      </c>
      <c r="H187" s="7">
        <f t="shared" si="27"/>
        <v>16075.64</v>
      </c>
      <c r="I187" s="6">
        <f t="shared" si="28"/>
        <v>5003.3105708442099</v>
      </c>
      <c r="J187" s="6">
        <f t="shared" si="36"/>
        <v>1599.0740489486416</v>
      </c>
      <c r="K187" s="5">
        <f t="shared" si="29"/>
        <v>5137.8259215084736</v>
      </c>
      <c r="L187" s="4">
        <f t="shared" si="30"/>
        <v>0</v>
      </c>
      <c r="M187" s="2">
        <f t="shared" si="31"/>
        <v>765.45823276111946</v>
      </c>
      <c r="N187" s="1">
        <f t="shared" si="32"/>
        <v>49</v>
      </c>
      <c r="O187" s="3">
        <f t="shared" si="33"/>
        <v>17959392.439396314</v>
      </c>
      <c r="P187" s="2">
        <f t="shared" si="34"/>
        <v>650.47387760263371</v>
      </c>
      <c r="Q187" s="2">
        <f t="shared" si="39"/>
        <v>-68.157583426402653</v>
      </c>
      <c r="R187" s="2">
        <f t="shared" si="39"/>
        <v>1599.0740489486416</v>
      </c>
      <c r="S187" s="2">
        <f t="shared" si="35"/>
        <v>1599.0740489486416</v>
      </c>
    </row>
    <row r="188" spans="2:19" x14ac:dyDescent="0.25">
      <c r="B188" s="10">
        <v>797</v>
      </c>
      <c r="C188" s="10">
        <v>8</v>
      </c>
      <c r="D188" s="9" t="s">
        <v>238</v>
      </c>
      <c r="E188" s="162">
        <f>INDEX('2016 Lockdown Update'!H$5:H$245,MATCH(B188,'2016 Lockdown Update'!B$5:B$245,0))</f>
        <v>27.117841312893944</v>
      </c>
      <c r="F188" s="7">
        <f>INDEX('2016 Lockdown Update'!E$5:E$245,MATCH(B188,'2016 Lockdown Update'!B$5:B$245,0))</f>
        <v>33613.51</v>
      </c>
      <c r="G188" s="7">
        <f>INDEX('2016 Lockdown Update'!F$5:F$245,MATCH(B188,'2016 Lockdown Update'!B$5:B$245,0))</f>
        <v>1525</v>
      </c>
      <c r="H188" s="7">
        <f t="shared" si="27"/>
        <v>32088.510000000002</v>
      </c>
      <c r="I188" s="6">
        <f t="shared" si="28"/>
        <v>1183.2988337734173</v>
      </c>
      <c r="J188" s="6">
        <f t="shared" si="36"/>
        <v>1183.2988337734173</v>
      </c>
      <c r="K188" s="5">
        <f t="shared" si="29"/>
        <v>32088.51</v>
      </c>
      <c r="L188" s="4">
        <f t="shared" si="30"/>
        <v>0</v>
      </c>
      <c r="M188" s="2">
        <f t="shared" si="31"/>
        <v>765.45823276111946</v>
      </c>
      <c r="N188" s="1">
        <f t="shared" si="32"/>
        <v>49</v>
      </c>
      <c r="O188" s="3">
        <f t="shared" si="33"/>
        <v>174590.76785431828</v>
      </c>
      <c r="P188" s="2">
        <f t="shared" si="34"/>
        <v>650.47387760263371</v>
      </c>
      <c r="Q188" s="2">
        <f t="shared" si="39"/>
        <v>-68.157583426402653</v>
      </c>
      <c r="R188" s="2">
        <f t="shared" si="39"/>
        <v>1599.0740489486416</v>
      </c>
      <c r="S188" s="2">
        <f t="shared" si="35"/>
        <v>1183.2988337734173</v>
      </c>
    </row>
    <row r="189" spans="2:19" x14ac:dyDescent="0.25">
      <c r="B189" s="10">
        <v>801</v>
      </c>
      <c r="C189" s="10">
        <v>8</v>
      </c>
      <c r="D189" s="9" t="s">
        <v>239</v>
      </c>
      <c r="E189" s="162">
        <f>INDEX('2016 Lockdown Update'!H$5:H$245,MATCH(B189,'2016 Lockdown Update'!B$5:B$245,0))</f>
        <v>123.59652791803542</v>
      </c>
      <c r="F189" s="7">
        <f>INDEX('2016 Lockdown Update'!E$5:E$245,MATCH(B189,'2016 Lockdown Update'!B$5:B$245,0))</f>
        <v>48233.03</v>
      </c>
      <c r="G189" s="7">
        <f>INDEX('2016 Lockdown Update'!F$5:F$245,MATCH(B189,'2016 Lockdown Update'!B$5:B$245,0))</f>
        <v>0</v>
      </c>
      <c r="H189" s="7">
        <f t="shared" si="27"/>
        <v>48233.03</v>
      </c>
      <c r="I189" s="6">
        <f t="shared" si="28"/>
        <v>390.2458330543584</v>
      </c>
      <c r="J189" s="6">
        <f t="shared" si="36"/>
        <v>390.2458330543584</v>
      </c>
      <c r="K189" s="5">
        <f t="shared" si="29"/>
        <v>48233.03</v>
      </c>
      <c r="L189" s="4">
        <f t="shared" si="30"/>
        <v>0</v>
      </c>
      <c r="M189" s="2">
        <f t="shared" si="31"/>
        <v>765.45823276111946</v>
      </c>
      <c r="N189" s="1">
        <f t="shared" si="32"/>
        <v>49</v>
      </c>
      <c r="O189" s="3">
        <f t="shared" si="33"/>
        <v>140784.34489370623</v>
      </c>
      <c r="P189" s="2">
        <f t="shared" si="34"/>
        <v>650.47387760263371</v>
      </c>
      <c r="Q189" s="2">
        <f t="shared" si="39"/>
        <v>-68.157583426402653</v>
      </c>
      <c r="R189" s="2">
        <f t="shared" si="39"/>
        <v>1599.0740489486416</v>
      </c>
      <c r="S189" s="2">
        <f t="shared" si="35"/>
        <v>390.2458330543584</v>
      </c>
    </row>
    <row r="190" spans="2:19" x14ac:dyDescent="0.25">
      <c r="B190" s="10">
        <v>810</v>
      </c>
      <c r="C190" s="10">
        <v>8</v>
      </c>
      <c r="D190" s="9" t="s">
        <v>240</v>
      </c>
      <c r="E190" s="162">
        <f>INDEX('2016 Lockdown Update'!H$5:H$245,MATCH(B190,'2016 Lockdown Update'!B$5:B$245,0))</f>
        <v>117.85999999999999</v>
      </c>
      <c r="F190" s="7">
        <f>INDEX('2016 Lockdown Update'!E$5:E$245,MATCH(B190,'2016 Lockdown Update'!B$5:B$245,0))</f>
        <v>111643.23</v>
      </c>
      <c r="G190" s="7">
        <f>INDEX('2016 Lockdown Update'!F$5:F$245,MATCH(B190,'2016 Lockdown Update'!B$5:B$245,0))</f>
        <v>1356.8</v>
      </c>
      <c r="H190" s="7">
        <f t="shared" si="27"/>
        <v>110286.43</v>
      </c>
      <c r="I190" s="6">
        <f t="shared" si="28"/>
        <v>935.7409638554218</v>
      </c>
      <c r="J190" s="6">
        <f t="shared" si="36"/>
        <v>935.7409638554218</v>
      </c>
      <c r="K190" s="5">
        <f t="shared" si="29"/>
        <v>110286.43</v>
      </c>
      <c r="L190" s="4">
        <f t="shared" si="30"/>
        <v>0</v>
      </c>
      <c r="M190" s="2">
        <f t="shared" si="31"/>
        <v>765.45823276111946</v>
      </c>
      <c r="N190" s="1">
        <f t="shared" si="32"/>
        <v>49</v>
      </c>
      <c r="O190" s="3">
        <f t="shared" si="33"/>
        <v>28996.20850893448</v>
      </c>
      <c r="P190" s="2">
        <f t="shared" si="34"/>
        <v>650.47387760263371</v>
      </c>
      <c r="Q190" s="2">
        <f t="shared" si="39"/>
        <v>-68.157583426402653</v>
      </c>
      <c r="R190" s="2">
        <f t="shared" si="39"/>
        <v>1599.0740489486416</v>
      </c>
      <c r="S190" s="2">
        <f t="shared" si="35"/>
        <v>935.7409638554218</v>
      </c>
    </row>
    <row r="191" spans="2:19" x14ac:dyDescent="0.25">
      <c r="B191" s="10">
        <v>812</v>
      </c>
      <c r="C191" s="10">
        <v>8</v>
      </c>
      <c r="D191" s="9" t="s">
        <v>241</v>
      </c>
      <c r="E191" s="162">
        <f>INDEX('2016 Lockdown Update'!H$5:H$245,MATCH(B191,'2016 Lockdown Update'!B$5:B$245,0))</f>
        <v>73.094329153324267</v>
      </c>
      <c r="F191" s="7">
        <f>INDEX('2016 Lockdown Update'!E$5:E$245,MATCH(B191,'2016 Lockdown Update'!B$5:B$245,0))</f>
        <v>79827.28</v>
      </c>
      <c r="G191" s="7">
        <f>INDEX('2016 Lockdown Update'!F$5:F$245,MATCH(B191,'2016 Lockdown Update'!B$5:B$245,0))</f>
        <v>614.27</v>
      </c>
      <c r="H191" s="7">
        <f t="shared" si="27"/>
        <v>79213.009999999995</v>
      </c>
      <c r="I191" s="6">
        <f t="shared" si="28"/>
        <v>1083.7093782452132</v>
      </c>
      <c r="J191" s="6">
        <f t="shared" si="36"/>
        <v>1083.7093782452132</v>
      </c>
      <c r="K191" s="5">
        <f t="shared" si="29"/>
        <v>79213.010000000009</v>
      </c>
      <c r="L191" s="4">
        <f t="shared" si="30"/>
        <v>0</v>
      </c>
      <c r="M191" s="2">
        <f t="shared" si="31"/>
        <v>765.45823276111946</v>
      </c>
      <c r="N191" s="1">
        <f t="shared" si="32"/>
        <v>49</v>
      </c>
      <c r="O191" s="3">
        <f t="shared" si="33"/>
        <v>101283.7916019378</v>
      </c>
      <c r="P191" s="2">
        <f t="shared" si="34"/>
        <v>650.47387760263371</v>
      </c>
      <c r="Q191" s="2">
        <f t="shared" si="39"/>
        <v>-68.157583426402653</v>
      </c>
      <c r="R191" s="2">
        <f t="shared" si="39"/>
        <v>1599.0740489486416</v>
      </c>
      <c r="S191" s="2">
        <f t="shared" si="35"/>
        <v>1083.7093782452132</v>
      </c>
    </row>
    <row r="192" spans="2:19" x14ac:dyDescent="0.25">
      <c r="B192" s="10">
        <v>818</v>
      </c>
      <c r="C192" s="10">
        <v>8</v>
      </c>
      <c r="D192" s="9" t="s">
        <v>242</v>
      </c>
      <c r="E192" s="162">
        <f>INDEX('2016 Lockdown Update'!H$5:H$245,MATCH(B192,'2016 Lockdown Update'!B$5:B$245,0))</f>
        <v>41.596473847313483</v>
      </c>
      <c r="F192" s="7">
        <f>INDEX('2016 Lockdown Update'!E$5:E$245,MATCH(B192,'2016 Lockdown Update'!B$5:B$245,0))</f>
        <v>18863.13</v>
      </c>
      <c r="G192" s="7">
        <f>INDEX('2016 Lockdown Update'!F$5:F$245,MATCH(B192,'2016 Lockdown Update'!B$5:B$245,0))</f>
        <v>0</v>
      </c>
      <c r="H192" s="7">
        <f t="shared" si="27"/>
        <v>18863.13</v>
      </c>
      <c r="I192" s="6">
        <f t="shared" si="28"/>
        <v>453.4790633754231</v>
      </c>
      <c r="J192" s="6">
        <f t="shared" si="36"/>
        <v>453.4790633754231</v>
      </c>
      <c r="K192" s="5">
        <f t="shared" si="29"/>
        <v>18863.13</v>
      </c>
      <c r="L192" s="4">
        <f t="shared" si="30"/>
        <v>0</v>
      </c>
      <c r="M192" s="2">
        <f t="shared" si="31"/>
        <v>765.45823276111946</v>
      </c>
      <c r="N192" s="1">
        <f t="shared" si="32"/>
        <v>49</v>
      </c>
      <c r="O192" s="3">
        <f t="shared" si="33"/>
        <v>97331.002130589026</v>
      </c>
      <c r="P192" s="2">
        <f t="shared" si="34"/>
        <v>650.47387760263371</v>
      </c>
      <c r="Q192" s="2">
        <f t="shared" si="39"/>
        <v>-68.157583426402653</v>
      </c>
      <c r="R192" s="2">
        <f t="shared" si="39"/>
        <v>1599.0740489486416</v>
      </c>
      <c r="S192" s="2">
        <f t="shared" si="35"/>
        <v>453.4790633754231</v>
      </c>
    </row>
    <row r="193" spans="2:19" x14ac:dyDescent="0.25">
      <c r="B193" s="10">
        <v>833</v>
      </c>
      <c r="C193" s="10">
        <v>8</v>
      </c>
      <c r="D193" s="9" t="s">
        <v>243</v>
      </c>
      <c r="E193" s="162">
        <f>INDEX('2016 Lockdown Update'!H$5:H$245,MATCH(B193,'2016 Lockdown Update'!B$5:B$245,0))</f>
        <v>58.296984581983558</v>
      </c>
      <c r="F193" s="7">
        <f>INDEX('2016 Lockdown Update'!E$5:E$245,MATCH(B193,'2016 Lockdown Update'!B$5:B$245,0))</f>
        <v>33538.120000000003</v>
      </c>
      <c r="G193" s="7">
        <f>INDEX('2016 Lockdown Update'!F$5:F$245,MATCH(B193,'2016 Lockdown Update'!B$5:B$245,0))</f>
        <v>0</v>
      </c>
      <c r="H193" s="7">
        <f t="shared" si="27"/>
        <v>33538.120000000003</v>
      </c>
      <c r="I193" s="6">
        <f t="shared" si="28"/>
        <v>575.29768032573031</v>
      </c>
      <c r="J193" s="6">
        <f t="shared" si="36"/>
        <v>575.29768032573031</v>
      </c>
      <c r="K193" s="5">
        <f t="shared" si="29"/>
        <v>33538.120000000003</v>
      </c>
      <c r="L193" s="4">
        <f t="shared" si="30"/>
        <v>0</v>
      </c>
      <c r="M193" s="2">
        <f t="shared" si="31"/>
        <v>765.45823276111946</v>
      </c>
      <c r="N193" s="1">
        <f t="shared" si="32"/>
        <v>49</v>
      </c>
      <c r="O193" s="3">
        <f t="shared" si="33"/>
        <v>36161.035702532383</v>
      </c>
      <c r="P193" s="2">
        <f t="shared" si="34"/>
        <v>650.47387760263371</v>
      </c>
      <c r="Q193" s="2">
        <f t="shared" si="39"/>
        <v>-68.157583426402653</v>
      </c>
      <c r="R193" s="2">
        <f t="shared" si="39"/>
        <v>1599.0740489486416</v>
      </c>
      <c r="S193" s="2">
        <f t="shared" si="35"/>
        <v>575.29768032573031</v>
      </c>
    </row>
    <row r="194" spans="2:19" x14ac:dyDescent="0.25">
      <c r="B194" s="10">
        <v>834</v>
      </c>
      <c r="C194" s="10">
        <v>8</v>
      </c>
      <c r="D194" s="9" t="s">
        <v>244</v>
      </c>
      <c r="E194" s="162">
        <f>INDEX('2016 Lockdown Update'!H$5:H$245,MATCH(B194,'2016 Lockdown Update'!B$5:B$245,0))</f>
        <v>113.44</v>
      </c>
      <c r="F194" s="7">
        <f>INDEX('2016 Lockdown Update'!E$5:E$245,MATCH(B194,'2016 Lockdown Update'!B$5:B$245,0))</f>
        <v>61267.93</v>
      </c>
      <c r="G194" s="7">
        <f>INDEX('2016 Lockdown Update'!F$5:F$245,MATCH(B194,'2016 Lockdown Update'!B$5:B$245,0))</f>
        <v>5853.95</v>
      </c>
      <c r="H194" s="7">
        <f t="shared" si="27"/>
        <v>55413.98</v>
      </c>
      <c r="I194" s="6">
        <f t="shared" si="28"/>
        <v>488.48712976022568</v>
      </c>
      <c r="J194" s="6">
        <f t="shared" si="36"/>
        <v>488.48712976022568</v>
      </c>
      <c r="K194" s="5">
        <f t="shared" si="29"/>
        <v>55413.98</v>
      </c>
      <c r="L194" s="4">
        <f t="shared" si="30"/>
        <v>0</v>
      </c>
      <c r="M194" s="2">
        <f t="shared" si="31"/>
        <v>765.45823276111946</v>
      </c>
      <c r="N194" s="1">
        <f t="shared" si="32"/>
        <v>49</v>
      </c>
      <c r="O194" s="3">
        <f t="shared" si="33"/>
        <v>76712.991897531712</v>
      </c>
      <c r="P194" s="2">
        <f t="shared" si="34"/>
        <v>650.47387760263371</v>
      </c>
      <c r="Q194" s="2">
        <f t="shared" si="39"/>
        <v>-68.157583426402653</v>
      </c>
      <c r="R194" s="2">
        <f t="shared" si="39"/>
        <v>1599.0740489486416</v>
      </c>
      <c r="S194" s="2">
        <f t="shared" si="35"/>
        <v>488.48712976022568</v>
      </c>
    </row>
    <row r="195" spans="2:19" x14ac:dyDescent="0.25">
      <c r="B195" s="10">
        <v>837</v>
      </c>
      <c r="C195" s="10">
        <v>8</v>
      </c>
      <c r="D195" s="9" t="s">
        <v>245</v>
      </c>
      <c r="E195" s="162">
        <f>INDEX('2016 Lockdown Update'!H$5:H$245,MATCH(B195,'2016 Lockdown Update'!B$5:B$245,0))</f>
        <v>172.41</v>
      </c>
      <c r="F195" s="7">
        <f>INDEX('2016 Lockdown Update'!E$5:E$245,MATCH(B195,'2016 Lockdown Update'!B$5:B$245,0))</f>
        <v>90655.29</v>
      </c>
      <c r="G195" s="7">
        <f>INDEX('2016 Lockdown Update'!F$5:F$245,MATCH(B195,'2016 Lockdown Update'!B$5:B$245,0))</f>
        <v>0</v>
      </c>
      <c r="H195" s="7">
        <f t="shared" si="27"/>
        <v>90655.29</v>
      </c>
      <c r="I195" s="6">
        <f t="shared" si="28"/>
        <v>525.81224986949712</v>
      </c>
      <c r="J195" s="6">
        <f t="shared" si="36"/>
        <v>525.81224986949712</v>
      </c>
      <c r="K195" s="5">
        <f t="shared" si="29"/>
        <v>90655.29</v>
      </c>
      <c r="L195" s="4">
        <f t="shared" si="30"/>
        <v>0</v>
      </c>
      <c r="M195" s="2">
        <f t="shared" si="31"/>
        <v>765.45823276111946</v>
      </c>
      <c r="N195" s="1">
        <f t="shared" si="32"/>
        <v>49</v>
      </c>
      <c r="O195" s="3">
        <f t="shared" si="33"/>
        <v>57430.197116091746</v>
      </c>
      <c r="P195" s="2">
        <f t="shared" si="34"/>
        <v>650.47387760263371</v>
      </c>
      <c r="Q195" s="2">
        <f t="shared" si="39"/>
        <v>-68.157583426402653</v>
      </c>
      <c r="R195" s="2">
        <f t="shared" si="39"/>
        <v>1599.0740489486416</v>
      </c>
      <c r="S195" s="2">
        <f t="shared" si="35"/>
        <v>525.81224986949712</v>
      </c>
    </row>
    <row r="196" spans="2:19" x14ac:dyDescent="0.25">
      <c r="B196" s="10">
        <v>847</v>
      </c>
      <c r="C196" s="10">
        <v>8</v>
      </c>
      <c r="D196" s="9" t="s">
        <v>246</v>
      </c>
      <c r="E196" s="162">
        <f>INDEX('2016 Lockdown Update'!H$5:H$245,MATCH(B196,'2016 Lockdown Update'!B$5:B$245,0))</f>
        <v>66.474224843561387</v>
      </c>
      <c r="F196" s="7">
        <f>INDEX('2016 Lockdown Update'!E$5:E$245,MATCH(B196,'2016 Lockdown Update'!B$5:B$245,0))</f>
        <v>90372</v>
      </c>
      <c r="G196" s="7">
        <f>INDEX('2016 Lockdown Update'!F$5:F$245,MATCH(B196,'2016 Lockdown Update'!B$5:B$245,0))</f>
        <v>0</v>
      </c>
      <c r="H196" s="7">
        <f t="shared" si="27"/>
        <v>90372</v>
      </c>
      <c r="I196" s="6">
        <f t="shared" si="28"/>
        <v>1359.5043825284008</v>
      </c>
      <c r="J196" s="6">
        <f t="shared" si="36"/>
        <v>1359.5043825284008</v>
      </c>
      <c r="K196" s="5">
        <f t="shared" si="29"/>
        <v>90372</v>
      </c>
      <c r="L196" s="4">
        <f t="shared" si="30"/>
        <v>0</v>
      </c>
      <c r="M196" s="2">
        <f t="shared" si="31"/>
        <v>765.45823276111946</v>
      </c>
      <c r="N196" s="1">
        <f t="shared" si="32"/>
        <v>49</v>
      </c>
      <c r="O196" s="3">
        <f t="shared" si="33"/>
        <v>352890.82805333124</v>
      </c>
      <c r="P196" s="2">
        <f t="shared" si="34"/>
        <v>650.47387760263371</v>
      </c>
      <c r="Q196" s="2">
        <f t="shared" si="39"/>
        <v>-68.157583426402653</v>
      </c>
      <c r="R196" s="2">
        <f t="shared" si="39"/>
        <v>1599.0740489486416</v>
      </c>
      <c r="S196" s="2">
        <f t="shared" si="35"/>
        <v>1359.5043825284008</v>
      </c>
    </row>
    <row r="197" spans="2:19" x14ac:dyDescent="0.25">
      <c r="B197" s="10">
        <v>866</v>
      </c>
      <c r="C197" s="10">
        <v>8</v>
      </c>
      <c r="D197" s="9" t="s">
        <v>247</v>
      </c>
      <c r="E197" s="162">
        <f>INDEX('2016 Lockdown Update'!H$5:H$245,MATCH(B197,'2016 Lockdown Update'!B$5:B$245,0))</f>
        <v>353.30120528215645</v>
      </c>
      <c r="F197" s="7">
        <f>INDEX('2016 Lockdown Update'!E$5:E$245,MATCH(B197,'2016 Lockdown Update'!B$5:B$245,0))</f>
        <v>55359.46</v>
      </c>
      <c r="G197" s="7">
        <f>INDEX('2016 Lockdown Update'!F$5:F$245,MATCH(B197,'2016 Lockdown Update'!B$5:B$245,0))</f>
        <v>0</v>
      </c>
      <c r="H197" s="7">
        <f t="shared" si="27"/>
        <v>55359.46</v>
      </c>
      <c r="I197" s="6">
        <f t="shared" si="28"/>
        <v>156.69196473810032</v>
      </c>
      <c r="J197" s="6">
        <f t="shared" si="36"/>
        <v>156.69196473810032</v>
      </c>
      <c r="K197" s="5">
        <f t="shared" si="29"/>
        <v>55359.46</v>
      </c>
      <c r="L197" s="4">
        <f t="shared" si="30"/>
        <v>0</v>
      </c>
      <c r="M197" s="2">
        <f t="shared" si="31"/>
        <v>765.45823276111946</v>
      </c>
      <c r="N197" s="1">
        <f t="shared" si="32"/>
        <v>49</v>
      </c>
      <c r="O197" s="3">
        <f t="shared" si="33"/>
        <v>370596.36908267438</v>
      </c>
      <c r="P197" s="2">
        <f t="shared" si="34"/>
        <v>650.47387760263371</v>
      </c>
      <c r="Q197" s="2">
        <f t="shared" si="39"/>
        <v>-68.157583426402653</v>
      </c>
      <c r="R197" s="2">
        <f t="shared" si="39"/>
        <v>1599.0740489486416</v>
      </c>
      <c r="S197" s="2">
        <f t="shared" si="35"/>
        <v>156.69196473810032</v>
      </c>
    </row>
    <row r="198" spans="2:19" x14ac:dyDescent="0.25">
      <c r="B198" s="10">
        <v>871</v>
      </c>
      <c r="C198" s="10">
        <v>8</v>
      </c>
      <c r="D198" s="9" t="s">
        <v>248</v>
      </c>
      <c r="E198" s="162">
        <f>INDEX('2016 Lockdown Update'!H$5:H$245,MATCH(B198,'2016 Lockdown Update'!B$5:B$245,0))</f>
        <v>19.878525045684178</v>
      </c>
      <c r="F198" s="7">
        <f>INDEX('2016 Lockdown Update'!E$5:E$245,MATCH(B198,'2016 Lockdown Update'!B$5:B$245,0))</f>
        <v>11493.22</v>
      </c>
      <c r="G198" s="7">
        <f>INDEX('2016 Lockdown Update'!F$5:F$245,MATCH(B198,'2016 Lockdown Update'!B$5:B$245,0))</f>
        <v>0</v>
      </c>
      <c r="H198" s="7">
        <f t="shared" ref="H198:H246" si="40">F198-G198</f>
        <v>11493.22</v>
      </c>
      <c r="I198" s="6">
        <f t="shared" ref="I198:I246" si="41">H198/E198</f>
        <v>578.17267496389479</v>
      </c>
      <c r="J198" s="6">
        <f t="shared" si="36"/>
        <v>578.17267496389479</v>
      </c>
      <c r="K198" s="5">
        <f t="shared" ref="K198:K246" si="42">J198*E198</f>
        <v>11493.22</v>
      </c>
      <c r="L198" s="4">
        <f t="shared" ref="L198:L246" si="43">IF(ISERROR(I198),1,0)</f>
        <v>0</v>
      </c>
      <c r="M198" s="2">
        <f t="shared" ref="M198:M246" si="44">SUMPRODUCT(--($L$6:$L$298&lt;&gt;1),--($C$6:$C$298=$C198),$H$6:$H$298)/SUMPRODUCT(--($L$6:$L$298&lt;&gt;1),--($C$6:$C$298=$C198),$E$6:$E$298)</f>
        <v>765.45823276111946</v>
      </c>
      <c r="N198" s="1">
        <f t="shared" ref="N198:N246" si="45">SUMPRODUCT(--($L$6:$L$298&lt;&gt;1),--($C$6:$C$298=$C198),--($L$6:$L$298&lt;&gt;1))</f>
        <v>49</v>
      </c>
      <c r="O198" s="3">
        <f t="shared" ref="O198:O246" si="46">IF(ISERROR((I198-M198)^2),0,(I198-M198)^2)</f>
        <v>35075.880159417582</v>
      </c>
      <c r="P198" s="2">
        <f t="shared" ref="P198:P246" si="47">SQRT(SUMPRODUCT(--($L$6:$L$298&lt;&gt;1),--($C$6:$C$298=$C198),$E$6:$E$298,$O$6:$O$298)/((N198-1)*SUMPRODUCT(--($L$6:$L$298&lt;&gt;1),--($C$6:$C$298=$C198),$E$6:$E$298)/N198))</f>
        <v>650.47387760263371</v>
      </c>
      <c r="Q198" s="2">
        <f t="shared" si="39"/>
        <v>-68.157583426402653</v>
      </c>
      <c r="R198" s="2">
        <f t="shared" si="39"/>
        <v>1599.0740489486416</v>
      </c>
      <c r="S198" s="2">
        <f t="shared" ref="S198:S246" si="48">IF(ISERROR(MAX(MIN(I198,R198),Q198)),R198,MAX(MIN(I198,R198),Q198))</f>
        <v>578.17267496389479</v>
      </c>
    </row>
    <row r="199" spans="2:19" x14ac:dyDescent="0.25">
      <c r="B199" s="10">
        <v>873</v>
      </c>
      <c r="C199" s="10">
        <v>8</v>
      </c>
      <c r="D199" s="9" t="s">
        <v>249</v>
      </c>
      <c r="E199" s="162">
        <f>INDEX('2016 Lockdown Update'!H$5:H$245,MATCH(B199,'2016 Lockdown Update'!B$5:B$245,0))</f>
        <v>155.24918621340797</v>
      </c>
      <c r="F199" s="7">
        <f>INDEX('2016 Lockdown Update'!E$5:E$245,MATCH(B199,'2016 Lockdown Update'!B$5:B$245,0))</f>
        <v>66603.63</v>
      </c>
      <c r="G199" s="7">
        <f>INDEX('2016 Lockdown Update'!F$5:F$245,MATCH(B199,'2016 Lockdown Update'!B$5:B$245,0))</f>
        <v>0</v>
      </c>
      <c r="H199" s="7">
        <f t="shared" si="40"/>
        <v>66603.63</v>
      </c>
      <c r="I199" s="6">
        <f t="shared" si="41"/>
        <v>429.01113767157278</v>
      </c>
      <c r="J199" s="6">
        <f t="shared" ref="J199:J246" si="49">IF(ISERROR(IF($J$2=1,MAX(MIN(I199,R199),Q199),MIN(I199,R199))),R199,IF($J$2=1,MAX(MIN(I199,R199),Q199),MIN(I199,R199)))</f>
        <v>429.01113767157278</v>
      </c>
      <c r="K199" s="5">
        <f t="shared" si="42"/>
        <v>66603.63</v>
      </c>
      <c r="L199" s="4">
        <f t="shared" si="43"/>
        <v>0</v>
      </c>
      <c r="M199" s="2">
        <f t="shared" si="44"/>
        <v>765.45823276111946</v>
      </c>
      <c r="N199" s="1">
        <f t="shared" si="45"/>
        <v>49</v>
      </c>
      <c r="O199" s="3">
        <f t="shared" si="46"/>
        <v>113196.64779419446</v>
      </c>
      <c r="P199" s="2">
        <f t="shared" si="47"/>
        <v>650.47387760263371</v>
      </c>
      <c r="Q199" s="2">
        <f t="shared" si="39"/>
        <v>-68.157583426402653</v>
      </c>
      <c r="R199" s="2">
        <f t="shared" si="39"/>
        <v>1599.0740489486416</v>
      </c>
      <c r="S199" s="2">
        <f t="shared" si="48"/>
        <v>429.01113767157278</v>
      </c>
    </row>
    <row r="200" spans="2:19" x14ac:dyDescent="0.25">
      <c r="B200" s="10">
        <v>895</v>
      </c>
      <c r="C200" s="10">
        <v>8</v>
      </c>
      <c r="D200" s="9" t="s">
        <v>250</v>
      </c>
      <c r="E200" s="162">
        <f>INDEX('2016 Lockdown Update'!H$5:H$245,MATCH(B200,'2016 Lockdown Update'!B$5:B$245,0))</f>
        <v>32.417567183983358</v>
      </c>
      <c r="F200" s="7">
        <f>INDEX('2016 Lockdown Update'!E$5:E$245,MATCH(B200,'2016 Lockdown Update'!B$5:B$245,0))</f>
        <v>12048.4</v>
      </c>
      <c r="G200" s="7">
        <f>INDEX('2016 Lockdown Update'!F$5:F$245,MATCH(B200,'2016 Lockdown Update'!B$5:B$245,0))</f>
        <v>0</v>
      </c>
      <c r="H200" s="7">
        <f t="shared" si="40"/>
        <v>12048.4</v>
      </c>
      <c r="I200" s="6">
        <f t="shared" si="41"/>
        <v>371.66268312548721</v>
      </c>
      <c r="J200" s="6">
        <f t="shared" si="49"/>
        <v>371.66268312548721</v>
      </c>
      <c r="K200" s="5">
        <f t="shared" si="42"/>
        <v>12048.4</v>
      </c>
      <c r="L200" s="4">
        <f t="shared" si="43"/>
        <v>0</v>
      </c>
      <c r="M200" s="2">
        <f t="shared" si="44"/>
        <v>765.45823276111946</v>
      </c>
      <c r="N200" s="1">
        <f t="shared" si="45"/>
        <v>49</v>
      </c>
      <c r="O200" s="3">
        <f t="shared" si="46"/>
        <v>155074.93491282972</v>
      </c>
      <c r="P200" s="2">
        <f t="shared" si="47"/>
        <v>650.47387760263371</v>
      </c>
      <c r="Q200" s="2">
        <f t="shared" si="39"/>
        <v>-68.157583426402653</v>
      </c>
      <c r="R200" s="2">
        <f t="shared" si="39"/>
        <v>1599.0740489486416</v>
      </c>
      <c r="S200" s="2">
        <f t="shared" si="48"/>
        <v>371.66268312548721</v>
      </c>
    </row>
    <row r="201" spans="2:19" x14ac:dyDescent="0.25">
      <c r="B201" s="10">
        <v>897</v>
      </c>
      <c r="C201" s="10">
        <v>8</v>
      </c>
      <c r="D201" s="9" t="s">
        <v>251</v>
      </c>
      <c r="E201" s="162">
        <f>INDEX('2016 Lockdown Update'!H$5:H$245,MATCH(B201,'2016 Lockdown Update'!B$5:B$245,0))</f>
        <v>133.13334415215996</v>
      </c>
      <c r="F201" s="7">
        <f>INDEX('2016 Lockdown Update'!E$5:E$245,MATCH(B201,'2016 Lockdown Update'!B$5:B$245,0))</f>
        <v>256275.57</v>
      </c>
      <c r="G201" s="7">
        <f>INDEX('2016 Lockdown Update'!F$5:F$245,MATCH(B201,'2016 Lockdown Update'!B$5:B$245,0))</f>
        <v>305</v>
      </c>
      <c r="H201" s="7">
        <f t="shared" si="40"/>
        <v>255970.57</v>
      </c>
      <c r="I201" s="6">
        <f t="shared" si="41"/>
        <v>1922.6631136633032</v>
      </c>
      <c r="J201" s="6">
        <f t="shared" si="49"/>
        <v>1599.0740489486416</v>
      </c>
      <c r="K201" s="5">
        <f t="shared" si="42"/>
        <v>212890.07568346738</v>
      </c>
      <c r="L201" s="4">
        <f t="shared" si="43"/>
        <v>0</v>
      </c>
      <c r="M201" s="2">
        <f t="shared" si="44"/>
        <v>765.45823276111946</v>
      </c>
      <c r="N201" s="1">
        <f t="shared" si="45"/>
        <v>49</v>
      </c>
      <c r="O201" s="3">
        <f t="shared" si="46"/>
        <v>1339123.1363838373</v>
      </c>
      <c r="P201" s="2">
        <f t="shared" si="47"/>
        <v>650.47387760263371</v>
      </c>
      <c r="Q201" s="2">
        <f t="shared" si="39"/>
        <v>-68.157583426402653</v>
      </c>
      <c r="R201" s="2">
        <f t="shared" si="39"/>
        <v>1599.0740489486416</v>
      </c>
      <c r="S201" s="2">
        <f t="shared" si="48"/>
        <v>1599.0740489486416</v>
      </c>
    </row>
    <row r="202" spans="2:19" x14ac:dyDescent="0.25">
      <c r="B202" s="10">
        <v>905</v>
      </c>
      <c r="C202" s="10">
        <v>8</v>
      </c>
      <c r="D202" s="9" t="s">
        <v>252</v>
      </c>
      <c r="E202" s="162">
        <f>INDEX('2016 Lockdown Update'!H$5:H$245,MATCH(B202,'2016 Lockdown Update'!B$5:B$245,0))</f>
        <v>85.61701670132453</v>
      </c>
      <c r="F202" s="7">
        <f>INDEX('2016 Lockdown Update'!E$5:E$245,MATCH(B202,'2016 Lockdown Update'!B$5:B$245,0))</f>
        <v>49432.19</v>
      </c>
      <c r="G202" s="7">
        <f>INDEX('2016 Lockdown Update'!F$5:F$245,MATCH(B202,'2016 Lockdown Update'!B$5:B$245,0))</f>
        <v>0</v>
      </c>
      <c r="H202" s="7">
        <f t="shared" si="40"/>
        <v>49432.19</v>
      </c>
      <c r="I202" s="6">
        <f t="shared" si="41"/>
        <v>577.36407906438149</v>
      </c>
      <c r="J202" s="6">
        <f t="shared" si="49"/>
        <v>577.36407906438149</v>
      </c>
      <c r="K202" s="5">
        <f t="shared" si="42"/>
        <v>49432.19000000001</v>
      </c>
      <c r="L202" s="4">
        <f t="shared" si="43"/>
        <v>0</v>
      </c>
      <c r="M202" s="2">
        <f t="shared" si="44"/>
        <v>765.45823276111946</v>
      </c>
      <c r="N202" s="1">
        <f t="shared" si="45"/>
        <v>49</v>
      </c>
      <c r="O202" s="3">
        <f t="shared" si="46"/>
        <v>35379.41065489209</v>
      </c>
      <c r="P202" s="2">
        <f t="shared" si="47"/>
        <v>650.47387760263371</v>
      </c>
      <c r="Q202" s="2">
        <f t="shared" si="39"/>
        <v>-68.157583426402653</v>
      </c>
      <c r="R202" s="2">
        <f t="shared" si="39"/>
        <v>1599.0740489486416</v>
      </c>
      <c r="S202" s="2">
        <f t="shared" si="48"/>
        <v>577.36407906438149</v>
      </c>
    </row>
    <row r="203" spans="2:19" x14ac:dyDescent="0.25">
      <c r="B203" s="10">
        <v>907</v>
      </c>
      <c r="C203" s="10">
        <v>8</v>
      </c>
      <c r="D203" s="9" t="s">
        <v>253</v>
      </c>
      <c r="E203" s="162">
        <f>INDEX('2016 Lockdown Update'!H$5:H$245,MATCH(B203,'2016 Lockdown Update'!B$5:B$245,0))</f>
        <v>11.528269678349137</v>
      </c>
      <c r="F203" s="7">
        <f>INDEX('2016 Lockdown Update'!E$5:E$245,MATCH(B203,'2016 Lockdown Update'!B$5:B$245,0))</f>
        <v>22074.400000000001</v>
      </c>
      <c r="G203" s="7">
        <f>INDEX('2016 Lockdown Update'!F$5:F$245,MATCH(B203,'2016 Lockdown Update'!B$5:B$245,0))</f>
        <v>4379.54</v>
      </c>
      <c r="H203" s="7">
        <f t="shared" si="40"/>
        <v>17694.86</v>
      </c>
      <c r="I203" s="6">
        <f t="shared" si="41"/>
        <v>1534.9103112353569</v>
      </c>
      <c r="J203" s="6">
        <f t="shared" si="49"/>
        <v>1534.9103112353569</v>
      </c>
      <c r="K203" s="5">
        <f t="shared" si="42"/>
        <v>17694.86</v>
      </c>
      <c r="L203" s="4">
        <f t="shared" si="43"/>
        <v>0</v>
      </c>
      <c r="M203" s="2">
        <f t="shared" si="44"/>
        <v>765.45823276111946</v>
      </c>
      <c r="N203" s="1">
        <f t="shared" si="45"/>
        <v>49</v>
      </c>
      <c r="O203" s="3">
        <f t="shared" si="46"/>
        <v>592056.50106832397</v>
      </c>
      <c r="P203" s="2">
        <f t="shared" si="47"/>
        <v>650.47387760263371</v>
      </c>
      <c r="Q203" s="2">
        <f t="shared" si="39"/>
        <v>-68.157583426402653</v>
      </c>
      <c r="R203" s="2">
        <f t="shared" si="39"/>
        <v>1599.0740489486416</v>
      </c>
      <c r="S203" s="2">
        <f t="shared" si="48"/>
        <v>1534.9103112353569</v>
      </c>
    </row>
    <row r="204" spans="2:19" x14ac:dyDescent="0.25">
      <c r="B204" s="10">
        <v>918</v>
      </c>
      <c r="C204" s="10">
        <v>8</v>
      </c>
      <c r="D204" s="9" t="s">
        <v>254</v>
      </c>
      <c r="E204" s="162">
        <f>INDEX('2016 Lockdown Update'!H$5:H$245,MATCH(B204,'2016 Lockdown Update'!B$5:B$245,0))</f>
        <v>129.10420700255921</v>
      </c>
      <c r="F204" s="7">
        <f>INDEX('2016 Lockdown Update'!E$5:E$245,MATCH(B204,'2016 Lockdown Update'!B$5:B$245,0))</f>
        <v>53986.39</v>
      </c>
      <c r="G204" s="7">
        <f>INDEX('2016 Lockdown Update'!F$5:F$245,MATCH(B204,'2016 Lockdown Update'!B$5:B$245,0))</f>
        <v>0</v>
      </c>
      <c r="H204" s="7">
        <f t="shared" si="40"/>
        <v>53986.39</v>
      </c>
      <c r="I204" s="6">
        <f t="shared" si="41"/>
        <v>418.16135394356155</v>
      </c>
      <c r="J204" s="6">
        <f t="shared" si="49"/>
        <v>418.16135394356155</v>
      </c>
      <c r="K204" s="5">
        <f t="shared" si="42"/>
        <v>53986.39</v>
      </c>
      <c r="L204" s="4">
        <f t="shared" si="43"/>
        <v>0</v>
      </c>
      <c r="M204" s="2">
        <f t="shared" si="44"/>
        <v>765.45823276111946</v>
      </c>
      <c r="N204" s="1">
        <f t="shared" si="45"/>
        <v>49</v>
      </c>
      <c r="O204" s="3">
        <f t="shared" si="46"/>
        <v>120615.12203641751</v>
      </c>
      <c r="P204" s="2">
        <f t="shared" si="47"/>
        <v>650.47387760263371</v>
      </c>
      <c r="Q204" s="2">
        <f t="shared" si="39"/>
        <v>-68.157583426402653</v>
      </c>
      <c r="R204" s="2">
        <f t="shared" si="39"/>
        <v>1599.0740489486416</v>
      </c>
      <c r="S204" s="2">
        <f t="shared" si="48"/>
        <v>418.16135394356155</v>
      </c>
    </row>
    <row r="205" spans="2:19" x14ac:dyDescent="0.25">
      <c r="B205" s="10">
        <v>922</v>
      </c>
      <c r="C205" s="10">
        <v>8</v>
      </c>
      <c r="D205" s="9" t="s">
        <v>255</v>
      </c>
      <c r="E205" s="162">
        <f>INDEX('2016 Lockdown Update'!H$5:H$245,MATCH(B205,'2016 Lockdown Update'!B$5:B$245,0))</f>
        <v>198.95999999999998</v>
      </c>
      <c r="F205" s="7">
        <f>INDEX('2016 Lockdown Update'!E$5:E$245,MATCH(B205,'2016 Lockdown Update'!B$5:B$245,0))</f>
        <v>122446.31</v>
      </c>
      <c r="G205" s="7">
        <f>INDEX('2016 Lockdown Update'!F$5:F$245,MATCH(B205,'2016 Lockdown Update'!B$5:B$245,0))</f>
        <v>10197.290000000001</v>
      </c>
      <c r="H205" s="7">
        <f t="shared" si="40"/>
        <v>112249.01999999999</v>
      </c>
      <c r="I205" s="6">
        <f t="shared" si="41"/>
        <v>564.17882991556087</v>
      </c>
      <c r="J205" s="6">
        <f t="shared" si="49"/>
        <v>564.17882991556087</v>
      </c>
      <c r="K205" s="5">
        <f t="shared" si="42"/>
        <v>112249.01999999997</v>
      </c>
      <c r="L205" s="4">
        <f t="shared" si="43"/>
        <v>0</v>
      </c>
      <c r="M205" s="2">
        <f t="shared" si="44"/>
        <v>765.45823276111946</v>
      </c>
      <c r="N205" s="1">
        <f t="shared" si="45"/>
        <v>49</v>
      </c>
      <c r="O205" s="3">
        <f t="shared" si="46"/>
        <v>40513.398009864657</v>
      </c>
      <c r="P205" s="2">
        <f t="shared" si="47"/>
        <v>650.47387760263371</v>
      </c>
      <c r="Q205" s="2">
        <f t="shared" si="39"/>
        <v>-68.157583426402653</v>
      </c>
      <c r="R205" s="2">
        <f t="shared" si="39"/>
        <v>1599.0740489486416</v>
      </c>
      <c r="S205" s="2">
        <f t="shared" si="48"/>
        <v>564.17882991556087</v>
      </c>
    </row>
    <row r="206" spans="2:19" x14ac:dyDescent="0.25">
      <c r="B206" s="10">
        <v>924</v>
      </c>
      <c r="C206" s="10">
        <v>8</v>
      </c>
      <c r="D206" s="9" t="s">
        <v>256</v>
      </c>
      <c r="E206" s="162">
        <f>INDEX('2016 Lockdown Update'!H$5:H$245,MATCH(B206,'2016 Lockdown Update'!B$5:B$245,0))</f>
        <v>162.15157832730102</v>
      </c>
      <c r="F206" s="7">
        <f>INDEX('2016 Lockdown Update'!E$5:E$245,MATCH(B206,'2016 Lockdown Update'!B$5:B$245,0))</f>
        <v>60494.03</v>
      </c>
      <c r="G206" s="7">
        <f>INDEX('2016 Lockdown Update'!F$5:F$245,MATCH(B206,'2016 Lockdown Update'!B$5:B$245,0))</f>
        <v>0</v>
      </c>
      <c r="H206" s="7">
        <f t="shared" si="40"/>
        <v>60494.03</v>
      </c>
      <c r="I206" s="6">
        <f t="shared" si="41"/>
        <v>373.07086754279703</v>
      </c>
      <c r="J206" s="6">
        <f t="shared" si="49"/>
        <v>373.07086754279703</v>
      </c>
      <c r="K206" s="5">
        <f t="shared" si="42"/>
        <v>60494.03</v>
      </c>
      <c r="L206" s="4">
        <f t="shared" si="43"/>
        <v>0</v>
      </c>
      <c r="M206" s="2">
        <f t="shared" si="44"/>
        <v>765.45823276111946</v>
      </c>
      <c r="N206" s="1">
        <f t="shared" si="45"/>
        <v>49</v>
      </c>
      <c r="O206" s="3">
        <f t="shared" si="46"/>
        <v>153967.84438297714</v>
      </c>
      <c r="P206" s="2">
        <f t="shared" si="47"/>
        <v>650.47387760263371</v>
      </c>
      <c r="Q206" s="2">
        <f t="shared" ref="Q206:R225" si="50">NORMINV(Q$4,$M206,$P206)</f>
        <v>-68.157583426402653</v>
      </c>
      <c r="R206" s="2">
        <f t="shared" si="50"/>
        <v>1599.0740489486416</v>
      </c>
      <c r="S206" s="2">
        <f t="shared" si="48"/>
        <v>373.07086754279703</v>
      </c>
    </row>
    <row r="207" spans="2:19" x14ac:dyDescent="0.25">
      <c r="B207" s="10">
        <v>929</v>
      </c>
      <c r="C207" s="10">
        <v>8</v>
      </c>
      <c r="D207" s="9" t="s">
        <v>257</v>
      </c>
      <c r="E207" s="162">
        <f>INDEX('2016 Lockdown Update'!H$5:H$245,MATCH(B207,'2016 Lockdown Update'!B$5:B$245,0))</f>
        <v>53.206698049442352</v>
      </c>
      <c r="F207" s="7">
        <f>INDEX('2016 Lockdown Update'!E$5:E$245,MATCH(B207,'2016 Lockdown Update'!B$5:B$245,0))</f>
        <v>44478.52</v>
      </c>
      <c r="G207" s="7">
        <f>INDEX('2016 Lockdown Update'!F$5:F$245,MATCH(B207,'2016 Lockdown Update'!B$5:B$245,0))</f>
        <v>0</v>
      </c>
      <c r="H207" s="7">
        <f t="shared" si="40"/>
        <v>44478.52</v>
      </c>
      <c r="I207" s="6">
        <f t="shared" si="41"/>
        <v>835.95715634652447</v>
      </c>
      <c r="J207" s="6">
        <f t="shared" si="49"/>
        <v>835.95715634652447</v>
      </c>
      <c r="K207" s="5">
        <f t="shared" si="42"/>
        <v>44478.52</v>
      </c>
      <c r="L207" s="4">
        <f t="shared" si="43"/>
        <v>0</v>
      </c>
      <c r="M207" s="2">
        <f t="shared" si="44"/>
        <v>765.45823276111946</v>
      </c>
      <c r="N207" s="1">
        <f t="shared" si="45"/>
        <v>49</v>
      </c>
      <c r="O207" s="3">
        <f t="shared" si="46"/>
        <v>4970.0982267007748</v>
      </c>
      <c r="P207" s="2">
        <f t="shared" si="47"/>
        <v>650.47387760263371</v>
      </c>
      <c r="Q207" s="2">
        <f t="shared" si="50"/>
        <v>-68.157583426402653</v>
      </c>
      <c r="R207" s="2">
        <f t="shared" si="50"/>
        <v>1599.0740489486416</v>
      </c>
      <c r="S207" s="2">
        <f t="shared" si="48"/>
        <v>835.95715634652447</v>
      </c>
    </row>
    <row r="208" spans="2:19" x14ac:dyDescent="0.25">
      <c r="B208" s="10">
        <v>955</v>
      </c>
      <c r="C208" s="10">
        <v>8</v>
      </c>
      <c r="D208" s="9" t="s">
        <v>258</v>
      </c>
      <c r="E208" s="162">
        <f>INDEX('2016 Lockdown Update'!H$5:H$245,MATCH(B208,'2016 Lockdown Update'!B$5:B$245,0))</f>
        <v>38.28109837659062</v>
      </c>
      <c r="F208" s="7">
        <f>INDEX('2016 Lockdown Update'!E$5:E$245,MATCH(B208,'2016 Lockdown Update'!B$5:B$245,0))</f>
        <v>21369.599999999999</v>
      </c>
      <c r="G208" s="7">
        <f>INDEX('2016 Lockdown Update'!F$5:F$245,MATCH(B208,'2016 Lockdown Update'!B$5:B$245,0))</f>
        <v>0</v>
      </c>
      <c r="H208" s="7">
        <f t="shared" si="40"/>
        <v>21369.599999999999</v>
      </c>
      <c r="I208" s="6">
        <f t="shared" si="41"/>
        <v>558.22849673163455</v>
      </c>
      <c r="J208" s="6">
        <f t="shared" si="49"/>
        <v>558.22849673163455</v>
      </c>
      <c r="K208" s="5">
        <f t="shared" si="42"/>
        <v>21369.599999999999</v>
      </c>
      <c r="L208" s="4">
        <f t="shared" si="43"/>
        <v>0</v>
      </c>
      <c r="M208" s="2">
        <f t="shared" si="44"/>
        <v>765.45823276111946</v>
      </c>
      <c r="N208" s="1">
        <f t="shared" si="45"/>
        <v>49</v>
      </c>
      <c r="O208" s="3">
        <f t="shared" si="46"/>
        <v>42944.16349485</v>
      </c>
      <c r="P208" s="2">
        <f t="shared" si="47"/>
        <v>650.47387760263371</v>
      </c>
      <c r="Q208" s="2">
        <f t="shared" si="50"/>
        <v>-68.157583426402653</v>
      </c>
      <c r="R208" s="2">
        <f t="shared" si="50"/>
        <v>1599.0740489486416</v>
      </c>
      <c r="S208" s="2">
        <f t="shared" si="48"/>
        <v>558.22849673163455</v>
      </c>
    </row>
    <row r="209" spans="2:19" x14ac:dyDescent="0.25">
      <c r="B209" s="10">
        <v>973</v>
      </c>
      <c r="C209" s="10">
        <v>8</v>
      </c>
      <c r="D209" s="9" t="s">
        <v>259</v>
      </c>
      <c r="E209" s="162">
        <f>INDEX('2016 Lockdown Update'!H$5:H$245,MATCH(B209,'2016 Lockdown Update'!B$5:B$245,0))</f>
        <v>6.7868195057241003</v>
      </c>
      <c r="F209" s="7">
        <f>INDEX('2016 Lockdown Update'!E$5:E$245,MATCH(B209,'2016 Lockdown Update'!B$5:B$245,0))</f>
        <v>6830.21</v>
      </c>
      <c r="G209" s="7">
        <f>INDEX('2016 Lockdown Update'!F$5:F$245,MATCH(B209,'2016 Lockdown Update'!B$5:B$245,0))</f>
        <v>0</v>
      </c>
      <c r="H209" s="7">
        <f t="shared" si="40"/>
        <v>6830.21</v>
      </c>
      <c r="I209" s="6">
        <f t="shared" si="41"/>
        <v>1006.3933473167076</v>
      </c>
      <c r="J209" s="6">
        <f t="shared" si="49"/>
        <v>1006.3933473167076</v>
      </c>
      <c r="K209" s="5">
        <f t="shared" si="42"/>
        <v>6830.21</v>
      </c>
      <c r="L209" s="4">
        <f t="shared" si="43"/>
        <v>0</v>
      </c>
      <c r="M209" s="2">
        <f t="shared" si="44"/>
        <v>765.45823276111946</v>
      </c>
      <c r="N209" s="1">
        <f t="shared" si="45"/>
        <v>49</v>
      </c>
      <c r="O209" s="3">
        <f t="shared" si="46"/>
        <v>58049.729425914382</v>
      </c>
      <c r="P209" s="2">
        <f t="shared" si="47"/>
        <v>650.47387760263371</v>
      </c>
      <c r="Q209" s="2">
        <f t="shared" si="50"/>
        <v>-68.157583426402653</v>
      </c>
      <c r="R209" s="2">
        <f t="shared" si="50"/>
        <v>1599.0740489486416</v>
      </c>
      <c r="S209" s="2">
        <f t="shared" si="48"/>
        <v>1006.3933473167076</v>
      </c>
    </row>
    <row r="210" spans="2:19" x14ac:dyDescent="0.25">
      <c r="B210" s="10">
        <v>974</v>
      </c>
      <c r="C210" s="10">
        <v>8</v>
      </c>
      <c r="D210" s="9" t="s">
        <v>260</v>
      </c>
      <c r="E210" s="162">
        <f>INDEX('2016 Lockdown Update'!H$5:H$245,MATCH(B210,'2016 Lockdown Update'!B$5:B$245,0))</f>
        <v>20.330000000000002</v>
      </c>
      <c r="F210" s="7">
        <f>INDEX('2016 Lockdown Update'!E$5:E$245,MATCH(B210,'2016 Lockdown Update'!B$5:B$245,0))</f>
        <v>36154.49</v>
      </c>
      <c r="G210" s="7">
        <f>INDEX('2016 Lockdown Update'!F$5:F$245,MATCH(B210,'2016 Lockdown Update'!B$5:B$245,0))</f>
        <v>0</v>
      </c>
      <c r="H210" s="7">
        <f t="shared" si="40"/>
        <v>36154.49</v>
      </c>
      <c r="I210" s="6">
        <f t="shared" si="41"/>
        <v>1778.3812100344317</v>
      </c>
      <c r="J210" s="6">
        <f t="shared" si="49"/>
        <v>1599.0740489486416</v>
      </c>
      <c r="K210" s="5">
        <f t="shared" si="42"/>
        <v>32509.175415125887</v>
      </c>
      <c r="L210" s="4">
        <f t="shared" si="43"/>
        <v>0</v>
      </c>
      <c r="M210" s="2">
        <f t="shared" si="44"/>
        <v>765.45823276111946</v>
      </c>
      <c r="N210" s="1">
        <f t="shared" si="45"/>
        <v>49</v>
      </c>
      <c r="O210" s="3">
        <f t="shared" si="46"/>
        <v>1026012.9578882309</v>
      </c>
      <c r="P210" s="2">
        <f t="shared" si="47"/>
        <v>650.47387760263371</v>
      </c>
      <c r="Q210" s="2">
        <f t="shared" si="50"/>
        <v>-68.157583426402653</v>
      </c>
      <c r="R210" s="2">
        <f t="shared" si="50"/>
        <v>1599.0740489486416</v>
      </c>
      <c r="S210" s="2">
        <f t="shared" si="48"/>
        <v>1599.0740489486416</v>
      </c>
    </row>
    <row r="211" spans="2:19" x14ac:dyDescent="0.25">
      <c r="B211" s="10">
        <v>978</v>
      </c>
      <c r="C211" s="10">
        <v>8</v>
      </c>
      <c r="D211" s="9" t="s">
        <v>261</v>
      </c>
      <c r="E211" s="162">
        <f>INDEX('2016 Lockdown Update'!H$5:H$245,MATCH(B211,'2016 Lockdown Update'!B$5:B$245,0))</f>
        <v>27.545826048188108</v>
      </c>
      <c r="F211" s="7">
        <f>INDEX('2016 Lockdown Update'!E$5:E$245,MATCH(B211,'2016 Lockdown Update'!B$5:B$245,0))</f>
        <v>43946.37</v>
      </c>
      <c r="G211" s="7">
        <f>INDEX('2016 Lockdown Update'!F$5:F$245,MATCH(B211,'2016 Lockdown Update'!B$5:B$245,0))</f>
        <v>832.76</v>
      </c>
      <c r="H211" s="7">
        <f t="shared" si="40"/>
        <v>43113.61</v>
      </c>
      <c r="I211" s="6">
        <f t="shared" si="41"/>
        <v>1565.1594519103521</v>
      </c>
      <c r="J211" s="6">
        <f t="shared" si="49"/>
        <v>1565.1594519103521</v>
      </c>
      <c r="K211" s="5">
        <f t="shared" si="42"/>
        <v>43113.61</v>
      </c>
      <c r="L211" s="4">
        <f t="shared" si="43"/>
        <v>0</v>
      </c>
      <c r="M211" s="2">
        <f t="shared" si="44"/>
        <v>765.45823276111946</v>
      </c>
      <c r="N211" s="1">
        <f t="shared" si="45"/>
        <v>49</v>
      </c>
      <c r="O211" s="3">
        <f t="shared" si="46"/>
        <v>639522.03990876907</v>
      </c>
      <c r="P211" s="2">
        <f t="shared" si="47"/>
        <v>650.47387760263371</v>
      </c>
      <c r="Q211" s="2">
        <f t="shared" si="50"/>
        <v>-68.157583426402653</v>
      </c>
      <c r="R211" s="2">
        <f t="shared" si="50"/>
        <v>1599.0740489486416</v>
      </c>
      <c r="S211" s="2">
        <f t="shared" si="48"/>
        <v>1565.1594519103521</v>
      </c>
    </row>
    <row r="212" spans="2:19" x14ac:dyDescent="0.25">
      <c r="B212" s="10">
        <v>985</v>
      </c>
      <c r="C212" s="10">
        <v>8</v>
      </c>
      <c r="D212" s="9" t="s">
        <v>262</v>
      </c>
      <c r="E212" s="162">
        <f>INDEX('2016 Lockdown Update'!H$5:H$245,MATCH(B212,'2016 Lockdown Update'!B$5:B$245,0))</f>
        <v>20.306509780978342</v>
      </c>
      <c r="F212" s="7">
        <f>INDEX('2016 Lockdown Update'!E$5:E$245,MATCH(B212,'2016 Lockdown Update'!B$5:B$245,0))</f>
        <v>49440</v>
      </c>
      <c r="G212" s="7">
        <f>INDEX('2016 Lockdown Update'!F$5:F$245,MATCH(B212,'2016 Lockdown Update'!B$5:B$245,0))</f>
        <v>0</v>
      </c>
      <c r="H212" s="7">
        <f t="shared" si="40"/>
        <v>49440</v>
      </c>
      <c r="I212" s="6">
        <f t="shared" si="41"/>
        <v>2434.6872275565438</v>
      </c>
      <c r="J212" s="6">
        <f t="shared" si="49"/>
        <v>1599.0740489486416</v>
      </c>
      <c r="K212" s="5">
        <f t="shared" si="42"/>
        <v>32471.61281548423</v>
      </c>
      <c r="L212" s="4">
        <f t="shared" si="43"/>
        <v>0</v>
      </c>
      <c r="M212" s="2">
        <f t="shared" si="44"/>
        <v>765.45823276111946</v>
      </c>
      <c r="N212" s="1">
        <f t="shared" si="45"/>
        <v>49</v>
      </c>
      <c r="O212" s="3">
        <f t="shared" si="46"/>
        <v>2786325.4370657429</v>
      </c>
      <c r="P212" s="2">
        <f t="shared" si="47"/>
        <v>650.47387760263371</v>
      </c>
      <c r="Q212" s="2">
        <f t="shared" si="50"/>
        <v>-68.157583426402653</v>
      </c>
      <c r="R212" s="2">
        <f t="shared" si="50"/>
        <v>1599.0740489486416</v>
      </c>
      <c r="S212" s="2">
        <f t="shared" si="48"/>
        <v>1599.0740489486416</v>
      </c>
    </row>
    <row r="213" spans="2:19" x14ac:dyDescent="0.25">
      <c r="B213" s="10">
        <v>990</v>
      </c>
      <c r="C213" s="10">
        <v>8</v>
      </c>
      <c r="D213" s="9" t="s">
        <v>0</v>
      </c>
      <c r="E213" s="162">
        <f>INDEX('2016 Lockdown Update'!H$5:H$245,MATCH(B213,'2016 Lockdown Update'!B$5:B$245,0))</f>
        <v>5.9189378285362872</v>
      </c>
      <c r="F213" s="7">
        <f>INDEX('2016 Lockdown Update'!E$5:E$245,MATCH(B213,'2016 Lockdown Update'!B$5:B$245,0))</f>
        <v>4179.4799999999996</v>
      </c>
      <c r="G213" s="7">
        <f>INDEX('2016 Lockdown Update'!F$5:F$245,MATCH(B213,'2016 Lockdown Update'!B$5:B$245,0))</f>
        <v>0</v>
      </c>
      <c r="H213" s="7">
        <f t="shared" si="40"/>
        <v>4179.4799999999996</v>
      </c>
      <c r="I213" s="6">
        <f t="shared" si="41"/>
        <v>706.11993588612438</v>
      </c>
      <c r="J213" s="6">
        <f t="shared" si="49"/>
        <v>706.11993588612438</v>
      </c>
      <c r="K213" s="5">
        <f t="shared" si="42"/>
        <v>4179.4799999999996</v>
      </c>
      <c r="L213" s="4">
        <f t="shared" si="43"/>
        <v>0</v>
      </c>
      <c r="M213" s="2">
        <f t="shared" si="44"/>
        <v>765.45823276111946</v>
      </c>
      <c r="N213" s="1">
        <f t="shared" si="45"/>
        <v>49</v>
      </c>
      <c r="O213" s="3">
        <f t="shared" si="46"/>
        <v>3521.0334760250507</v>
      </c>
      <c r="P213" s="2">
        <f t="shared" si="47"/>
        <v>650.47387760263371</v>
      </c>
      <c r="Q213" s="2">
        <f t="shared" si="50"/>
        <v>-68.157583426402653</v>
      </c>
      <c r="R213" s="2">
        <f t="shared" si="50"/>
        <v>1599.0740489486416</v>
      </c>
      <c r="S213" s="2">
        <f t="shared" si="48"/>
        <v>706.11993588612438</v>
      </c>
    </row>
    <row r="214" spans="2:19" x14ac:dyDescent="0.25">
      <c r="B214" s="10">
        <v>100</v>
      </c>
      <c r="C214" s="10">
        <v>9</v>
      </c>
      <c r="D214" s="9" t="s">
        <v>263</v>
      </c>
      <c r="E214" s="162">
        <f>INDEX('2016 Lockdown Update'!H$5:H$245,MATCH(B214,'2016 Lockdown Update'!B$5:B$245,0))</f>
        <v>35.824097897303162</v>
      </c>
      <c r="F214" s="7">
        <f>INDEX('2016 Lockdown Update'!E$5:E$245,MATCH(B214,'2016 Lockdown Update'!B$5:B$245,0))</f>
        <v>29603.85</v>
      </c>
      <c r="G214" s="7">
        <f>INDEX('2016 Lockdown Update'!F$5:F$245,MATCH(B214,'2016 Lockdown Update'!B$5:B$245,0))</f>
        <v>0</v>
      </c>
      <c r="H214" s="7">
        <f t="shared" si="40"/>
        <v>29603.85</v>
      </c>
      <c r="I214" s="6">
        <f t="shared" si="41"/>
        <v>826.36693559919559</v>
      </c>
      <c r="J214" s="6">
        <f t="shared" si="49"/>
        <v>826.36693559919559</v>
      </c>
      <c r="K214" s="5">
        <f t="shared" si="42"/>
        <v>29603.85</v>
      </c>
      <c r="L214" s="4">
        <f t="shared" si="43"/>
        <v>0</v>
      </c>
      <c r="M214" s="2">
        <f t="shared" si="44"/>
        <v>505.29824607052115</v>
      </c>
      <c r="N214" s="1">
        <f t="shared" si="45"/>
        <v>33</v>
      </c>
      <c r="O214" s="3">
        <f t="shared" si="46"/>
        <v>103085.10339566034</v>
      </c>
      <c r="P214" s="2">
        <f t="shared" si="47"/>
        <v>470.13124689590023</v>
      </c>
      <c r="Q214" s="2">
        <f t="shared" si="50"/>
        <v>-97.199189400354953</v>
      </c>
      <c r="R214" s="2">
        <f t="shared" si="50"/>
        <v>1107.7956815413972</v>
      </c>
      <c r="S214" s="2">
        <f t="shared" si="48"/>
        <v>826.36693559919559</v>
      </c>
    </row>
    <row r="215" spans="2:19" x14ac:dyDescent="0.25">
      <c r="B215" s="47">
        <v>159</v>
      </c>
      <c r="C215" s="47">
        <v>9</v>
      </c>
      <c r="D215" s="48" t="s">
        <v>264</v>
      </c>
      <c r="E215" s="162">
        <f>INDEX('2016 Lockdown Update'!H$5:H$245,MATCH(B215,'2016 Lockdown Update'!B$5:B$245,0))</f>
        <v>788.86692772911874</v>
      </c>
      <c r="F215" s="7">
        <f>INDEX('2016 Lockdown Update'!E$5:E$245,MATCH(B215,'2016 Lockdown Update'!B$5:B$245,0))</f>
        <v>156611.32</v>
      </c>
      <c r="G215" s="7">
        <f>INDEX('2016 Lockdown Update'!F$5:F$245,MATCH(B215,'2016 Lockdown Update'!B$5:B$245,0))</f>
        <v>0</v>
      </c>
      <c r="H215" s="7">
        <f t="shared" si="40"/>
        <v>156611.32</v>
      </c>
      <c r="I215" s="6">
        <f t="shared" si="41"/>
        <v>198.52691815948106</v>
      </c>
      <c r="J215" s="6">
        <f t="shared" si="49"/>
        <v>198.52691815948106</v>
      </c>
      <c r="K215" s="5">
        <f t="shared" si="42"/>
        <v>156611.32</v>
      </c>
      <c r="L215" s="4">
        <f t="shared" si="43"/>
        <v>0</v>
      </c>
      <c r="M215" s="2">
        <f t="shared" si="44"/>
        <v>505.29824607052115</v>
      </c>
      <c r="N215" s="1">
        <f t="shared" si="45"/>
        <v>33</v>
      </c>
      <c r="O215" s="3">
        <f t="shared" si="46"/>
        <v>94108.64762830289</v>
      </c>
      <c r="P215" s="2">
        <f t="shared" si="47"/>
        <v>470.13124689590023</v>
      </c>
      <c r="Q215" s="2">
        <f t="shared" si="50"/>
        <v>-97.199189400354953</v>
      </c>
      <c r="R215" s="2">
        <f t="shared" si="50"/>
        <v>1107.7956815413972</v>
      </c>
      <c r="S215" s="2">
        <f t="shared" si="48"/>
        <v>198.52691815948106</v>
      </c>
    </row>
    <row r="216" spans="2:19" x14ac:dyDescent="0.25">
      <c r="B216" s="47">
        <v>173</v>
      </c>
      <c r="C216" s="47">
        <v>9</v>
      </c>
      <c r="D216" s="48" t="s">
        <v>265</v>
      </c>
      <c r="E216" s="162">
        <f>INDEX('2016 Lockdown Update'!H$5:H$245,MATCH(B216,'2016 Lockdown Update'!B$5:B$245,0))</f>
        <v>335.96999999999997</v>
      </c>
      <c r="F216" s="7">
        <f>INDEX('2016 Lockdown Update'!E$5:E$245,MATCH(B216,'2016 Lockdown Update'!B$5:B$245,0))</f>
        <v>165403.65</v>
      </c>
      <c r="G216" s="7">
        <f>INDEX('2016 Lockdown Update'!F$5:F$245,MATCH(B216,'2016 Lockdown Update'!B$5:B$245,0))</f>
        <v>70</v>
      </c>
      <c r="H216" s="7">
        <f t="shared" si="40"/>
        <v>165333.65</v>
      </c>
      <c r="I216" s="6">
        <f t="shared" si="41"/>
        <v>492.10837277137841</v>
      </c>
      <c r="J216" s="6">
        <f t="shared" si="49"/>
        <v>492.10837277137841</v>
      </c>
      <c r="K216" s="5">
        <f t="shared" si="42"/>
        <v>165333.65</v>
      </c>
      <c r="L216" s="4">
        <f t="shared" si="43"/>
        <v>0</v>
      </c>
      <c r="M216" s="2">
        <f t="shared" si="44"/>
        <v>505.29824607052115</v>
      </c>
      <c r="N216" s="1">
        <f t="shared" si="45"/>
        <v>33</v>
      </c>
      <c r="O216" s="3">
        <f t="shared" si="46"/>
        <v>173.97275764743839</v>
      </c>
      <c r="P216" s="2">
        <f t="shared" si="47"/>
        <v>470.13124689590023</v>
      </c>
      <c r="Q216" s="2">
        <f t="shared" si="50"/>
        <v>-97.199189400354953</v>
      </c>
      <c r="R216" s="2">
        <f t="shared" si="50"/>
        <v>1107.7956815413972</v>
      </c>
      <c r="S216" s="2">
        <f t="shared" si="48"/>
        <v>492.10837277137841</v>
      </c>
    </row>
    <row r="217" spans="2:19" x14ac:dyDescent="0.25">
      <c r="B217" s="10">
        <v>204</v>
      </c>
      <c r="C217" s="10">
        <v>9</v>
      </c>
      <c r="D217" s="9" t="s">
        <v>266</v>
      </c>
      <c r="E217" s="162">
        <f>INDEX('2016 Lockdown Update'!H$5:H$245,MATCH(B217,'2016 Lockdown Update'!B$5:B$245,0))</f>
        <v>721.47299100758471</v>
      </c>
      <c r="F217" s="7">
        <f>INDEX('2016 Lockdown Update'!E$5:E$245,MATCH(B217,'2016 Lockdown Update'!B$5:B$245,0))</f>
        <v>436718.59</v>
      </c>
      <c r="G217" s="7">
        <f>INDEX('2016 Lockdown Update'!F$5:F$245,MATCH(B217,'2016 Lockdown Update'!B$5:B$245,0))</f>
        <v>8908.4500000000007</v>
      </c>
      <c r="H217" s="7">
        <f t="shared" si="40"/>
        <v>427810.14</v>
      </c>
      <c r="I217" s="6">
        <f t="shared" si="41"/>
        <v>592.96764443327936</v>
      </c>
      <c r="J217" s="6">
        <f t="shared" si="49"/>
        <v>592.96764443327936</v>
      </c>
      <c r="K217" s="5">
        <f t="shared" si="42"/>
        <v>427810.14000000007</v>
      </c>
      <c r="L217" s="4">
        <f t="shared" si="43"/>
        <v>0</v>
      </c>
      <c r="M217" s="2">
        <f t="shared" si="44"/>
        <v>505.29824607052115</v>
      </c>
      <c r="N217" s="1">
        <f t="shared" si="45"/>
        <v>33</v>
      </c>
      <c r="O217" s="3">
        <f t="shared" si="46"/>
        <v>7685.9234092879933</v>
      </c>
      <c r="P217" s="2">
        <f t="shared" si="47"/>
        <v>470.13124689590023</v>
      </c>
      <c r="Q217" s="2">
        <f t="shared" si="50"/>
        <v>-97.199189400354953</v>
      </c>
      <c r="R217" s="2">
        <f t="shared" si="50"/>
        <v>1107.7956815413972</v>
      </c>
      <c r="S217" s="2">
        <f t="shared" si="48"/>
        <v>592.96764443327936</v>
      </c>
    </row>
    <row r="218" spans="2:19" x14ac:dyDescent="0.25">
      <c r="B218" s="10">
        <v>218</v>
      </c>
      <c r="C218" s="10">
        <v>9</v>
      </c>
      <c r="D218" s="9" t="s">
        <v>267</v>
      </c>
      <c r="E218" s="162">
        <f>INDEX('2016 Lockdown Update'!H$5:H$245,MATCH(B218,'2016 Lockdown Update'!B$5:B$245,0))</f>
        <v>328.51926160015944</v>
      </c>
      <c r="F218" s="7">
        <f>INDEX('2016 Lockdown Update'!E$5:E$245,MATCH(B218,'2016 Lockdown Update'!B$5:B$245,0))</f>
        <v>191809.35</v>
      </c>
      <c r="G218" s="7">
        <f>INDEX('2016 Lockdown Update'!F$5:F$245,MATCH(B218,'2016 Lockdown Update'!B$5:B$245,0))</f>
        <v>296</v>
      </c>
      <c r="H218" s="7">
        <f t="shared" si="40"/>
        <v>191513.35</v>
      </c>
      <c r="I218" s="6">
        <f t="shared" si="41"/>
        <v>582.95927327722654</v>
      </c>
      <c r="J218" s="6">
        <f t="shared" si="49"/>
        <v>582.95927327722654</v>
      </c>
      <c r="K218" s="5">
        <f t="shared" si="42"/>
        <v>191513.35000000003</v>
      </c>
      <c r="L218" s="4">
        <f t="shared" si="43"/>
        <v>0</v>
      </c>
      <c r="M218" s="2">
        <f t="shared" si="44"/>
        <v>505.29824607052115</v>
      </c>
      <c r="N218" s="1">
        <f t="shared" si="45"/>
        <v>33</v>
      </c>
      <c r="O218" s="3">
        <f t="shared" si="46"/>
        <v>6031.2351468006364</v>
      </c>
      <c r="P218" s="2">
        <f t="shared" si="47"/>
        <v>470.13124689590023</v>
      </c>
      <c r="Q218" s="2">
        <f t="shared" si="50"/>
        <v>-97.199189400354953</v>
      </c>
      <c r="R218" s="2">
        <f t="shared" si="50"/>
        <v>1107.7956815413972</v>
      </c>
      <c r="S218" s="2">
        <f t="shared" si="48"/>
        <v>582.95927327722654</v>
      </c>
    </row>
    <row r="219" spans="2:19" x14ac:dyDescent="0.25">
      <c r="B219" s="10">
        <v>230</v>
      </c>
      <c r="C219" s="10">
        <v>9</v>
      </c>
      <c r="D219" s="9" t="s">
        <v>268</v>
      </c>
      <c r="E219" s="162">
        <f>INDEX('2016 Lockdown Update'!H$5:H$245,MATCH(B219,'2016 Lockdown Update'!B$5:B$245,0))</f>
        <v>144.52224965646064</v>
      </c>
      <c r="F219" s="7">
        <f>INDEX('2016 Lockdown Update'!E$5:E$245,MATCH(B219,'2016 Lockdown Update'!B$5:B$245,0))</f>
        <v>66569.070000000007</v>
      </c>
      <c r="G219" s="7">
        <f>INDEX('2016 Lockdown Update'!F$5:F$245,MATCH(B219,'2016 Lockdown Update'!B$5:B$245,0))</f>
        <v>2335.5099999999998</v>
      </c>
      <c r="H219" s="7">
        <f t="shared" si="40"/>
        <v>64233.560000000005</v>
      </c>
      <c r="I219" s="6">
        <f t="shared" si="41"/>
        <v>444.45447086997058</v>
      </c>
      <c r="J219" s="6">
        <f t="shared" si="49"/>
        <v>444.45447086997058</v>
      </c>
      <c r="K219" s="5">
        <f t="shared" si="42"/>
        <v>64233.560000000005</v>
      </c>
      <c r="L219" s="4">
        <f t="shared" si="43"/>
        <v>0</v>
      </c>
      <c r="M219" s="2">
        <f t="shared" si="44"/>
        <v>505.29824607052115</v>
      </c>
      <c r="N219" s="1">
        <f t="shared" si="45"/>
        <v>33</v>
      </c>
      <c r="O219" s="3">
        <f t="shared" si="46"/>
        <v>3701.9649806551324</v>
      </c>
      <c r="P219" s="2">
        <f t="shared" si="47"/>
        <v>470.13124689590023</v>
      </c>
      <c r="Q219" s="2">
        <f t="shared" si="50"/>
        <v>-97.199189400354953</v>
      </c>
      <c r="R219" s="2">
        <f t="shared" si="50"/>
        <v>1107.7956815413972</v>
      </c>
      <c r="S219" s="2">
        <f t="shared" si="48"/>
        <v>444.45447086997058</v>
      </c>
    </row>
    <row r="220" spans="2:19" x14ac:dyDescent="0.25">
      <c r="B220" s="10">
        <v>277</v>
      </c>
      <c r="C220" s="10">
        <v>9</v>
      </c>
      <c r="D220" s="9" t="s">
        <v>269</v>
      </c>
      <c r="E220" s="162">
        <f>INDEX('2016 Lockdown Update'!H$5:H$245,MATCH(B220,'2016 Lockdown Update'!B$5:B$245,0))</f>
        <v>124.25216410827329</v>
      </c>
      <c r="F220" s="7">
        <f>INDEX('2016 Lockdown Update'!E$5:E$245,MATCH(B220,'2016 Lockdown Update'!B$5:B$245,0))</f>
        <v>70919.39</v>
      </c>
      <c r="G220" s="7">
        <f>INDEX('2016 Lockdown Update'!F$5:F$245,MATCH(B220,'2016 Lockdown Update'!B$5:B$245,0))</f>
        <v>0</v>
      </c>
      <c r="H220" s="7">
        <f t="shared" si="40"/>
        <v>70919.39</v>
      </c>
      <c r="I220" s="6">
        <f t="shared" si="41"/>
        <v>570.76985748273057</v>
      </c>
      <c r="J220" s="6">
        <f t="shared" si="49"/>
        <v>570.76985748273057</v>
      </c>
      <c r="K220" s="5">
        <f t="shared" si="42"/>
        <v>70919.39</v>
      </c>
      <c r="L220" s="4">
        <f t="shared" si="43"/>
        <v>0</v>
      </c>
      <c r="M220" s="2">
        <f t="shared" si="44"/>
        <v>505.29824607052115</v>
      </c>
      <c r="N220" s="1">
        <f t="shared" si="45"/>
        <v>33</v>
      </c>
      <c r="O220" s="3">
        <f t="shared" si="46"/>
        <v>4286.5319009113518</v>
      </c>
      <c r="P220" s="2">
        <f t="shared" si="47"/>
        <v>470.13124689590023</v>
      </c>
      <c r="Q220" s="2">
        <f t="shared" si="50"/>
        <v>-97.199189400354953</v>
      </c>
      <c r="R220" s="2">
        <f t="shared" si="50"/>
        <v>1107.7956815413972</v>
      </c>
      <c r="S220" s="2">
        <f t="shared" si="48"/>
        <v>570.76985748273057</v>
      </c>
    </row>
    <row r="221" spans="2:19" x14ac:dyDescent="0.25">
      <c r="B221" s="10">
        <v>279</v>
      </c>
      <c r="C221" s="10">
        <v>9</v>
      </c>
      <c r="D221" s="9" t="s">
        <v>270</v>
      </c>
      <c r="E221" s="162">
        <f>INDEX('2016 Lockdown Update'!H$5:H$245,MATCH(B221,'2016 Lockdown Update'!B$5:B$245,0))</f>
        <v>798.20063738181045</v>
      </c>
      <c r="F221" s="7">
        <f>INDEX('2016 Lockdown Update'!E$5:E$245,MATCH(B221,'2016 Lockdown Update'!B$5:B$245,0))</f>
        <v>112813.46</v>
      </c>
      <c r="G221" s="7">
        <f>INDEX('2016 Lockdown Update'!F$5:F$245,MATCH(B221,'2016 Lockdown Update'!B$5:B$245,0))</f>
        <v>200</v>
      </c>
      <c r="H221" s="7">
        <f t="shared" si="40"/>
        <v>112613.46</v>
      </c>
      <c r="I221" s="6">
        <f t="shared" si="41"/>
        <v>141.08415193626638</v>
      </c>
      <c r="J221" s="6">
        <f t="shared" si="49"/>
        <v>141.08415193626638</v>
      </c>
      <c r="K221" s="5">
        <f t="shared" si="42"/>
        <v>112613.46</v>
      </c>
      <c r="L221" s="4">
        <f t="shared" si="43"/>
        <v>0</v>
      </c>
      <c r="M221" s="2">
        <f t="shared" si="44"/>
        <v>505.29824607052115</v>
      </c>
      <c r="N221" s="1">
        <f t="shared" si="45"/>
        <v>33</v>
      </c>
      <c r="O221" s="3">
        <f t="shared" si="46"/>
        <v>132651.90636603578</v>
      </c>
      <c r="P221" s="2">
        <f t="shared" si="47"/>
        <v>470.13124689590023</v>
      </c>
      <c r="Q221" s="2">
        <f t="shared" si="50"/>
        <v>-97.199189400354953</v>
      </c>
      <c r="R221" s="2">
        <f t="shared" si="50"/>
        <v>1107.7956815413972</v>
      </c>
      <c r="S221" s="2">
        <f t="shared" si="48"/>
        <v>141.08415193626638</v>
      </c>
    </row>
    <row r="222" spans="2:19" x14ac:dyDescent="0.25">
      <c r="B222" s="10">
        <v>331</v>
      </c>
      <c r="C222" s="10">
        <v>9</v>
      </c>
      <c r="D222" s="9" t="s">
        <v>271</v>
      </c>
      <c r="E222" s="162">
        <f>INDEX('2016 Lockdown Update'!H$5:H$245,MATCH(B222,'2016 Lockdown Update'!B$5:B$245,0))</f>
        <v>424.87046339053245</v>
      </c>
      <c r="F222" s="7">
        <f>INDEX('2016 Lockdown Update'!E$5:E$245,MATCH(B222,'2016 Lockdown Update'!B$5:B$245,0))</f>
        <v>162371.22</v>
      </c>
      <c r="G222" s="7">
        <f>INDEX('2016 Lockdown Update'!F$5:F$245,MATCH(B222,'2016 Lockdown Update'!B$5:B$245,0))</f>
        <v>12843.16</v>
      </c>
      <c r="H222" s="7">
        <f t="shared" si="40"/>
        <v>149528.06</v>
      </c>
      <c r="I222" s="6">
        <f t="shared" si="41"/>
        <v>351.93799730567946</v>
      </c>
      <c r="J222" s="6">
        <f t="shared" si="49"/>
        <v>351.93799730567946</v>
      </c>
      <c r="K222" s="5">
        <f t="shared" si="42"/>
        <v>149528.06</v>
      </c>
      <c r="L222" s="4">
        <f t="shared" si="43"/>
        <v>0</v>
      </c>
      <c r="M222" s="2">
        <f t="shared" si="44"/>
        <v>505.29824607052115</v>
      </c>
      <c r="N222" s="1">
        <f t="shared" si="45"/>
        <v>33</v>
      </c>
      <c r="O222" s="3">
        <f t="shared" si="46"/>
        <v>23519.365901214125</v>
      </c>
      <c r="P222" s="2">
        <f t="shared" si="47"/>
        <v>470.13124689590023</v>
      </c>
      <c r="Q222" s="2">
        <f t="shared" si="50"/>
        <v>-97.199189400354953</v>
      </c>
      <c r="R222" s="2">
        <f t="shared" si="50"/>
        <v>1107.7956815413972</v>
      </c>
      <c r="S222" s="2">
        <f t="shared" si="48"/>
        <v>351.93799730567946</v>
      </c>
    </row>
    <row r="223" spans="2:19" x14ac:dyDescent="0.25">
      <c r="B223" s="10">
        <v>369</v>
      </c>
      <c r="C223" s="10">
        <v>9</v>
      </c>
      <c r="D223" s="9" t="s">
        <v>272</v>
      </c>
      <c r="E223" s="162">
        <f>INDEX('2016 Lockdown Update'!H$5:H$245,MATCH(B223,'2016 Lockdown Update'!B$5:B$245,0))</f>
        <v>358.53</v>
      </c>
      <c r="F223" s="7">
        <f>INDEX('2016 Lockdown Update'!E$5:E$245,MATCH(B223,'2016 Lockdown Update'!B$5:B$245,0))</f>
        <v>377022.73</v>
      </c>
      <c r="G223" s="7">
        <f>INDEX('2016 Lockdown Update'!F$5:F$245,MATCH(B223,'2016 Lockdown Update'!B$5:B$245,0))</f>
        <v>0</v>
      </c>
      <c r="H223" s="7">
        <f t="shared" si="40"/>
        <v>377022.73</v>
      </c>
      <c r="I223" s="6">
        <f t="shared" si="41"/>
        <v>1051.5793099601149</v>
      </c>
      <c r="J223" s="6">
        <f t="shared" si="49"/>
        <v>1051.5793099601149</v>
      </c>
      <c r="K223" s="5">
        <f t="shared" si="42"/>
        <v>377022.73</v>
      </c>
      <c r="L223" s="4">
        <f t="shared" si="43"/>
        <v>0</v>
      </c>
      <c r="M223" s="2">
        <f t="shared" si="44"/>
        <v>505.29824607052115</v>
      </c>
      <c r="N223" s="1">
        <f t="shared" si="45"/>
        <v>33</v>
      </c>
      <c r="O223" s="3">
        <f t="shared" si="46"/>
        <v>298423.00076434639</v>
      </c>
      <c r="P223" s="2">
        <f t="shared" si="47"/>
        <v>470.13124689590023</v>
      </c>
      <c r="Q223" s="2">
        <f t="shared" si="50"/>
        <v>-97.199189400354953</v>
      </c>
      <c r="R223" s="2">
        <f t="shared" si="50"/>
        <v>1107.7956815413972</v>
      </c>
      <c r="S223" s="2">
        <f t="shared" si="48"/>
        <v>1051.5793099601149</v>
      </c>
    </row>
    <row r="224" spans="2:19" x14ac:dyDescent="0.25">
      <c r="B224" s="10">
        <v>416</v>
      </c>
      <c r="C224" s="10">
        <v>9</v>
      </c>
      <c r="D224" s="9" t="s">
        <v>273</v>
      </c>
      <c r="E224" s="162">
        <f>INDEX('2016 Lockdown Update'!H$5:H$245,MATCH(B224,'2016 Lockdown Update'!B$5:B$245,0))</f>
        <v>76.764070607016791</v>
      </c>
      <c r="F224" s="7">
        <f>INDEX('2016 Lockdown Update'!E$5:E$245,MATCH(B224,'2016 Lockdown Update'!B$5:B$245,0))</f>
        <v>52678.44</v>
      </c>
      <c r="G224" s="7">
        <f>INDEX('2016 Lockdown Update'!F$5:F$245,MATCH(B224,'2016 Lockdown Update'!B$5:B$245,0))</f>
        <v>667.5</v>
      </c>
      <c r="H224" s="7">
        <f t="shared" si="40"/>
        <v>52010.94</v>
      </c>
      <c r="I224" s="6">
        <f t="shared" si="41"/>
        <v>677.54275650991633</v>
      </c>
      <c r="J224" s="6">
        <f t="shared" si="49"/>
        <v>677.54275650991633</v>
      </c>
      <c r="K224" s="5">
        <f t="shared" si="42"/>
        <v>52010.94</v>
      </c>
      <c r="L224" s="4">
        <f t="shared" si="43"/>
        <v>0</v>
      </c>
      <c r="M224" s="2">
        <f t="shared" si="44"/>
        <v>505.29824607052115</v>
      </c>
      <c r="N224" s="1">
        <f t="shared" si="45"/>
        <v>33</v>
      </c>
      <c r="O224" s="3">
        <f t="shared" si="46"/>
        <v>29668.171376506918</v>
      </c>
      <c r="P224" s="2">
        <f t="shared" si="47"/>
        <v>470.13124689590023</v>
      </c>
      <c r="Q224" s="2">
        <f t="shared" si="50"/>
        <v>-97.199189400354953</v>
      </c>
      <c r="R224" s="2">
        <f t="shared" si="50"/>
        <v>1107.7956815413972</v>
      </c>
      <c r="S224" s="2">
        <f t="shared" si="48"/>
        <v>677.54275650991633</v>
      </c>
    </row>
    <row r="225" spans="2:19" x14ac:dyDescent="0.25">
      <c r="B225" s="10">
        <v>420</v>
      </c>
      <c r="C225" s="10">
        <v>9</v>
      </c>
      <c r="D225" s="9" t="s">
        <v>274</v>
      </c>
      <c r="E225" s="162">
        <f>INDEX('2016 Lockdown Update'!H$5:H$245,MATCH(B225,'2016 Lockdown Update'!B$5:B$245,0))</f>
        <v>369.28029930829172</v>
      </c>
      <c r="F225" s="7">
        <f>INDEX('2016 Lockdown Update'!E$5:E$245,MATCH(B225,'2016 Lockdown Update'!B$5:B$245,0))</f>
        <v>85213.02</v>
      </c>
      <c r="G225" s="7">
        <f>INDEX('2016 Lockdown Update'!F$5:F$245,MATCH(B225,'2016 Lockdown Update'!B$5:B$245,0))</f>
        <v>87.63</v>
      </c>
      <c r="H225" s="7">
        <f t="shared" si="40"/>
        <v>85125.39</v>
      </c>
      <c r="I225" s="6">
        <f t="shared" si="41"/>
        <v>230.51700878560411</v>
      </c>
      <c r="J225" s="6">
        <f t="shared" si="49"/>
        <v>230.51700878560411</v>
      </c>
      <c r="K225" s="5">
        <f t="shared" si="42"/>
        <v>85125.39</v>
      </c>
      <c r="L225" s="4">
        <f t="shared" si="43"/>
        <v>0</v>
      </c>
      <c r="M225" s="2">
        <f t="shared" si="44"/>
        <v>505.29824607052115</v>
      </c>
      <c r="N225" s="1">
        <f t="shared" si="45"/>
        <v>33</v>
      </c>
      <c r="O225" s="3">
        <f t="shared" si="46"/>
        <v>75504.728363829883</v>
      </c>
      <c r="P225" s="2">
        <f t="shared" si="47"/>
        <v>470.13124689590023</v>
      </c>
      <c r="Q225" s="2">
        <f t="shared" si="50"/>
        <v>-97.199189400354953</v>
      </c>
      <c r="R225" s="2">
        <f t="shared" si="50"/>
        <v>1107.7956815413972</v>
      </c>
      <c r="S225" s="2">
        <f t="shared" si="48"/>
        <v>230.51700878560411</v>
      </c>
    </row>
    <row r="226" spans="2:19" x14ac:dyDescent="0.25">
      <c r="B226" s="10">
        <v>508</v>
      </c>
      <c r="C226" s="10">
        <v>9</v>
      </c>
      <c r="D226" s="9" t="s">
        <v>275</v>
      </c>
      <c r="E226" s="162">
        <f>INDEX('2016 Lockdown Update'!H$5:H$245,MATCH(B226,'2016 Lockdown Update'!B$5:B$245,0))</f>
        <v>69.260678652072329</v>
      </c>
      <c r="F226" s="7">
        <f>INDEX('2016 Lockdown Update'!E$5:E$245,MATCH(B226,'2016 Lockdown Update'!B$5:B$245,0))</f>
        <v>52910.11</v>
      </c>
      <c r="G226" s="7">
        <f>INDEX('2016 Lockdown Update'!F$5:F$245,MATCH(B226,'2016 Lockdown Update'!B$5:B$245,0))</f>
        <v>0</v>
      </c>
      <c r="H226" s="7">
        <f t="shared" si="40"/>
        <v>52910.11</v>
      </c>
      <c r="I226" s="6">
        <f t="shared" si="41"/>
        <v>763.92710885481472</v>
      </c>
      <c r="J226" s="6">
        <f t="shared" si="49"/>
        <v>763.92710885481472</v>
      </c>
      <c r="K226" s="5">
        <f t="shared" si="42"/>
        <v>52910.11</v>
      </c>
      <c r="L226" s="4">
        <f t="shared" si="43"/>
        <v>0</v>
      </c>
      <c r="M226" s="2">
        <f t="shared" si="44"/>
        <v>505.29824607052115</v>
      </c>
      <c r="N226" s="1">
        <f t="shared" si="45"/>
        <v>33</v>
      </c>
      <c r="O226" s="3">
        <f t="shared" si="46"/>
        <v>66888.888665096951</v>
      </c>
      <c r="P226" s="2">
        <f t="shared" si="47"/>
        <v>470.13124689590023</v>
      </c>
      <c r="Q226" s="2">
        <f t="shared" ref="Q226:R241" si="51">NORMINV(Q$4,$M226,$P226)</f>
        <v>-97.199189400354953</v>
      </c>
      <c r="R226" s="2">
        <f t="shared" si="51"/>
        <v>1107.7956815413972</v>
      </c>
      <c r="S226" s="2">
        <f t="shared" si="48"/>
        <v>763.92710885481472</v>
      </c>
    </row>
    <row r="227" spans="2:19" x14ac:dyDescent="0.25">
      <c r="B227" s="10">
        <v>512</v>
      </c>
      <c r="C227" s="10">
        <v>9</v>
      </c>
      <c r="D227" s="9" t="s">
        <v>276</v>
      </c>
      <c r="E227" s="162">
        <f>INDEX('2016 Lockdown Update'!H$5:H$245,MATCH(B227,'2016 Lockdown Update'!B$5:B$245,0))</f>
        <v>244.01504152505674</v>
      </c>
      <c r="F227" s="7">
        <f>INDEX('2016 Lockdown Update'!E$5:E$245,MATCH(B227,'2016 Lockdown Update'!B$5:B$245,0))</f>
        <v>282825</v>
      </c>
      <c r="G227" s="7">
        <f>INDEX('2016 Lockdown Update'!F$5:F$245,MATCH(B227,'2016 Lockdown Update'!B$5:B$245,0))</f>
        <v>8018.6500000000005</v>
      </c>
      <c r="H227" s="7">
        <f t="shared" si="40"/>
        <v>274806.34999999998</v>
      </c>
      <c r="I227" s="6">
        <f t="shared" si="41"/>
        <v>1126.1861083747226</v>
      </c>
      <c r="J227" s="6">
        <f t="shared" si="49"/>
        <v>1107.7956815413972</v>
      </c>
      <c r="K227" s="5">
        <f t="shared" si="42"/>
        <v>270318.80923260259</v>
      </c>
      <c r="L227" s="4">
        <f t="shared" si="43"/>
        <v>0</v>
      </c>
      <c r="M227" s="2">
        <f t="shared" si="44"/>
        <v>505.29824607052115</v>
      </c>
      <c r="N227" s="1">
        <f t="shared" si="45"/>
        <v>33</v>
      </c>
      <c r="O227" s="3">
        <f t="shared" si="46"/>
        <v>385501.73755668104</v>
      </c>
      <c r="P227" s="2">
        <f t="shared" si="47"/>
        <v>470.13124689590023</v>
      </c>
      <c r="Q227" s="2">
        <f t="shared" si="51"/>
        <v>-97.199189400354953</v>
      </c>
      <c r="R227" s="2">
        <f t="shared" si="51"/>
        <v>1107.7956815413972</v>
      </c>
      <c r="S227" s="2">
        <f t="shared" si="48"/>
        <v>1107.7956815413972</v>
      </c>
    </row>
    <row r="228" spans="2:19" x14ac:dyDescent="0.25">
      <c r="B228" s="10">
        <v>516</v>
      </c>
      <c r="C228" s="10">
        <v>9</v>
      </c>
      <c r="D228" s="9" t="s">
        <v>277</v>
      </c>
      <c r="E228" s="162">
        <f>INDEX('2016 Lockdown Update'!H$5:H$245,MATCH(B228,'2016 Lockdown Update'!B$5:B$245,0))</f>
        <v>314.41874315189409</v>
      </c>
      <c r="F228" s="7">
        <f>INDEX('2016 Lockdown Update'!E$5:E$245,MATCH(B228,'2016 Lockdown Update'!B$5:B$245,0))</f>
        <v>170870.97</v>
      </c>
      <c r="G228" s="7">
        <f>INDEX('2016 Lockdown Update'!F$5:F$245,MATCH(B228,'2016 Lockdown Update'!B$5:B$245,0))</f>
        <v>168.2</v>
      </c>
      <c r="H228" s="7">
        <f t="shared" si="40"/>
        <v>170702.77</v>
      </c>
      <c r="I228" s="6">
        <f t="shared" si="41"/>
        <v>542.91537549189411</v>
      </c>
      <c r="J228" s="6">
        <f t="shared" si="49"/>
        <v>542.91537549189411</v>
      </c>
      <c r="K228" s="5">
        <f t="shared" si="42"/>
        <v>170702.77</v>
      </c>
      <c r="L228" s="4">
        <f t="shared" si="43"/>
        <v>0</v>
      </c>
      <c r="M228" s="2">
        <f t="shared" si="44"/>
        <v>505.29824607052115</v>
      </c>
      <c r="N228" s="1">
        <f t="shared" si="45"/>
        <v>33</v>
      </c>
      <c r="O228" s="3">
        <f t="shared" si="46"/>
        <v>1415.0484259043235</v>
      </c>
      <c r="P228" s="2">
        <f t="shared" si="47"/>
        <v>470.13124689590023</v>
      </c>
      <c r="Q228" s="2">
        <f t="shared" si="51"/>
        <v>-97.199189400354953</v>
      </c>
      <c r="R228" s="2">
        <f t="shared" si="51"/>
        <v>1107.7956815413972</v>
      </c>
      <c r="S228" s="2">
        <f t="shared" si="48"/>
        <v>542.91537549189411</v>
      </c>
    </row>
    <row r="229" spans="2:19" x14ac:dyDescent="0.25">
      <c r="B229" s="10">
        <v>521</v>
      </c>
      <c r="C229" s="10">
        <v>9</v>
      </c>
      <c r="D229" s="9" t="s">
        <v>278</v>
      </c>
      <c r="E229" s="162">
        <f>INDEX('2016 Lockdown Update'!H$5:H$245,MATCH(B229,'2016 Lockdown Update'!B$5:B$245,0))</f>
        <v>126.34655749375537</v>
      </c>
      <c r="F229" s="7">
        <f>INDEX('2016 Lockdown Update'!E$5:E$245,MATCH(B229,'2016 Lockdown Update'!B$5:B$245,0))</f>
        <v>276578.64</v>
      </c>
      <c r="G229" s="7">
        <f>INDEX('2016 Lockdown Update'!F$5:F$245,MATCH(B229,'2016 Lockdown Update'!B$5:B$245,0))</f>
        <v>35.4</v>
      </c>
      <c r="H229" s="7">
        <f t="shared" si="40"/>
        <v>276543.24</v>
      </c>
      <c r="I229" s="6">
        <f t="shared" si="41"/>
        <v>2188.7675096622083</v>
      </c>
      <c r="J229" s="6">
        <f t="shared" si="49"/>
        <v>1107.7956815413972</v>
      </c>
      <c r="K229" s="5">
        <f t="shared" si="42"/>
        <v>139966.17076920407</v>
      </c>
      <c r="L229" s="4">
        <f t="shared" si="43"/>
        <v>0</v>
      </c>
      <c r="M229" s="2">
        <f t="shared" si="44"/>
        <v>505.29824607052115</v>
      </c>
      <c r="N229" s="1">
        <f t="shared" si="45"/>
        <v>33</v>
      </c>
      <c r="O229" s="3">
        <f t="shared" si="46"/>
        <v>2834068.7614579378</v>
      </c>
      <c r="P229" s="2">
        <f t="shared" si="47"/>
        <v>470.13124689590023</v>
      </c>
      <c r="Q229" s="2">
        <f t="shared" si="51"/>
        <v>-97.199189400354953</v>
      </c>
      <c r="R229" s="2">
        <f t="shared" si="51"/>
        <v>1107.7956815413972</v>
      </c>
      <c r="S229" s="2">
        <f t="shared" si="48"/>
        <v>1107.7956815413972</v>
      </c>
    </row>
    <row r="230" spans="2:19" x14ac:dyDescent="0.25">
      <c r="B230" s="10">
        <v>522</v>
      </c>
      <c r="C230" s="10">
        <v>9</v>
      </c>
      <c r="D230" s="9" t="s">
        <v>279</v>
      </c>
      <c r="E230" s="162">
        <f>INDEX('2016 Lockdown Update'!H$5:H$245,MATCH(B230,'2016 Lockdown Update'!B$5:B$245,0))</f>
        <v>104.42827541177562</v>
      </c>
      <c r="F230" s="7">
        <f>INDEX('2016 Lockdown Update'!E$5:E$245,MATCH(B230,'2016 Lockdown Update'!B$5:B$245,0))</f>
        <v>92178.82</v>
      </c>
      <c r="G230" s="7">
        <f>INDEX('2016 Lockdown Update'!F$5:F$245,MATCH(B230,'2016 Lockdown Update'!B$5:B$245,0))</f>
        <v>30</v>
      </c>
      <c r="H230" s="7">
        <f t="shared" si="40"/>
        <v>92148.82</v>
      </c>
      <c r="I230" s="6">
        <f t="shared" si="41"/>
        <v>882.41254235640724</v>
      </c>
      <c r="J230" s="6">
        <f t="shared" si="49"/>
        <v>882.41254235640724</v>
      </c>
      <c r="K230" s="5">
        <f t="shared" si="42"/>
        <v>92148.82</v>
      </c>
      <c r="L230" s="4">
        <f t="shared" si="43"/>
        <v>0</v>
      </c>
      <c r="M230" s="2">
        <f t="shared" si="44"/>
        <v>505.29824607052115</v>
      </c>
      <c r="N230" s="1">
        <f t="shared" si="45"/>
        <v>33</v>
      </c>
      <c r="O230" s="3">
        <f t="shared" si="46"/>
        <v>142215.19246319908</v>
      </c>
      <c r="P230" s="2">
        <f t="shared" si="47"/>
        <v>470.13124689590023</v>
      </c>
      <c r="Q230" s="2">
        <f t="shared" si="51"/>
        <v>-97.199189400354953</v>
      </c>
      <c r="R230" s="2">
        <f t="shared" si="51"/>
        <v>1107.7956815413972</v>
      </c>
      <c r="S230" s="2">
        <f t="shared" si="48"/>
        <v>882.41254235640724</v>
      </c>
    </row>
    <row r="231" spans="2:19" x14ac:dyDescent="0.25">
      <c r="B231" s="10">
        <v>523</v>
      </c>
      <c r="C231" s="10">
        <v>9</v>
      </c>
      <c r="D231" s="9" t="s">
        <v>280</v>
      </c>
      <c r="E231" s="162">
        <f>INDEX('2016 Lockdown Update'!H$5:H$245,MATCH(B231,'2016 Lockdown Update'!B$5:B$245,0))</f>
        <v>1140.8889255376664</v>
      </c>
      <c r="F231" s="7">
        <f>INDEX('2016 Lockdown Update'!E$5:E$245,MATCH(B231,'2016 Lockdown Update'!B$5:B$245,0))</f>
        <v>217776.58</v>
      </c>
      <c r="G231" s="7">
        <f>INDEX('2016 Lockdown Update'!F$5:F$245,MATCH(B231,'2016 Lockdown Update'!B$5:B$245,0))</f>
        <v>300</v>
      </c>
      <c r="H231" s="7">
        <f t="shared" si="40"/>
        <v>217476.58</v>
      </c>
      <c r="I231" s="6">
        <f t="shared" si="41"/>
        <v>190.62029188994876</v>
      </c>
      <c r="J231" s="6">
        <f t="shared" si="49"/>
        <v>190.62029188994876</v>
      </c>
      <c r="K231" s="5">
        <f t="shared" si="42"/>
        <v>217476.58</v>
      </c>
      <c r="L231" s="4">
        <f t="shared" si="43"/>
        <v>0</v>
      </c>
      <c r="M231" s="2">
        <f t="shared" si="44"/>
        <v>505.29824607052115</v>
      </c>
      <c r="N231" s="1">
        <f t="shared" si="45"/>
        <v>33</v>
      </c>
      <c r="O231" s="3">
        <f t="shared" si="46"/>
        <v>99022.214847270414</v>
      </c>
      <c r="P231" s="2">
        <f t="shared" si="47"/>
        <v>470.13124689590023</v>
      </c>
      <c r="Q231" s="2">
        <f t="shared" si="51"/>
        <v>-97.199189400354953</v>
      </c>
      <c r="R231" s="2">
        <f t="shared" si="51"/>
        <v>1107.7956815413972</v>
      </c>
      <c r="S231" s="2">
        <f t="shared" si="48"/>
        <v>190.62029188994876</v>
      </c>
    </row>
    <row r="232" spans="2:19" x14ac:dyDescent="0.25">
      <c r="B232" s="10">
        <v>527</v>
      </c>
      <c r="C232" s="10">
        <v>9</v>
      </c>
      <c r="D232" s="9" t="s">
        <v>281</v>
      </c>
      <c r="E232" s="162">
        <f>INDEX('2016 Lockdown Update'!H$5:H$245,MATCH(B232,'2016 Lockdown Update'!B$5:B$245,0))</f>
        <v>208.85655082355123</v>
      </c>
      <c r="F232" s="7">
        <f>INDEX('2016 Lockdown Update'!E$5:E$245,MATCH(B232,'2016 Lockdown Update'!B$5:B$245,0))</f>
        <v>94943.59</v>
      </c>
      <c r="G232" s="7">
        <f>INDEX('2016 Lockdown Update'!F$5:F$245,MATCH(B232,'2016 Lockdown Update'!B$5:B$245,0))</f>
        <v>40</v>
      </c>
      <c r="H232" s="7">
        <f t="shared" si="40"/>
        <v>94903.59</v>
      </c>
      <c r="I232" s="6">
        <f t="shared" si="41"/>
        <v>454.396041808512</v>
      </c>
      <c r="J232" s="6">
        <f t="shared" si="49"/>
        <v>454.396041808512</v>
      </c>
      <c r="K232" s="5">
        <f t="shared" si="42"/>
        <v>94903.59</v>
      </c>
      <c r="L232" s="4">
        <f t="shared" si="43"/>
        <v>0</v>
      </c>
      <c r="M232" s="2">
        <f t="shared" si="44"/>
        <v>505.29824607052115</v>
      </c>
      <c r="N232" s="1">
        <f t="shared" si="45"/>
        <v>33</v>
      </c>
      <c r="O232" s="3">
        <f t="shared" si="46"/>
        <v>2591.0343987313026</v>
      </c>
      <c r="P232" s="2">
        <f t="shared" si="47"/>
        <v>470.13124689590023</v>
      </c>
      <c r="Q232" s="2">
        <f t="shared" si="51"/>
        <v>-97.199189400354953</v>
      </c>
      <c r="R232" s="2">
        <f t="shared" si="51"/>
        <v>1107.7956815413972</v>
      </c>
      <c r="S232" s="2">
        <f t="shared" si="48"/>
        <v>454.396041808512</v>
      </c>
    </row>
    <row r="233" spans="2:19" x14ac:dyDescent="0.25">
      <c r="B233" s="10">
        <v>543</v>
      </c>
      <c r="C233" s="10">
        <v>9</v>
      </c>
      <c r="D233" s="9" t="s">
        <v>282</v>
      </c>
      <c r="E233" s="162">
        <f>INDEX('2016 Lockdown Update'!H$5:H$245,MATCH(B233,'2016 Lockdown Update'!B$5:B$245,0))</f>
        <v>91.407290558106865</v>
      </c>
      <c r="F233" s="7">
        <f>INDEX('2016 Lockdown Update'!E$5:E$245,MATCH(B233,'2016 Lockdown Update'!B$5:B$245,0))</f>
        <v>32860.15</v>
      </c>
      <c r="G233" s="7">
        <f>INDEX('2016 Lockdown Update'!F$5:F$245,MATCH(B233,'2016 Lockdown Update'!B$5:B$245,0))</f>
        <v>0</v>
      </c>
      <c r="H233" s="7">
        <f t="shared" si="40"/>
        <v>32860.15</v>
      </c>
      <c r="I233" s="6">
        <f t="shared" si="41"/>
        <v>359.49156570953249</v>
      </c>
      <c r="J233" s="6">
        <f t="shared" si="49"/>
        <v>359.49156570953249</v>
      </c>
      <c r="K233" s="5">
        <f t="shared" si="42"/>
        <v>32860.15</v>
      </c>
      <c r="L233" s="4">
        <f t="shared" si="43"/>
        <v>0</v>
      </c>
      <c r="M233" s="2">
        <f t="shared" si="44"/>
        <v>505.29824607052115</v>
      </c>
      <c r="N233" s="1">
        <f t="shared" si="45"/>
        <v>33</v>
      </c>
      <c r="O233" s="3">
        <f t="shared" si="46"/>
        <v>21259.588037891514</v>
      </c>
      <c r="P233" s="2">
        <f t="shared" si="47"/>
        <v>470.13124689590023</v>
      </c>
      <c r="Q233" s="2">
        <f t="shared" si="51"/>
        <v>-97.199189400354953</v>
      </c>
      <c r="R233" s="2">
        <f t="shared" si="51"/>
        <v>1107.7956815413972</v>
      </c>
      <c r="S233" s="2">
        <f t="shared" si="48"/>
        <v>359.49156570953249</v>
      </c>
    </row>
    <row r="234" spans="2:19" x14ac:dyDescent="0.25">
      <c r="B234" s="10">
        <v>547</v>
      </c>
      <c r="C234" s="10">
        <v>9</v>
      </c>
      <c r="D234" s="9" t="s">
        <v>283</v>
      </c>
      <c r="E234" s="162">
        <f>INDEX('2016 Lockdown Update'!H$5:H$245,MATCH(B234,'2016 Lockdown Update'!B$5:B$245,0))</f>
        <v>262.36374879351928</v>
      </c>
      <c r="F234" s="7">
        <f>INDEX('2016 Lockdown Update'!E$5:E$245,MATCH(B234,'2016 Lockdown Update'!B$5:B$245,0))</f>
        <v>109621.25</v>
      </c>
      <c r="G234" s="7">
        <f>INDEX('2016 Lockdown Update'!F$5:F$245,MATCH(B234,'2016 Lockdown Update'!B$5:B$245,0))</f>
        <v>0</v>
      </c>
      <c r="H234" s="7">
        <f t="shared" si="40"/>
        <v>109621.25</v>
      </c>
      <c r="I234" s="6">
        <f t="shared" si="41"/>
        <v>417.82163314899162</v>
      </c>
      <c r="J234" s="6">
        <f t="shared" si="49"/>
        <v>417.82163314899162</v>
      </c>
      <c r="K234" s="5">
        <f t="shared" si="42"/>
        <v>109621.25</v>
      </c>
      <c r="L234" s="4">
        <f t="shared" si="43"/>
        <v>0</v>
      </c>
      <c r="M234" s="2">
        <f t="shared" si="44"/>
        <v>505.29824607052115</v>
      </c>
      <c r="N234" s="1">
        <f t="shared" si="45"/>
        <v>33</v>
      </c>
      <c r="O234" s="3">
        <f t="shared" si="46"/>
        <v>7652.1578082231053</v>
      </c>
      <c r="P234" s="2">
        <f t="shared" si="47"/>
        <v>470.13124689590023</v>
      </c>
      <c r="Q234" s="2">
        <f t="shared" si="51"/>
        <v>-97.199189400354953</v>
      </c>
      <c r="R234" s="2">
        <f t="shared" si="51"/>
        <v>1107.7956815413972</v>
      </c>
      <c r="S234" s="2">
        <f t="shared" si="48"/>
        <v>417.82163314899162</v>
      </c>
    </row>
    <row r="235" spans="2:19" x14ac:dyDescent="0.25">
      <c r="B235" s="10">
        <v>552</v>
      </c>
      <c r="C235" s="10">
        <v>9</v>
      </c>
      <c r="D235" s="9" t="s">
        <v>284</v>
      </c>
      <c r="E235" s="162">
        <f>INDEX('2016 Lockdown Update'!H$5:H$245,MATCH(B235,'2016 Lockdown Update'!B$5:B$245,0))</f>
        <v>141.18</v>
      </c>
      <c r="F235" s="7">
        <f>INDEX('2016 Lockdown Update'!E$5:E$245,MATCH(B235,'2016 Lockdown Update'!B$5:B$245,0))</f>
        <v>104489.98</v>
      </c>
      <c r="G235" s="7">
        <f>INDEX('2016 Lockdown Update'!F$5:F$245,MATCH(B235,'2016 Lockdown Update'!B$5:B$245,0))</f>
        <v>0</v>
      </c>
      <c r="H235" s="7">
        <f t="shared" si="40"/>
        <v>104489.98</v>
      </c>
      <c r="I235" s="6">
        <f t="shared" si="41"/>
        <v>740.11885536194927</v>
      </c>
      <c r="J235" s="6">
        <f t="shared" si="49"/>
        <v>740.11885536194927</v>
      </c>
      <c r="K235" s="5">
        <f t="shared" si="42"/>
        <v>104489.98000000001</v>
      </c>
      <c r="L235" s="4">
        <f t="shared" si="43"/>
        <v>0</v>
      </c>
      <c r="M235" s="2">
        <f t="shared" si="44"/>
        <v>505.29824607052115</v>
      </c>
      <c r="N235" s="1">
        <f t="shared" si="45"/>
        <v>33</v>
      </c>
      <c r="O235" s="3">
        <f t="shared" si="46"/>
        <v>55140.718547997545</v>
      </c>
      <c r="P235" s="2">
        <f t="shared" si="47"/>
        <v>470.13124689590023</v>
      </c>
      <c r="Q235" s="2">
        <f t="shared" si="51"/>
        <v>-97.199189400354953</v>
      </c>
      <c r="R235" s="2">
        <f t="shared" si="51"/>
        <v>1107.7956815413972</v>
      </c>
      <c r="S235" s="2">
        <f t="shared" si="48"/>
        <v>740.11885536194927</v>
      </c>
    </row>
    <row r="236" spans="2:19" x14ac:dyDescent="0.25">
      <c r="B236" s="10">
        <v>567</v>
      </c>
      <c r="C236" s="10">
        <v>9</v>
      </c>
      <c r="D236" s="9" t="s">
        <v>285</v>
      </c>
      <c r="E236" s="162">
        <f>INDEX('2016 Lockdown Update'!H$5:H$245,MATCH(B236,'2016 Lockdown Update'!B$5:B$245,0))</f>
        <v>359.07008685360444</v>
      </c>
      <c r="F236" s="7">
        <f>INDEX('2016 Lockdown Update'!E$5:E$245,MATCH(B236,'2016 Lockdown Update'!B$5:B$245,0))</f>
        <v>201269.54</v>
      </c>
      <c r="G236" s="7">
        <f>INDEX('2016 Lockdown Update'!F$5:F$245,MATCH(B236,'2016 Lockdown Update'!B$5:B$245,0))</f>
        <v>354</v>
      </c>
      <c r="H236" s="7">
        <f t="shared" si="40"/>
        <v>200915.54</v>
      </c>
      <c r="I236" s="6">
        <f t="shared" si="41"/>
        <v>559.54407608984366</v>
      </c>
      <c r="J236" s="6">
        <f t="shared" si="49"/>
        <v>559.54407608984366</v>
      </c>
      <c r="K236" s="5">
        <f t="shared" si="42"/>
        <v>200915.54</v>
      </c>
      <c r="L236" s="4">
        <f t="shared" si="43"/>
        <v>0</v>
      </c>
      <c r="M236" s="2">
        <f t="shared" si="44"/>
        <v>505.29824607052115</v>
      </c>
      <c r="N236" s="1">
        <f t="shared" si="45"/>
        <v>33</v>
      </c>
      <c r="O236" s="3">
        <f t="shared" si="46"/>
        <v>2942.6100744852315</v>
      </c>
      <c r="P236" s="2">
        <f t="shared" si="47"/>
        <v>470.13124689590023</v>
      </c>
      <c r="Q236" s="2">
        <f t="shared" si="51"/>
        <v>-97.199189400354953</v>
      </c>
      <c r="R236" s="2">
        <f t="shared" si="51"/>
        <v>1107.7956815413972</v>
      </c>
      <c r="S236" s="2">
        <f t="shared" si="48"/>
        <v>559.54407608984366</v>
      </c>
    </row>
    <row r="237" spans="2:19" x14ac:dyDescent="0.25">
      <c r="B237" s="49">
        <v>629</v>
      </c>
      <c r="C237" s="49">
        <v>9</v>
      </c>
      <c r="D237" s="50" t="s">
        <v>286</v>
      </c>
      <c r="E237" s="162">
        <f>INDEX('2016 Lockdown Update'!H$5:H$245,MATCH(B237,'2016 Lockdown Update'!B$5:B$245,0))</f>
        <v>260.09634030227994</v>
      </c>
      <c r="F237" s="7">
        <f>INDEX('2016 Lockdown Update'!E$5:E$245,MATCH(B237,'2016 Lockdown Update'!B$5:B$245,0))</f>
        <v>195402.41</v>
      </c>
      <c r="G237" s="7">
        <f>INDEX('2016 Lockdown Update'!F$5:F$245,MATCH(B237,'2016 Lockdown Update'!B$5:B$245,0))</f>
        <v>2914.3900000000003</v>
      </c>
      <c r="H237" s="7">
        <f t="shared" si="40"/>
        <v>192488.02</v>
      </c>
      <c r="I237" s="6">
        <f t="shared" si="41"/>
        <v>740.06431530829457</v>
      </c>
      <c r="J237" s="6">
        <f t="shared" si="49"/>
        <v>740.06431530829457</v>
      </c>
      <c r="K237" s="5">
        <f t="shared" si="42"/>
        <v>192488.02</v>
      </c>
      <c r="L237" s="4">
        <f t="shared" si="43"/>
        <v>0</v>
      </c>
      <c r="M237" s="2">
        <f t="shared" si="44"/>
        <v>505.29824607052115</v>
      </c>
      <c r="N237" s="1">
        <f t="shared" si="45"/>
        <v>33</v>
      </c>
      <c r="O237" s="3">
        <f t="shared" si="46"/>
        <v>55115.107265355022</v>
      </c>
      <c r="P237" s="2">
        <f t="shared" si="47"/>
        <v>470.13124689590023</v>
      </c>
      <c r="Q237" s="2">
        <f t="shared" si="51"/>
        <v>-97.199189400354953</v>
      </c>
      <c r="R237" s="2">
        <f t="shared" si="51"/>
        <v>1107.7956815413972</v>
      </c>
      <c r="S237" s="2">
        <f t="shared" si="48"/>
        <v>740.06431530829457</v>
      </c>
    </row>
    <row r="238" spans="2:19" x14ac:dyDescent="0.25">
      <c r="B238" s="49">
        <v>630</v>
      </c>
      <c r="C238" s="49">
        <v>9</v>
      </c>
      <c r="D238" s="50" t="s">
        <v>287</v>
      </c>
      <c r="E238" s="162">
        <f>INDEX('2016 Lockdown Update'!H$5:H$245,MATCH(B238,'2016 Lockdown Update'!B$5:B$245,0))</f>
        <v>156.57867071027917</v>
      </c>
      <c r="F238" s="7">
        <f>INDEX('2016 Lockdown Update'!E$5:E$245,MATCH(B238,'2016 Lockdown Update'!B$5:B$245,0))</f>
        <v>187385.35</v>
      </c>
      <c r="G238" s="7">
        <f>INDEX('2016 Lockdown Update'!F$5:F$245,MATCH(B238,'2016 Lockdown Update'!B$5:B$245,0))</f>
        <v>3041.79</v>
      </c>
      <c r="H238" s="7">
        <f t="shared" si="40"/>
        <v>184343.56</v>
      </c>
      <c r="I238" s="6">
        <f t="shared" si="41"/>
        <v>1177.3222953277896</v>
      </c>
      <c r="J238" s="6">
        <f t="shared" si="49"/>
        <v>1107.7956815413972</v>
      </c>
      <c r="K238" s="5">
        <f t="shared" si="42"/>
        <v>173457.17523433972</v>
      </c>
      <c r="L238" s="4">
        <f t="shared" si="43"/>
        <v>0</v>
      </c>
      <c r="M238" s="2">
        <f t="shared" si="44"/>
        <v>505.29824607052115</v>
      </c>
      <c r="N238" s="1">
        <f t="shared" si="45"/>
        <v>33</v>
      </c>
      <c r="O238" s="3">
        <f t="shared" si="46"/>
        <v>451616.32278013555</v>
      </c>
      <c r="P238" s="2">
        <f t="shared" si="47"/>
        <v>470.13124689590023</v>
      </c>
      <c r="Q238" s="2">
        <f t="shared" si="51"/>
        <v>-97.199189400354953</v>
      </c>
      <c r="R238" s="2">
        <f t="shared" si="51"/>
        <v>1107.7956815413972</v>
      </c>
      <c r="S238" s="2">
        <f t="shared" si="48"/>
        <v>1107.7956815413972</v>
      </c>
    </row>
    <row r="239" spans="2:19" x14ac:dyDescent="0.25">
      <c r="B239" s="49">
        <v>695</v>
      </c>
      <c r="C239" s="49">
        <v>9</v>
      </c>
      <c r="D239" s="50" t="s">
        <v>288</v>
      </c>
      <c r="E239" s="162">
        <f>INDEX('2016 Lockdown Update'!H$5:H$245,MATCH(B239,'2016 Lockdown Update'!B$5:B$245,0))</f>
        <v>20.171458480304032</v>
      </c>
      <c r="F239" s="7">
        <f>INDEX('2016 Lockdown Update'!E$5:E$245,MATCH(B239,'2016 Lockdown Update'!B$5:B$245,0))</f>
        <v>13899.55</v>
      </c>
      <c r="G239" s="7">
        <f>INDEX('2016 Lockdown Update'!F$5:F$245,MATCH(B239,'2016 Lockdown Update'!B$5:B$245,0))</f>
        <v>0</v>
      </c>
      <c r="H239" s="7">
        <f t="shared" si="40"/>
        <v>13899.55</v>
      </c>
      <c r="I239" s="6">
        <f t="shared" si="41"/>
        <v>689.07015392922142</v>
      </c>
      <c r="J239" s="6">
        <f t="shared" si="49"/>
        <v>689.07015392922142</v>
      </c>
      <c r="K239" s="5">
        <f t="shared" si="42"/>
        <v>13899.55</v>
      </c>
      <c r="L239" s="4">
        <f t="shared" si="43"/>
        <v>0</v>
      </c>
      <c r="M239" s="2">
        <f t="shared" si="44"/>
        <v>505.29824607052115</v>
      </c>
      <c r="N239" s="1">
        <f t="shared" si="45"/>
        <v>33</v>
      </c>
      <c r="O239" s="3">
        <f t="shared" si="46"/>
        <v>33772.11411802662</v>
      </c>
      <c r="P239" s="2">
        <f t="shared" si="47"/>
        <v>470.13124689590023</v>
      </c>
      <c r="Q239" s="2">
        <f t="shared" si="51"/>
        <v>-97.199189400354953</v>
      </c>
      <c r="R239" s="2">
        <f t="shared" si="51"/>
        <v>1107.7956815413972</v>
      </c>
      <c r="S239" s="2">
        <f t="shared" si="48"/>
        <v>689.07015392922142</v>
      </c>
    </row>
    <row r="240" spans="2:19" x14ac:dyDescent="0.25">
      <c r="B240" s="49">
        <v>771</v>
      </c>
      <c r="C240" s="49">
        <v>9</v>
      </c>
      <c r="D240" s="50" t="s">
        <v>289</v>
      </c>
      <c r="E240" s="162">
        <f>INDEX('2016 Lockdown Update'!H$5:H$245,MATCH(B240,'2016 Lockdown Update'!B$5:B$245,0))</f>
        <v>201.07087106447656</v>
      </c>
      <c r="F240" s="7">
        <f>INDEX('2016 Lockdown Update'!E$5:E$245,MATCH(B240,'2016 Lockdown Update'!B$5:B$245,0))</f>
        <v>50307.6</v>
      </c>
      <c r="G240" s="7">
        <f>INDEX('2016 Lockdown Update'!F$5:F$245,MATCH(B240,'2016 Lockdown Update'!B$5:B$245,0))</f>
        <v>78</v>
      </c>
      <c r="H240" s="7">
        <f t="shared" si="40"/>
        <v>50229.599999999999</v>
      </c>
      <c r="I240" s="6">
        <f t="shared" si="41"/>
        <v>249.81042621481001</v>
      </c>
      <c r="J240" s="6">
        <f t="shared" si="49"/>
        <v>249.81042621481001</v>
      </c>
      <c r="K240" s="5">
        <f t="shared" si="42"/>
        <v>50229.599999999999</v>
      </c>
      <c r="L240" s="4">
        <f t="shared" si="43"/>
        <v>0</v>
      </c>
      <c r="M240" s="2">
        <f t="shared" si="44"/>
        <v>505.29824607052115</v>
      </c>
      <c r="N240" s="1">
        <f t="shared" si="45"/>
        <v>33</v>
      </c>
      <c r="O240" s="3">
        <f t="shared" si="46"/>
        <v>65274.026094624307</v>
      </c>
      <c r="P240" s="2">
        <f t="shared" si="47"/>
        <v>470.13124689590023</v>
      </c>
      <c r="Q240" s="2">
        <f t="shared" si="51"/>
        <v>-97.199189400354953</v>
      </c>
      <c r="R240" s="2">
        <f t="shared" si="51"/>
        <v>1107.7956815413972</v>
      </c>
      <c r="S240" s="2">
        <f t="shared" si="48"/>
        <v>249.81042621481001</v>
      </c>
    </row>
    <row r="241" spans="2:19" x14ac:dyDescent="0.25">
      <c r="B241" s="49">
        <v>830</v>
      </c>
      <c r="C241" s="49">
        <v>9</v>
      </c>
      <c r="D241" s="50" t="s">
        <v>290</v>
      </c>
      <c r="E241" s="162">
        <f>INDEX('2016 Lockdown Update'!H$5:H$245,MATCH(B241,'2016 Lockdown Update'!B$5:B$245,0))</f>
        <v>19.195570680853066</v>
      </c>
      <c r="F241" s="7">
        <f>INDEX('2016 Lockdown Update'!E$5:E$245,MATCH(B241,'2016 Lockdown Update'!B$5:B$245,0))</f>
        <v>23211.78</v>
      </c>
      <c r="G241" s="7">
        <f>INDEX('2016 Lockdown Update'!F$5:F$245,MATCH(B241,'2016 Lockdown Update'!B$5:B$245,0))</f>
        <v>0</v>
      </c>
      <c r="H241" s="7">
        <f t="shared" si="40"/>
        <v>23211.78</v>
      </c>
      <c r="I241" s="6">
        <f t="shared" si="41"/>
        <v>1209.2258357889284</v>
      </c>
      <c r="J241" s="6">
        <f t="shared" si="49"/>
        <v>1107.7956815413972</v>
      </c>
      <c r="K241" s="5">
        <f t="shared" si="42"/>
        <v>21264.770304971684</v>
      </c>
      <c r="L241" s="4">
        <f t="shared" si="43"/>
        <v>0</v>
      </c>
      <c r="M241" s="2">
        <f t="shared" si="44"/>
        <v>505.29824607052115</v>
      </c>
      <c r="N241" s="1">
        <f t="shared" si="45"/>
        <v>33</v>
      </c>
      <c r="O241" s="3">
        <f t="shared" si="46"/>
        <v>495514.05156676628</v>
      </c>
      <c r="P241" s="2">
        <f t="shared" si="47"/>
        <v>470.13124689590023</v>
      </c>
      <c r="Q241" s="2">
        <f t="shared" si="51"/>
        <v>-97.199189400354953</v>
      </c>
      <c r="R241" s="2">
        <f t="shared" si="51"/>
        <v>1107.7956815413972</v>
      </c>
      <c r="S241" s="2">
        <f t="shared" si="48"/>
        <v>1107.7956815413972</v>
      </c>
    </row>
    <row r="242" spans="2:19" x14ac:dyDescent="0.25">
      <c r="B242" s="49">
        <v>936</v>
      </c>
      <c r="C242" s="49">
        <v>9</v>
      </c>
      <c r="D242" s="50" t="s">
        <v>291</v>
      </c>
      <c r="E242" s="162">
        <f>INDEX('2016 Lockdown Update'!H$5:H$245,MATCH(B242,'2016 Lockdown Update'!B$5:B$245,0))</f>
        <v>37.316626494371853</v>
      </c>
      <c r="F242" s="7">
        <f>INDEX('2016 Lockdown Update'!E$5:E$245,MATCH(B242,'2016 Lockdown Update'!B$5:B$245,0))</f>
        <v>44215.32</v>
      </c>
      <c r="G242" s="7">
        <f>INDEX('2016 Lockdown Update'!F$5:F$245,MATCH(B242,'2016 Lockdown Update'!B$5:B$245,0))</f>
        <v>0</v>
      </c>
      <c r="H242" s="7">
        <f t="shared" si="40"/>
        <v>44215.32</v>
      </c>
      <c r="I242" s="6">
        <f t="shared" si="41"/>
        <v>1184.8691629900848</v>
      </c>
      <c r="J242" s="6">
        <f t="shared" si="49"/>
        <v>1107.7956815413972</v>
      </c>
      <c r="K242" s="5">
        <f t="shared" si="42"/>
        <v>41339.197680158431</v>
      </c>
      <c r="L242" s="4">
        <f t="shared" si="43"/>
        <v>0</v>
      </c>
      <c r="M242" s="2">
        <f t="shared" si="44"/>
        <v>505.29824607052115</v>
      </c>
      <c r="N242" s="1">
        <f t="shared" si="45"/>
        <v>33</v>
      </c>
      <c r="O242" s="3">
        <f t="shared" si="46"/>
        <v>461816.63112289645</v>
      </c>
      <c r="P242" s="2">
        <f t="shared" si="47"/>
        <v>470.13124689590023</v>
      </c>
      <c r="Q242" s="2">
        <f t="shared" ref="Q242:R246" si="52">NORMINV(Q$4,$M242,$P242)</f>
        <v>-97.199189400354953</v>
      </c>
      <c r="R242" s="2">
        <f t="shared" si="52"/>
        <v>1107.7956815413972</v>
      </c>
      <c r="S242" s="2">
        <f t="shared" si="48"/>
        <v>1107.7956815413972</v>
      </c>
    </row>
    <row r="243" spans="2:19" x14ac:dyDescent="0.25">
      <c r="B243" s="49">
        <v>952</v>
      </c>
      <c r="C243" s="49">
        <v>9</v>
      </c>
      <c r="D243" s="50" t="s">
        <v>292</v>
      </c>
      <c r="E243" s="162">
        <f>INDEX('2016 Lockdown Update'!H$5:H$245,MATCH(B243,'2016 Lockdown Update'!B$5:B$245,0))</f>
        <v>73.831919867341881</v>
      </c>
      <c r="F243" s="7">
        <f>INDEX('2016 Lockdown Update'!E$5:E$245,MATCH(B243,'2016 Lockdown Update'!B$5:B$245,0))</f>
        <v>95547.41</v>
      </c>
      <c r="G243" s="7">
        <f>INDEX('2016 Lockdown Update'!F$5:F$245,MATCH(B243,'2016 Lockdown Update'!B$5:B$245,0))</f>
        <v>3880</v>
      </c>
      <c r="H243" s="7">
        <f t="shared" si="40"/>
        <v>91667.41</v>
      </c>
      <c r="I243" s="6">
        <f t="shared" si="41"/>
        <v>1241.568825038062</v>
      </c>
      <c r="J243" s="6">
        <f t="shared" si="49"/>
        <v>1107.7956815413972</v>
      </c>
      <c r="K243" s="5">
        <f t="shared" si="42"/>
        <v>81790.681988951823</v>
      </c>
      <c r="L243" s="4">
        <f t="shared" si="43"/>
        <v>0</v>
      </c>
      <c r="M243" s="2">
        <f t="shared" si="44"/>
        <v>505.29824607052115</v>
      </c>
      <c r="N243" s="1">
        <f t="shared" si="45"/>
        <v>33</v>
      </c>
      <c r="O243" s="3">
        <f t="shared" si="46"/>
        <v>542094.36545319774</v>
      </c>
      <c r="P243" s="2">
        <f t="shared" si="47"/>
        <v>470.13124689590023</v>
      </c>
      <c r="Q243" s="2">
        <f t="shared" si="52"/>
        <v>-97.199189400354953</v>
      </c>
      <c r="R243" s="2">
        <f t="shared" si="52"/>
        <v>1107.7956815413972</v>
      </c>
      <c r="S243" s="2">
        <f t="shared" si="48"/>
        <v>1107.7956815413972</v>
      </c>
    </row>
    <row r="244" spans="2:19" x14ac:dyDescent="0.25">
      <c r="B244" s="49">
        <v>982</v>
      </c>
      <c r="C244" s="49">
        <v>9</v>
      </c>
      <c r="D244" s="50" t="s">
        <v>293</v>
      </c>
      <c r="E244" s="162">
        <f>INDEX('2016 Lockdown Update'!H$5:H$245,MATCH(B244,'2016 Lockdown Update'!B$5:B$245,0))</f>
        <v>105.44815392992339</v>
      </c>
      <c r="F244" s="7">
        <f>INDEX('2016 Lockdown Update'!E$5:E$245,MATCH(B244,'2016 Lockdown Update'!B$5:B$245,0))</f>
        <v>17969.3</v>
      </c>
      <c r="G244" s="7">
        <f>INDEX('2016 Lockdown Update'!F$5:F$245,MATCH(B244,'2016 Lockdown Update'!B$5:B$245,0))</f>
        <v>0</v>
      </c>
      <c r="H244" s="7">
        <f t="shared" si="40"/>
        <v>17969.3</v>
      </c>
      <c r="I244" s="6">
        <f t="shared" si="41"/>
        <v>170.4088628421288</v>
      </c>
      <c r="J244" s="6">
        <f t="shared" si="49"/>
        <v>170.4088628421288</v>
      </c>
      <c r="K244" s="5">
        <f t="shared" si="42"/>
        <v>17969.3</v>
      </c>
      <c r="L244" s="4">
        <f t="shared" si="43"/>
        <v>0</v>
      </c>
      <c r="M244" s="2">
        <f t="shared" si="44"/>
        <v>505.29824607052115</v>
      </c>
      <c r="N244" s="1">
        <f t="shared" si="45"/>
        <v>33</v>
      </c>
      <c r="O244" s="3">
        <f t="shared" si="46"/>
        <v>112150.89899909306</v>
      </c>
      <c r="P244" s="2">
        <f t="shared" si="47"/>
        <v>470.13124689590023</v>
      </c>
      <c r="Q244" s="2">
        <f t="shared" si="52"/>
        <v>-97.199189400354953</v>
      </c>
      <c r="R244" s="2">
        <f t="shared" si="52"/>
        <v>1107.7956815413972</v>
      </c>
      <c r="S244" s="2">
        <f t="shared" si="48"/>
        <v>170.4088628421288</v>
      </c>
    </row>
    <row r="245" spans="2:19" x14ac:dyDescent="0.25">
      <c r="B245" s="49">
        <v>987</v>
      </c>
      <c r="C245" s="49">
        <v>9</v>
      </c>
      <c r="D245" s="50" t="s">
        <v>294</v>
      </c>
      <c r="E245" s="162">
        <f>INDEX('2016 Lockdown Update'!H$5:H$245,MATCH(B245,'2016 Lockdown Update'!B$5:B$245,0))</f>
        <v>237.45867962267809</v>
      </c>
      <c r="F245" s="7">
        <f>INDEX('2016 Lockdown Update'!E$5:E$245,MATCH(B245,'2016 Lockdown Update'!B$5:B$245,0))</f>
        <v>76004.149999999994</v>
      </c>
      <c r="G245" s="7">
        <f>INDEX('2016 Lockdown Update'!F$5:F$245,MATCH(B245,'2016 Lockdown Update'!B$5:B$245,0))</f>
        <v>0</v>
      </c>
      <c r="H245" s="7">
        <f t="shared" si="40"/>
        <v>76004.149999999994</v>
      </c>
      <c r="I245" s="6">
        <f t="shared" si="41"/>
        <v>320.07316018420806</v>
      </c>
      <c r="J245" s="6">
        <f t="shared" si="49"/>
        <v>320.07316018420806</v>
      </c>
      <c r="K245" s="5">
        <f t="shared" si="42"/>
        <v>76004.149999999994</v>
      </c>
      <c r="L245" s="4">
        <f t="shared" si="43"/>
        <v>0</v>
      </c>
      <c r="M245" s="2">
        <f t="shared" si="44"/>
        <v>505.29824607052115</v>
      </c>
      <c r="N245" s="1">
        <f t="shared" si="45"/>
        <v>33</v>
      </c>
      <c r="O245" s="3">
        <f t="shared" si="46"/>
        <v>34308.332441592058</v>
      </c>
      <c r="P245" s="2">
        <f t="shared" si="47"/>
        <v>470.13124689590023</v>
      </c>
      <c r="Q245" s="2">
        <f t="shared" si="52"/>
        <v>-97.199189400354953</v>
      </c>
      <c r="R245" s="2">
        <f t="shared" si="52"/>
        <v>1107.7956815413972</v>
      </c>
      <c r="S245" s="2">
        <f t="shared" si="48"/>
        <v>320.07316018420806</v>
      </c>
    </row>
    <row r="246" spans="2:19" x14ac:dyDescent="0.25">
      <c r="B246" s="49">
        <v>998</v>
      </c>
      <c r="C246" s="49">
        <v>9</v>
      </c>
      <c r="D246" s="50" t="s">
        <v>298</v>
      </c>
      <c r="E246" s="162">
        <f>INDEX('2016 Lockdown Update'!H$5:H$245,MATCH(B246,'2016 Lockdown Update'!B$5:B$245,0))</f>
        <v>44.619685168965859</v>
      </c>
      <c r="F246" s="7">
        <f>INDEX('2016 Lockdown Update'!E$5:E$245,MATCH(B246,'2016 Lockdown Update'!B$5:B$245,0))</f>
        <v>205043.32</v>
      </c>
      <c r="G246" s="7">
        <f>INDEX('2016 Lockdown Update'!F$5:F$245,MATCH(B246,'2016 Lockdown Update'!B$5:B$245,0))</f>
        <v>0</v>
      </c>
      <c r="H246" s="7">
        <f t="shared" si="40"/>
        <v>205043.32</v>
      </c>
      <c r="I246" s="6">
        <f t="shared" si="41"/>
        <v>4595.3555975023537</v>
      </c>
      <c r="J246" s="6">
        <f t="shared" si="49"/>
        <v>1107.7956815413972</v>
      </c>
      <c r="K246" s="5">
        <f t="shared" si="42"/>
        <v>49429.494541917105</v>
      </c>
      <c r="L246" s="4">
        <f t="shared" si="43"/>
        <v>0</v>
      </c>
      <c r="M246" s="2">
        <f t="shared" si="44"/>
        <v>505.29824607052115</v>
      </c>
      <c r="N246" s="1">
        <f t="shared" si="45"/>
        <v>33</v>
      </c>
      <c r="O246" s="3">
        <f t="shared" si="46"/>
        <v>16728569.138001578</v>
      </c>
      <c r="P246" s="2">
        <f t="shared" si="47"/>
        <v>470.13124689590023</v>
      </c>
      <c r="Q246" s="2">
        <f t="shared" si="52"/>
        <v>-97.199189400354953</v>
      </c>
      <c r="R246" s="2">
        <f t="shared" si="52"/>
        <v>1107.7956815413972</v>
      </c>
      <c r="S246" s="2">
        <f t="shared" si="48"/>
        <v>1107.7956815413972</v>
      </c>
    </row>
  </sheetData>
  <conditionalFormatting sqref="E6:S246">
    <cfRule type="expression" dxfId="6" priority="6">
      <formula>$C6&lt;&gt;$C5</formula>
    </cfRule>
  </conditionalFormatting>
  <conditionalFormatting sqref="J6:J246">
    <cfRule type="expression" dxfId="5" priority="5">
      <formula>$J6&lt;$I6=TRUE</formula>
    </cfRule>
  </conditionalFormatting>
  <conditionalFormatting sqref="B51:D77 B151:D163 B165:D170 B214:D236 B84:D149 B79:D81 B172:D182 B184:D212 B6:D49">
    <cfRule type="expression" dxfId="4" priority="1">
      <formula>$C6&lt;&gt;$C5</formula>
    </cfRule>
  </conditionalFormatting>
  <conditionalFormatting sqref="B50:D50 B78:D78 B164:D164 B213:D213 B82:D82 B183:D183">
    <cfRule type="expression" dxfId="3" priority="2">
      <formula>$C50&lt;&gt;$C48</formula>
    </cfRule>
  </conditionalFormatting>
  <conditionalFormatting sqref="B150:D150 B171:D171">
    <cfRule type="expression" dxfId="2" priority="3">
      <formula>$C150&lt;&gt;#REF!</formula>
    </cfRule>
  </conditionalFormatting>
  <conditionalFormatting sqref="B83:D83">
    <cfRule type="expression" dxfId="1" priority="4">
      <formula>$C83&lt;&gt;$C80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52AE-B54A-436A-A8BC-6E69FD5F917B}">
  <sheetPr codeName="Sheet41">
    <tabColor theme="8" tint="0.39997558519241921"/>
  </sheetPr>
  <dimension ref="A1:I249"/>
  <sheetViews>
    <sheetView workbookViewId="0"/>
  </sheetViews>
  <sheetFormatPr defaultColWidth="8.85546875" defaultRowHeight="15" x14ac:dyDescent="0.25"/>
  <cols>
    <col min="1" max="1" width="4.85546875" style="36" customWidth="1"/>
    <col min="2" max="2" width="8.5703125" style="36" customWidth="1"/>
    <col min="3" max="3" width="8.85546875" style="36" customWidth="1"/>
    <col min="4" max="4" width="53" style="36" customWidth="1"/>
    <col min="5" max="8" width="13.85546875" style="36" customWidth="1"/>
    <col min="9" max="9" width="12.85546875" style="36" customWidth="1"/>
    <col min="10" max="16384" width="8.85546875" style="36"/>
  </cols>
  <sheetData>
    <row r="1" spans="1:9" x14ac:dyDescent="0.25">
      <c r="E1" s="36" t="s">
        <v>14</v>
      </c>
      <c r="F1" s="182">
        <v>1000</v>
      </c>
      <c r="H1" s="36" t="s">
        <v>15</v>
      </c>
      <c r="I1" s="183">
        <f t="array" ref="I1">AVERAGE(IF($I$5:$I$245&lt;&gt;0,IF($I$5:$I$245&lt;=F1,$I$5:$I$245)))</f>
        <v>437.4609715928197</v>
      </c>
    </row>
    <row r="2" spans="1:9" x14ac:dyDescent="0.25">
      <c r="B2" s="33" t="s">
        <v>592</v>
      </c>
      <c r="E2" s="34"/>
      <c r="H2" s="36" t="s">
        <v>16</v>
      </c>
      <c r="I2" s="183">
        <f t="array" ref="I2">STDEV(IF($I$5:$I$245&lt;&gt;0,IF($I$5:$I$245&lt;=F1,$I$5:$I$245)))</f>
        <v>187.22554555937708</v>
      </c>
    </row>
    <row r="3" spans="1:9" ht="15.75" thickBot="1" x14ac:dyDescent="0.3">
      <c r="E3" s="35">
        <f>SUM(E5:E282)</f>
        <v>344197317.13999981</v>
      </c>
      <c r="F3" s="35">
        <f>SUM(F5:F282)</f>
        <v>96400450.660000011</v>
      </c>
      <c r="G3" s="35">
        <f>SUM(G5:G282)</f>
        <v>247796866.48000005</v>
      </c>
      <c r="H3" s="163">
        <f>SUM(H5:H282)</f>
        <v>835856.23913598235</v>
      </c>
      <c r="I3" s="182">
        <f>G3/H3</f>
        <v>296.45871488157536</v>
      </c>
    </row>
    <row r="4" spans="1:9" ht="45.75" thickBot="1" x14ac:dyDescent="0.3">
      <c r="B4" s="184" t="s">
        <v>11</v>
      </c>
      <c r="C4" s="184" t="s">
        <v>10</v>
      </c>
      <c r="D4" s="184" t="s">
        <v>9</v>
      </c>
      <c r="E4" s="184" t="s">
        <v>17</v>
      </c>
      <c r="F4" s="184" t="s">
        <v>18</v>
      </c>
      <c r="G4" s="184" t="s">
        <v>19</v>
      </c>
      <c r="H4" s="185" t="s">
        <v>20</v>
      </c>
      <c r="I4" s="184" t="s">
        <v>21</v>
      </c>
    </row>
    <row r="5" spans="1:9" x14ac:dyDescent="0.25">
      <c r="A5" s="45">
        <v>1</v>
      </c>
      <c r="B5" s="193">
        <v>1</v>
      </c>
      <c r="C5" s="187">
        <v>1</v>
      </c>
      <c r="D5" s="188" t="s">
        <v>299</v>
      </c>
      <c r="E5" s="189">
        <v>9112990.4000000004</v>
      </c>
      <c r="F5" s="190">
        <v>1406231.25</v>
      </c>
      <c r="G5" s="190">
        <f>E5-F5</f>
        <v>7706759.1500000004</v>
      </c>
      <c r="H5" s="191">
        <v>43970.659999999996</v>
      </c>
      <c r="I5" s="192">
        <f>IFERROR(G5/H5,0)</f>
        <v>175.27049059531973</v>
      </c>
    </row>
    <row r="6" spans="1:9" x14ac:dyDescent="0.25">
      <c r="A6" s="45">
        <v>1</v>
      </c>
      <c r="B6" s="193">
        <v>6</v>
      </c>
      <c r="C6" s="187">
        <v>2</v>
      </c>
      <c r="D6" s="188" t="s">
        <v>305</v>
      </c>
      <c r="E6" s="189">
        <v>17861250.059999999</v>
      </c>
      <c r="F6" s="190">
        <v>5342280.3</v>
      </c>
      <c r="G6" s="190">
        <f t="shared" ref="G6:G69" si="0">E6-F6</f>
        <v>12518969.759999998</v>
      </c>
      <c r="H6" s="191">
        <v>43706.960000000006</v>
      </c>
      <c r="I6" s="192">
        <f t="shared" ref="I6:I69" si="1">IFERROR(G6/H6,0)</f>
        <v>286.42966154589556</v>
      </c>
    </row>
    <row r="7" spans="1:9" x14ac:dyDescent="0.25">
      <c r="A7" s="45">
        <v>1</v>
      </c>
      <c r="B7" s="193">
        <v>8</v>
      </c>
      <c r="C7" s="187">
        <v>5</v>
      </c>
      <c r="D7" s="188" t="s">
        <v>333</v>
      </c>
      <c r="E7" s="189">
        <v>621227.18999999994</v>
      </c>
      <c r="F7" s="190">
        <v>68723.27</v>
      </c>
      <c r="G7" s="190">
        <f t="shared" si="0"/>
        <v>552503.91999999993</v>
      </c>
      <c r="H7" s="191">
        <v>2353.7999999999997</v>
      </c>
      <c r="I7" s="192">
        <f t="shared" si="1"/>
        <v>234.7284901011131</v>
      </c>
    </row>
    <row r="8" spans="1:9" x14ac:dyDescent="0.25">
      <c r="A8" s="45">
        <v>1</v>
      </c>
      <c r="B8" s="193">
        <v>12</v>
      </c>
      <c r="C8" s="187">
        <v>4</v>
      </c>
      <c r="D8" s="188" t="s">
        <v>318</v>
      </c>
      <c r="E8" s="189">
        <v>2911366.04</v>
      </c>
      <c r="F8" s="190">
        <v>798066.29</v>
      </c>
      <c r="G8" s="190">
        <f t="shared" si="0"/>
        <v>2113299.75</v>
      </c>
      <c r="H8" s="191">
        <v>6540.0999999999995</v>
      </c>
      <c r="I8" s="192">
        <f t="shared" si="1"/>
        <v>323.12957752939559</v>
      </c>
    </row>
    <row r="9" spans="1:9" x14ac:dyDescent="0.25">
      <c r="A9" s="45">
        <v>1</v>
      </c>
      <c r="B9" s="193">
        <v>14</v>
      </c>
      <c r="C9" s="187">
        <v>3</v>
      </c>
      <c r="D9" s="188" t="s">
        <v>311</v>
      </c>
      <c r="E9" s="189">
        <v>2405193.1800000002</v>
      </c>
      <c r="F9" s="190">
        <v>326680.98</v>
      </c>
      <c r="G9" s="190">
        <f t="shared" si="0"/>
        <v>2078512.2000000002</v>
      </c>
      <c r="H9" s="191">
        <v>11989.330000000002</v>
      </c>
      <c r="I9" s="192">
        <f t="shared" si="1"/>
        <v>173.36349904456711</v>
      </c>
    </row>
    <row r="10" spans="1:9" x14ac:dyDescent="0.25">
      <c r="A10" s="45">
        <v>1</v>
      </c>
      <c r="B10" s="193">
        <v>18</v>
      </c>
      <c r="C10" s="187">
        <v>2</v>
      </c>
      <c r="D10" s="188" t="s">
        <v>306</v>
      </c>
      <c r="E10" s="189">
        <v>7643001.5800000001</v>
      </c>
      <c r="F10" s="190">
        <v>3443707.5999999996</v>
      </c>
      <c r="G10" s="190">
        <f t="shared" si="0"/>
        <v>4199293.9800000004</v>
      </c>
      <c r="H10" s="191">
        <v>23044.73</v>
      </c>
      <c r="I10" s="192">
        <f t="shared" si="1"/>
        <v>182.22361381539295</v>
      </c>
    </row>
    <row r="11" spans="1:9" x14ac:dyDescent="0.25">
      <c r="A11" s="45">
        <v>2</v>
      </c>
      <c r="B11" s="193">
        <v>20</v>
      </c>
      <c r="C11" s="187">
        <v>1</v>
      </c>
      <c r="D11" s="188" t="s">
        <v>300</v>
      </c>
      <c r="E11" s="189">
        <v>68990192.879999995</v>
      </c>
      <c r="F11" s="190">
        <v>17704198.630000003</v>
      </c>
      <c r="G11" s="190">
        <f t="shared" si="0"/>
        <v>51285994.249999993</v>
      </c>
      <c r="H11" s="191">
        <v>125140.01999999999</v>
      </c>
      <c r="I11" s="192">
        <f t="shared" si="1"/>
        <v>409.82888008168766</v>
      </c>
    </row>
    <row r="12" spans="1:9" x14ac:dyDescent="0.25">
      <c r="A12" s="45">
        <v>2</v>
      </c>
      <c r="B12" s="193">
        <v>21</v>
      </c>
      <c r="C12" s="187">
        <v>4</v>
      </c>
      <c r="D12" s="188" t="s">
        <v>319</v>
      </c>
      <c r="E12" s="189">
        <v>2542018.17</v>
      </c>
      <c r="F12" s="190">
        <v>700832.25999999989</v>
      </c>
      <c r="G12" s="190">
        <f t="shared" si="0"/>
        <v>1841185.9100000001</v>
      </c>
      <c r="H12" s="191">
        <v>5031.6800000000012</v>
      </c>
      <c r="I12" s="192">
        <f t="shared" si="1"/>
        <v>365.9187209838463</v>
      </c>
    </row>
    <row r="13" spans="1:9" x14ac:dyDescent="0.25">
      <c r="A13" s="45">
        <v>2</v>
      </c>
      <c r="B13" s="193">
        <v>34</v>
      </c>
      <c r="C13" s="187">
        <v>4</v>
      </c>
      <c r="D13" s="188" t="s">
        <v>320</v>
      </c>
      <c r="E13" s="189">
        <v>2583604.7400000002</v>
      </c>
      <c r="F13" s="190">
        <v>577411.25</v>
      </c>
      <c r="G13" s="190">
        <f t="shared" si="0"/>
        <v>2006193.4900000002</v>
      </c>
      <c r="H13" s="191">
        <v>4383.0280983803068</v>
      </c>
      <c r="I13" s="192">
        <f t="shared" si="1"/>
        <v>457.71860115187576</v>
      </c>
    </row>
    <row r="14" spans="1:9" x14ac:dyDescent="0.25">
      <c r="A14" s="45">
        <v>2</v>
      </c>
      <c r="B14" s="193">
        <v>36</v>
      </c>
      <c r="C14" s="187">
        <v>3</v>
      </c>
      <c r="D14" s="188" t="s">
        <v>312</v>
      </c>
      <c r="E14" s="189">
        <v>5911614.3099999996</v>
      </c>
      <c r="F14" s="190">
        <v>775116.69000000018</v>
      </c>
      <c r="G14" s="190">
        <f t="shared" si="0"/>
        <v>5136497.6199999992</v>
      </c>
      <c r="H14" s="191">
        <v>8208.0600000000013</v>
      </c>
      <c r="I14" s="192">
        <f t="shared" si="1"/>
        <v>625.78704590366033</v>
      </c>
    </row>
    <row r="15" spans="1:9" x14ac:dyDescent="0.25">
      <c r="A15" s="45">
        <v>2</v>
      </c>
      <c r="B15" s="193">
        <v>39</v>
      </c>
      <c r="C15" s="187">
        <v>7</v>
      </c>
      <c r="D15" s="188" t="s">
        <v>399</v>
      </c>
      <c r="E15" s="189">
        <v>126241.81</v>
      </c>
      <c r="F15" s="190">
        <v>2367.3000000000002</v>
      </c>
      <c r="G15" s="190">
        <f t="shared" si="0"/>
        <v>123874.51</v>
      </c>
      <c r="H15" s="191">
        <v>444.08000000000004</v>
      </c>
      <c r="I15" s="192">
        <f t="shared" si="1"/>
        <v>278.94638353449824</v>
      </c>
    </row>
    <row r="16" spans="1:9" x14ac:dyDescent="0.25">
      <c r="A16" s="45">
        <v>2</v>
      </c>
      <c r="B16" s="193">
        <v>41</v>
      </c>
      <c r="C16" s="187">
        <v>5</v>
      </c>
      <c r="D16" s="188" t="s">
        <v>334</v>
      </c>
      <c r="E16" s="189">
        <v>585084.06999999995</v>
      </c>
      <c r="F16" s="190">
        <v>257171.98999999996</v>
      </c>
      <c r="G16" s="190">
        <f t="shared" si="0"/>
        <v>327912.07999999996</v>
      </c>
      <c r="H16" s="191">
        <v>1790.4700000000003</v>
      </c>
      <c r="I16" s="192">
        <f t="shared" si="1"/>
        <v>183.1430183136271</v>
      </c>
    </row>
    <row r="17" spans="1:9" x14ac:dyDescent="0.25">
      <c r="A17" s="45">
        <v>3</v>
      </c>
      <c r="B17" s="193">
        <v>50</v>
      </c>
      <c r="C17" s="187">
        <v>1</v>
      </c>
      <c r="D17" s="188" t="s">
        <v>301</v>
      </c>
      <c r="E17" s="189">
        <v>9617663.75</v>
      </c>
      <c r="F17" s="190">
        <v>3453614.8900000006</v>
      </c>
      <c r="G17" s="190">
        <f t="shared" si="0"/>
        <v>6164048.8599999994</v>
      </c>
      <c r="H17" s="191">
        <v>23190.65</v>
      </c>
      <c r="I17" s="192">
        <f t="shared" si="1"/>
        <v>265.79888273937985</v>
      </c>
    </row>
    <row r="18" spans="1:9" x14ac:dyDescent="0.25">
      <c r="A18" s="45">
        <v>3</v>
      </c>
      <c r="B18" s="193">
        <v>53</v>
      </c>
      <c r="C18" s="187">
        <v>2</v>
      </c>
      <c r="D18" s="188" t="s">
        <v>307</v>
      </c>
      <c r="E18" s="189">
        <v>11890778.710000001</v>
      </c>
      <c r="F18" s="190">
        <v>4165499.05</v>
      </c>
      <c r="G18" s="190">
        <f t="shared" si="0"/>
        <v>7725279.6600000011</v>
      </c>
      <c r="H18" s="191">
        <v>33262.797399999996</v>
      </c>
      <c r="I18" s="192">
        <f t="shared" si="1"/>
        <v>232.24984859511551</v>
      </c>
    </row>
    <row r="19" spans="1:9" x14ac:dyDescent="0.25">
      <c r="A19" s="45">
        <v>3</v>
      </c>
      <c r="B19" s="193">
        <v>55</v>
      </c>
      <c r="C19" s="187">
        <v>3</v>
      </c>
      <c r="D19" s="188" t="s">
        <v>313</v>
      </c>
      <c r="E19" s="189">
        <v>1540200.2</v>
      </c>
      <c r="F19" s="190">
        <v>198951.28000000003</v>
      </c>
      <c r="G19" s="190">
        <f t="shared" si="0"/>
        <v>1341248.92</v>
      </c>
      <c r="H19" s="191">
        <v>5026.28</v>
      </c>
      <c r="I19" s="192">
        <f t="shared" si="1"/>
        <v>266.84723493319115</v>
      </c>
    </row>
    <row r="20" spans="1:9" x14ac:dyDescent="0.25">
      <c r="A20" s="45">
        <v>3</v>
      </c>
      <c r="B20" s="193">
        <v>56</v>
      </c>
      <c r="C20" s="187">
        <v>5</v>
      </c>
      <c r="D20" s="188" t="s">
        <v>335</v>
      </c>
      <c r="E20" s="189">
        <v>488570.59</v>
      </c>
      <c r="F20" s="190">
        <v>2013.31</v>
      </c>
      <c r="G20" s="190">
        <f t="shared" si="0"/>
        <v>486557.28</v>
      </c>
      <c r="H20" s="191">
        <v>2908</v>
      </c>
      <c r="I20" s="192">
        <f t="shared" si="1"/>
        <v>167.31680880330126</v>
      </c>
    </row>
    <row r="21" spans="1:9" x14ac:dyDescent="0.25">
      <c r="A21" s="45">
        <v>3</v>
      </c>
      <c r="B21" s="193">
        <v>59</v>
      </c>
      <c r="C21" s="187">
        <v>7</v>
      </c>
      <c r="D21" s="188" t="s">
        <v>400</v>
      </c>
      <c r="E21" s="189">
        <v>157113.5</v>
      </c>
      <c r="F21" s="190">
        <v>0</v>
      </c>
      <c r="G21" s="190">
        <f t="shared" si="0"/>
        <v>157113.5</v>
      </c>
      <c r="H21" s="191">
        <v>253.3851754105396</v>
      </c>
      <c r="I21" s="192">
        <f t="shared" si="1"/>
        <v>620.05797989342364</v>
      </c>
    </row>
    <row r="22" spans="1:9" x14ac:dyDescent="0.25">
      <c r="A22" s="45">
        <v>3</v>
      </c>
      <c r="B22" s="193">
        <v>67</v>
      </c>
      <c r="C22" s="187">
        <v>5</v>
      </c>
      <c r="D22" s="188" t="s">
        <v>336</v>
      </c>
      <c r="E22" s="189">
        <v>187597.74</v>
      </c>
      <c r="F22" s="190">
        <v>0</v>
      </c>
      <c r="G22" s="190">
        <f t="shared" si="0"/>
        <v>187597.74</v>
      </c>
      <c r="H22" s="191">
        <v>1429.0501372054057</v>
      </c>
      <c r="I22" s="192">
        <f t="shared" si="1"/>
        <v>131.27442845837359</v>
      </c>
    </row>
    <row r="23" spans="1:9" x14ac:dyDescent="0.25">
      <c r="A23" s="45">
        <v>3</v>
      </c>
      <c r="B23" s="193">
        <v>87</v>
      </c>
      <c r="C23" s="187">
        <v>4</v>
      </c>
      <c r="D23" s="188" t="s">
        <v>321</v>
      </c>
      <c r="E23" s="189">
        <v>4930331.6100000003</v>
      </c>
      <c r="F23" s="190">
        <v>1450844.11</v>
      </c>
      <c r="G23" s="190">
        <f t="shared" si="0"/>
        <v>3479487.5</v>
      </c>
      <c r="H23" s="191">
        <v>11449.410000000003</v>
      </c>
      <c r="I23" s="192">
        <f t="shared" si="1"/>
        <v>303.90103070813245</v>
      </c>
    </row>
    <row r="24" spans="1:9" x14ac:dyDescent="0.25">
      <c r="A24" s="45">
        <v>4</v>
      </c>
      <c r="B24" s="193">
        <v>88</v>
      </c>
      <c r="C24" s="187">
        <v>4</v>
      </c>
      <c r="D24" s="188" t="s">
        <v>322</v>
      </c>
      <c r="E24" s="189">
        <v>2025989.53</v>
      </c>
      <c r="F24" s="190">
        <v>622194.94999999995</v>
      </c>
      <c r="G24" s="190">
        <f t="shared" si="0"/>
        <v>1403794.58</v>
      </c>
      <c r="H24" s="191">
        <v>4895.6900000000005</v>
      </c>
      <c r="I24" s="192">
        <f t="shared" si="1"/>
        <v>286.74090475499878</v>
      </c>
    </row>
    <row r="25" spans="1:9" x14ac:dyDescent="0.25">
      <c r="A25" s="45">
        <v>4</v>
      </c>
      <c r="B25" s="193">
        <v>89</v>
      </c>
      <c r="C25" s="187">
        <v>4</v>
      </c>
      <c r="D25" s="188" t="s">
        <v>323</v>
      </c>
      <c r="E25" s="189">
        <v>3474232.89</v>
      </c>
      <c r="F25" s="190">
        <v>503791.61</v>
      </c>
      <c r="G25" s="190">
        <f t="shared" si="0"/>
        <v>2970441.2800000003</v>
      </c>
      <c r="H25" s="191">
        <v>5563.7699999999995</v>
      </c>
      <c r="I25" s="192">
        <f t="shared" si="1"/>
        <v>533.89002061551798</v>
      </c>
    </row>
    <row r="26" spans="1:9" x14ac:dyDescent="0.25">
      <c r="A26" s="45">
        <v>4</v>
      </c>
      <c r="B26" s="193">
        <v>97</v>
      </c>
      <c r="C26" s="187">
        <v>1</v>
      </c>
      <c r="D26" s="188" t="s">
        <v>302</v>
      </c>
      <c r="E26" s="189">
        <v>25009982.5</v>
      </c>
      <c r="F26" s="190">
        <v>9071705.5600000005</v>
      </c>
      <c r="G26" s="190">
        <f t="shared" si="0"/>
        <v>15938276.939999999</v>
      </c>
      <c r="H26" s="191">
        <v>67811.190000000017</v>
      </c>
      <c r="I26" s="192">
        <f t="shared" si="1"/>
        <v>235.039039132037</v>
      </c>
    </row>
    <row r="27" spans="1:9" x14ac:dyDescent="0.25">
      <c r="A27" s="45">
        <v>4</v>
      </c>
      <c r="B27" s="193">
        <v>100</v>
      </c>
      <c r="C27" s="187">
        <v>9</v>
      </c>
      <c r="D27" s="188" t="s">
        <v>509</v>
      </c>
      <c r="E27" s="189">
        <v>29603.85</v>
      </c>
      <c r="F27" s="190">
        <v>0</v>
      </c>
      <c r="G27" s="190">
        <f t="shared" si="0"/>
        <v>29603.85</v>
      </c>
      <c r="H27" s="191">
        <v>35.824097897303162</v>
      </c>
      <c r="I27" s="192">
        <f t="shared" si="1"/>
        <v>826.36693559919559</v>
      </c>
    </row>
    <row r="28" spans="1:9" x14ac:dyDescent="0.25">
      <c r="A28" s="45">
        <v>4</v>
      </c>
      <c r="B28" s="193">
        <v>103</v>
      </c>
      <c r="C28" s="187">
        <v>3</v>
      </c>
      <c r="D28" s="188" t="s">
        <v>314</v>
      </c>
      <c r="E28" s="189">
        <v>1475574.81</v>
      </c>
      <c r="F28" s="190">
        <v>726198.01</v>
      </c>
      <c r="G28" s="190">
        <f t="shared" si="0"/>
        <v>749376.8</v>
      </c>
      <c r="H28" s="191">
        <v>4416.28</v>
      </c>
      <c r="I28" s="192">
        <f t="shared" si="1"/>
        <v>169.68507431594014</v>
      </c>
    </row>
    <row r="29" spans="1:9" x14ac:dyDescent="0.25">
      <c r="A29" s="45">
        <v>4</v>
      </c>
      <c r="B29" s="193">
        <v>123</v>
      </c>
      <c r="C29" s="187">
        <v>3</v>
      </c>
      <c r="D29" s="188" t="s">
        <v>315</v>
      </c>
      <c r="E29" s="189">
        <v>1280784.6000000001</v>
      </c>
      <c r="F29" s="190">
        <v>0</v>
      </c>
      <c r="G29" s="190">
        <f t="shared" si="0"/>
        <v>1280784.6000000001</v>
      </c>
      <c r="H29" s="191">
        <v>6092.3600000000006</v>
      </c>
      <c r="I29" s="192">
        <f t="shared" si="1"/>
        <v>210.22799046674851</v>
      </c>
    </row>
    <row r="30" spans="1:9" x14ac:dyDescent="0.25">
      <c r="A30" s="45">
        <v>4</v>
      </c>
      <c r="B30" s="193">
        <v>128</v>
      </c>
      <c r="C30" s="187">
        <v>7</v>
      </c>
      <c r="D30" s="188" t="s">
        <v>401</v>
      </c>
      <c r="E30" s="189">
        <v>91116.62</v>
      </c>
      <c r="F30" s="190">
        <v>253.05</v>
      </c>
      <c r="G30" s="190">
        <f t="shared" si="0"/>
        <v>90863.569999999992</v>
      </c>
      <c r="H30" s="191">
        <v>163.06407726347993</v>
      </c>
      <c r="I30" s="192">
        <f t="shared" si="1"/>
        <v>557.22616240719947</v>
      </c>
    </row>
    <row r="31" spans="1:9" x14ac:dyDescent="0.25">
      <c r="A31" s="45">
        <v>4</v>
      </c>
      <c r="B31" s="193">
        <v>143</v>
      </c>
      <c r="C31" s="187">
        <v>4</v>
      </c>
      <c r="D31" s="188" t="s">
        <v>324</v>
      </c>
      <c r="E31" s="189">
        <v>921038.36</v>
      </c>
      <c r="F31" s="190">
        <v>349016.00999999995</v>
      </c>
      <c r="G31" s="190">
        <f t="shared" si="0"/>
        <v>572022.35000000009</v>
      </c>
      <c r="H31" s="191">
        <v>2972.26</v>
      </c>
      <c r="I31" s="192">
        <f t="shared" si="1"/>
        <v>192.45367161688415</v>
      </c>
    </row>
    <row r="32" spans="1:9" x14ac:dyDescent="0.25">
      <c r="A32" s="45">
        <v>4</v>
      </c>
      <c r="B32" s="193">
        <v>152</v>
      </c>
      <c r="C32" s="187">
        <v>7</v>
      </c>
      <c r="D32" s="188" t="s">
        <v>402</v>
      </c>
      <c r="E32" s="189">
        <v>146146.53</v>
      </c>
      <c r="F32" s="190">
        <v>10338.32</v>
      </c>
      <c r="G32" s="190">
        <f t="shared" si="0"/>
        <v>135808.21</v>
      </c>
      <c r="H32" s="191">
        <v>348.84252259421874</v>
      </c>
      <c r="I32" s="192">
        <f t="shared" si="1"/>
        <v>389.31093890172065</v>
      </c>
    </row>
    <row r="33" spans="1:9" x14ac:dyDescent="0.25">
      <c r="A33" s="45">
        <v>4</v>
      </c>
      <c r="B33" s="193">
        <v>157</v>
      </c>
      <c r="C33" s="187">
        <v>5</v>
      </c>
      <c r="D33" s="188" t="s">
        <v>337</v>
      </c>
      <c r="E33" s="189">
        <v>145208.92000000001</v>
      </c>
      <c r="F33" s="190">
        <v>170</v>
      </c>
      <c r="G33" s="190">
        <f t="shared" si="0"/>
        <v>145038.92000000001</v>
      </c>
      <c r="H33" s="191">
        <v>520.1107260807803</v>
      </c>
      <c r="I33" s="192">
        <f t="shared" si="1"/>
        <v>278.86162066473798</v>
      </c>
    </row>
    <row r="34" spans="1:9" x14ac:dyDescent="0.25">
      <c r="A34" s="45">
        <v>4</v>
      </c>
      <c r="B34" s="193">
        <v>159</v>
      </c>
      <c r="C34" s="187">
        <v>9</v>
      </c>
      <c r="D34" s="188" t="s">
        <v>510</v>
      </c>
      <c r="E34" s="189">
        <v>156611.32</v>
      </c>
      <c r="F34" s="190">
        <v>0</v>
      </c>
      <c r="G34" s="190">
        <f t="shared" si="0"/>
        <v>156611.32</v>
      </c>
      <c r="H34" s="191">
        <v>788.86692772911874</v>
      </c>
      <c r="I34" s="192">
        <f t="shared" si="1"/>
        <v>198.52691815948106</v>
      </c>
    </row>
    <row r="35" spans="1:9" x14ac:dyDescent="0.25">
      <c r="A35" s="45">
        <v>4</v>
      </c>
      <c r="B35" s="193">
        <v>162</v>
      </c>
      <c r="C35" s="187">
        <v>7</v>
      </c>
      <c r="D35" s="188" t="s">
        <v>403</v>
      </c>
      <c r="E35" s="189">
        <v>357818.4</v>
      </c>
      <c r="F35" s="190">
        <v>28615.620000000003</v>
      </c>
      <c r="G35" s="190">
        <f t="shared" si="0"/>
        <v>329202.78000000003</v>
      </c>
      <c r="H35" s="191">
        <v>850.15000000000009</v>
      </c>
      <c r="I35" s="192">
        <f t="shared" si="1"/>
        <v>387.22905369640648</v>
      </c>
    </row>
    <row r="36" spans="1:9" x14ac:dyDescent="0.25">
      <c r="A36" s="45">
        <v>4</v>
      </c>
      <c r="B36" s="193">
        <v>166</v>
      </c>
      <c r="C36" s="187">
        <v>7</v>
      </c>
      <c r="D36" s="188" t="s">
        <v>404</v>
      </c>
      <c r="E36" s="189">
        <v>406931.89</v>
      </c>
      <c r="F36" s="190">
        <v>124222.53</v>
      </c>
      <c r="G36" s="190">
        <f t="shared" si="0"/>
        <v>282709.36</v>
      </c>
      <c r="H36" s="191">
        <v>833.2299999999999</v>
      </c>
      <c r="I36" s="192">
        <f t="shared" si="1"/>
        <v>339.29330436974186</v>
      </c>
    </row>
    <row r="37" spans="1:9" x14ac:dyDescent="0.25">
      <c r="A37" s="45">
        <v>4</v>
      </c>
      <c r="B37" s="193">
        <v>172</v>
      </c>
      <c r="C37" s="187">
        <v>1</v>
      </c>
      <c r="D37" s="188" t="s">
        <v>303</v>
      </c>
      <c r="E37" s="189">
        <v>14136507.07</v>
      </c>
      <c r="F37" s="190">
        <v>4169394.9099999997</v>
      </c>
      <c r="G37" s="190">
        <f t="shared" si="0"/>
        <v>9967112.1600000001</v>
      </c>
      <c r="H37" s="191">
        <v>35625.740000000005</v>
      </c>
      <c r="I37" s="192">
        <f t="shared" si="1"/>
        <v>279.77277552690833</v>
      </c>
    </row>
    <row r="38" spans="1:9" x14ac:dyDescent="0.25">
      <c r="A38" s="45">
        <v>4</v>
      </c>
      <c r="B38" s="193">
        <v>173</v>
      </c>
      <c r="C38" s="187">
        <v>9</v>
      </c>
      <c r="D38" s="188" t="s">
        <v>511</v>
      </c>
      <c r="E38" s="189">
        <v>165403.65</v>
      </c>
      <c r="F38" s="190">
        <v>70</v>
      </c>
      <c r="G38" s="190">
        <f t="shared" si="0"/>
        <v>165333.65</v>
      </c>
      <c r="H38" s="191">
        <v>335.96999999999997</v>
      </c>
      <c r="I38" s="192">
        <f t="shared" si="1"/>
        <v>492.10837277137841</v>
      </c>
    </row>
    <row r="39" spans="1:9" x14ac:dyDescent="0.25">
      <c r="A39" s="45">
        <v>5</v>
      </c>
      <c r="B39" s="193">
        <v>179</v>
      </c>
      <c r="C39" s="187">
        <v>3</v>
      </c>
      <c r="D39" s="188" t="s">
        <v>316</v>
      </c>
      <c r="E39" s="189">
        <v>2266732.16</v>
      </c>
      <c r="F39" s="190">
        <v>832595.65</v>
      </c>
      <c r="G39" s="190">
        <f t="shared" si="0"/>
        <v>1434136.5100000002</v>
      </c>
      <c r="H39" s="191">
        <v>6393.23</v>
      </c>
      <c r="I39" s="192">
        <f t="shared" si="1"/>
        <v>224.3211193715853</v>
      </c>
    </row>
    <row r="40" spans="1:9" x14ac:dyDescent="0.25">
      <c r="A40" s="45">
        <v>5</v>
      </c>
      <c r="B40" s="193">
        <v>183</v>
      </c>
      <c r="C40" s="187">
        <v>4</v>
      </c>
      <c r="D40" s="188" t="s">
        <v>325</v>
      </c>
      <c r="E40" s="189">
        <v>6404140.3300000001</v>
      </c>
      <c r="F40" s="190">
        <v>929109.82</v>
      </c>
      <c r="G40" s="190">
        <f t="shared" si="0"/>
        <v>5475030.5099999998</v>
      </c>
      <c r="H40" s="191">
        <v>13310.259999999998</v>
      </c>
      <c r="I40" s="192">
        <f t="shared" si="1"/>
        <v>411.33911058086022</v>
      </c>
    </row>
    <row r="41" spans="1:9" x14ac:dyDescent="0.25">
      <c r="A41" s="45">
        <v>5</v>
      </c>
      <c r="B41" s="193">
        <v>186</v>
      </c>
      <c r="C41" s="187">
        <v>4</v>
      </c>
      <c r="D41" s="188" t="s">
        <v>326</v>
      </c>
      <c r="E41" s="189">
        <v>6470725.8099999996</v>
      </c>
      <c r="F41" s="190">
        <v>1403161.9500000004</v>
      </c>
      <c r="G41" s="190">
        <f t="shared" si="0"/>
        <v>5067563.8599999994</v>
      </c>
      <c r="H41" s="191">
        <v>11843.06</v>
      </c>
      <c r="I41" s="192">
        <f t="shared" si="1"/>
        <v>427.89311715046614</v>
      </c>
    </row>
    <row r="42" spans="1:9" x14ac:dyDescent="0.25">
      <c r="A42" s="45">
        <v>5</v>
      </c>
      <c r="B42" s="193">
        <v>188</v>
      </c>
      <c r="C42" s="187">
        <v>8</v>
      </c>
      <c r="D42" s="188" t="s">
        <v>460</v>
      </c>
      <c r="E42" s="189">
        <v>222885.73</v>
      </c>
      <c r="F42" s="190">
        <v>20234.97</v>
      </c>
      <c r="G42" s="190">
        <f t="shared" si="0"/>
        <v>202650.76</v>
      </c>
      <c r="H42" s="191">
        <v>272.38</v>
      </c>
      <c r="I42" s="192">
        <f t="shared" si="1"/>
        <v>744.00014685366034</v>
      </c>
    </row>
    <row r="43" spans="1:9" x14ac:dyDescent="0.25">
      <c r="A43" s="45">
        <v>5</v>
      </c>
      <c r="B43" s="193">
        <v>190</v>
      </c>
      <c r="C43" s="187">
        <v>4</v>
      </c>
      <c r="D43" s="188" t="s">
        <v>327</v>
      </c>
      <c r="E43" s="189">
        <v>1980947.67</v>
      </c>
      <c r="F43" s="190">
        <v>553343.46</v>
      </c>
      <c r="G43" s="190">
        <f t="shared" si="0"/>
        <v>1427604.21</v>
      </c>
      <c r="H43" s="191">
        <v>3640.8700000000003</v>
      </c>
      <c r="I43" s="192">
        <f t="shared" si="1"/>
        <v>392.10524132968214</v>
      </c>
    </row>
    <row r="44" spans="1:9" x14ac:dyDescent="0.25">
      <c r="A44" s="45">
        <v>5</v>
      </c>
      <c r="B44" s="193">
        <v>192</v>
      </c>
      <c r="C44" s="187">
        <v>7</v>
      </c>
      <c r="D44" s="188" t="s">
        <v>405</v>
      </c>
      <c r="E44" s="189">
        <v>96956.74</v>
      </c>
      <c r="F44" s="190">
        <v>44093.279999999999</v>
      </c>
      <c r="G44" s="190">
        <f t="shared" si="0"/>
        <v>52863.460000000006</v>
      </c>
      <c r="H44" s="191">
        <v>174.28000000000003</v>
      </c>
      <c r="I44" s="192">
        <f t="shared" si="1"/>
        <v>303.32487950424604</v>
      </c>
    </row>
    <row r="45" spans="1:9" x14ac:dyDescent="0.25">
      <c r="A45" s="45">
        <v>5</v>
      </c>
      <c r="B45" s="193">
        <v>204</v>
      </c>
      <c r="C45" s="187">
        <v>9</v>
      </c>
      <c r="D45" s="188" t="s">
        <v>512</v>
      </c>
      <c r="E45" s="189">
        <v>436718.59</v>
      </c>
      <c r="F45" s="190">
        <v>8908.4500000000007</v>
      </c>
      <c r="G45" s="190">
        <f t="shared" si="0"/>
        <v>427810.14</v>
      </c>
      <c r="H45" s="191">
        <v>721.47299100758471</v>
      </c>
      <c r="I45" s="192">
        <f t="shared" si="1"/>
        <v>592.96764443327936</v>
      </c>
    </row>
    <row r="46" spans="1:9" x14ac:dyDescent="0.25">
      <c r="A46" s="45">
        <v>5</v>
      </c>
      <c r="B46" s="193">
        <v>205</v>
      </c>
      <c r="C46" s="187">
        <v>7</v>
      </c>
      <c r="D46" s="188" t="s">
        <v>406</v>
      </c>
      <c r="E46" s="189">
        <v>369597.27</v>
      </c>
      <c r="F46" s="190">
        <v>17283.330000000002</v>
      </c>
      <c r="G46" s="190">
        <f t="shared" si="0"/>
        <v>352313.94</v>
      </c>
      <c r="H46" s="191">
        <v>654.37044814837861</v>
      </c>
      <c r="I46" s="192">
        <f t="shared" si="1"/>
        <v>538.40136118144619</v>
      </c>
    </row>
    <row r="47" spans="1:9" x14ac:dyDescent="0.25">
      <c r="A47" s="45">
        <v>5</v>
      </c>
      <c r="B47" s="193">
        <v>212</v>
      </c>
      <c r="C47" s="187">
        <v>7</v>
      </c>
      <c r="D47" s="188" t="s">
        <v>407</v>
      </c>
      <c r="E47" s="189">
        <v>233128.4</v>
      </c>
      <c r="F47" s="190">
        <v>855</v>
      </c>
      <c r="G47" s="190">
        <f t="shared" si="0"/>
        <v>232273.4</v>
      </c>
      <c r="H47" s="191">
        <v>527.85992115153363</v>
      </c>
      <c r="I47" s="192">
        <f t="shared" si="1"/>
        <v>440.02848235435721</v>
      </c>
    </row>
    <row r="48" spans="1:9" x14ac:dyDescent="0.25">
      <c r="A48" s="45">
        <v>5</v>
      </c>
      <c r="B48" s="193">
        <v>214</v>
      </c>
      <c r="C48" s="187">
        <v>5</v>
      </c>
      <c r="D48" s="188" t="s">
        <v>338</v>
      </c>
      <c r="E48" s="189">
        <v>1627157.5</v>
      </c>
      <c r="F48" s="190">
        <v>310296.28999999998</v>
      </c>
      <c r="G48" s="190">
        <f t="shared" si="0"/>
        <v>1316861.21</v>
      </c>
      <c r="H48" s="191">
        <v>3129.3300000000004</v>
      </c>
      <c r="I48" s="192">
        <f t="shared" si="1"/>
        <v>420.81250938699333</v>
      </c>
    </row>
    <row r="49" spans="1:9" x14ac:dyDescent="0.25">
      <c r="A49" s="45">
        <v>5</v>
      </c>
      <c r="B49" s="193">
        <v>216</v>
      </c>
      <c r="C49" s="187">
        <v>7</v>
      </c>
      <c r="D49" s="188" t="s">
        <v>408</v>
      </c>
      <c r="E49" s="189">
        <v>371837.25</v>
      </c>
      <c r="F49" s="190">
        <v>480</v>
      </c>
      <c r="G49" s="190">
        <f t="shared" si="0"/>
        <v>371357.25</v>
      </c>
      <c r="H49" s="191">
        <v>863.69140794001498</v>
      </c>
      <c r="I49" s="192">
        <f t="shared" si="1"/>
        <v>429.96520121199524</v>
      </c>
    </row>
    <row r="50" spans="1:9" x14ac:dyDescent="0.25">
      <c r="A50" s="45">
        <v>5</v>
      </c>
      <c r="B50" s="193">
        <v>218</v>
      </c>
      <c r="C50" s="187">
        <v>9</v>
      </c>
      <c r="D50" s="188" t="s">
        <v>513</v>
      </c>
      <c r="E50" s="189">
        <v>191809.35</v>
      </c>
      <c r="F50" s="190">
        <v>296</v>
      </c>
      <c r="G50" s="190">
        <f t="shared" si="0"/>
        <v>191513.35</v>
      </c>
      <c r="H50" s="191">
        <v>328.51926160015944</v>
      </c>
      <c r="I50" s="192">
        <f t="shared" si="1"/>
        <v>582.95927327722654</v>
      </c>
    </row>
    <row r="51" spans="1:9" x14ac:dyDescent="0.25">
      <c r="A51" s="45">
        <v>5</v>
      </c>
      <c r="B51" s="193">
        <v>223</v>
      </c>
      <c r="C51" s="187">
        <v>5</v>
      </c>
      <c r="D51" s="188" t="s">
        <v>339</v>
      </c>
      <c r="E51" s="189">
        <v>211908.17</v>
      </c>
      <c r="F51" s="190">
        <v>3369.32</v>
      </c>
      <c r="G51" s="190">
        <f t="shared" si="0"/>
        <v>208538.85</v>
      </c>
      <c r="H51" s="191">
        <v>328.04</v>
      </c>
      <c r="I51" s="192">
        <f t="shared" si="1"/>
        <v>635.71165101816848</v>
      </c>
    </row>
    <row r="52" spans="1:9" x14ac:dyDescent="0.25">
      <c r="A52" s="45">
        <v>5</v>
      </c>
      <c r="B52" s="193">
        <v>224</v>
      </c>
      <c r="C52" s="187">
        <v>5</v>
      </c>
      <c r="D52" s="188" t="s">
        <v>340</v>
      </c>
      <c r="E52" s="189">
        <v>72126.84</v>
      </c>
      <c r="F52" s="190">
        <v>190</v>
      </c>
      <c r="G52" s="190">
        <f t="shared" si="0"/>
        <v>71936.84</v>
      </c>
      <c r="H52" s="191">
        <v>271.91600384295708</v>
      </c>
      <c r="I52" s="192">
        <f t="shared" si="1"/>
        <v>264.55537365703032</v>
      </c>
    </row>
    <row r="53" spans="1:9" x14ac:dyDescent="0.25">
      <c r="A53" s="45">
        <v>5</v>
      </c>
      <c r="B53" s="193">
        <v>229</v>
      </c>
      <c r="C53" s="187">
        <v>7</v>
      </c>
      <c r="D53" s="188" t="s">
        <v>409</v>
      </c>
      <c r="E53" s="189">
        <v>406764.58</v>
      </c>
      <c r="F53" s="190">
        <v>111682.77000000002</v>
      </c>
      <c r="G53" s="190">
        <f t="shared" si="0"/>
        <v>295081.81</v>
      </c>
      <c r="H53" s="191">
        <v>848.5</v>
      </c>
      <c r="I53" s="192">
        <f t="shared" si="1"/>
        <v>347.76878020035355</v>
      </c>
    </row>
    <row r="54" spans="1:9" x14ac:dyDescent="0.25">
      <c r="A54" s="45">
        <v>5</v>
      </c>
      <c r="B54" s="193">
        <v>230</v>
      </c>
      <c r="C54" s="187">
        <v>9</v>
      </c>
      <c r="D54" s="188" t="s">
        <v>514</v>
      </c>
      <c r="E54" s="189">
        <v>66569.070000000007</v>
      </c>
      <c r="F54" s="190">
        <v>2335.5099999999998</v>
      </c>
      <c r="G54" s="190">
        <f t="shared" si="0"/>
        <v>64233.560000000005</v>
      </c>
      <c r="H54" s="191">
        <v>144.52224965646064</v>
      </c>
      <c r="I54" s="192">
        <f t="shared" si="1"/>
        <v>444.45447086997058</v>
      </c>
    </row>
    <row r="55" spans="1:9" x14ac:dyDescent="0.25">
      <c r="A55" s="45">
        <v>5</v>
      </c>
      <c r="B55" s="193">
        <v>232</v>
      </c>
      <c r="C55" s="187">
        <v>8</v>
      </c>
      <c r="D55" s="188" t="s">
        <v>461</v>
      </c>
      <c r="E55" s="189">
        <v>85070.85</v>
      </c>
      <c r="F55" s="190">
        <v>0</v>
      </c>
      <c r="G55" s="190">
        <f t="shared" si="0"/>
        <v>85070.85</v>
      </c>
      <c r="H55" s="191">
        <v>88.565522031298372</v>
      </c>
      <c r="I55" s="192">
        <f t="shared" si="1"/>
        <v>960.54139408715537</v>
      </c>
    </row>
    <row r="56" spans="1:9" x14ac:dyDescent="0.25">
      <c r="A56" s="45">
        <v>5</v>
      </c>
      <c r="B56" s="193">
        <v>233</v>
      </c>
      <c r="C56" s="187">
        <v>5</v>
      </c>
      <c r="D56" s="188" t="s">
        <v>341</v>
      </c>
      <c r="E56" s="189">
        <v>625378.56000000006</v>
      </c>
      <c r="F56" s="190">
        <v>272048.02</v>
      </c>
      <c r="G56" s="190">
        <f t="shared" si="0"/>
        <v>353330.54000000004</v>
      </c>
      <c r="H56" s="191">
        <v>2093.62</v>
      </c>
      <c r="I56" s="192">
        <f t="shared" si="1"/>
        <v>168.76536334196274</v>
      </c>
    </row>
    <row r="57" spans="1:9" x14ac:dyDescent="0.25">
      <c r="A57" s="45">
        <v>5</v>
      </c>
      <c r="B57" s="193">
        <v>236</v>
      </c>
      <c r="C57" s="187">
        <v>7</v>
      </c>
      <c r="D57" s="188" t="s">
        <v>410</v>
      </c>
      <c r="E57" s="189">
        <v>601141.41</v>
      </c>
      <c r="F57" s="190">
        <v>147397.06000000003</v>
      </c>
      <c r="G57" s="190">
        <f t="shared" si="0"/>
        <v>453744.35</v>
      </c>
      <c r="H57" s="191">
        <v>998.67961466343343</v>
      </c>
      <c r="I57" s="192">
        <f t="shared" si="1"/>
        <v>454.3442594979943</v>
      </c>
    </row>
    <row r="58" spans="1:9" x14ac:dyDescent="0.25">
      <c r="A58" s="45">
        <v>5</v>
      </c>
      <c r="B58" s="193">
        <v>239</v>
      </c>
      <c r="C58" s="187">
        <v>7</v>
      </c>
      <c r="D58" s="188" t="s">
        <v>411</v>
      </c>
      <c r="E58" s="189">
        <v>1694543.39</v>
      </c>
      <c r="F58" s="190">
        <v>408372.34</v>
      </c>
      <c r="G58" s="190">
        <f t="shared" si="0"/>
        <v>1286171.0499999998</v>
      </c>
      <c r="H58" s="191">
        <v>3112.44</v>
      </c>
      <c r="I58" s="192">
        <f t="shared" si="1"/>
        <v>413.2356125740576</v>
      </c>
    </row>
    <row r="59" spans="1:9" x14ac:dyDescent="0.25">
      <c r="A59" s="45">
        <v>5</v>
      </c>
      <c r="B59" s="193">
        <v>245</v>
      </c>
      <c r="C59" s="187">
        <v>8</v>
      </c>
      <c r="D59" s="188" t="s">
        <v>462</v>
      </c>
      <c r="E59" s="189">
        <v>611225.21</v>
      </c>
      <c r="F59" s="190">
        <v>0</v>
      </c>
      <c r="G59" s="190">
        <f t="shared" si="0"/>
        <v>611225.21</v>
      </c>
      <c r="H59" s="191">
        <v>189.79040065880613</v>
      </c>
      <c r="I59" s="192">
        <f t="shared" si="1"/>
        <v>3220.5275286752999</v>
      </c>
    </row>
    <row r="60" spans="1:9" x14ac:dyDescent="0.25">
      <c r="A60" s="45">
        <v>6</v>
      </c>
      <c r="B60" s="193">
        <v>249</v>
      </c>
      <c r="C60" s="187">
        <v>7</v>
      </c>
      <c r="D60" s="188" t="s">
        <v>412</v>
      </c>
      <c r="E60" s="189">
        <v>550202.99</v>
      </c>
      <c r="F60" s="190">
        <v>0</v>
      </c>
      <c r="G60" s="190">
        <f t="shared" si="0"/>
        <v>550202.99</v>
      </c>
      <c r="H60" s="191">
        <v>1404.2530921096834</v>
      </c>
      <c r="I60" s="192">
        <f t="shared" si="1"/>
        <v>391.8118415344922</v>
      </c>
    </row>
    <row r="61" spans="1:9" x14ac:dyDescent="0.25">
      <c r="A61" s="45">
        <v>6</v>
      </c>
      <c r="B61" s="193">
        <v>270</v>
      </c>
      <c r="C61" s="187">
        <v>1</v>
      </c>
      <c r="D61" s="188" t="s">
        <v>304</v>
      </c>
      <c r="E61" s="189">
        <v>37138695.909999996</v>
      </c>
      <c r="F61" s="190">
        <v>10286356.529999999</v>
      </c>
      <c r="G61" s="190">
        <f t="shared" si="0"/>
        <v>26852339.379999995</v>
      </c>
      <c r="H61" s="191">
        <v>86316.640000000029</v>
      </c>
      <c r="I61" s="192">
        <f t="shared" si="1"/>
        <v>311.09111035832706</v>
      </c>
    </row>
    <row r="62" spans="1:9" x14ac:dyDescent="0.25">
      <c r="A62" s="45">
        <v>6</v>
      </c>
      <c r="B62" s="193">
        <v>271</v>
      </c>
      <c r="C62" s="187">
        <v>7</v>
      </c>
      <c r="D62" s="188" t="s">
        <v>413</v>
      </c>
      <c r="E62" s="189">
        <v>589241.13</v>
      </c>
      <c r="F62" s="190">
        <v>146366.99000000002</v>
      </c>
      <c r="G62" s="190">
        <f t="shared" si="0"/>
        <v>442874.14</v>
      </c>
      <c r="H62" s="191">
        <v>875.04199999999992</v>
      </c>
      <c r="I62" s="192">
        <f t="shared" si="1"/>
        <v>506.11758064184352</v>
      </c>
    </row>
    <row r="63" spans="1:9" x14ac:dyDescent="0.25">
      <c r="A63" s="45">
        <v>6</v>
      </c>
      <c r="B63" s="193">
        <v>272</v>
      </c>
      <c r="C63" s="187">
        <v>5</v>
      </c>
      <c r="D63" s="188" t="s">
        <v>342</v>
      </c>
      <c r="E63" s="189">
        <v>99371.17</v>
      </c>
      <c r="F63" s="190">
        <v>0</v>
      </c>
      <c r="G63" s="190">
        <f t="shared" si="0"/>
        <v>99371.17</v>
      </c>
      <c r="H63" s="191">
        <v>381.39814155448289</v>
      </c>
      <c r="I63" s="192">
        <f t="shared" si="1"/>
        <v>260.54445256337146</v>
      </c>
    </row>
    <row r="64" spans="1:9" x14ac:dyDescent="0.25">
      <c r="A64" s="45">
        <v>6</v>
      </c>
      <c r="B64" s="193">
        <v>275</v>
      </c>
      <c r="C64" s="187">
        <v>7</v>
      </c>
      <c r="D64" s="188" t="s">
        <v>414</v>
      </c>
      <c r="E64" s="189">
        <v>301197.03999999998</v>
      </c>
      <c r="F64" s="190">
        <v>116118.27</v>
      </c>
      <c r="G64" s="190">
        <f t="shared" si="0"/>
        <v>185078.76999999996</v>
      </c>
      <c r="H64" s="191">
        <v>699.2</v>
      </c>
      <c r="I64" s="192">
        <f t="shared" si="1"/>
        <v>264.70075800915322</v>
      </c>
    </row>
    <row r="65" spans="1:9" x14ac:dyDescent="0.25">
      <c r="A65" s="45">
        <v>6</v>
      </c>
      <c r="B65" s="193">
        <v>277</v>
      </c>
      <c r="C65" s="187">
        <v>9</v>
      </c>
      <c r="D65" s="188" t="s">
        <v>515</v>
      </c>
      <c r="E65" s="189">
        <v>70919.39</v>
      </c>
      <c r="F65" s="190">
        <v>0</v>
      </c>
      <c r="G65" s="190">
        <f t="shared" si="0"/>
        <v>70919.39</v>
      </c>
      <c r="H65" s="191">
        <v>124.25216410827329</v>
      </c>
      <c r="I65" s="192">
        <f t="shared" si="1"/>
        <v>570.76985748273057</v>
      </c>
    </row>
    <row r="66" spans="1:9" x14ac:dyDescent="0.25">
      <c r="A66" s="45">
        <v>6</v>
      </c>
      <c r="B66" s="193">
        <v>279</v>
      </c>
      <c r="C66" s="187">
        <v>9</v>
      </c>
      <c r="D66" s="188" t="s">
        <v>516</v>
      </c>
      <c r="E66" s="189">
        <v>112813.46</v>
      </c>
      <c r="F66" s="190">
        <v>200</v>
      </c>
      <c r="G66" s="190">
        <f t="shared" si="0"/>
        <v>112613.46</v>
      </c>
      <c r="H66" s="191">
        <v>798.20063738181045</v>
      </c>
      <c r="I66" s="192">
        <f t="shared" si="1"/>
        <v>141.08415193626638</v>
      </c>
    </row>
    <row r="67" spans="1:9" x14ac:dyDescent="0.25">
      <c r="A67" s="45">
        <v>6</v>
      </c>
      <c r="B67" s="193">
        <v>282</v>
      </c>
      <c r="C67" s="187">
        <v>7</v>
      </c>
      <c r="D67" s="188" t="s">
        <v>415</v>
      </c>
      <c r="E67" s="189">
        <v>49704.43</v>
      </c>
      <c r="F67" s="190">
        <v>0</v>
      </c>
      <c r="G67" s="190">
        <f t="shared" si="0"/>
        <v>49704.43</v>
      </c>
      <c r="H67" s="191">
        <v>169.86807859073753</v>
      </c>
      <c r="I67" s="192">
        <f t="shared" si="1"/>
        <v>292.60606473187164</v>
      </c>
    </row>
    <row r="68" spans="1:9" x14ac:dyDescent="0.25">
      <c r="A68" s="45">
        <v>6</v>
      </c>
      <c r="B68" s="193">
        <v>287</v>
      </c>
      <c r="C68" s="187">
        <v>7</v>
      </c>
      <c r="D68" s="188" t="s">
        <v>416</v>
      </c>
      <c r="E68" s="189">
        <v>65897.53</v>
      </c>
      <c r="F68" s="190">
        <v>0</v>
      </c>
      <c r="G68" s="190">
        <f t="shared" si="0"/>
        <v>65897.53</v>
      </c>
      <c r="H68" s="191">
        <v>203.09241598437666</v>
      </c>
      <c r="I68" s="192">
        <f t="shared" si="1"/>
        <v>324.47065874222164</v>
      </c>
    </row>
    <row r="69" spans="1:9" x14ac:dyDescent="0.25">
      <c r="A69" s="45">
        <v>6</v>
      </c>
      <c r="B69" s="193">
        <v>290</v>
      </c>
      <c r="C69" s="187">
        <v>7</v>
      </c>
      <c r="D69" s="188" t="s">
        <v>417</v>
      </c>
      <c r="E69" s="189">
        <v>162319.17000000001</v>
      </c>
      <c r="F69" s="190">
        <v>0</v>
      </c>
      <c r="G69" s="190">
        <f t="shared" si="0"/>
        <v>162319.17000000001</v>
      </c>
      <c r="H69" s="191">
        <v>387.04630277390868</v>
      </c>
      <c r="I69" s="192">
        <f t="shared" si="1"/>
        <v>419.37920304800849</v>
      </c>
    </row>
    <row r="70" spans="1:9" x14ac:dyDescent="0.25">
      <c r="A70" s="45">
        <v>6</v>
      </c>
      <c r="B70" s="193">
        <v>293</v>
      </c>
      <c r="C70" s="187">
        <v>3</v>
      </c>
      <c r="D70" s="188" t="s">
        <v>317</v>
      </c>
      <c r="E70" s="189">
        <v>1946070.4</v>
      </c>
      <c r="F70" s="190">
        <v>1038396.9600000001</v>
      </c>
      <c r="G70" s="190">
        <f t="shared" ref="G70:G133" si="2">E70-F70</f>
        <v>907673.43999999983</v>
      </c>
      <c r="H70" s="191">
        <v>7426.93</v>
      </c>
      <c r="I70" s="192">
        <f t="shared" ref="I70:I133" si="3">IFERROR(G70/H70,0)</f>
        <v>122.21381378308396</v>
      </c>
    </row>
    <row r="71" spans="1:9" x14ac:dyDescent="0.25">
      <c r="A71" s="45">
        <v>6</v>
      </c>
      <c r="B71" s="193">
        <v>294</v>
      </c>
      <c r="C71" s="187">
        <v>7</v>
      </c>
      <c r="D71" s="188" t="s">
        <v>418</v>
      </c>
      <c r="E71" s="189">
        <v>593671.34</v>
      </c>
      <c r="F71" s="190">
        <v>1688.46</v>
      </c>
      <c r="G71" s="190">
        <f t="shared" si="2"/>
        <v>591982.88</v>
      </c>
      <c r="H71" s="191">
        <v>1303.7823906926667</v>
      </c>
      <c r="I71" s="192">
        <f t="shared" si="3"/>
        <v>454.05037238269068</v>
      </c>
    </row>
    <row r="72" spans="1:9" x14ac:dyDescent="0.25">
      <c r="A72" s="45">
        <v>6</v>
      </c>
      <c r="B72" s="193">
        <v>296</v>
      </c>
      <c r="C72" s="187">
        <v>7</v>
      </c>
      <c r="D72" s="188" t="s">
        <v>419</v>
      </c>
      <c r="E72" s="189">
        <v>798338.58</v>
      </c>
      <c r="F72" s="190">
        <v>171079.48000000004</v>
      </c>
      <c r="G72" s="190">
        <f t="shared" si="2"/>
        <v>627259.09999999986</v>
      </c>
      <c r="H72" s="191">
        <v>914.83999999999992</v>
      </c>
      <c r="I72" s="192">
        <f t="shared" si="3"/>
        <v>685.6489659393992</v>
      </c>
    </row>
    <row r="73" spans="1:9" x14ac:dyDescent="0.25">
      <c r="A73" s="45">
        <v>6</v>
      </c>
      <c r="B73" s="193">
        <v>301</v>
      </c>
      <c r="C73" s="187">
        <v>7</v>
      </c>
      <c r="D73" s="188" t="s">
        <v>420</v>
      </c>
      <c r="E73" s="189">
        <v>239958.39</v>
      </c>
      <c r="F73" s="190">
        <v>1452.49</v>
      </c>
      <c r="G73" s="190">
        <f t="shared" si="2"/>
        <v>238505.90000000002</v>
      </c>
      <c r="H73" s="191">
        <v>641.50907968472882</v>
      </c>
      <c r="I73" s="192">
        <f t="shared" si="3"/>
        <v>371.78881414619156</v>
      </c>
    </row>
    <row r="74" spans="1:9" x14ac:dyDescent="0.25">
      <c r="A74" s="45">
        <v>6</v>
      </c>
      <c r="B74" s="193">
        <v>321</v>
      </c>
      <c r="C74" s="187">
        <v>7</v>
      </c>
      <c r="D74" s="188" t="s">
        <v>421</v>
      </c>
      <c r="E74" s="189">
        <v>427548.87</v>
      </c>
      <c r="F74" s="190">
        <v>44460.180000000008</v>
      </c>
      <c r="G74" s="190">
        <f t="shared" si="2"/>
        <v>383088.69</v>
      </c>
      <c r="H74" s="191">
        <v>471.72999999999996</v>
      </c>
      <c r="I74" s="192">
        <f t="shared" si="3"/>
        <v>812.09312530472948</v>
      </c>
    </row>
    <row r="75" spans="1:9" x14ac:dyDescent="0.25">
      <c r="A75" s="45">
        <v>6</v>
      </c>
      <c r="B75" s="193">
        <v>324</v>
      </c>
      <c r="C75" s="187">
        <v>4</v>
      </c>
      <c r="D75" s="188" t="s">
        <v>328</v>
      </c>
      <c r="E75" s="189">
        <v>4004161.99</v>
      </c>
      <c r="F75" s="190">
        <v>1192024.54</v>
      </c>
      <c r="G75" s="190">
        <f t="shared" si="2"/>
        <v>2812137.45</v>
      </c>
      <c r="H75" s="191">
        <v>8281.93</v>
      </c>
      <c r="I75" s="192">
        <f t="shared" si="3"/>
        <v>339.55098026667696</v>
      </c>
    </row>
    <row r="76" spans="1:9" x14ac:dyDescent="0.25">
      <c r="A76" s="45">
        <v>6</v>
      </c>
      <c r="B76" s="193">
        <v>325</v>
      </c>
      <c r="C76" s="187">
        <v>7</v>
      </c>
      <c r="D76" s="188" t="s">
        <v>422</v>
      </c>
      <c r="E76" s="189">
        <v>192451.15</v>
      </c>
      <c r="F76" s="190">
        <v>1208</v>
      </c>
      <c r="G76" s="190">
        <f t="shared" si="2"/>
        <v>191243.15</v>
      </c>
      <c r="H76" s="191">
        <v>407.25024077788987</v>
      </c>
      <c r="I76" s="192">
        <f t="shared" si="3"/>
        <v>469.5961618947257</v>
      </c>
    </row>
    <row r="77" spans="1:9" x14ac:dyDescent="0.25">
      <c r="A77" s="45">
        <v>6</v>
      </c>
      <c r="B77" s="193">
        <v>331</v>
      </c>
      <c r="C77" s="187">
        <v>9</v>
      </c>
      <c r="D77" s="188" t="s">
        <v>517</v>
      </c>
      <c r="E77" s="189">
        <v>162371.22</v>
      </c>
      <c r="F77" s="190">
        <v>12843.16</v>
      </c>
      <c r="G77" s="190">
        <f t="shared" si="2"/>
        <v>149528.06</v>
      </c>
      <c r="H77" s="191">
        <v>424.87046339053245</v>
      </c>
      <c r="I77" s="192">
        <f t="shared" si="3"/>
        <v>351.93799730567946</v>
      </c>
    </row>
    <row r="78" spans="1:9" x14ac:dyDescent="0.25">
      <c r="A78" s="45">
        <v>6</v>
      </c>
      <c r="B78" s="193">
        <v>335</v>
      </c>
      <c r="C78" s="187">
        <v>2</v>
      </c>
      <c r="D78" s="188" t="s">
        <v>308</v>
      </c>
      <c r="E78" s="189">
        <v>9551725.4100000001</v>
      </c>
      <c r="F78" s="190">
        <v>3540849.7199999997</v>
      </c>
      <c r="G78" s="190">
        <f t="shared" si="2"/>
        <v>6010875.6900000004</v>
      </c>
      <c r="H78" s="191">
        <v>25734.3982</v>
      </c>
      <c r="I78" s="192">
        <f t="shared" si="3"/>
        <v>233.57358673341739</v>
      </c>
    </row>
    <row r="79" spans="1:9" x14ac:dyDescent="0.25">
      <c r="A79" s="45">
        <v>6</v>
      </c>
      <c r="B79" s="193">
        <v>346</v>
      </c>
      <c r="C79" s="187">
        <v>7</v>
      </c>
      <c r="D79" s="188" t="s">
        <v>423</v>
      </c>
      <c r="E79" s="189">
        <v>79325.77</v>
      </c>
      <c r="F79" s="190">
        <v>0</v>
      </c>
      <c r="G79" s="190">
        <f t="shared" si="2"/>
        <v>79325.77</v>
      </c>
      <c r="H79" s="191">
        <v>204.1760369099087</v>
      </c>
      <c r="I79" s="192">
        <f t="shared" si="3"/>
        <v>388.51655267949963</v>
      </c>
    </row>
    <row r="80" spans="1:9" x14ac:dyDescent="0.25">
      <c r="A80" s="45">
        <v>6</v>
      </c>
      <c r="B80" s="193">
        <v>357</v>
      </c>
      <c r="C80" s="187">
        <v>2</v>
      </c>
      <c r="D80" s="188" t="s">
        <v>309</v>
      </c>
      <c r="E80" s="189">
        <v>11871410.609999999</v>
      </c>
      <c r="F80" s="190">
        <v>4922014.18</v>
      </c>
      <c r="G80" s="190">
        <f t="shared" si="2"/>
        <v>6949396.4299999997</v>
      </c>
      <c r="H80" s="191">
        <v>36939.97</v>
      </c>
      <c r="I80" s="192">
        <f t="shared" si="3"/>
        <v>188.12674807261618</v>
      </c>
    </row>
    <row r="81" spans="1:9" x14ac:dyDescent="0.25">
      <c r="A81" s="45">
        <v>6</v>
      </c>
      <c r="B81" s="193">
        <v>358</v>
      </c>
      <c r="C81" s="187">
        <v>7</v>
      </c>
      <c r="D81" s="188" t="s">
        <v>424</v>
      </c>
      <c r="E81" s="189">
        <v>224962</v>
      </c>
      <c r="F81" s="190">
        <v>54447.16</v>
      </c>
      <c r="G81" s="190">
        <f t="shared" si="2"/>
        <v>170514.84</v>
      </c>
      <c r="H81" s="191">
        <v>411.25000000000006</v>
      </c>
      <c r="I81" s="192">
        <f t="shared" si="3"/>
        <v>414.62575075987837</v>
      </c>
    </row>
    <row r="82" spans="1:9" x14ac:dyDescent="0.25">
      <c r="A82" s="45">
        <v>6</v>
      </c>
      <c r="B82" s="193">
        <v>361</v>
      </c>
      <c r="C82" s="187">
        <v>7</v>
      </c>
      <c r="D82" s="188" t="s">
        <v>425</v>
      </c>
      <c r="E82" s="189">
        <v>751691.05</v>
      </c>
      <c r="F82" s="190">
        <v>10291</v>
      </c>
      <c r="G82" s="190">
        <f t="shared" si="2"/>
        <v>741400.05</v>
      </c>
      <c r="H82" s="191">
        <v>1452.1613129112907</v>
      </c>
      <c r="I82" s="192">
        <f t="shared" si="3"/>
        <v>510.54937451380135</v>
      </c>
    </row>
    <row r="83" spans="1:9" x14ac:dyDescent="0.25">
      <c r="A83" s="45">
        <v>6</v>
      </c>
      <c r="B83" s="193">
        <v>369</v>
      </c>
      <c r="C83" s="187">
        <v>9</v>
      </c>
      <c r="D83" s="188" t="s">
        <v>518</v>
      </c>
      <c r="E83" s="189">
        <v>377022.73</v>
      </c>
      <c r="F83" s="190">
        <v>0</v>
      </c>
      <c r="G83" s="190">
        <f t="shared" si="2"/>
        <v>377022.73</v>
      </c>
      <c r="H83" s="191">
        <v>358.53</v>
      </c>
      <c r="I83" s="192">
        <f t="shared" si="3"/>
        <v>1051.5793099601149</v>
      </c>
    </row>
    <row r="84" spans="1:9" x14ac:dyDescent="0.25">
      <c r="A84" s="45">
        <v>6</v>
      </c>
      <c r="B84" s="193">
        <v>372</v>
      </c>
      <c r="C84" s="187">
        <v>8</v>
      </c>
      <c r="D84" s="188" t="s">
        <v>463</v>
      </c>
      <c r="E84" s="189">
        <v>107618.51</v>
      </c>
      <c r="F84" s="190">
        <v>0</v>
      </c>
      <c r="G84" s="190">
        <f t="shared" si="2"/>
        <v>107618.51</v>
      </c>
      <c r="H84" s="191">
        <v>107.32400191865953</v>
      </c>
      <c r="I84" s="192">
        <f t="shared" si="3"/>
        <v>1002.7441026804393</v>
      </c>
    </row>
    <row r="85" spans="1:9" x14ac:dyDescent="0.25">
      <c r="A85" s="45">
        <v>6</v>
      </c>
      <c r="B85" s="193">
        <v>375</v>
      </c>
      <c r="C85" s="187">
        <v>8</v>
      </c>
      <c r="D85" s="188" t="s">
        <v>464</v>
      </c>
      <c r="E85" s="189">
        <v>245023.28</v>
      </c>
      <c r="F85" s="190">
        <v>0</v>
      </c>
      <c r="G85" s="190">
        <f t="shared" si="2"/>
        <v>245023.28</v>
      </c>
      <c r="H85" s="191">
        <v>176.10000000000002</v>
      </c>
      <c r="I85" s="192">
        <f t="shared" si="3"/>
        <v>1391.387166382737</v>
      </c>
    </row>
    <row r="86" spans="1:9" x14ac:dyDescent="0.25">
      <c r="A86" s="45">
        <v>6</v>
      </c>
      <c r="B86" s="193">
        <v>376</v>
      </c>
      <c r="C86" s="187">
        <v>7</v>
      </c>
      <c r="D86" s="188" t="s">
        <v>426</v>
      </c>
      <c r="E86" s="189">
        <v>268362.34000000003</v>
      </c>
      <c r="F86" s="190">
        <v>158</v>
      </c>
      <c r="G86" s="190">
        <f t="shared" si="2"/>
        <v>268204.34000000003</v>
      </c>
      <c r="H86" s="191">
        <v>819.17770525166554</v>
      </c>
      <c r="I86" s="192">
        <f t="shared" si="3"/>
        <v>327.40678644031578</v>
      </c>
    </row>
    <row r="87" spans="1:9" x14ac:dyDescent="0.25">
      <c r="A87" s="45">
        <v>6</v>
      </c>
      <c r="B87" s="193">
        <v>382</v>
      </c>
      <c r="C87" s="187">
        <v>7</v>
      </c>
      <c r="D87" s="188" t="s">
        <v>427</v>
      </c>
      <c r="E87" s="189">
        <v>88443.07</v>
      </c>
      <c r="F87" s="190">
        <v>24646.219999999998</v>
      </c>
      <c r="G87" s="190">
        <f t="shared" si="2"/>
        <v>63796.850000000006</v>
      </c>
      <c r="H87" s="191">
        <v>187.95999999999998</v>
      </c>
      <c r="I87" s="192">
        <f t="shared" si="3"/>
        <v>339.41716322621841</v>
      </c>
    </row>
    <row r="88" spans="1:9" x14ac:dyDescent="0.25">
      <c r="A88" s="45">
        <v>6</v>
      </c>
      <c r="B88" s="193">
        <v>389</v>
      </c>
      <c r="C88" s="187">
        <v>7</v>
      </c>
      <c r="D88" s="188" t="s">
        <v>428</v>
      </c>
      <c r="E88" s="189">
        <v>142421.04999999999</v>
      </c>
      <c r="F88" s="190">
        <v>791</v>
      </c>
      <c r="G88" s="190">
        <f t="shared" si="2"/>
        <v>141630.04999999999</v>
      </c>
      <c r="H88" s="191">
        <v>938.91655471161232</v>
      </c>
      <c r="I88" s="192">
        <f t="shared" si="3"/>
        <v>150.84412910740676</v>
      </c>
    </row>
    <row r="89" spans="1:9" x14ac:dyDescent="0.25">
      <c r="A89" s="45">
        <v>6</v>
      </c>
      <c r="B89" s="193">
        <v>394</v>
      </c>
      <c r="C89" s="187">
        <v>6</v>
      </c>
      <c r="D89" s="188" t="s">
        <v>354</v>
      </c>
      <c r="E89" s="189">
        <v>389692.45</v>
      </c>
      <c r="F89" s="190">
        <v>54716.480000000003</v>
      </c>
      <c r="G89" s="190">
        <f t="shared" si="2"/>
        <v>334975.97000000003</v>
      </c>
      <c r="H89" s="191">
        <v>707.27</v>
      </c>
      <c r="I89" s="192">
        <f t="shared" si="3"/>
        <v>473.61823631710666</v>
      </c>
    </row>
    <row r="90" spans="1:9" x14ac:dyDescent="0.25">
      <c r="A90" s="45">
        <v>6</v>
      </c>
      <c r="B90" s="193">
        <v>404</v>
      </c>
      <c r="C90" s="187">
        <v>8</v>
      </c>
      <c r="D90" s="188" t="s">
        <v>465</v>
      </c>
      <c r="E90" s="189">
        <v>225949.6</v>
      </c>
      <c r="F90" s="190">
        <v>0</v>
      </c>
      <c r="G90" s="190">
        <f t="shared" si="2"/>
        <v>225949.6</v>
      </c>
      <c r="H90" s="191">
        <v>469.85439088740827</v>
      </c>
      <c r="I90" s="192">
        <f t="shared" si="3"/>
        <v>480.89281356560645</v>
      </c>
    </row>
    <row r="91" spans="1:9" x14ac:dyDescent="0.25">
      <c r="A91" s="45">
        <v>6</v>
      </c>
      <c r="B91" s="193">
        <v>413</v>
      </c>
      <c r="C91" s="187">
        <v>8</v>
      </c>
      <c r="D91" s="188" t="s">
        <v>466</v>
      </c>
      <c r="E91" s="189">
        <v>45053.65</v>
      </c>
      <c r="F91" s="190">
        <v>90</v>
      </c>
      <c r="G91" s="190">
        <f t="shared" si="2"/>
        <v>44963.65</v>
      </c>
      <c r="H91" s="191">
        <v>88.53</v>
      </c>
      <c r="I91" s="192">
        <f t="shared" si="3"/>
        <v>507.89167513837117</v>
      </c>
    </row>
    <row r="92" spans="1:9" x14ac:dyDescent="0.25">
      <c r="A92" s="45">
        <v>6</v>
      </c>
      <c r="B92" s="193">
        <v>414</v>
      </c>
      <c r="C92" s="187">
        <v>6</v>
      </c>
      <c r="D92" s="188" t="s">
        <v>355</v>
      </c>
      <c r="E92" s="189">
        <v>194284.25</v>
      </c>
      <c r="F92" s="190">
        <v>28452.02</v>
      </c>
      <c r="G92" s="190">
        <f t="shared" si="2"/>
        <v>165832.23000000001</v>
      </c>
      <c r="H92" s="191">
        <v>208.97390440093511</v>
      </c>
      <c r="I92" s="192">
        <f t="shared" si="3"/>
        <v>793.55472864131423</v>
      </c>
    </row>
    <row r="93" spans="1:9" x14ac:dyDescent="0.25">
      <c r="A93" s="45">
        <v>6</v>
      </c>
      <c r="B93" s="193">
        <v>416</v>
      </c>
      <c r="C93" s="187">
        <v>9</v>
      </c>
      <c r="D93" s="188" t="s">
        <v>519</v>
      </c>
      <c r="E93" s="189">
        <v>52678.44</v>
      </c>
      <c r="F93" s="190">
        <v>667.5</v>
      </c>
      <c r="G93" s="190">
        <f t="shared" si="2"/>
        <v>52010.94</v>
      </c>
      <c r="H93" s="191">
        <v>76.764070607016791</v>
      </c>
      <c r="I93" s="192">
        <f t="shared" si="3"/>
        <v>677.54275650991633</v>
      </c>
    </row>
    <row r="94" spans="1:9" x14ac:dyDescent="0.25">
      <c r="A94" s="45">
        <v>6</v>
      </c>
      <c r="B94" s="193">
        <v>420</v>
      </c>
      <c r="C94" s="187">
        <v>9</v>
      </c>
      <c r="D94" s="188" t="s">
        <v>520</v>
      </c>
      <c r="E94" s="189">
        <v>85213.02</v>
      </c>
      <c r="F94" s="190">
        <v>87.63</v>
      </c>
      <c r="G94" s="190">
        <f t="shared" si="2"/>
        <v>85125.39</v>
      </c>
      <c r="H94" s="191">
        <v>369.28029930829172</v>
      </c>
      <c r="I94" s="192">
        <f t="shared" si="3"/>
        <v>230.51700878560411</v>
      </c>
    </row>
    <row r="95" spans="1:9" x14ac:dyDescent="0.25">
      <c r="A95" s="45">
        <v>6</v>
      </c>
      <c r="B95" s="193">
        <v>426</v>
      </c>
      <c r="C95" s="187">
        <v>6</v>
      </c>
      <c r="D95" s="188" t="s">
        <v>356</v>
      </c>
      <c r="E95" s="189">
        <v>140290.35</v>
      </c>
      <c r="F95" s="190">
        <v>0</v>
      </c>
      <c r="G95" s="190">
        <f t="shared" si="2"/>
        <v>140290.35</v>
      </c>
      <c r="H95" s="191">
        <v>414.6170418598681</v>
      </c>
      <c r="I95" s="192">
        <f t="shared" si="3"/>
        <v>338.36127278003977</v>
      </c>
    </row>
    <row r="96" spans="1:9" x14ac:dyDescent="0.25">
      <c r="A96" s="45">
        <v>6</v>
      </c>
      <c r="B96" s="193">
        <v>427</v>
      </c>
      <c r="C96" s="187">
        <v>5</v>
      </c>
      <c r="D96" s="188" t="s">
        <v>343</v>
      </c>
      <c r="E96" s="189">
        <v>187906.75</v>
      </c>
      <c r="F96" s="190">
        <v>58024.55000000001</v>
      </c>
      <c r="G96" s="190">
        <f t="shared" si="2"/>
        <v>129882.19999999998</v>
      </c>
      <c r="H96" s="191">
        <v>396.72999999999996</v>
      </c>
      <c r="I96" s="192">
        <f t="shared" si="3"/>
        <v>327.38184659592167</v>
      </c>
    </row>
    <row r="97" spans="1:9" x14ac:dyDescent="0.25">
      <c r="A97" s="45">
        <v>6</v>
      </c>
      <c r="B97" s="193">
        <v>429</v>
      </c>
      <c r="C97" s="187">
        <v>4</v>
      </c>
      <c r="D97" s="188" t="s">
        <v>329</v>
      </c>
      <c r="E97" s="189">
        <v>1637997.79</v>
      </c>
      <c r="F97" s="190">
        <v>453512.56</v>
      </c>
      <c r="G97" s="190">
        <f t="shared" si="2"/>
        <v>1184485.23</v>
      </c>
      <c r="H97" s="191">
        <v>4077.8840881737674</v>
      </c>
      <c r="I97" s="192">
        <f t="shared" si="3"/>
        <v>290.46564453244616</v>
      </c>
    </row>
    <row r="98" spans="1:9" x14ac:dyDescent="0.25">
      <c r="A98" s="45">
        <v>6</v>
      </c>
      <c r="B98" s="193">
        <v>430</v>
      </c>
      <c r="C98" s="187">
        <v>6</v>
      </c>
      <c r="D98" s="188" t="s">
        <v>357</v>
      </c>
      <c r="E98" s="189">
        <v>1749219.88</v>
      </c>
      <c r="F98" s="190">
        <v>30</v>
      </c>
      <c r="G98" s="190">
        <f t="shared" si="2"/>
        <v>1749189.88</v>
      </c>
      <c r="H98" s="191">
        <v>3358.1870187184186</v>
      </c>
      <c r="I98" s="192">
        <f t="shared" si="3"/>
        <v>520.87327782820785</v>
      </c>
    </row>
    <row r="99" spans="1:9" x14ac:dyDescent="0.25">
      <c r="A99" s="45">
        <v>6</v>
      </c>
      <c r="B99" s="193">
        <v>434</v>
      </c>
      <c r="C99" s="187">
        <v>7</v>
      </c>
      <c r="D99" s="188" t="s">
        <v>429</v>
      </c>
      <c r="E99" s="189">
        <v>152668.29999999999</v>
      </c>
      <c r="F99" s="190">
        <v>0</v>
      </c>
      <c r="G99" s="190">
        <f t="shared" si="2"/>
        <v>152668.29999999999</v>
      </c>
      <c r="H99" s="191">
        <v>683.56158788791799</v>
      </c>
      <c r="I99" s="192">
        <f t="shared" si="3"/>
        <v>223.34242108559303</v>
      </c>
    </row>
    <row r="100" spans="1:9" x14ac:dyDescent="0.25">
      <c r="A100" s="45">
        <v>6</v>
      </c>
      <c r="B100" s="193">
        <v>437</v>
      </c>
      <c r="C100" s="187">
        <v>7</v>
      </c>
      <c r="D100" s="188" t="s">
        <v>430</v>
      </c>
      <c r="E100" s="189">
        <v>223027.27</v>
      </c>
      <c r="F100" s="190">
        <v>0</v>
      </c>
      <c r="G100" s="190">
        <f t="shared" si="2"/>
        <v>223027.27</v>
      </c>
      <c r="H100" s="191">
        <v>339.1949298031704</v>
      </c>
      <c r="I100" s="192">
        <f t="shared" si="3"/>
        <v>657.51946861180761</v>
      </c>
    </row>
    <row r="101" spans="1:9" x14ac:dyDescent="0.25">
      <c r="A101" s="45">
        <v>6</v>
      </c>
      <c r="B101" s="193">
        <v>441</v>
      </c>
      <c r="C101" s="187">
        <v>2</v>
      </c>
      <c r="D101" s="188" t="s">
        <v>310</v>
      </c>
      <c r="E101" s="189">
        <v>18587579.75</v>
      </c>
      <c r="F101" s="190">
        <v>9806108.209999999</v>
      </c>
      <c r="G101" s="190">
        <f t="shared" si="2"/>
        <v>8781471.540000001</v>
      </c>
      <c r="H101" s="191">
        <v>60103.23000000001</v>
      </c>
      <c r="I101" s="192">
        <f t="shared" si="3"/>
        <v>146.10648279634887</v>
      </c>
    </row>
    <row r="102" spans="1:9" x14ac:dyDescent="0.25">
      <c r="A102" s="45">
        <v>6</v>
      </c>
      <c r="B102" s="193">
        <v>443</v>
      </c>
      <c r="C102" s="187">
        <v>6</v>
      </c>
      <c r="D102" s="188" t="s">
        <v>358</v>
      </c>
      <c r="E102" s="189">
        <v>16058.33</v>
      </c>
      <c r="F102" s="190">
        <v>0</v>
      </c>
      <c r="G102" s="190">
        <f t="shared" si="2"/>
        <v>16058.33</v>
      </c>
      <c r="H102" s="191">
        <v>11.46</v>
      </c>
      <c r="I102" s="192">
        <f t="shared" si="3"/>
        <v>1401.2504363001744</v>
      </c>
    </row>
    <row r="103" spans="1:9" x14ac:dyDescent="0.25">
      <c r="A103" s="45">
        <v>6</v>
      </c>
      <c r="B103" s="193">
        <v>502</v>
      </c>
      <c r="C103" s="187">
        <v>7</v>
      </c>
      <c r="D103" s="188" t="s">
        <v>431</v>
      </c>
      <c r="E103" s="189">
        <v>295377.21999999997</v>
      </c>
      <c r="F103" s="190">
        <v>0</v>
      </c>
      <c r="G103" s="190">
        <f t="shared" si="2"/>
        <v>295377.21999999997</v>
      </c>
      <c r="H103" s="191">
        <v>656.20812800661986</v>
      </c>
      <c r="I103" s="192">
        <f t="shared" si="3"/>
        <v>450.1273413014174</v>
      </c>
    </row>
    <row r="104" spans="1:9" x14ac:dyDescent="0.25">
      <c r="A104" s="45">
        <v>6</v>
      </c>
      <c r="B104" s="193">
        <v>503</v>
      </c>
      <c r="C104" s="187">
        <v>7</v>
      </c>
      <c r="D104" s="188" t="s">
        <v>432</v>
      </c>
      <c r="E104" s="189">
        <v>188923.85</v>
      </c>
      <c r="F104" s="190">
        <v>52644.45</v>
      </c>
      <c r="G104" s="190">
        <f t="shared" si="2"/>
        <v>136279.40000000002</v>
      </c>
      <c r="H104" s="191">
        <v>399.3599999999999</v>
      </c>
      <c r="I104" s="192">
        <f t="shared" si="3"/>
        <v>341.24449118589757</v>
      </c>
    </row>
    <row r="105" spans="1:9" x14ac:dyDescent="0.25">
      <c r="A105" s="45">
        <v>6</v>
      </c>
      <c r="B105" s="193">
        <v>508</v>
      </c>
      <c r="C105" s="187">
        <v>9</v>
      </c>
      <c r="D105" s="188" t="s">
        <v>521</v>
      </c>
      <c r="E105" s="189">
        <v>52910.11</v>
      </c>
      <c r="F105" s="190">
        <v>0</v>
      </c>
      <c r="G105" s="190">
        <f t="shared" si="2"/>
        <v>52910.11</v>
      </c>
      <c r="H105" s="191">
        <v>69.260678652072329</v>
      </c>
      <c r="I105" s="192">
        <f t="shared" si="3"/>
        <v>763.92710885481472</v>
      </c>
    </row>
    <row r="106" spans="1:9" x14ac:dyDescent="0.25">
      <c r="A106" s="45">
        <v>7</v>
      </c>
      <c r="B106" s="193">
        <v>510</v>
      </c>
      <c r="C106" s="187">
        <v>7</v>
      </c>
      <c r="D106" s="188" t="s">
        <v>433</v>
      </c>
      <c r="E106" s="189">
        <v>216786.91</v>
      </c>
      <c r="F106" s="190">
        <v>385</v>
      </c>
      <c r="G106" s="190">
        <f t="shared" si="2"/>
        <v>216401.91</v>
      </c>
      <c r="H106" s="191">
        <v>491.84552143497001</v>
      </c>
      <c r="I106" s="192">
        <f t="shared" si="3"/>
        <v>439.97942559005668</v>
      </c>
    </row>
    <row r="107" spans="1:9" x14ac:dyDescent="0.25">
      <c r="A107" s="45">
        <v>7</v>
      </c>
      <c r="B107" s="193">
        <v>512</v>
      </c>
      <c r="C107" s="187">
        <v>9</v>
      </c>
      <c r="D107" s="188" t="s">
        <v>522</v>
      </c>
      <c r="E107" s="189">
        <v>282825</v>
      </c>
      <c r="F107" s="190">
        <v>8018.6500000000005</v>
      </c>
      <c r="G107" s="190">
        <f t="shared" si="2"/>
        <v>274806.34999999998</v>
      </c>
      <c r="H107" s="191">
        <v>244.01504152505674</v>
      </c>
      <c r="I107" s="192">
        <f t="shared" si="3"/>
        <v>1126.1861083747226</v>
      </c>
    </row>
    <row r="108" spans="1:9" x14ac:dyDescent="0.25">
      <c r="A108" s="45">
        <v>7</v>
      </c>
      <c r="B108" s="193">
        <v>516</v>
      </c>
      <c r="C108" s="187">
        <v>9</v>
      </c>
      <c r="D108" s="188" t="s">
        <v>523</v>
      </c>
      <c r="E108" s="189">
        <v>170870.97</v>
      </c>
      <c r="F108" s="190">
        <v>168.2</v>
      </c>
      <c r="G108" s="190">
        <f t="shared" si="2"/>
        <v>170702.77</v>
      </c>
      <c r="H108" s="191">
        <v>314.41874315189409</v>
      </c>
      <c r="I108" s="192">
        <f t="shared" si="3"/>
        <v>542.91537549189411</v>
      </c>
    </row>
    <row r="109" spans="1:9" x14ac:dyDescent="0.25">
      <c r="A109" s="45">
        <v>7</v>
      </c>
      <c r="B109" s="193">
        <v>521</v>
      </c>
      <c r="C109" s="187">
        <v>9</v>
      </c>
      <c r="D109" s="188" t="s">
        <v>524</v>
      </c>
      <c r="E109" s="189">
        <v>276578.64</v>
      </c>
      <c r="F109" s="190">
        <v>35.4</v>
      </c>
      <c r="G109" s="190">
        <f t="shared" si="2"/>
        <v>276543.24</v>
      </c>
      <c r="H109" s="191">
        <v>126.34655749375537</v>
      </c>
      <c r="I109" s="192">
        <f t="shared" si="3"/>
        <v>2188.7675096622083</v>
      </c>
    </row>
    <row r="110" spans="1:9" x14ac:dyDescent="0.25">
      <c r="A110" s="45">
        <v>7</v>
      </c>
      <c r="B110" s="193">
        <v>522</v>
      </c>
      <c r="C110" s="187">
        <v>9</v>
      </c>
      <c r="D110" s="188" t="s">
        <v>525</v>
      </c>
      <c r="E110" s="189">
        <v>92178.82</v>
      </c>
      <c r="F110" s="190">
        <v>30</v>
      </c>
      <c r="G110" s="190">
        <f t="shared" si="2"/>
        <v>92148.82</v>
      </c>
      <c r="H110" s="191">
        <v>104.42827541177562</v>
      </c>
      <c r="I110" s="192">
        <f t="shared" si="3"/>
        <v>882.41254235640724</v>
      </c>
    </row>
    <row r="111" spans="1:9" x14ac:dyDescent="0.25">
      <c r="A111" s="45">
        <v>7</v>
      </c>
      <c r="B111" s="193">
        <v>523</v>
      </c>
      <c r="C111" s="187">
        <v>9</v>
      </c>
      <c r="D111" s="188" t="s">
        <v>526</v>
      </c>
      <c r="E111" s="189">
        <v>217776.58</v>
      </c>
      <c r="F111" s="190">
        <v>300</v>
      </c>
      <c r="G111" s="190">
        <f t="shared" si="2"/>
        <v>217476.58</v>
      </c>
      <c r="H111" s="191">
        <v>1140.8889255376664</v>
      </c>
      <c r="I111" s="192">
        <f t="shared" si="3"/>
        <v>190.62029188994876</v>
      </c>
    </row>
    <row r="112" spans="1:9" x14ac:dyDescent="0.25">
      <c r="A112" s="45">
        <v>7</v>
      </c>
      <c r="B112" s="193">
        <v>524</v>
      </c>
      <c r="C112" s="187">
        <v>5</v>
      </c>
      <c r="D112" s="188" t="s">
        <v>344</v>
      </c>
      <c r="E112" s="189">
        <v>225099.83</v>
      </c>
      <c r="F112" s="190">
        <v>301</v>
      </c>
      <c r="G112" s="190">
        <f t="shared" si="2"/>
        <v>224798.83</v>
      </c>
      <c r="H112" s="191">
        <v>548.16649138804223</v>
      </c>
      <c r="I112" s="192">
        <f t="shared" si="3"/>
        <v>410.09225031390486</v>
      </c>
    </row>
    <row r="113" spans="1:9" x14ac:dyDescent="0.25">
      <c r="A113" s="45">
        <v>7</v>
      </c>
      <c r="B113" s="193">
        <v>527</v>
      </c>
      <c r="C113" s="187">
        <v>9</v>
      </c>
      <c r="D113" s="188" t="s">
        <v>527</v>
      </c>
      <c r="E113" s="189">
        <v>94943.59</v>
      </c>
      <c r="F113" s="190">
        <v>40</v>
      </c>
      <c r="G113" s="190">
        <f t="shared" si="2"/>
        <v>94903.59</v>
      </c>
      <c r="H113" s="191">
        <v>208.85655082355123</v>
      </c>
      <c r="I113" s="192">
        <f t="shared" si="3"/>
        <v>454.396041808512</v>
      </c>
    </row>
    <row r="114" spans="1:9" x14ac:dyDescent="0.25">
      <c r="A114" s="45">
        <v>7</v>
      </c>
      <c r="B114" s="193">
        <v>531</v>
      </c>
      <c r="C114" s="187">
        <v>7</v>
      </c>
      <c r="D114" s="188" t="s">
        <v>434</v>
      </c>
      <c r="E114" s="189">
        <v>890544.46</v>
      </c>
      <c r="F114" s="190">
        <v>3682.9</v>
      </c>
      <c r="G114" s="190">
        <f t="shared" si="2"/>
        <v>886861.55999999994</v>
      </c>
      <c r="H114" s="191">
        <v>2036.75</v>
      </c>
      <c r="I114" s="192">
        <f t="shared" si="3"/>
        <v>435.42975819319992</v>
      </c>
    </row>
    <row r="115" spans="1:9" x14ac:dyDescent="0.25">
      <c r="A115" s="45">
        <v>7</v>
      </c>
      <c r="B115" s="193">
        <v>537</v>
      </c>
      <c r="C115" s="187">
        <v>8</v>
      </c>
      <c r="D115" s="188" t="s">
        <v>467</v>
      </c>
      <c r="E115" s="189">
        <v>10523.48</v>
      </c>
      <c r="F115" s="190">
        <v>0</v>
      </c>
      <c r="G115" s="190">
        <f t="shared" si="2"/>
        <v>10523.48</v>
      </c>
      <c r="H115" s="191">
        <v>20.22300394490447</v>
      </c>
      <c r="I115" s="192">
        <f t="shared" si="3"/>
        <v>520.37175232078073</v>
      </c>
    </row>
    <row r="116" spans="1:9" x14ac:dyDescent="0.25">
      <c r="A116" s="45">
        <v>7</v>
      </c>
      <c r="B116" s="193">
        <v>543</v>
      </c>
      <c r="C116" s="187">
        <v>9</v>
      </c>
      <c r="D116" s="188" t="s">
        <v>528</v>
      </c>
      <c r="E116" s="189">
        <v>32860.15</v>
      </c>
      <c r="F116" s="190">
        <v>0</v>
      </c>
      <c r="G116" s="190">
        <f t="shared" si="2"/>
        <v>32860.15</v>
      </c>
      <c r="H116" s="191">
        <v>91.407290558106865</v>
      </c>
      <c r="I116" s="192">
        <f t="shared" si="3"/>
        <v>359.49156570953249</v>
      </c>
    </row>
    <row r="117" spans="1:9" x14ac:dyDescent="0.25">
      <c r="A117" s="45">
        <v>7</v>
      </c>
      <c r="B117" s="193">
        <v>545</v>
      </c>
      <c r="C117" s="187">
        <v>8</v>
      </c>
      <c r="D117" s="188" t="s">
        <v>468</v>
      </c>
      <c r="E117" s="189">
        <v>4948.3599999999997</v>
      </c>
      <c r="F117" s="190">
        <v>0</v>
      </c>
      <c r="G117" s="190">
        <f t="shared" si="2"/>
        <v>4948.3599999999997</v>
      </c>
      <c r="H117" s="191">
        <v>16.135935126409695</v>
      </c>
      <c r="I117" s="192">
        <f t="shared" si="3"/>
        <v>306.66707328917158</v>
      </c>
    </row>
    <row r="118" spans="1:9" x14ac:dyDescent="0.25">
      <c r="A118" s="45">
        <v>7</v>
      </c>
      <c r="B118" s="193">
        <v>547</v>
      </c>
      <c r="C118" s="187">
        <v>9</v>
      </c>
      <c r="D118" s="188" t="s">
        <v>529</v>
      </c>
      <c r="E118" s="189">
        <v>109621.25</v>
      </c>
      <c r="F118" s="190">
        <v>0</v>
      </c>
      <c r="G118" s="190">
        <f t="shared" si="2"/>
        <v>109621.25</v>
      </c>
      <c r="H118" s="191">
        <v>262.36374879351928</v>
      </c>
      <c r="I118" s="192">
        <f t="shared" si="3"/>
        <v>417.82163314899162</v>
      </c>
    </row>
    <row r="119" spans="1:9" x14ac:dyDescent="0.25">
      <c r="A119" s="45">
        <v>7</v>
      </c>
      <c r="B119" s="193">
        <v>550</v>
      </c>
      <c r="C119" s="187">
        <v>7</v>
      </c>
      <c r="D119" s="188" t="s">
        <v>435</v>
      </c>
      <c r="E119" s="189">
        <v>167639.38</v>
      </c>
      <c r="F119" s="190">
        <v>0</v>
      </c>
      <c r="G119" s="190">
        <f t="shared" si="2"/>
        <v>167639.38</v>
      </c>
      <c r="H119" s="191">
        <v>355.66</v>
      </c>
      <c r="I119" s="192">
        <f t="shared" si="3"/>
        <v>471.34729798121799</v>
      </c>
    </row>
    <row r="120" spans="1:9" x14ac:dyDescent="0.25">
      <c r="A120" s="45">
        <v>7</v>
      </c>
      <c r="B120" s="193">
        <v>551</v>
      </c>
      <c r="C120" s="187">
        <v>7</v>
      </c>
      <c r="D120" s="188" t="s">
        <v>436</v>
      </c>
      <c r="E120" s="189">
        <v>93612.82</v>
      </c>
      <c r="F120" s="190">
        <v>492</v>
      </c>
      <c r="G120" s="190">
        <f t="shared" si="2"/>
        <v>93120.82</v>
      </c>
      <c r="H120" s="191">
        <v>175.91979999999998</v>
      </c>
      <c r="I120" s="192">
        <f t="shared" si="3"/>
        <v>529.33677732694116</v>
      </c>
    </row>
    <row r="121" spans="1:9" x14ac:dyDescent="0.25">
      <c r="A121" s="45">
        <v>7</v>
      </c>
      <c r="B121" s="193">
        <v>552</v>
      </c>
      <c r="C121" s="187">
        <v>9</v>
      </c>
      <c r="D121" s="188" t="s">
        <v>530</v>
      </c>
      <c r="E121" s="189">
        <v>104489.98</v>
      </c>
      <c r="F121" s="190">
        <v>0</v>
      </c>
      <c r="G121" s="190">
        <f t="shared" si="2"/>
        <v>104489.98</v>
      </c>
      <c r="H121" s="191">
        <v>141.18</v>
      </c>
      <c r="I121" s="192">
        <f t="shared" si="3"/>
        <v>740.11885536194927</v>
      </c>
    </row>
    <row r="122" spans="1:9" x14ac:dyDescent="0.25">
      <c r="A122" s="45">
        <v>7</v>
      </c>
      <c r="B122" s="193">
        <v>555</v>
      </c>
      <c r="C122" s="187">
        <v>7</v>
      </c>
      <c r="D122" s="188" t="s">
        <v>437</v>
      </c>
      <c r="E122" s="189">
        <v>447734.39</v>
      </c>
      <c r="F122" s="190">
        <v>527.70000000000005</v>
      </c>
      <c r="G122" s="190">
        <f t="shared" si="2"/>
        <v>447206.69</v>
      </c>
      <c r="H122" s="191">
        <v>734.95</v>
      </c>
      <c r="I122" s="192">
        <f t="shared" si="3"/>
        <v>608.48586978706032</v>
      </c>
    </row>
    <row r="123" spans="1:9" x14ac:dyDescent="0.25">
      <c r="A123" s="45">
        <v>7</v>
      </c>
      <c r="B123" s="193">
        <v>556</v>
      </c>
      <c r="C123" s="187">
        <v>7</v>
      </c>
      <c r="D123" s="188" t="s">
        <v>438</v>
      </c>
      <c r="E123" s="189">
        <v>162407.85999999999</v>
      </c>
      <c r="F123" s="190">
        <v>511</v>
      </c>
      <c r="G123" s="190">
        <f t="shared" si="2"/>
        <v>161896.85999999999</v>
      </c>
      <c r="H123" s="191">
        <v>406.52175612206997</v>
      </c>
      <c r="I123" s="192">
        <f t="shared" si="3"/>
        <v>398.24894378195529</v>
      </c>
    </row>
    <row r="124" spans="1:9" x14ac:dyDescent="0.25">
      <c r="A124" s="45">
        <v>7</v>
      </c>
      <c r="B124" s="193">
        <v>558</v>
      </c>
      <c r="C124" s="187">
        <v>7</v>
      </c>
      <c r="D124" s="188" t="s">
        <v>439</v>
      </c>
      <c r="E124" s="189">
        <v>159786.4</v>
      </c>
      <c r="F124" s="190">
        <v>21493.200000000001</v>
      </c>
      <c r="G124" s="190">
        <f t="shared" si="2"/>
        <v>138293.19999999998</v>
      </c>
      <c r="H124" s="191">
        <v>293.56860272101767</v>
      </c>
      <c r="I124" s="192">
        <f t="shared" si="3"/>
        <v>471.07626196464184</v>
      </c>
    </row>
    <row r="125" spans="1:9" x14ac:dyDescent="0.25">
      <c r="A125" s="45">
        <v>7</v>
      </c>
      <c r="B125" s="193">
        <v>562</v>
      </c>
      <c r="C125" s="187">
        <v>6</v>
      </c>
      <c r="D125" s="188" t="s">
        <v>359</v>
      </c>
      <c r="E125" s="189">
        <v>45830.02</v>
      </c>
      <c r="F125" s="190">
        <v>0</v>
      </c>
      <c r="G125" s="190">
        <f t="shared" si="2"/>
        <v>45830.02</v>
      </c>
      <c r="H125" s="191">
        <v>45.402806173972202</v>
      </c>
      <c r="I125" s="192">
        <f t="shared" si="3"/>
        <v>1009.4094145721042</v>
      </c>
    </row>
    <row r="126" spans="1:9" x14ac:dyDescent="0.25">
      <c r="A126" s="45">
        <v>7</v>
      </c>
      <c r="B126" s="193">
        <v>565</v>
      </c>
      <c r="C126" s="187">
        <v>5</v>
      </c>
      <c r="D126" s="188" t="s">
        <v>345</v>
      </c>
      <c r="E126" s="189">
        <v>216509.8</v>
      </c>
      <c r="F126" s="190">
        <v>750</v>
      </c>
      <c r="G126" s="190">
        <f t="shared" si="2"/>
        <v>215759.8</v>
      </c>
      <c r="H126" s="191">
        <v>458.57198478039822</v>
      </c>
      <c r="I126" s="192">
        <f t="shared" si="3"/>
        <v>470.50366607834411</v>
      </c>
    </row>
    <row r="127" spans="1:9" x14ac:dyDescent="0.25">
      <c r="A127" s="45">
        <v>7</v>
      </c>
      <c r="B127" s="193">
        <v>567</v>
      </c>
      <c r="C127" s="187">
        <v>9</v>
      </c>
      <c r="D127" s="188" t="s">
        <v>531</v>
      </c>
      <c r="E127" s="189">
        <v>201269.54</v>
      </c>
      <c r="F127" s="190">
        <v>354</v>
      </c>
      <c r="G127" s="190">
        <f t="shared" si="2"/>
        <v>200915.54</v>
      </c>
      <c r="H127" s="191">
        <v>359.07008685360444</v>
      </c>
      <c r="I127" s="192">
        <f t="shared" si="3"/>
        <v>559.54407608984366</v>
      </c>
    </row>
    <row r="128" spans="1:9" x14ac:dyDescent="0.25">
      <c r="A128" s="45">
        <v>7</v>
      </c>
      <c r="B128" s="193">
        <v>600</v>
      </c>
      <c r="C128" s="187">
        <v>7</v>
      </c>
      <c r="D128" s="188" t="s">
        <v>440</v>
      </c>
      <c r="E128" s="189">
        <v>251168.79</v>
      </c>
      <c r="F128" s="190">
        <v>110</v>
      </c>
      <c r="G128" s="190">
        <f t="shared" si="2"/>
        <v>251058.79</v>
      </c>
      <c r="H128" s="191">
        <v>791.53215440429835</v>
      </c>
      <c r="I128" s="192">
        <f t="shared" si="3"/>
        <v>317.18078489046997</v>
      </c>
    </row>
    <row r="129" spans="1:9" x14ac:dyDescent="0.25">
      <c r="A129" s="45">
        <v>7</v>
      </c>
      <c r="B129" s="193">
        <v>601</v>
      </c>
      <c r="C129" s="187">
        <v>4</v>
      </c>
      <c r="D129" s="188" t="s">
        <v>330</v>
      </c>
      <c r="E129" s="189">
        <v>2657811.91</v>
      </c>
      <c r="F129" s="190">
        <v>370273.27999999991</v>
      </c>
      <c r="G129" s="190">
        <f t="shared" si="2"/>
        <v>2287538.6300000004</v>
      </c>
      <c r="H129" s="191">
        <v>5604.1200000000008</v>
      </c>
      <c r="I129" s="192">
        <f t="shared" si="3"/>
        <v>408.1887307909181</v>
      </c>
    </row>
    <row r="130" spans="1:9" x14ac:dyDescent="0.25">
      <c r="A130" s="45">
        <v>7</v>
      </c>
      <c r="B130" s="193">
        <v>603</v>
      </c>
      <c r="C130" s="187">
        <v>6</v>
      </c>
      <c r="D130" s="188" t="s">
        <v>360</v>
      </c>
      <c r="E130" s="189">
        <v>85266.27</v>
      </c>
      <c r="F130" s="190">
        <v>0</v>
      </c>
      <c r="G130" s="190">
        <f t="shared" si="2"/>
        <v>85266.27</v>
      </c>
      <c r="H130" s="191">
        <v>98.795473817502725</v>
      </c>
      <c r="I130" s="192">
        <f t="shared" si="3"/>
        <v>863.0584651833932</v>
      </c>
    </row>
    <row r="131" spans="1:9" x14ac:dyDescent="0.25">
      <c r="A131" s="45">
        <v>7</v>
      </c>
      <c r="B131" s="193">
        <v>604</v>
      </c>
      <c r="C131" s="187">
        <v>7</v>
      </c>
      <c r="D131" s="188" t="s">
        <v>441</v>
      </c>
      <c r="E131" s="189">
        <v>253895.84</v>
      </c>
      <c r="F131" s="190">
        <v>22377.5</v>
      </c>
      <c r="G131" s="190">
        <f t="shared" si="2"/>
        <v>231518.34</v>
      </c>
      <c r="H131" s="191">
        <v>799.49592868506568</v>
      </c>
      <c r="I131" s="192">
        <f t="shared" si="3"/>
        <v>289.58038645772615</v>
      </c>
    </row>
    <row r="132" spans="1:9" x14ac:dyDescent="0.25">
      <c r="A132" s="45">
        <v>7</v>
      </c>
      <c r="B132" s="193">
        <v>605</v>
      </c>
      <c r="C132" s="187">
        <v>8</v>
      </c>
      <c r="D132" s="188" t="s">
        <v>470</v>
      </c>
      <c r="E132" s="189">
        <v>6999.31</v>
      </c>
      <c r="F132" s="190">
        <v>0</v>
      </c>
      <c r="G132" s="190">
        <f t="shared" si="2"/>
        <v>6999.31</v>
      </c>
      <c r="H132" s="191">
        <v>13.041002543910359</v>
      </c>
      <c r="I132" s="192">
        <f t="shared" si="3"/>
        <v>536.71563796054977</v>
      </c>
    </row>
    <row r="133" spans="1:9" x14ac:dyDescent="0.25">
      <c r="A133" s="45">
        <v>7</v>
      </c>
      <c r="B133" s="193">
        <v>607</v>
      </c>
      <c r="C133" s="187">
        <v>8</v>
      </c>
      <c r="D133" s="188" t="s">
        <v>471</v>
      </c>
      <c r="E133" s="189">
        <v>10598.19</v>
      </c>
      <c r="F133" s="190">
        <v>0</v>
      </c>
      <c r="G133" s="190">
        <f t="shared" si="2"/>
        <v>10598.19</v>
      </c>
      <c r="H133" s="191">
        <v>19.561503815865539</v>
      </c>
      <c r="I133" s="192">
        <f t="shared" si="3"/>
        <v>541.78810073917941</v>
      </c>
    </row>
    <row r="134" spans="1:9" x14ac:dyDescent="0.25">
      <c r="A134" s="45">
        <v>7</v>
      </c>
      <c r="B134" s="193">
        <v>610</v>
      </c>
      <c r="C134" s="187">
        <v>8</v>
      </c>
      <c r="D134" s="188" t="s">
        <v>472</v>
      </c>
      <c r="E134" s="189">
        <v>28825.57</v>
      </c>
      <c r="F134" s="190">
        <v>0</v>
      </c>
      <c r="G134" s="190">
        <f t="shared" ref="G134:G197" si="4">E134-F134</f>
        <v>28825.57</v>
      </c>
      <c r="H134" s="191">
        <v>75.807934496253225</v>
      </c>
      <c r="I134" s="192">
        <f t="shared" ref="I134:I197" si="5">IFERROR(G134/H134,0)</f>
        <v>380.24476186492973</v>
      </c>
    </row>
    <row r="135" spans="1:9" x14ac:dyDescent="0.25">
      <c r="A135" s="45">
        <v>7</v>
      </c>
      <c r="B135" s="193">
        <v>611</v>
      </c>
      <c r="C135" s="187">
        <v>8</v>
      </c>
      <c r="D135" s="188" t="s">
        <v>473</v>
      </c>
      <c r="E135" s="189">
        <v>24010.02</v>
      </c>
      <c r="F135" s="190">
        <v>0</v>
      </c>
      <c r="G135" s="190">
        <f t="shared" si="4"/>
        <v>24010.02</v>
      </c>
      <c r="H135" s="191">
        <v>18.139267929914286</v>
      </c>
      <c r="I135" s="192">
        <f t="shared" si="5"/>
        <v>1323.6487874135203</v>
      </c>
    </row>
    <row r="136" spans="1:9" x14ac:dyDescent="0.25">
      <c r="A136" s="45">
        <v>7</v>
      </c>
      <c r="B136" s="193">
        <v>612</v>
      </c>
      <c r="C136" s="187">
        <v>7</v>
      </c>
      <c r="D136" s="188" t="s">
        <v>442</v>
      </c>
      <c r="E136" s="189">
        <v>179350.51</v>
      </c>
      <c r="F136" s="190">
        <v>294.38</v>
      </c>
      <c r="G136" s="190">
        <f t="shared" si="4"/>
        <v>179056.13</v>
      </c>
      <c r="H136" s="191">
        <v>527.85133024076686</v>
      </c>
      <c r="I136" s="192">
        <f t="shared" si="5"/>
        <v>339.21697216965958</v>
      </c>
    </row>
    <row r="137" spans="1:9" x14ac:dyDescent="0.25">
      <c r="A137" s="45">
        <v>7</v>
      </c>
      <c r="B137" s="193">
        <v>613</v>
      </c>
      <c r="C137" s="187">
        <v>5</v>
      </c>
      <c r="D137" s="188" t="s">
        <v>346</v>
      </c>
      <c r="E137" s="189">
        <v>56071.13</v>
      </c>
      <c r="F137" s="190">
        <v>0</v>
      </c>
      <c r="G137" s="190">
        <f t="shared" si="4"/>
        <v>56071.13</v>
      </c>
      <c r="H137" s="191">
        <v>85.760856106391941</v>
      </c>
      <c r="I137" s="192">
        <f t="shared" si="5"/>
        <v>653.80795558337365</v>
      </c>
    </row>
    <row r="138" spans="1:9" x14ac:dyDescent="0.25">
      <c r="A138" s="45">
        <v>7</v>
      </c>
      <c r="B138" s="193">
        <v>616</v>
      </c>
      <c r="C138" s="187">
        <v>8</v>
      </c>
      <c r="D138" s="188" t="s">
        <v>474</v>
      </c>
      <c r="E138" s="189">
        <v>201479.84</v>
      </c>
      <c r="F138" s="190">
        <v>0</v>
      </c>
      <c r="G138" s="190">
        <f t="shared" si="4"/>
        <v>201479.84</v>
      </c>
      <c r="H138" s="191">
        <v>175.33</v>
      </c>
      <c r="I138" s="192">
        <f t="shared" si="5"/>
        <v>1149.1464096275593</v>
      </c>
    </row>
    <row r="139" spans="1:9" x14ac:dyDescent="0.25">
      <c r="A139" s="45">
        <v>7</v>
      </c>
      <c r="B139" s="193">
        <v>618</v>
      </c>
      <c r="C139" s="187">
        <v>6</v>
      </c>
      <c r="D139" s="188" t="s">
        <v>361</v>
      </c>
      <c r="E139" s="189">
        <v>15753.82</v>
      </c>
      <c r="F139" s="190">
        <v>0</v>
      </c>
      <c r="G139" s="190">
        <f t="shared" si="4"/>
        <v>15753.82</v>
      </c>
      <c r="H139" s="191">
        <v>17.207594265778951</v>
      </c>
      <c r="I139" s="192">
        <f t="shared" si="5"/>
        <v>915.51554253751215</v>
      </c>
    </row>
    <row r="140" spans="1:9" x14ac:dyDescent="0.25">
      <c r="A140" s="45">
        <v>7</v>
      </c>
      <c r="B140" s="193">
        <v>620</v>
      </c>
      <c r="C140" s="187">
        <v>6</v>
      </c>
      <c r="D140" s="188" t="s">
        <v>362</v>
      </c>
      <c r="E140" s="189">
        <v>113970.22</v>
      </c>
      <c r="F140" s="190">
        <v>0</v>
      </c>
      <c r="G140" s="190">
        <f t="shared" si="4"/>
        <v>113970.22</v>
      </c>
      <c r="H140" s="191">
        <v>233.79804422718337</v>
      </c>
      <c r="I140" s="192">
        <f t="shared" si="5"/>
        <v>487.47294006127038</v>
      </c>
    </row>
    <row r="141" spans="1:9" x14ac:dyDescent="0.25">
      <c r="A141" s="45">
        <v>7</v>
      </c>
      <c r="B141" s="193">
        <v>622</v>
      </c>
      <c r="C141" s="187">
        <v>6</v>
      </c>
      <c r="D141" s="188" t="s">
        <v>363</v>
      </c>
      <c r="E141" s="189">
        <v>78777.27</v>
      </c>
      <c r="F141" s="190">
        <v>240</v>
      </c>
      <c r="G141" s="190">
        <f t="shared" si="4"/>
        <v>78537.27</v>
      </c>
      <c r="H141" s="191">
        <v>124.60730037798545</v>
      </c>
      <c r="I141" s="192">
        <f t="shared" si="5"/>
        <v>630.27824021356696</v>
      </c>
    </row>
    <row r="142" spans="1:9" x14ac:dyDescent="0.25">
      <c r="A142" s="45">
        <v>7</v>
      </c>
      <c r="B142" s="193">
        <v>623</v>
      </c>
      <c r="C142" s="187">
        <v>6</v>
      </c>
      <c r="D142" s="188" t="s">
        <v>364</v>
      </c>
      <c r="E142" s="189">
        <v>82925.97</v>
      </c>
      <c r="F142" s="190">
        <v>0</v>
      </c>
      <c r="G142" s="190">
        <f t="shared" si="4"/>
        <v>82925.97</v>
      </c>
      <c r="H142" s="191">
        <v>234.6358015813762</v>
      </c>
      <c r="I142" s="192">
        <f t="shared" si="5"/>
        <v>353.42419801711156</v>
      </c>
    </row>
    <row r="143" spans="1:9" x14ac:dyDescent="0.25">
      <c r="A143" s="45">
        <v>7</v>
      </c>
      <c r="B143" s="193">
        <v>626</v>
      </c>
      <c r="C143" s="187">
        <v>6</v>
      </c>
      <c r="D143" s="188" t="s">
        <v>365</v>
      </c>
      <c r="E143" s="189">
        <v>17279.060000000001</v>
      </c>
      <c r="F143" s="190">
        <v>0</v>
      </c>
      <c r="G143" s="190">
        <f t="shared" si="4"/>
        <v>17279.060000000001</v>
      </c>
      <c r="H143" s="191">
        <v>21.435660997499109</v>
      </c>
      <c r="I143" s="192">
        <f t="shared" si="5"/>
        <v>806.08944142268081</v>
      </c>
    </row>
    <row r="144" spans="1:9" x14ac:dyDescent="0.25">
      <c r="A144" s="45">
        <v>7</v>
      </c>
      <c r="B144" s="193">
        <v>627</v>
      </c>
      <c r="C144" s="187">
        <v>6</v>
      </c>
      <c r="D144" s="188" t="s">
        <v>366</v>
      </c>
      <c r="E144" s="189">
        <v>78246.31</v>
      </c>
      <c r="F144" s="190">
        <v>53.1</v>
      </c>
      <c r="G144" s="190">
        <f t="shared" si="4"/>
        <v>78193.209999999992</v>
      </c>
      <c r="H144" s="191">
        <v>172.75103006947984</v>
      </c>
      <c r="I144" s="192">
        <f t="shared" si="5"/>
        <v>452.63527498823578</v>
      </c>
    </row>
    <row r="145" spans="1:9" x14ac:dyDescent="0.25">
      <c r="A145" s="45">
        <v>7</v>
      </c>
      <c r="B145" s="193">
        <v>629</v>
      </c>
      <c r="C145" s="187">
        <v>9</v>
      </c>
      <c r="D145" s="188" t="s">
        <v>532</v>
      </c>
      <c r="E145" s="189">
        <v>195402.41</v>
      </c>
      <c r="F145" s="190">
        <v>2914.3900000000003</v>
      </c>
      <c r="G145" s="190">
        <f t="shared" si="4"/>
        <v>192488.02</v>
      </c>
      <c r="H145" s="191">
        <v>260.09634030227994</v>
      </c>
      <c r="I145" s="192">
        <f t="shared" si="5"/>
        <v>740.06431530829457</v>
      </c>
    </row>
    <row r="146" spans="1:9" x14ac:dyDescent="0.25">
      <c r="A146" s="45">
        <v>7</v>
      </c>
      <c r="B146" s="193">
        <v>630</v>
      </c>
      <c r="C146" s="187">
        <v>9</v>
      </c>
      <c r="D146" s="188" t="s">
        <v>533</v>
      </c>
      <c r="E146" s="189">
        <v>187385.35</v>
      </c>
      <c r="F146" s="190">
        <v>3041.79</v>
      </c>
      <c r="G146" s="190">
        <f t="shared" si="4"/>
        <v>184343.56</v>
      </c>
      <c r="H146" s="191">
        <v>156.57867071027917</v>
      </c>
      <c r="I146" s="192">
        <f t="shared" si="5"/>
        <v>1177.3222953277896</v>
      </c>
    </row>
    <row r="147" spans="1:9" x14ac:dyDescent="0.25">
      <c r="A147" s="45">
        <v>7</v>
      </c>
      <c r="B147" s="193">
        <v>634</v>
      </c>
      <c r="C147" s="187">
        <v>6</v>
      </c>
      <c r="D147" s="188" t="s">
        <v>367</v>
      </c>
      <c r="E147" s="189">
        <v>532108.69999999995</v>
      </c>
      <c r="F147" s="190">
        <v>0</v>
      </c>
      <c r="G147" s="190">
        <f t="shared" si="4"/>
        <v>532108.69999999995</v>
      </c>
      <c r="H147" s="191">
        <v>629.19830455599129</v>
      </c>
      <c r="I147" s="192">
        <f t="shared" si="5"/>
        <v>845.69315611156185</v>
      </c>
    </row>
    <row r="148" spans="1:9" x14ac:dyDescent="0.25">
      <c r="A148" s="45">
        <v>7</v>
      </c>
      <c r="B148" s="193">
        <v>692</v>
      </c>
      <c r="C148" s="187">
        <v>8</v>
      </c>
      <c r="D148" s="188" t="s">
        <v>475</v>
      </c>
      <c r="E148" s="189">
        <v>241522.31</v>
      </c>
      <c r="F148" s="190">
        <v>43276.229999999996</v>
      </c>
      <c r="G148" s="190">
        <f t="shared" si="4"/>
        <v>198246.08000000002</v>
      </c>
      <c r="H148" s="191">
        <v>393.61</v>
      </c>
      <c r="I148" s="192">
        <f t="shared" si="5"/>
        <v>503.66118746983057</v>
      </c>
    </row>
    <row r="149" spans="1:9" x14ac:dyDescent="0.25">
      <c r="A149" s="45">
        <v>7</v>
      </c>
      <c r="B149" s="193">
        <v>694</v>
      </c>
      <c r="C149" s="187">
        <v>6</v>
      </c>
      <c r="D149" s="188" t="s">
        <v>368</v>
      </c>
      <c r="E149" s="189">
        <v>41166.160000000003</v>
      </c>
      <c r="F149" s="190">
        <v>0</v>
      </c>
      <c r="G149" s="190">
        <f t="shared" si="4"/>
        <v>41166.160000000003</v>
      </c>
      <c r="H149" s="191">
        <v>14.922412001826281</v>
      </c>
      <c r="I149" s="192">
        <f t="shared" si="5"/>
        <v>2758.6800307458257</v>
      </c>
    </row>
    <row r="150" spans="1:9" x14ac:dyDescent="0.25">
      <c r="A150" s="45">
        <v>7</v>
      </c>
      <c r="B150" s="193">
        <v>695</v>
      </c>
      <c r="C150" s="187">
        <v>9</v>
      </c>
      <c r="D150" s="188" t="s">
        <v>534</v>
      </c>
      <c r="E150" s="189">
        <v>13899.55</v>
      </c>
      <c r="F150" s="190">
        <v>0</v>
      </c>
      <c r="G150" s="190">
        <f t="shared" si="4"/>
        <v>13899.55</v>
      </c>
      <c r="H150" s="191">
        <v>20.171458480304032</v>
      </c>
      <c r="I150" s="192">
        <f t="shared" si="5"/>
        <v>689.07015392922142</v>
      </c>
    </row>
    <row r="151" spans="1:9" x14ac:dyDescent="0.25">
      <c r="A151" s="45">
        <v>7</v>
      </c>
      <c r="B151" s="193">
        <v>696</v>
      </c>
      <c r="C151" s="187">
        <v>5</v>
      </c>
      <c r="D151" s="188" t="s">
        <v>347</v>
      </c>
      <c r="E151" s="189">
        <v>124905.27</v>
      </c>
      <c r="F151" s="190">
        <v>97.35</v>
      </c>
      <c r="G151" s="190">
        <f t="shared" si="4"/>
        <v>124807.92</v>
      </c>
      <c r="H151" s="191">
        <v>353.67061444512626</v>
      </c>
      <c r="I151" s="192">
        <f t="shared" si="5"/>
        <v>352.89310138421058</v>
      </c>
    </row>
    <row r="152" spans="1:9" x14ac:dyDescent="0.25">
      <c r="A152" s="45">
        <v>7</v>
      </c>
      <c r="B152" s="193">
        <v>697</v>
      </c>
      <c r="C152" s="187">
        <v>6</v>
      </c>
      <c r="D152" s="188" t="s">
        <v>369</v>
      </c>
      <c r="E152" s="189">
        <v>53116.83</v>
      </c>
      <c r="F152" s="190">
        <v>0</v>
      </c>
      <c r="G152" s="190">
        <f t="shared" si="4"/>
        <v>53116.83</v>
      </c>
      <c r="H152" s="191">
        <v>47.902918435338712</v>
      </c>
      <c r="I152" s="192">
        <f t="shared" si="5"/>
        <v>1108.8432967126885</v>
      </c>
    </row>
    <row r="153" spans="1:9" x14ac:dyDescent="0.25">
      <c r="A153" s="45">
        <v>7</v>
      </c>
      <c r="B153" s="193">
        <v>706</v>
      </c>
      <c r="C153" s="187">
        <v>8</v>
      </c>
      <c r="D153" s="188" t="s">
        <v>476</v>
      </c>
      <c r="E153" s="189">
        <v>67043.899999999994</v>
      </c>
      <c r="F153" s="190">
        <v>43777</v>
      </c>
      <c r="G153" s="190">
        <f t="shared" si="4"/>
        <v>23266.899999999994</v>
      </c>
      <c r="H153" s="191">
        <v>70.445468287262813</v>
      </c>
      <c r="I153" s="192">
        <f t="shared" si="5"/>
        <v>330.28242363472037</v>
      </c>
    </row>
    <row r="154" spans="1:9" x14ac:dyDescent="0.25">
      <c r="A154" s="45">
        <v>7</v>
      </c>
      <c r="B154" s="193">
        <v>709</v>
      </c>
      <c r="C154" s="187">
        <v>8</v>
      </c>
      <c r="D154" s="188" t="s">
        <v>477</v>
      </c>
      <c r="E154" s="189">
        <v>44609.25</v>
      </c>
      <c r="F154" s="190">
        <v>0</v>
      </c>
      <c r="G154" s="190">
        <f t="shared" si="4"/>
        <v>44609.25</v>
      </c>
      <c r="H154" s="191">
        <v>78.057130871097016</v>
      </c>
      <c r="I154" s="192">
        <f t="shared" si="5"/>
        <v>571.4948717967535</v>
      </c>
    </row>
    <row r="155" spans="1:9" x14ac:dyDescent="0.25">
      <c r="A155" s="45">
        <v>7</v>
      </c>
      <c r="B155" s="193">
        <v>710</v>
      </c>
      <c r="C155" s="187">
        <v>6</v>
      </c>
      <c r="D155" s="188" t="s">
        <v>370</v>
      </c>
      <c r="E155" s="189">
        <v>74539.039999999994</v>
      </c>
      <c r="F155" s="190">
        <v>0</v>
      </c>
      <c r="G155" s="190">
        <f t="shared" si="4"/>
        <v>74539.039999999994</v>
      </c>
      <c r="H155" s="191">
        <v>69.019377099984084</v>
      </c>
      <c r="I155" s="192">
        <f t="shared" si="5"/>
        <v>1079.972655969061</v>
      </c>
    </row>
    <row r="156" spans="1:9" x14ac:dyDescent="0.25">
      <c r="A156" s="45">
        <v>7</v>
      </c>
      <c r="B156" s="193">
        <v>711</v>
      </c>
      <c r="C156" s="187">
        <v>7</v>
      </c>
      <c r="D156" s="188" t="s">
        <v>443</v>
      </c>
      <c r="E156" s="189">
        <v>195130.52</v>
      </c>
      <c r="F156" s="190">
        <v>7704.2400000000007</v>
      </c>
      <c r="G156" s="190">
        <f t="shared" si="4"/>
        <v>187426.28</v>
      </c>
      <c r="H156" s="191">
        <v>366.54838968446853</v>
      </c>
      <c r="I156" s="192">
        <f t="shared" si="5"/>
        <v>511.32752257168534</v>
      </c>
    </row>
    <row r="157" spans="1:9" x14ac:dyDescent="0.25">
      <c r="A157" s="45">
        <v>7</v>
      </c>
      <c r="B157" s="193">
        <v>712</v>
      </c>
      <c r="C157" s="187">
        <v>7</v>
      </c>
      <c r="D157" s="188" t="s">
        <v>444</v>
      </c>
      <c r="E157" s="189">
        <v>268020.83</v>
      </c>
      <c r="F157" s="190">
        <v>0</v>
      </c>
      <c r="G157" s="190">
        <f t="shared" si="4"/>
        <v>268020.83</v>
      </c>
      <c r="H157" s="191">
        <v>572.25774799404269</v>
      </c>
      <c r="I157" s="192">
        <f t="shared" si="5"/>
        <v>468.35683909829766</v>
      </c>
    </row>
    <row r="158" spans="1:9" x14ac:dyDescent="0.25">
      <c r="A158" s="45">
        <v>7</v>
      </c>
      <c r="B158" s="193">
        <v>714</v>
      </c>
      <c r="C158" s="187">
        <v>8</v>
      </c>
      <c r="D158" s="188" t="s">
        <v>478</v>
      </c>
      <c r="E158" s="189">
        <v>34143.47</v>
      </c>
      <c r="F158" s="190">
        <v>0</v>
      </c>
      <c r="G158" s="190">
        <f t="shared" si="4"/>
        <v>34143.47</v>
      </c>
      <c r="H158" s="191">
        <v>53.206698049442352</v>
      </c>
      <c r="I158" s="192">
        <f t="shared" si="5"/>
        <v>641.713755066555</v>
      </c>
    </row>
    <row r="159" spans="1:9" x14ac:dyDescent="0.25">
      <c r="A159" s="45">
        <v>7</v>
      </c>
      <c r="B159" s="193">
        <v>718</v>
      </c>
      <c r="C159" s="187">
        <v>7</v>
      </c>
      <c r="D159" s="188" t="s">
        <v>445</v>
      </c>
      <c r="E159" s="189">
        <v>27137.86</v>
      </c>
      <c r="F159" s="190">
        <v>0</v>
      </c>
      <c r="G159" s="190">
        <f t="shared" si="4"/>
        <v>27137.86</v>
      </c>
      <c r="H159" s="191">
        <v>39.392807763458428</v>
      </c>
      <c r="I159" s="192">
        <f t="shared" si="5"/>
        <v>688.90392791888348</v>
      </c>
    </row>
    <row r="160" spans="1:9" x14ac:dyDescent="0.25">
      <c r="A160" s="45">
        <v>7</v>
      </c>
      <c r="B160" s="193">
        <v>731</v>
      </c>
      <c r="C160" s="187">
        <v>5</v>
      </c>
      <c r="D160" s="188" t="s">
        <v>348</v>
      </c>
      <c r="E160" s="189">
        <v>240978.65</v>
      </c>
      <c r="F160" s="190">
        <v>0</v>
      </c>
      <c r="G160" s="190">
        <f t="shared" si="4"/>
        <v>240978.65</v>
      </c>
      <c r="H160" s="191">
        <v>789.18999999999994</v>
      </c>
      <c r="I160" s="192">
        <f t="shared" si="5"/>
        <v>305.34934553149435</v>
      </c>
    </row>
    <row r="161" spans="1:9" x14ac:dyDescent="0.25">
      <c r="A161" s="45">
        <v>7</v>
      </c>
      <c r="B161" s="193">
        <v>732</v>
      </c>
      <c r="C161" s="187">
        <v>5</v>
      </c>
      <c r="D161" s="188" t="s">
        <v>349</v>
      </c>
      <c r="E161" s="189">
        <v>70730.53</v>
      </c>
      <c r="F161" s="190">
        <v>0</v>
      </c>
      <c r="G161" s="190">
        <f t="shared" si="4"/>
        <v>70730.53</v>
      </c>
      <c r="H161" s="191">
        <v>225.55436218074209</v>
      </c>
      <c r="I161" s="192">
        <f t="shared" si="5"/>
        <v>313.58528966654143</v>
      </c>
    </row>
    <row r="162" spans="1:9" x14ac:dyDescent="0.25">
      <c r="A162" s="45">
        <v>7</v>
      </c>
      <c r="B162" s="193">
        <v>736</v>
      </c>
      <c r="C162" s="187">
        <v>7</v>
      </c>
      <c r="D162" s="188" t="s">
        <v>446</v>
      </c>
      <c r="E162" s="189">
        <v>50572.31</v>
      </c>
      <c r="F162" s="190">
        <v>0</v>
      </c>
      <c r="G162" s="190">
        <f t="shared" si="4"/>
        <v>50572.31</v>
      </c>
      <c r="H162" s="191">
        <v>125.18098204444361</v>
      </c>
      <c r="I162" s="192">
        <f t="shared" si="5"/>
        <v>403.99355536326647</v>
      </c>
    </row>
    <row r="163" spans="1:9" x14ac:dyDescent="0.25">
      <c r="A163" s="45">
        <v>7</v>
      </c>
      <c r="B163" s="193">
        <v>743</v>
      </c>
      <c r="C163" s="187">
        <v>6</v>
      </c>
      <c r="D163" s="188" t="s">
        <v>371</v>
      </c>
      <c r="E163" s="189">
        <v>129452.08</v>
      </c>
      <c r="F163" s="190">
        <v>0</v>
      </c>
      <c r="G163" s="190">
        <f t="shared" si="4"/>
        <v>129452.08</v>
      </c>
      <c r="H163" s="191">
        <v>88.658199112750268</v>
      </c>
      <c r="I163" s="192">
        <f t="shared" si="5"/>
        <v>1460.1253047715359</v>
      </c>
    </row>
    <row r="164" spans="1:9" x14ac:dyDescent="0.25">
      <c r="A164" s="45">
        <v>7</v>
      </c>
      <c r="B164" s="193">
        <v>747</v>
      </c>
      <c r="C164" s="187">
        <v>6</v>
      </c>
      <c r="D164" s="188" t="s">
        <v>372</v>
      </c>
      <c r="E164" s="189">
        <v>57416.36</v>
      </c>
      <c r="F164" s="190">
        <v>0</v>
      </c>
      <c r="G164" s="190">
        <f t="shared" si="4"/>
        <v>57416.36</v>
      </c>
      <c r="H164" s="191">
        <v>34.58</v>
      </c>
      <c r="I164" s="192">
        <f t="shared" si="5"/>
        <v>1660.3921341816081</v>
      </c>
    </row>
    <row r="165" spans="1:9" x14ac:dyDescent="0.25">
      <c r="A165" s="45">
        <v>7</v>
      </c>
      <c r="B165" s="193">
        <v>749</v>
      </c>
      <c r="C165" s="187">
        <v>8</v>
      </c>
      <c r="D165" s="188" t="s">
        <v>479</v>
      </c>
      <c r="E165" s="189">
        <v>3648.79</v>
      </c>
      <c r="F165" s="190">
        <v>0</v>
      </c>
      <c r="G165" s="190">
        <f t="shared" si="4"/>
        <v>3648.79</v>
      </c>
      <c r="H165" s="191">
        <v>11.40013858746314</v>
      </c>
      <c r="I165" s="192">
        <f t="shared" si="5"/>
        <v>320.06540727606728</v>
      </c>
    </row>
    <row r="166" spans="1:9" x14ac:dyDescent="0.25">
      <c r="A166" s="45">
        <v>7</v>
      </c>
      <c r="B166" s="193">
        <v>754</v>
      </c>
      <c r="C166" s="187">
        <v>5</v>
      </c>
      <c r="D166" s="188" t="s">
        <v>350</v>
      </c>
      <c r="E166" s="189">
        <v>28838.67</v>
      </c>
      <c r="F166" s="190">
        <v>0</v>
      </c>
      <c r="G166" s="190">
        <f t="shared" si="4"/>
        <v>28838.67</v>
      </c>
      <c r="H166" s="191">
        <v>99.79329178912181</v>
      </c>
      <c r="I166" s="192">
        <f t="shared" si="5"/>
        <v>288.98405376726555</v>
      </c>
    </row>
    <row r="167" spans="1:9" x14ac:dyDescent="0.25">
      <c r="A167" s="45">
        <v>7</v>
      </c>
      <c r="B167" s="193">
        <v>757</v>
      </c>
      <c r="C167" s="187">
        <v>7</v>
      </c>
      <c r="D167" s="188" t="s">
        <v>447</v>
      </c>
      <c r="E167" s="189">
        <v>302772.49</v>
      </c>
      <c r="F167" s="190">
        <v>32550.520000000004</v>
      </c>
      <c r="G167" s="190">
        <f t="shared" si="4"/>
        <v>270221.96999999997</v>
      </c>
      <c r="H167" s="191">
        <v>442.07000000000005</v>
      </c>
      <c r="I167" s="192">
        <f t="shared" si="5"/>
        <v>611.26511638428292</v>
      </c>
    </row>
    <row r="168" spans="1:9" x14ac:dyDescent="0.25">
      <c r="A168" s="45">
        <v>8</v>
      </c>
      <c r="B168" s="193">
        <v>758</v>
      </c>
      <c r="C168" s="187">
        <v>6</v>
      </c>
      <c r="D168" s="188" t="s">
        <v>373</v>
      </c>
      <c r="E168" s="189">
        <v>308609.02</v>
      </c>
      <c r="F168" s="190">
        <v>766.22</v>
      </c>
      <c r="G168" s="190">
        <f t="shared" si="4"/>
        <v>307842.80000000005</v>
      </c>
      <c r="H168" s="191">
        <v>298.94651286099651</v>
      </c>
      <c r="I168" s="192">
        <f t="shared" si="5"/>
        <v>1029.7587921460054</v>
      </c>
    </row>
    <row r="169" spans="1:9" x14ac:dyDescent="0.25">
      <c r="A169" s="45">
        <v>8</v>
      </c>
      <c r="B169" s="193">
        <v>760</v>
      </c>
      <c r="C169" s="187">
        <v>4</v>
      </c>
      <c r="D169" s="188" t="s">
        <v>331</v>
      </c>
      <c r="E169" s="189">
        <v>1336097.33</v>
      </c>
      <c r="F169" s="190">
        <v>814885.58000000007</v>
      </c>
      <c r="G169" s="190">
        <f t="shared" si="4"/>
        <v>521211.75</v>
      </c>
      <c r="H169" s="191">
        <v>5116.9599999999991</v>
      </c>
      <c r="I169" s="192">
        <f t="shared" si="5"/>
        <v>101.85964908852132</v>
      </c>
    </row>
    <row r="170" spans="1:9" x14ac:dyDescent="0.25">
      <c r="A170" s="45">
        <v>8</v>
      </c>
      <c r="B170" s="193">
        <v>764</v>
      </c>
      <c r="C170" s="187">
        <v>8</v>
      </c>
      <c r="D170" s="188" t="s">
        <v>480</v>
      </c>
      <c r="E170" s="189">
        <v>14931.6</v>
      </c>
      <c r="F170" s="190">
        <v>0</v>
      </c>
      <c r="G170" s="190">
        <f t="shared" si="4"/>
        <v>14931.6</v>
      </c>
      <c r="H170" s="191">
        <v>47.765463863070885</v>
      </c>
      <c r="I170" s="192">
        <f t="shared" si="5"/>
        <v>312.60242845760638</v>
      </c>
    </row>
    <row r="171" spans="1:9" x14ac:dyDescent="0.25">
      <c r="A171" s="45">
        <v>8</v>
      </c>
      <c r="B171" s="193">
        <v>765</v>
      </c>
      <c r="C171" s="187">
        <v>6</v>
      </c>
      <c r="D171" s="188" t="s">
        <v>374</v>
      </c>
      <c r="E171" s="189">
        <v>86841.69</v>
      </c>
      <c r="F171" s="190">
        <v>0</v>
      </c>
      <c r="G171" s="190">
        <f t="shared" si="4"/>
        <v>86841.69</v>
      </c>
      <c r="H171" s="191">
        <v>80.350199999999987</v>
      </c>
      <c r="I171" s="192">
        <f t="shared" si="5"/>
        <v>1080.7899669198086</v>
      </c>
    </row>
    <row r="172" spans="1:9" x14ac:dyDescent="0.25">
      <c r="A172" s="45">
        <v>8</v>
      </c>
      <c r="B172" s="193">
        <v>770</v>
      </c>
      <c r="C172" s="187">
        <v>6</v>
      </c>
      <c r="D172" s="188" t="s">
        <v>375</v>
      </c>
      <c r="E172" s="189">
        <v>24226.400000000001</v>
      </c>
      <c r="F172" s="190">
        <v>0</v>
      </c>
      <c r="G172" s="190">
        <f t="shared" si="4"/>
        <v>24226.400000000001</v>
      </c>
      <c r="H172" s="191">
        <v>31.38</v>
      </c>
      <c r="I172" s="192">
        <f t="shared" si="5"/>
        <v>772.03314212874454</v>
      </c>
    </row>
    <row r="173" spans="1:9" x14ac:dyDescent="0.25">
      <c r="A173" s="45">
        <v>8</v>
      </c>
      <c r="B173" s="193">
        <v>771</v>
      </c>
      <c r="C173" s="187">
        <v>9</v>
      </c>
      <c r="D173" s="188" t="s">
        <v>535</v>
      </c>
      <c r="E173" s="189">
        <v>50307.6</v>
      </c>
      <c r="F173" s="190">
        <v>78</v>
      </c>
      <c r="G173" s="190">
        <f t="shared" si="4"/>
        <v>50229.599999999999</v>
      </c>
      <c r="H173" s="191">
        <v>201.07087106447656</v>
      </c>
      <c r="I173" s="192">
        <f t="shared" si="5"/>
        <v>249.81042621481001</v>
      </c>
    </row>
    <row r="174" spans="1:9" x14ac:dyDescent="0.25">
      <c r="A174" s="45">
        <v>8</v>
      </c>
      <c r="B174" s="193">
        <v>774</v>
      </c>
      <c r="C174" s="187">
        <v>6</v>
      </c>
      <c r="D174" s="188" t="s">
        <v>376</v>
      </c>
      <c r="E174" s="189">
        <v>288515.28999999998</v>
      </c>
      <c r="F174" s="190">
        <v>0</v>
      </c>
      <c r="G174" s="190">
        <f t="shared" si="4"/>
        <v>288515.28999999998</v>
      </c>
      <c r="H174" s="191">
        <v>449.72089621218714</v>
      </c>
      <c r="I174" s="192">
        <f t="shared" si="5"/>
        <v>641.54299351007433</v>
      </c>
    </row>
    <row r="175" spans="1:9" x14ac:dyDescent="0.25">
      <c r="A175" s="45">
        <v>8</v>
      </c>
      <c r="B175" s="193">
        <v>775</v>
      </c>
      <c r="C175" s="187">
        <v>8</v>
      </c>
      <c r="D175" s="188" t="s">
        <v>481</v>
      </c>
      <c r="E175" s="189">
        <v>102177.37</v>
      </c>
      <c r="F175" s="190">
        <v>0</v>
      </c>
      <c r="G175" s="190">
        <f t="shared" si="4"/>
        <v>102177.37</v>
      </c>
      <c r="H175" s="191">
        <v>199.86753898819137</v>
      </c>
      <c r="I175" s="192">
        <f t="shared" si="5"/>
        <v>511.22543719336471</v>
      </c>
    </row>
    <row r="176" spans="1:9" x14ac:dyDescent="0.25">
      <c r="A176" s="45">
        <v>8</v>
      </c>
      <c r="B176" s="193">
        <v>786</v>
      </c>
      <c r="C176" s="187">
        <v>7</v>
      </c>
      <c r="D176" s="188" t="s">
        <v>448</v>
      </c>
      <c r="E176" s="189">
        <v>1892576.87</v>
      </c>
      <c r="F176" s="190">
        <v>283456.15000000002</v>
      </c>
      <c r="G176" s="190">
        <f t="shared" si="4"/>
        <v>1609120.7200000002</v>
      </c>
      <c r="H176" s="191">
        <v>2943.9</v>
      </c>
      <c r="I176" s="192">
        <f t="shared" si="5"/>
        <v>546.594897924522</v>
      </c>
    </row>
    <row r="177" spans="1:9" x14ac:dyDescent="0.25">
      <c r="A177" s="45">
        <v>8</v>
      </c>
      <c r="B177" s="193">
        <v>790</v>
      </c>
      <c r="C177" s="187">
        <v>8</v>
      </c>
      <c r="D177" s="188" t="s">
        <v>482</v>
      </c>
      <c r="E177" s="189">
        <v>10651.9</v>
      </c>
      <c r="F177" s="190">
        <v>0</v>
      </c>
      <c r="G177" s="190">
        <f t="shared" si="4"/>
        <v>10651.9</v>
      </c>
      <c r="H177" s="191">
        <v>20.22300394490447</v>
      </c>
      <c r="I177" s="192">
        <f t="shared" si="5"/>
        <v>526.72194640420503</v>
      </c>
    </row>
    <row r="178" spans="1:9" x14ac:dyDescent="0.25">
      <c r="A178" s="45">
        <v>8</v>
      </c>
      <c r="B178" s="193">
        <v>794</v>
      </c>
      <c r="C178" s="187">
        <v>6</v>
      </c>
      <c r="D178" s="188" t="s">
        <v>377</v>
      </c>
      <c r="E178" s="189">
        <v>42748.36</v>
      </c>
      <c r="F178" s="190">
        <v>0</v>
      </c>
      <c r="G178" s="190">
        <f t="shared" si="4"/>
        <v>42748.36</v>
      </c>
      <c r="H178" s="191">
        <v>33.43744570213115</v>
      </c>
      <c r="I178" s="192">
        <f t="shared" si="5"/>
        <v>1278.4577022064641</v>
      </c>
    </row>
    <row r="179" spans="1:9" x14ac:dyDescent="0.25">
      <c r="A179" s="45">
        <v>8</v>
      </c>
      <c r="B179" s="193">
        <v>796</v>
      </c>
      <c r="C179" s="187">
        <v>8</v>
      </c>
      <c r="D179" s="188" t="s">
        <v>483</v>
      </c>
      <c r="E179" s="189">
        <v>16075.64</v>
      </c>
      <c r="F179" s="190">
        <v>0</v>
      </c>
      <c r="G179" s="190">
        <f t="shared" si="4"/>
        <v>16075.64</v>
      </c>
      <c r="H179" s="191">
        <v>3.2130006267605236</v>
      </c>
      <c r="I179" s="192">
        <f t="shared" si="5"/>
        <v>5003.3105708442099</v>
      </c>
    </row>
    <row r="180" spans="1:9" x14ac:dyDescent="0.25">
      <c r="A180" s="45">
        <v>8</v>
      </c>
      <c r="B180" s="193">
        <v>797</v>
      </c>
      <c r="C180" s="187">
        <v>8</v>
      </c>
      <c r="D180" s="188" t="s">
        <v>484</v>
      </c>
      <c r="E180" s="189">
        <v>33613.51</v>
      </c>
      <c r="F180" s="190">
        <v>1525</v>
      </c>
      <c r="G180" s="190">
        <f t="shared" si="4"/>
        <v>32088.510000000002</v>
      </c>
      <c r="H180" s="191">
        <v>27.117841312893944</v>
      </c>
      <c r="I180" s="192">
        <f t="shared" si="5"/>
        <v>1183.2988337734173</v>
      </c>
    </row>
    <row r="181" spans="1:9" x14ac:dyDescent="0.25">
      <c r="A181" s="45">
        <v>8</v>
      </c>
      <c r="B181" s="193">
        <v>801</v>
      </c>
      <c r="C181" s="187">
        <v>8</v>
      </c>
      <c r="D181" s="188" t="s">
        <v>485</v>
      </c>
      <c r="E181" s="189">
        <v>48233.03</v>
      </c>
      <c r="F181" s="190">
        <v>0</v>
      </c>
      <c r="G181" s="190">
        <f t="shared" si="4"/>
        <v>48233.03</v>
      </c>
      <c r="H181" s="191">
        <v>123.59652791803542</v>
      </c>
      <c r="I181" s="192">
        <f t="shared" si="5"/>
        <v>390.2458330543584</v>
      </c>
    </row>
    <row r="182" spans="1:9" x14ac:dyDescent="0.25">
      <c r="A182" s="45">
        <v>8</v>
      </c>
      <c r="B182" s="193">
        <v>806</v>
      </c>
      <c r="C182" s="187">
        <v>6</v>
      </c>
      <c r="D182" s="188" t="s">
        <v>378</v>
      </c>
      <c r="E182" s="189">
        <v>40480.629999999997</v>
      </c>
      <c r="F182" s="190">
        <v>0</v>
      </c>
      <c r="G182" s="190">
        <f t="shared" si="4"/>
        <v>40480.629999999997</v>
      </c>
      <c r="H182" s="191">
        <v>27</v>
      </c>
      <c r="I182" s="192">
        <f t="shared" si="5"/>
        <v>1499.2825925925924</v>
      </c>
    </row>
    <row r="183" spans="1:9" x14ac:dyDescent="0.25">
      <c r="A183" s="45">
        <v>8</v>
      </c>
      <c r="B183" s="193">
        <v>810</v>
      </c>
      <c r="C183" s="187">
        <v>8</v>
      </c>
      <c r="D183" s="188" t="s">
        <v>486</v>
      </c>
      <c r="E183" s="189">
        <v>111643.23</v>
      </c>
      <c r="F183" s="190">
        <v>1356.8</v>
      </c>
      <c r="G183" s="190">
        <f t="shared" si="4"/>
        <v>110286.43</v>
      </c>
      <c r="H183" s="191">
        <v>117.85999999999999</v>
      </c>
      <c r="I183" s="192">
        <f t="shared" si="5"/>
        <v>935.7409638554218</v>
      </c>
    </row>
    <row r="184" spans="1:9" x14ac:dyDescent="0.25">
      <c r="A184" s="45">
        <v>8</v>
      </c>
      <c r="B184" s="193">
        <v>811</v>
      </c>
      <c r="C184" s="187">
        <v>6</v>
      </c>
      <c r="D184" s="188" t="s">
        <v>379</v>
      </c>
      <c r="E184" s="189">
        <v>513458.35</v>
      </c>
      <c r="F184" s="190">
        <v>1000</v>
      </c>
      <c r="G184" s="190">
        <f t="shared" si="4"/>
        <v>512458.35</v>
      </c>
      <c r="H184" s="191">
        <v>848.27512001861191</v>
      </c>
      <c r="I184" s="192">
        <f t="shared" si="5"/>
        <v>604.11809554046124</v>
      </c>
    </row>
    <row r="185" spans="1:9" x14ac:dyDescent="0.25">
      <c r="A185" s="45">
        <v>8</v>
      </c>
      <c r="B185" s="193">
        <v>812</v>
      </c>
      <c r="C185" s="187">
        <v>8</v>
      </c>
      <c r="D185" s="188" t="s">
        <v>487</v>
      </c>
      <c r="E185" s="189">
        <v>79827.28</v>
      </c>
      <c r="F185" s="190">
        <v>614.27</v>
      </c>
      <c r="G185" s="190">
        <f t="shared" si="4"/>
        <v>79213.009999999995</v>
      </c>
      <c r="H185" s="191">
        <v>73.094329153324267</v>
      </c>
      <c r="I185" s="192">
        <f t="shared" si="5"/>
        <v>1083.7093782452132</v>
      </c>
    </row>
    <row r="186" spans="1:9" x14ac:dyDescent="0.25">
      <c r="A186" s="45">
        <v>8</v>
      </c>
      <c r="B186" s="193">
        <v>818</v>
      </c>
      <c r="C186" s="187">
        <v>8</v>
      </c>
      <c r="D186" s="188" t="s">
        <v>488</v>
      </c>
      <c r="E186" s="189">
        <v>18863.13</v>
      </c>
      <c r="F186" s="190">
        <v>0</v>
      </c>
      <c r="G186" s="190">
        <f t="shared" si="4"/>
        <v>18863.13</v>
      </c>
      <c r="H186" s="191">
        <v>41.596473847313483</v>
      </c>
      <c r="I186" s="192">
        <f t="shared" si="5"/>
        <v>453.4790633754231</v>
      </c>
    </row>
    <row r="187" spans="1:9" x14ac:dyDescent="0.25">
      <c r="A187" s="45">
        <v>8</v>
      </c>
      <c r="B187" s="193">
        <v>824</v>
      </c>
      <c r="C187" s="187">
        <v>6</v>
      </c>
      <c r="D187" s="188" t="s">
        <v>380</v>
      </c>
      <c r="E187" s="189">
        <v>60319.76</v>
      </c>
      <c r="F187" s="190">
        <v>0</v>
      </c>
      <c r="G187" s="190">
        <f t="shared" si="4"/>
        <v>60319.76</v>
      </c>
      <c r="H187" s="191">
        <v>31.52</v>
      </c>
      <c r="I187" s="192">
        <f t="shared" si="5"/>
        <v>1913.6979695431473</v>
      </c>
    </row>
    <row r="188" spans="1:9" x14ac:dyDescent="0.25">
      <c r="A188" s="45">
        <v>8</v>
      </c>
      <c r="B188" s="193">
        <v>826</v>
      </c>
      <c r="C188" s="187">
        <v>6</v>
      </c>
      <c r="D188" s="188" t="s">
        <v>381</v>
      </c>
      <c r="E188" s="189">
        <v>48770.93</v>
      </c>
      <c r="F188" s="190">
        <v>0</v>
      </c>
      <c r="G188" s="190">
        <f t="shared" si="4"/>
        <v>48770.93</v>
      </c>
      <c r="H188" s="191">
        <v>32.878999999999998</v>
      </c>
      <c r="I188" s="192">
        <f t="shared" si="5"/>
        <v>1483.3459046807993</v>
      </c>
    </row>
    <row r="189" spans="1:9" x14ac:dyDescent="0.25">
      <c r="A189" s="45">
        <v>8</v>
      </c>
      <c r="B189" s="193">
        <v>830</v>
      </c>
      <c r="C189" s="187">
        <v>9</v>
      </c>
      <c r="D189" s="188" t="s">
        <v>536</v>
      </c>
      <c r="E189" s="189">
        <v>23211.78</v>
      </c>
      <c r="F189" s="190">
        <v>0</v>
      </c>
      <c r="G189" s="190">
        <f t="shared" si="4"/>
        <v>23211.78</v>
      </c>
      <c r="H189" s="191">
        <v>19.195570680853066</v>
      </c>
      <c r="I189" s="192">
        <f t="shared" si="5"/>
        <v>1209.2258357889284</v>
      </c>
    </row>
    <row r="190" spans="1:9" x14ac:dyDescent="0.25">
      <c r="A190" s="45">
        <v>8</v>
      </c>
      <c r="B190" s="193">
        <v>833</v>
      </c>
      <c r="C190" s="187">
        <v>8</v>
      </c>
      <c r="D190" s="188" t="s">
        <v>489</v>
      </c>
      <c r="E190" s="189">
        <v>33538.120000000003</v>
      </c>
      <c r="F190" s="190">
        <v>0</v>
      </c>
      <c r="G190" s="190">
        <f t="shared" si="4"/>
        <v>33538.120000000003</v>
      </c>
      <c r="H190" s="191">
        <v>58.296984581983558</v>
      </c>
      <c r="I190" s="192">
        <f t="shared" si="5"/>
        <v>575.29768032573031</v>
      </c>
    </row>
    <row r="191" spans="1:9" x14ac:dyDescent="0.25">
      <c r="A191" s="45">
        <v>8</v>
      </c>
      <c r="B191" s="193">
        <v>834</v>
      </c>
      <c r="C191" s="187">
        <v>8</v>
      </c>
      <c r="D191" s="188" t="s">
        <v>490</v>
      </c>
      <c r="E191" s="189">
        <v>61267.93</v>
      </c>
      <c r="F191" s="190">
        <v>5853.95</v>
      </c>
      <c r="G191" s="190">
        <f t="shared" si="4"/>
        <v>55413.98</v>
      </c>
      <c r="H191" s="191">
        <v>113.44</v>
      </c>
      <c r="I191" s="192">
        <f t="shared" si="5"/>
        <v>488.48712976022568</v>
      </c>
    </row>
    <row r="192" spans="1:9" x14ac:dyDescent="0.25">
      <c r="A192" s="45">
        <v>8</v>
      </c>
      <c r="B192" s="193">
        <v>837</v>
      </c>
      <c r="C192" s="187">
        <v>8</v>
      </c>
      <c r="D192" s="188" t="s">
        <v>491</v>
      </c>
      <c r="E192" s="189">
        <v>90655.29</v>
      </c>
      <c r="F192" s="190">
        <v>0</v>
      </c>
      <c r="G192" s="190">
        <f t="shared" si="4"/>
        <v>90655.29</v>
      </c>
      <c r="H192" s="191">
        <v>172.41</v>
      </c>
      <c r="I192" s="192">
        <f t="shared" si="5"/>
        <v>525.81224986949712</v>
      </c>
    </row>
    <row r="193" spans="1:9" x14ac:dyDescent="0.25">
      <c r="A193" s="45">
        <v>8</v>
      </c>
      <c r="B193" s="193">
        <v>840</v>
      </c>
      <c r="C193" s="187">
        <v>6</v>
      </c>
      <c r="D193" s="188" t="s">
        <v>382</v>
      </c>
      <c r="E193" s="189">
        <v>81219.53</v>
      </c>
      <c r="F193" s="190">
        <v>0</v>
      </c>
      <c r="G193" s="190">
        <f t="shared" si="4"/>
        <v>81219.53</v>
      </c>
      <c r="H193" s="191">
        <v>111.61000000000001</v>
      </c>
      <c r="I193" s="192">
        <f t="shared" si="5"/>
        <v>727.70835946599755</v>
      </c>
    </row>
    <row r="194" spans="1:9" x14ac:dyDescent="0.25">
      <c r="A194" s="45"/>
      <c r="B194" s="193">
        <v>843</v>
      </c>
      <c r="C194" s="187">
        <v>6</v>
      </c>
      <c r="D194" s="188" t="s">
        <v>383</v>
      </c>
      <c r="E194" s="189">
        <v>35021.31</v>
      </c>
      <c r="F194" s="190">
        <v>0</v>
      </c>
      <c r="G194" s="190">
        <f t="shared" si="4"/>
        <v>35021.31</v>
      </c>
      <c r="H194" s="191">
        <v>24</v>
      </c>
      <c r="I194" s="192">
        <f t="shared" si="5"/>
        <v>1459.2212499999998</v>
      </c>
    </row>
    <row r="195" spans="1:9" x14ac:dyDescent="0.25">
      <c r="A195" s="45">
        <v>8</v>
      </c>
      <c r="B195" s="193">
        <v>846</v>
      </c>
      <c r="C195" s="187">
        <v>6</v>
      </c>
      <c r="D195" s="188" t="s">
        <v>384</v>
      </c>
      <c r="E195" s="189">
        <v>39845.980000000003</v>
      </c>
      <c r="F195" s="190">
        <v>0</v>
      </c>
      <c r="G195" s="190">
        <f t="shared" si="4"/>
        <v>39845.980000000003</v>
      </c>
      <c r="H195" s="191">
        <v>24.91</v>
      </c>
      <c r="I195" s="192">
        <f t="shared" si="5"/>
        <v>1599.5977519068649</v>
      </c>
    </row>
    <row r="196" spans="1:9" x14ac:dyDescent="0.25">
      <c r="A196" s="45">
        <v>8</v>
      </c>
      <c r="B196" s="193">
        <v>847</v>
      </c>
      <c r="C196" s="187">
        <v>8</v>
      </c>
      <c r="D196" s="188" t="s">
        <v>492</v>
      </c>
      <c r="E196" s="189">
        <v>90372</v>
      </c>
      <c r="F196" s="190">
        <v>0</v>
      </c>
      <c r="G196" s="190">
        <f t="shared" si="4"/>
        <v>90372</v>
      </c>
      <c r="H196" s="191">
        <v>66.474224843561387</v>
      </c>
      <c r="I196" s="192">
        <f t="shared" si="5"/>
        <v>1359.5043825284008</v>
      </c>
    </row>
    <row r="197" spans="1:9" x14ac:dyDescent="0.25">
      <c r="A197" s="45">
        <v>8</v>
      </c>
      <c r="B197" s="193">
        <v>854</v>
      </c>
      <c r="C197" s="187">
        <v>7</v>
      </c>
      <c r="D197" s="188" t="s">
        <v>449</v>
      </c>
      <c r="E197" s="189">
        <v>471437.34</v>
      </c>
      <c r="F197" s="190">
        <v>32277.73</v>
      </c>
      <c r="G197" s="190">
        <f t="shared" si="4"/>
        <v>439159.61000000004</v>
      </c>
      <c r="H197" s="191">
        <v>791.64</v>
      </c>
      <c r="I197" s="192">
        <f t="shared" si="5"/>
        <v>554.74661462280847</v>
      </c>
    </row>
    <row r="198" spans="1:9" x14ac:dyDescent="0.25">
      <c r="A198" s="45">
        <v>8</v>
      </c>
      <c r="B198" s="193">
        <v>855</v>
      </c>
      <c r="C198" s="187">
        <v>7</v>
      </c>
      <c r="D198" s="188" t="s">
        <v>450</v>
      </c>
      <c r="E198" s="189">
        <v>127853.57</v>
      </c>
      <c r="F198" s="190">
        <v>9807.15</v>
      </c>
      <c r="G198" s="190">
        <f t="shared" ref="G198:G245" si="6">E198-F198</f>
        <v>118046.42000000001</v>
      </c>
      <c r="H198" s="191">
        <v>193.09000000000003</v>
      </c>
      <c r="I198" s="192">
        <f t="shared" ref="I198:I245" si="7">IFERROR(G198/H198,0)</f>
        <v>611.35439432389035</v>
      </c>
    </row>
    <row r="199" spans="1:9" x14ac:dyDescent="0.25">
      <c r="A199" s="45">
        <v>8</v>
      </c>
      <c r="B199" s="193">
        <v>862</v>
      </c>
      <c r="C199" s="187">
        <v>7</v>
      </c>
      <c r="D199" s="188" t="s">
        <v>451</v>
      </c>
      <c r="E199" s="189">
        <v>9941.26</v>
      </c>
      <c r="F199" s="190">
        <v>7583.34</v>
      </c>
      <c r="G199" s="190">
        <f t="shared" si="6"/>
        <v>2357.92</v>
      </c>
      <c r="H199" s="191">
        <v>13.923162984356898</v>
      </c>
      <c r="I199" s="192">
        <f t="shared" si="7"/>
        <v>169.35232336568893</v>
      </c>
    </row>
    <row r="200" spans="1:9" x14ac:dyDescent="0.25">
      <c r="A200" s="45">
        <v>8</v>
      </c>
      <c r="B200" s="193">
        <v>866</v>
      </c>
      <c r="C200" s="187">
        <v>8</v>
      </c>
      <c r="D200" s="188" t="s">
        <v>493</v>
      </c>
      <c r="E200" s="189">
        <v>55359.46</v>
      </c>
      <c r="F200" s="190">
        <v>0</v>
      </c>
      <c r="G200" s="190">
        <f t="shared" si="6"/>
        <v>55359.46</v>
      </c>
      <c r="H200" s="191">
        <v>353.30120528215645</v>
      </c>
      <c r="I200" s="192">
        <f t="shared" si="7"/>
        <v>156.69196473810032</v>
      </c>
    </row>
    <row r="201" spans="1:9" x14ac:dyDescent="0.25">
      <c r="A201" s="45">
        <v>8</v>
      </c>
      <c r="B201" s="193">
        <v>871</v>
      </c>
      <c r="C201" s="187">
        <v>8</v>
      </c>
      <c r="D201" s="188" t="s">
        <v>494</v>
      </c>
      <c r="E201" s="189">
        <v>11493.22</v>
      </c>
      <c r="F201" s="190">
        <v>0</v>
      </c>
      <c r="G201" s="190">
        <f t="shared" si="6"/>
        <v>11493.22</v>
      </c>
      <c r="H201" s="191">
        <v>19.878525045684178</v>
      </c>
      <c r="I201" s="192">
        <f t="shared" si="7"/>
        <v>578.17267496389479</v>
      </c>
    </row>
    <row r="202" spans="1:9" x14ac:dyDescent="0.25">
      <c r="A202" s="45">
        <v>8</v>
      </c>
      <c r="B202" s="193">
        <v>873</v>
      </c>
      <c r="C202" s="187">
        <v>8</v>
      </c>
      <c r="D202" s="188" t="s">
        <v>495</v>
      </c>
      <c r="E202" s="189">
        <v>66603.63</v>
      </c>
      <c r="F202" s="190">
        <v>0</v>
      </c>
      <c r="G202" s="190">
        <f t="shared" si="6"/>
        <v>66603.63</v>
      </c>
      <c r="H202" s="191">
        <v>155.24918621340797</v>
      </c>
      <c r="I202" s="192">
        <f t="shared" si="7"/>
        <v>429.01113767157278</v>
      </c>
    </row>
    <row r="203" spans="1:9" x14ac:dyDescent="0.25">
      <c r="A203" s="45">
        <v>8</v>
      </c>
      <c r="B203" s="193">
        <v>878</v>
      </c>
      <c r="C203" s="187">
        <v>4</v>
      </c>
      <c r="D203" s="188" t="s">
        <v>332</v>
      </c>
      <c r="E203" s="189">
        <v>2687221.1</v>
      </c>
      <c r="F203" s="190">
        <v>989548.83000000007</v>
      </c>
      <c r="G203" s="190">
        <f t="shared" si="6"/>
        <v>1697672.27</v>
      </c>
      <c r="H203" s="191">
        <v>7648.46</v>
      </c>
      <c r="I203" s="192">
        <f t="shared" si="7"/>
        <v>221.96262646336649</v>
      </c>
    </row>
    <row r="204" spans="1:9" x14ac:dyDescent="0.25">
      <c r="A204" s="45">
        <v>8</v>
      </c>
      <c r="B204" s="193">
        <v>885</v>
      </c>
      <c r="C204" s="187">
        <v>5</v>
      </c>
      <c r="D204" s="188" t="s">
        <v>351</v>
      </c>
      <c r="E204" s="189">
        <v>123590.03</v>
      </c>
      <c r="F204" s="190">
        <v>62748.440000000017</v>
      </c>
      <c r="G204" s="190">
        <f t="shared" si="6"/>
        <v>60841.589999999982</v>
      </c>
      <c r="H204" s="191">
        <v>400.56999999999994</v>
      </c>
      <c r="I204" s="192">
        <f t="shared" si="7"/>
        <v>151.88753526225128</v>
      </c>
    </row>
    <row r="205" spans="1:9" x14ac:dyDescent="0.25">
      <c r="A205" s="45">
        <v>8</v>
      </c>
      <c r="B205" s="193">
        <v>888</v>
      </c>
      <c r="C205" s="187">
        <v>6</v>
      </c>
      <c r="D205" s="188" t="s">
        <v>385</v>
      </c>
      <c r="E205" s="189">
        <v>45817.61</v>
      </c>
      <c r="F205" s="190">
        <v>0</v>
      </c>
      <c r="G205" s="190">
        <f t="shared" si="6"/>
        <v>45817.61</v>
      </c>
      <c r="H205" s="191">
        <v>91.579627294752981</v>
      </c>
      <c r="I205" s="192">
        <f t="shared" si="7"/>
        <v>500.30352113722898</v>
      </c>
    </row>
    <row r="206" spans="1:9" x14ac:dyDescent="0.25">
      <c r="A206" s="45">
        <v>8</v>
      </c>
      <c r="B206" s="193">
        <v>889</v>
      </c>
      <c r="C206" s="187">
        <v>6</v>
      </c>
      <c r="D206" s="188" t="s">
        <v>386</v>
      </c>
      <c r="E206" s="189">
        <v>47314.239999999998</v>
      </c>
      <c r="F206" s="190">
        <v>0</v>
      </c>
      <c r="G206" s="190">
        <f t="shared" si="6"/>
        <v>47314.239999999998</v>
      </c>
      <c r="H206" s="191">
        <v>25.841459586352013</v>
      </c>
      <c r="I206" s="192">
        <f t="shared" si="7"/>
        <v>1830.9430178235243</v>
      </c>
    </row>
    <row r="207" spans="1:9" x14ac:dyDescent="0.25">
      <c r="A207" s="45">
        <v>8</v>
      </c>
      <c r="B207" s="193">
        <v>891</v>
      </c>
      <c r="C207" s="187">
        <v>6</v>
      </c>
      <c r="D207" s="188" t="s">
        <v>387</v>
      </c>
      <c r="E207" s="189">
        <v>94656.66</v>
      </c>
      <c r="F207" s="190">
        <v>0</v>
      </c>
      <c r="G207" s="190">
        <f t="shared" si="6"/>
        <v>94656.66</v>
      </c>
      <c r="H207" s="191">
        <v>409.28817074899689</v>
      </c>
      <c r="I207" s="192">
        <f t="shared" si="7"/>
        <v>231.27142870212549</v>
      </c>
    </row>
    <row r="208" spans="1:9" x14ac:dyDescent="0.25">
      <c r="A208" s="45">
        <v>8</v>
      </c>
      <c r="B208" s="193">
        <v>895</v>
      </c>
      <c r="C208" s="187">
        <v>8</v>
      </c>
      <c r="D208" s="188" t="s">
        <v>496</v>
      </c>
      <c r="E208" s="189">
        <v>12048.4</v>
      </c>
      <c r="F208" s="190">
        <v>0</v>
      </c>
      <c r="G208" s="190">
        <f t="shared" si="6"/>
        <v>12048.4</v>
      </c>
      <c r="H208" s="191">
        <v>32.417567183983358</v>
      </c>
      <c r="I208" s="192">
        <f t="shared" si="7"/>
        <v>371.66268312548721</v>
      </c>
    </row>
    <row r="209" spans="1:9" x14ac:dyDescent="0.25">
      <c r="A209" s="45">
        <v>8</v>
      </c>
      <c r="B209" s="193">
        <v>897</v>
      </c>
      <c r="C209" s="187">
        <v>8</v>
      </c>
      <c r="D209" s="188" t="s">
        <v>497</v>
      </c>
      <c r="E209" s="189">
        <v>256275.57</v>
      </c>
      <c r="F209" s="190">
        <v>305</v>
      </c>
      <c r="G209" s="190">
        <f t="shared" si="6"/>
        <v>255970.57</v>
      </c>
      <c r="H209" s="191">
        <v>133.13334415215996</v>
      </c>
      <c r="I209" s="192">
        <f t="shared" si="7"/>
        <v>1922.6631136633032</v>
      </c>
    </row>
    <row r="210" spans="1:9" x14ac:dyDescent="0.25">
      <c r="A210" s="45">
        <v>8</v>
      </c>
      <c r="B210" s="193">
        <v>904</v>
      </c>
      <c r="C210" s="187">
        <v>6</v>
      </c>
      <c r="D210" s="188" t="s">
        <v>388</v>
      </c>
      <c r="E210" s="189">
        <v>12497.58</v>
      </c>
      <c r="F210" s="190">
        <v>0</v>
      </c>
      <c r="G210" s="190">
        <f t="shared" si="6"/>
        <v>12497.58</v>
      </c>
      <c r="H210" s="191">
        <v>27.241778041330534</v>
      </c>
      <c r="I210" s="192">
        <f t="shared" si="7"/>
        <v>458.76520912250987</v>
      </c>
    </row>
    <row r="211" spans="1:9" x14ac:dyDescent="0.25">
      <c r="A211" s="45">
        <v>8</v>
      </c>
      <c r="B211" s="193">
        <v>905</v>
      </c>
      <c r="C211" s="187">
        <v>8</v>
      </c>
      <c r="D211" s="188" t="s">
        <v>498</v>
      </c>
      <c r="E211" s="189">
        <v>49432.19</v>
      </c>
      <c r="F211" s="190">
        <v>0</v>
      </c>
      <c r="G211" s="190">
        <f t="shared" si="6"/>
        <v>49432.19</v>
      </c>
      <c r="H211" s="191">
        <v>85.61701670132453</v>
      </c>
      <c r="I211" s="192">
        <f t="shared" si="7"/>
        <v>577.36407906438149</v>
      </c>
    </row>
    <row r="212" spans="1:9" x14ac:dyDescent="0.25">
      <c r="A212" s="45">
        <v>8</v>
      </c>
      <c r="B212" s="193">
        <v>906</v>
      </c>
      <c r="C212" s="187">
        <v>6</v>
      </c>
      <c r="D212" s="188" t="s">
        <v>389</v>
      </c>
      <c r="E212" s="189">
        <v>128309.25</v>
      </c>
      <c r="F212" s="190">
        <v>156</v>
      </c>
      <c r="G212" s="190">
        <f t="shared" si="6"/>
        <v>128153.25</v>
      </c>
      <c r="H212" s="191">
        <v>222.35</v>
      </c>
      <c r="I212" s="192">
        <f t="shared" si="7"/>
        <v>576.35821902406121</v>
      </c>
    </row>
    <row r="213" spans="1:9" x14ac:dyDescent="0.25">
      <c r="A213" s="45">
        <v>8</v>
      </c>
      <c r="B213" s="193">
        <v>907</v>
      </c>
      <c r="C213" s="187">
        <v>8</v>
      </c>
      <c r="D213" s="188" t="s">
        <v>499</v>
      </c>
      <c r="E213" s="189">
        <v>22074.400000000001</v>
      </c>
      <c r="F213" s="190">
        <v>4379.54</v>
      </c>
      <c r="G213" s="190">
        <f t="shared" si="6"/>
        <v>17694.86</v>
      </c>
      <c r="H213" s="191">
        <v>11.528269678349137</v>
      </c>
      <c r="I213" s="192">
        <f t="shared" si="7"/>
        <v>1534.9103112353569</v>
      </c>
    </row>
    <row r="214" spans="1:9" x14ac:dyDescent="0.25">
      <c r="A214" s="45">
        <v>8</v>
      </c>
      <c r="B214" s="193">
        <v>909</v>
      </c>
      <c r="C214" s="187">
        <v>5</v>
      </c>
      <c r="D214" s="188" t="s">
        <v>352</v>
      </c>
      <c r="E214" s="189">
        <v>231494.25</v>
      </c>
      <c r="F214" s="190">
        <v>79965.2</v>
      </c>
      <c r="G214" s="190">
        <f t="shared" si="6"/>
        <v>151529.04999999999</v>
      </c>
      <c r="H214" s="191">
        <v>490.37</v>
      </c>
      <c r="I214" s="192">
        <f t="shared" si="7"/>
        <v>309.00962538491342</v>
      </c>
    </row>
    <row r="215" spans="1:9" x14ac:dyDescent="0.25">
      <c r="A215" s="45">
        <v>8</v>
      </c>
      <c r="B215" s="193">
        <v>917</v>
      </c>
      <c r="C215" s="187">
        <v>6</v>
      </c>
      <c r="D215" s="188" t="s">
        <v>390</v>
      </c>
      <c r="E215" s="189">
        <v>57436.9</v>
      </c>
      <c r="F215" s="190">
        <v>0</v>
      </c>
      <c r="G215" s="190">
        <f t="shared" si="6"/>
        <v>57436.9</v>
      </c>
      <c r="H215" s="191">
        <v>75.771832962641213</v>
      </c>
      <c r="I215" s="192">
        <f t="shared" si="7"/>
        <v>758.02442351261152</v>
      </c>
    </row>
    <row r="216" spans="1:9" x14ac:dyDescent="0.25">
      <c r="A216" s="45">
        <v>8</v>
      </c>
      <c r="B216" s="193">
        <v>918</v>
      </c>
      <c r="C216" s="187">
        <v>8</v>
      </c>
      <c r="D216" s="188" t="s">
        <v>500</v>
      </c>
      <c r="E216" s="189">
        <v>53986.39</v>
      </c>
      <c r="F216" s="190">
        <v>0</v>
      </c>
      <c r="G216" s="190">
        <f t="shared" si="6"/>
        <v>53986.39</v>
      </c>
      <c r="H216" s="191">
        <v>129.10420700255921</v>
      </c>
      <c r="I216" s="192">
        <f t="shared" si="7"/>
        <v>418.16135394356155</v>
      </c>
    </row>
    <row r="217" spans="1:9" x14ac:dyDescent="0.25">
      <c r="A217" s="45">
        <v>8</v>
      </c>
      <c r="B217" s="193">
        <v>922</v>
      </c>
      <c r="C217" s="187">
        <v>8</v>
      </c>
      <c r="D217" s="188" t="s">
        <v>501</v>
      </c>
      <c r="E217" s="189">
        <v>122446.31</v>
      </c>
      <c r="F217" s="190">
        <v>10197.290000000001</v>
      </c>
      <c r="G217" s="190">
        <f t="shared" si="6"/>
        <v>112249.01999999999</v>
      </c>
      <c r="H217" s="191">
        <v>198.95999999999998</v>
      </c>
      <c r="I217" s="192">
        <f t="shared" si="7"/>
        <v>564.17882991556087</v>
      </c>
    </row>
    <row r="218" spans="1:9" x14ac:dyDescent="0.25">
      <c r="A218" s="45">
        <v>8</v>
      </c>
      <c r="B218" s="193">
        <v>923</v>
      </c>
      <c r="C218" s="187">
        <v>5</v>
      </c>
      <c r="D218" s="188" t="s">
        <v>353</v>
      </c>
      <c r="E218" s="189">
        <v>31592.22</v>
      </c>
      <c r="F218" s="190">
        <v>101.1</v>
      </c>
      <c r="G218" s="190">
        <f t="shared" si="6"/>
        <v>31491.120000000003</v>
      </c>
      <c r="H218" s="191">
        <v>60.819362702759797</v>
      </c>
      <c r="I218" s="192">
        <f t="shared" si="7"/>
        <v>517.78115719339871</v>
      </c>
    </row>
    <row r="219" spans="1:9" x14ac:dyDescent="0.25">
      <c r="A219" s="45">
        <v>8</v>
      </c>
      <c r="B219" s="193">
        <v>924</v>
      </c>
      <c r="C219" s="187">
        <v>8</v>
      </c>
      <c r="D219" s="188" t="s">
        <v>502</v>
      </c>
      <c r="E219" s="189">
        <v>60494.03</v>
      </c>
      <c r="F219" s="190">
        <v>0</v>
      </c>
      <c r="G219" s="190">
        <f t="shared" si="6"/>
        <v>60494.03</v>
      </c>
      <c r="H219" s="191">
        <v>162.15157832730102</v>
      </c>
      <c r="I219" s="192">
        <f t="shared" si="7"/>
        <v>373.07086754279703</v>
      </c>
    </row>
    <row r="220" spans="1:9" x14ac:dyDescent="0.25">
      <c r="A220" s="45">
        <v>8</v>
      </c>
      <c r="B220" s="193">
        <v>929</v>
      </c>
      <c r="C220" s="187">
        <v>8</v>
      </c>
      <c r="D220" s="188" t="s">
        <v>503</v>
      </c>
      <c r="E220" s="189">
        <v>44478.52</v>
      </c>
      <c r="F220" s="190">
        <v>0</v>
      </c>
      <c r="G220" s="190">
        <f t="shared" si="6"/>
        <v>44478.52</v>
      </c>
      <c r="H220" s="191">
        <v>53.206698049442352</v>
      </c>
      <c r="I220" s="192">
        <f t="shared" si="7"/>
        <v>835.95715634652447</v>
      </c>
    </row>
    <row r="221" spans="1:9" x14ac:dyDescent="0.25">
      <c r="A221" s="45">
        <v>9</v>
      </c>
      <c r="B221" s="193">
        <v>936</v>
      </c>
      <c r="C221" s="187">
        <v>9</v>
      </c>
      <c r="D221" s="188" t="s">
        <v>537</v>
      </c>
      <c r="E221" s="189">
        <v>44215.32</v>
      </c>
      <c r="F221" s="190">
        <v>0</v>
      </c>
      <c r="G221" s="190">
        <f t="shared" si="6"/>
        <v>44215.32</v>
      </c>
      <c r="H221" s="191">
        <v>37.316626494371853</v>
      </c>
      <c r="I221" s="192">
        <f t="shared" si="7"/>
        <v>1184.8691629900848</v>
      </c>
    </row>
    <row r="222" spans="1:9" x14ac:dyDescent="0.25">
      <c r="A222" s="45">
        <v>9</v>
      </c>
      <c r="B222" s="193">
        <v>952</v>
      </c>
      <c r="C222" s="187">
        <v>9</v>
      </c>
      <c r="D222" s="188" t="s">
        <v>538</v>
      </c>
      <c r="E222" s="189">
        <v>95547.41</v>
      </c>
      <c r="F222" s="190">
        <v>3880</v>
      </c>
      <c r="G222" s="190">
        <f t="shared" si="6"/>
        <v>91667.41</v>
      </c>
      <c r="H222" s="191">
        <v>73.831919867341881</v>
      </c>
      <c r="I222" s="192">
        <f t="shared" si="7"/>
        <v>1241.568825038062</v>
      </c>
    </row>
    <row r="223" spans="1:9" x14ac:dyDescent="0.25">
      <c r="A223" s="45">
        <v>9</v>
      </c>
      <c r="B223" s="193">
        <v>955</v>
      </c>
      <c r="C223" s="187">
        <v>8</v>
      </c>
      <c r="D223" s="188" t="s">
        <v>504</v>
      </c>
      <c r="E223" s="189">
        <v>21369.599999999999</v>
      </c>
      <c r="F223" s="190">
        <v>0</v>
      </c>
      <c r="G223" s="190">
        <f t="shared" si="6"/>
        <v>21369.599999999999</v>
      </c>
      <c r="H223" s="191">
        <v>38.28109837659062</v>
      </c>
      <c r="I223" s="192">
        <f t="shared" si="7"/>
        <v>558.22849673163455</v>
      </c>
    </row>
    <row r="224" spans="1:9" x14ac:dyDescent="0.25">
      <c r="A224" s="45">
        <v>9</v>
      </c>
      <c r="B224" s="193">
        <v>957</v>
      </c>
      <c r="C224" s="187">
        <v>6</v>
      </c>
      <c r="D224" s="188" t="s">
        <v>391</v>
      </c>
      <c r="E224" s="189">
        <v>35255.53</v>
      </c>
      <c r="F224" s="190">
        <v>0</v>
      </c>
      <c r="G224" s="190">
        <f t="shared" si="6"/>
        <v>35255.53</v>
      </c>
      <c r="H224" s="191">
        <v>99.183185889872689</v>
      </c>
      <c r="I224" s="192">
        <f t="shared" si="7"/>
        <v>355.45873712048041</v>
      </c>
    </row>
    <row r="225" spans="1:9" x14ac:dyDescent="0.25">
      <c r="A225" s="45">
        <v>9</v>
      </c>
      <c r="B225" s="193">
        <v>958</v>
      </c>
      <c r="C225" s="187">
        <v>7</v>
      </c>
      <c r="D225" s="188" t="s">
        <v>452</v>
      </c>
      <c r="E225" s="189">
        <v>137185.5</v>
      </c>
      <c r="F225" s="190">
        <v>270.88</v>
      </c>
      <c r="G225" s="190">
        <f t="shared" si="6"/>
        <v>136914.62</v>
      </c>
      <c r="H225" s="191">
        <v>655.95490227478683</v>
      </c>
      <c r="I225" s="192">
        <f t="shared" si="7"/>
        <v>208.72566014095423</v>
      </c>
    </row>
    <row r="226" spans="1:9" x14ac:dyDescent="0.25">
      <c r="A226" s="45">
        <v>9</v>
      </c>
      <c r="B226" s="193">
        <v>959</v>
      </c>
      <c r="C226" s="187">
        <v>6</v>
      </c>
      <c r="D226" s="188" t="s">
        <v>392</v>
      </c>
      <c r="E226" s="189">
        <v>111040.06</v>
      </c>
      <c r="F226" s="190">
        <v>309.64999999999998</v>
      </c>
      <c r="G226" s="190">
        <f t="shared" si="6"/>
        <v>110730.41</v>
      </c>
      <c r="H226" s="191">
        <v>377.15816448139168</v>
      </c>
      <c r="I226" s="192">
        <f t="shared" si="7"/>
        <v>293.59144366464653</v>
      </c>
    </row>
    <row r="227" spans="1:9" x14ac:dyDescent="0.25">
      <c r="A227" s="45">
        <v>9</v>
      </c>
      <c r="B227" s="193">
        <v>967</v>
      </c>
      <c r="C227" s="187">
        <v>7</v>
      </c>
      <c r="D227" s="188" t="s">
        <v>453</v>
      </c>
      <c r="E227" s="189">
        <v>82042.509999999995</v>
      </c>
      <c r="F227" s="190">
        <v>0</v>
      </c>
      <c r="G227" s="190">
        <f t="shared" si="6"/>
        <v>82042.509999999995</v>
      </c>
      <c r="H227" s="191">
        <v>157.53480682104274</v>
      </c>
      <c r="I227" s="192">
        <f t="shared" si="7"/>
        <v>520.78973311084894</v>
      </c>
    </row>
    <row r="228" spans="1:9" x14ac:dyDescent="0.25">
      <c r="A228" s="45">
        <v>9</v>
      </c>
      <c r="B228" s="193">
        <v>969</v>
      </c>
      <c r="C228" s="187">
        <v>6</v>
      </c>
      <c r="D228" s="188" t="s">
        <v>393</v>
      </c>
      <c r="E228" s="189">
        <v>34813.97</v>
      </c>
      <c r="F228" s="190">
        <v>0</v>
      </c>
      <c r="G228" s="190">
        <f t="shared" si="6"/>
        <v>34813.97</v>
      </c>
      <c r="H228" s="191">
        <v>19.84500387116794</v>
      </c>
      <c r="I228" s="192">
        <f t="shared" si="7"/>
        <v>1754.2939384647796</v>
      </c>
    </row>
    <row r="229" spans="1:9" x14ac:dyDescent="0.25">
      <c r="A229" s="45">
        <v>9</v>
      </c>
      <c r="B229" s="193">
        <v>970</v>
      </c>
      <c r="C229" s="187">
        <v>6</v>
      </c>
      <c r="D229" s="188" t="s">
        <v>394</v>
      </c>
      <c r="E229" s="189">
        <v>48368.87</v>
      </c>
      <c r="F229" s="190">
        <v>126</v>
      </c>
      <c r="G229" s="190">
        <f t="shared" si="6"/>
        <v>48242.87</v>
      </c>
      <c r="H229" s="191">
        <v>195.82981092782387</v>
      </c>
      <c r="I229" s="192">
        <f t="shared" si="7"/>
        <v>246.35100126701681</v>
      </c>
    </row>
    <row r="230" spans="1:9" x14ac:dyDescent="0.25">
      <c r="A230" s="45">
        <v>9</v>
      </c>
      <c r="B230" s="193">
        <v>971</v>
      </c>
      <c r="C230" s="187">
        <v>7</v>
      </c>
      <c r="D230" s="188" t="s">
        <v>454</v>
      </c>
      <c r="E230" s="189">
        <v>499085.03</v>
      </c>
      <c r="F230" s="190">
        <v>150177.47</v>
      </c>
      <c r="G230" s="190">
        <f t="shared" si="6"/>
        <v>348907.56000000006</v>
      </c>
      <c r="H230" s="191">
        <v>1007.65</v>
      </c>
      <c r="I230" s="192">
        <f t="shared" si="7"/>
        <v>346.25868108966415</v>
      </c>
    </row>
    <row r="231" spans="1:9" x14ac:dyDescent="0.25">
      <c r="A231" s="45">
        <v>9</v>
      </c>
      <c r="B231" s="193">
        <v>973</v>
      </c>
      <c r="C231" s="187">
        <v>8</v>
      </c>
      <c r="D231" s="188" t="s">
        <v>505</v>
      </c>
      <c r="E231" s="189">
        <v>6830.21</v>
      </c>
      <c r="F231" s="190">
        <v>0</v>
      </c>
      <c r="G231" s="190">
        <f t="shared" si="6"/>
        <v>6830.21</v>
      </c>
      <c r="H231" s="191">
        <v>6.7868195057241003</v>
      </c>
      <c r="I231" s="192">
        <f t="shared" si="7"/>
        <v>1006.3933473167076</v>
      </c>
    </row>
    <row r="232" spans="1:9" x14ac:dyDescent="0.25">
      <c r="A232" s="45">
        <v>9</v>
      </c>
      <c r="B232" s="193">
        <v>974</v>
      </c>
      <c r="C232" s="187">
        <v>8</v>
      </c>
      <c r="D232" s="188" t="s">
        <v>506</v>
      </c>
      <c r="E232" s="189">
        <v>36154.49</v>
      </c>
      <c r="F232" s="190">
        <v>0</v>
      </c>
      <c r="G232" s="190">
        <f t="shared" si="6"/>
        <v>36154.49</v>
      </c>
      <c r="H232" s="191">
        <v>20.330000000000002</v>
      </c>
      <c r="I232" s="192">
        <f t="shared" si="7"/>
        <v>1778.3812100344317</v>
      </c>
    </row>
    <row r="233" spans="1:9" x14ac:dyDescent="0.25">
      <c r="A233" s="45">
        <v>9</v>
      </c>
      <c r="B233" s="193">
        <v>975</v>
      </c>
      <c r="C233" s="187">
        <v>7</v>
      </c>
      <c r="D233" s="188" t="s">
        <v>455</v>
      </c>
      <c r="E233" s="189">
        <v>30459.23</v>
      </c>
      <c r="F233" s="190">
        <v>0</v>
      </c>
      <c r="G233" s="190">
        <f t="shared" si="6"/>
        <v>30459.23</v>
      </c>
      <c r="H233" s="191">
        <v>28.638553031917883</v>
      </c>
      <c r="I233" s="192">
        <f t="shared" si="7"/>
        <v>1063.5743351297449</v>
      </c>
    </row>
    <row r="234" spans="1:9" x14ac:dyDescent="0.25">
      <c r="A234" s="45">
        <v>9</v>
      </c>
      <c r="B234" s="193">
        <v>976</v>
      </c>
      <c r="C234" s="187">
        <v>7</v>
      </c>
      <c r="D234" s="188" t="s">
        <v>456</v>
      </c>
      <c r="E234" s="189">
        <v>18851.71</v>
      </c>
      <c r="F234" s="190">
        <v>0</v>
      </c>
      <c r="G234" s="190">
        <f t="shared" si="6"/>
        <v>18851.71</v>
      </c>
      <c r="H234" s="191">
        <v>24.209186540671535</v>
      </c>
      <c r="I234" s="192">
        <f t="shared" si="7"/>
        <v>778.70067911323861</v>
      </c>
    </row>
    <row r="235" spans="1:9" x14ac:dyDescent="0.25">
      <c r="A235" s="45">
        <v>9</v>
      </c>
      <c r="B235" s="193">
        <v>977</v>
      </c>
      <c r="C235" s="187">
        <v>7</v>
      </c>
      <c r="D235" s="188" t="s">
        <v>457</v>
      </c>
      <c r="E235" s="189">
        <v>21035.19</v>
      </c>
      <c r="F235" s="190">
        <v>0</v>
      </c>
      <c r="G235" s="190">
        <f t="shared" si="6"/>
        <v>21035.19</v>
      </c>
      <c r="H235" s="191">
        <v>39.801689582303489</v>
      </c>
      <c r="I235" s="192">
        <f t="shared" si="7"/>
        <v>528.49992602707505</v>
      </c>
    </row>
    <row r="236" spans="1:9" x14ac:dyDescent="0.25">
      <c r="A236" s="45">
        <v>9</v>
      </c>
      <c r="B236" s="193">
        <v>978</v>
      </c>
      <c r="C236" s="187">
        <v>8</v>
      </c>
      <c r="D236" s="188" t="s">
        <v>507</v>
      </c>
      <c r="E236" s="189">
        <v>43946.37</v>
      </c>
      <c r="F236" s="190">
        <v>832.76</v>
      </c>
      <c r="G236" s="190">
        <f t="shared" si="6"/>
        <v>43113.61</v>
      </c>
      <c r="H236" s="191">
        <v>27.545826048188108</v>
      </c>
      <c r="I236" s="192">
        <f t="shared" si="7"/>
        <v>1565.1594519103521</v>
      </c>
    </row>
    <row r="237" spans="1:9" x14ac:dyDescent="0.25">
      <c r="A237" s="45">
        <v>9</v>
      </c>
      <c r="B237" s="193">
        <v>982</v>
      </c>
      <c r="C237" s="187">
        <v>9</v>
      </c>
      <c r="D237" s="188" t="s">
        <v>539</v>
      </c>
      <c r="E237" s="189">
        <v>17969.3</v>
      </c>
      <c r="F237" s="190">
        <v>0</v>
      </c>
      <c r="G237" s="190">
        <f t="shared" si="6"/>
        <v>17969.3</v>
      </c>
      <c r="H237" s="191">
        <v>105.44815392992339</v>
      </c>
      <c r="I237" s="192">
        <f t="shared" si="7"/>
        <v>170.4088628421288</v>
      </c>
    </row>
    <row r="238" spans="1:9" x14ac:dyDescent="0.25">
      <c r="A238" s="45">
        <v>9</v>
      </c>
      <c r="B238" s="193">
        <v>983</v>
      </c>
      <c r="C238" s="187">
        <v>7</v>
      </c>
      <c r="D238" s="188" t="s">
        <v>459</v>
      </c>
      <c r="E238" s="189">
        <v>25312.25</v>
      </c>
      <c r="F238" s="190">
        <v>0</v>
      </c>
      <c r="G238" s="190">
        <f t="shared" si="6"/>
        <v>25312.25</v>
      </c>
      <c r="H238" s="191">
        <v>82.232197859229217</v>
      </c>
      <c r="I238" s="192">
        <f t="shared" si="7"/>
        <v>307.81434351701586</v>
      </c>
    </row>
    <row r="239" spans="1:9" x14ac:dyDescent="0.25">
      <c r="A239" s="45"/>
      <c r="B239" s="193">
        <v>985</v>
      </c>
      <c r="C239" s="187">
        <v>8</v>
      </c>
      <c r="D239" s="188" t="s">
        <v>508</v>
      </c>
      <c r="E239" s="189">
        <v>49440</v>
      </c>
      <c r="F239" s="190">
        <v>0</v>
      </c>
      <c r="G239" s="190">
        <f t="shared" si="6"/>
        <v>49440</v>
      </c>
      <c r="H239" s="191">
        <v>20.306509780978342</v>
      </c>
      <c r="I239" s="192">
        <f t="shared" si="7"/>
        <v>2434.6872275565438</v>
      </c>
    </row>
    <row r="240" spans="1:9" x14ac:dyDescent="0.25">
      <c r="A240" s="45"/>
      <c r="B240" s="193">
        <v>986</v>
      </c>
      <c r="C240" s="187">
        <v>6</v>
      </c>
      <c r="D240" s="188" t="s">
        <v>396</v>
      </c>
      <c r="E240" s="189">
        <v>38730.36</v>
      </c>
      <c r="F240" s="190">
        <v>0</v>
      </c>
      <c r="G240" s="190">
        <f t="shared" si="6"/>
        <v>38730.36</v>
      </c>
      <c r="H240" s="191">
        <v>8.6854107851734987</v>
      </c>
      <c r="I240" s="192">
        <f t="shared" si="7"/>
        <v>4459.2433170938766</v>
      </c>
    </row>
    <row r="241" spans="1:9" x14ac:dyDescent="0.25">
      <c r="A241" s="45"/>
      <c r="B241" s="193">
        <v>987</v>
      </c>
      <c r="C241" s="187">
        <v>9</v>
      </c>
      <c r="D241" s="188" t="s">
        <v>540</v>
      </c>
      <c r="E241" s="189">
        <v>76004.149999999994</v>
      </c>
      <c r="F241" s="190">
        <v>0</v>
      </c>
      <c r="G241" s="190">
        <f t="shared" si="6"/>
        <v>76004.149999999994</v>
      </c>
      <c r="H241" s="191">
        <v>237.45867962267809</v>
      </c>
      <c r="I241" s="192">
        <f t="shared" si="7"/>
        <v>320.07316018420806</v>
      </c>
    </row>
    <row r="242" spans="1:9" x14ac:dyDescent="0.25">
      <c r="A242" s="45"/>
      <c r="B242" s="193">
        <v>988</v>
      </c>
      <c r="C242" s="187">
        <v>6</v>
      </c>
      <c r="D242" s="188" t="s">
        <v>397</v>
      </c>
      <c r="E242" s="189">
        <v>58127.41</v>
      </c>
      <c r="F242" s="190">
        <v>0</v>
      </c>
      <c r="G242" s="190">
        <f t="shared" si="6"/>
        <v>58127.41</v>
      </c>
      <c r="H242" s="191">
        <v>115.7015754605878</v>
      </c>
      <c r="I242" s="192">
        <f t="shared" si="7"/>
        <v>502.39082543694775</v>
      </c>
    </row>
    <row r="243" spans="1:9" x14ac:dyDescent="0.25">
      <c r="A243" s="45"/>
      <c r="B243" s="193">
        <v>989</v>
      </c>
      <c r="C243" s="187">
        <v>6</v>
      </c>
      <c r="D243" s="188" t="s">
        <v>398</v>
      </c>
      <c r="E243" s="189">
        <v>282417.95</v>
      </c>
      <c r="F243" s="190">
        <v>8989.5</v>
      </c>
      <c r="G243" s="190">
        <f t="shared" si="6"/>
        <v>273428.45</v>
      </c>
      <c r="H243" s="191">
        <v>464.89713614210081</v>
      </c>
      <c r="I243" s="192">
        <f t="shared" si="7"/>
        <v>588.14827785134742</v>
      </c>
    </row>
    <row r="244" spans="1:9" x14ac:dyDescent="0.25">
      <c r="B244" s="193">
        <v>990</v>
      </c>
      <c r="C244" s="187">
        <v>8</v>
      </c>
      <c r="D244" s="188" t="s">
        <v>0</v>
      </c>
      <c r="E244" s="189">
        <v>4179.4799999999996</v>
      </c>
      <c r="F244" s="190">
        <v>0</v>
      </c>
      <c r="G244" s="190">
        <f t="shared" si="6"/>
        <v>4179.4799999999996</v>
      </c>
      <c r="H244" s="191">
        <v>5.9189378285362872</v>
      </c>
      <c r="I244" s="192">
        <f t="shared" si="7"/>
        <v>706.11993588612438</v>
      </c>
    </row>
    <row r="245" spans="1:9" x14ac:dyDescent="0.25">
      <c r="B245" s="193">
        <v>998</v>
      </c>
      <c r="C245" s="187">
        <v>9</v>
      </c>
      <c r="D245" s="188" t="s">
        <v>545</v>
      </c>
      <c r="E245" s="189">
        <v>205043.32</v>
      </c>
      <c r="F245" s="190">
        <v>0</v>
      </c>
      <c r="G245" s="190">
        <f t="shared" si="6"/>
        <v>205043.32</v>
      </c>
      <c r="H245" s="191">
        <v>44.619685168965859</v>
      </c>
      <c r="I245" s="192">
        <f t="shared" si="7"/>
        <v>4595.3555975023537</v>
      </c>
    </row>
    <row r="246" spans="1:9" x14ac:dyDescent="0.25">
      <c r="B246" s="186"/>
      <c r="C246" s="187"/>
      <c r="D246" s="188"/>
      <c r="E246" s="189"/>
      <c r="F246" s="190"/>
      <c r="G246" s="190"/>
      <c r="H246" s="191"/>
      <c r="I246" s="192"/>
    </row>
    <row r="247" spans="1:9" x14ac:dyDescent="0.25">
      <c r="B247" s="186"/>
      <c r="C247" s="187"/>
      <c r="D247" s="188"/>
      <c r="E247" s="189"/>
      <c r="F247" s="190"/>
      <c r="G247" s="190"/>
      <c r="H247" s="191"/>
      <c r="I247" s="192"/>
    </row>
    <row r="248" spans="1:9" x14ac:dyDescent="0.25">
      <c r="B248" s="186"/>
      <c r="C248" s="187"/>
      <c r="D248" s="188"/>
      <c r="E248" s="189"/>
      <c r="F248" s="190"/>
      <c r="G248" s="190"/>
      <c r="H248" s="191"/>
      <c r="I248" s="192"/>
    </row>
    <row r="249" spans="1:9" x14ac:dyDescent="0.25">
      <c r="B249" s="186"/>
      <c r="C249" s="187"/>
      <c r="D249" s="188"/>
      <c r="E249" s="189"/>
      <c r="F249" s="190"/>
      <c r="G249" s="190"/>
      <c r="H249" s="191"/>
      <c r="I249" s="192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2021-01-08T16:47:08Z</dcterms:created>
  <dcterms:modified xsi:type="dcterms:W3CDTF">2021-01-08T16:47:42Z</dcterms:modified>
  <cp:contentStatus/>
</cp:coreProperties>
</file>